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E:\R.I\04-Divulgação de Resultados\2025\3T25\11. Fundamentos e planilhas\02. Dados Históricos\"/>
    </mc:Choice>
  </mc:AlternateContent>
  <xr:revisionPtr revIDLastSave="0" documentId="13_ncr:1_{B502A02B-A89D-47D5-AF9C-903BFAA44DE8}" xr6:coauthVersionLast="36" xr6:coauthVersionMax="47" xr10:uidLastSave="{00000000-0000-0000-0000-000000000000}"/>
  <bookViews>
    <workbookView xWindow="0" yWindow="0" windowWidth="23040" windowHeight="8940" tabRatio="900" xr2:uid="{92F25C37-E89C-498E-86AD-6E050B0E5A81}"/>
  </bookViews>
  <sheets>
    <sheet name="Operational" sheetId="1" r:id="rId1"/>
    <sheet name="Revenues" sheetId="2" r:id="rId2"/>
    <sheet name="COGS" sheetId="4" r:id="rId3"/>
    <sheet name="SG&amp;A" sheetId="3" r:id="rId4"/>
    <sheet name="COGS + SG&amp;A" sheetId="5" r:id="rId5"/>
    <sheet name="Financial Results" sheetId="6" r:id="rId6"/>
    <sheet name="EBIT &amp; EBITDA" sheetId="7" r:id="rId7"/>
    <sheet name="Capex" sheetId="8" r:id="rId8"/>
    <sheet name="Dividendos" sheetId="9" r:id="rId9"/>
    <sheet name="Histórico Societário" sheetId="13" r:id="rId10"/>
  </sheets>
  <definedNames>
    <definedName name="_xlnm._FilterDatabase" localSheetId="7" hidden="1">Capex!$A$28:$DW$82</definedName>
    <definedName name="_xlnm._FilterDatabase" localSheetId="2" hidden="1">COGS!$A$1:$DZ$234</definedName>
    <definedName name="_xlnm._FilterDatabase" localSheetId="4" hidden="1">'COGS + SG&amp;A'!$A$1:$DW$236</definedName>
    <definedName name="_xlnm._FilterDatabase" localSheetId="6" hidden="1">'EBIT &amp; EBITDA'!$A$1:$ED$164</definedName>
    <definedName name="_xlnm._FilterDatabase" localSheetId="5" hidden="1">'Financial Results'!$A$1:$DW$141</definedName>
    <definedName name="_xlnm._FilterDatabase" localSheetId="1" hidden="1">Revenues!$A$1:$A$170</definedName>
    <definedName name="_xlnm._FilterDatabase" localSheetId="3" hidden="1">'SG&amp;A'!$A$1:$DX$197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J80" i="8" l="1"/>
  <c r="EJ79" i="8"/>
  <c r="EJ78" i="8"/>
  <c r="EJ77" i="8"/>
  <c r="EJ76" i="8"/>
  <c r="EJ57" i="8"/>
  <c r="EJ50" i="8"/>
  <c r="EJ62" i="8"/>
  <c r="EJ49" i="8"/>
  <c r="EJ48" i="8"/>
  <c r="EJ45" i="8"/>
  <c r="EJ30" i="8"/>
  <c r="EJ44" i="8"/>
  <c r="EJ35" i="8" l="1"/>
  <c r="EJ70" i="8" l="1"/>
  <c r="EJ69" i="8"/>
  <c r="EJ68" i="8"/>
  <c r="EJ67" i="8"/>
  <c r="EJ66" i="8"/>
  <c r="EJ65" i="8"/>
  <c r="EJ64" i="8"/>
  <c r="EJ63" i="8"/>
  <c r="EJ61" i="8"/>
  <c r="EJ60" i="8"/>
  <c r="EJ59" i="8"/>
  <c r="EJ58" i="8"/>
  <c r="EJ51" i="8"/>
  <c r="EJ47" i="8"/>
  <c r="EJ46" i="8"/>
  <c r="EJ43" i="8"/>
  <c r="EJ42" i="8"/>
  <c r="EJ41" i="8"/>
  <c r="EJ40" i="8"/>
  <c r="EJ39" i="8"/>
  <c r="EJ38" i="8"/>
  <c r="EJ37" i="8"/>
  <c r="EJ36" i="8"/>
  <c r="EJ34" i="8"/>
  <c r="EJ33" i="8"/>
  <c r="EJ32" i="8"/>
  <c r="EJ31" i="8"/>
  <c r="EJ52" i="8" l="1"/>
  <c r="HL66" i="1"/>
  <c r="HL63" i="1"/>
  <c r="HM61" i="1"/>
  <c r="HL61" i="1"/>
  <c r="HM60" i="1"/>
  <c r="HL60" i="1"/>
  <c r="EG16" i="1"/>
  <c r="EG15" i="1"/>
  <c r="EG14" i="1"/>
  <c r="EG13" i="1"/>
  <c r="EG12" i="1"/>
  <c r="EG11" i="1"/>
  <c r="EG10" i="1"/>
  <c r="EG9" i="1"/>
  <c r="EG8" i="1"/>
  <c r="EG7" i="1"/>
  <c r="EG6" i="1"/>
  <c r="EG5" i="1"/>
  <c r="EG4" i="1"/>
  <c r="EG3" i="1"/>
  <c r="EH16" i="1"/>
  <c r="HL73" i="1" s="1"/>
  <c r="EH15" i="1"/>
  <c r="HL72" i="1" s="1"/>
  <c r="EH14" i="1"/>
  <c r="HM71" i="1" s="1"/>
  <c r="EH13" i="1"/>
  <c r="HM70" i="1" s="1"/>
  <c r="EH12" i="1"/>
  <c r="HL69" i="1" s="1"/>
  <c r="EH11" i="1"/>
  <c r="HM68" i="1" s="1"/>
  <c r="EH10" i="1"/>
  <c r="HM67" i="1" s="1"/>
  <c r="EH9" i="1"/>
  <c r="HM66" i="1" s="1"/>
  <c r="EH8" i="1"/>
  <c r="HM65" i="1" s="1"/>
  <c r="EH7" i="1"/>
  <c r="HM64" i="1" s="1"/>
  <c r="EH6" i="1"/>
  <c r="HM63" i="1" s="1"/>
  <c r="EH5" i="1"/>
  <c r="HM62" i="1" s="1"/>
  <c r="EH4" i="1"/>
  <c r="EH3" i="1"/>
  <c r="HM72" i="1" l="1"/>
  <c r="HM73" i="1"/>
  <c r="HL62" i="1"/>
  <c r="HL67" i="1"/>
  <c r="HM69" i="1"/>
  <c r="HL68" i="1"/>
  <c r="HL64" i="1"/>
  <c r="HL70" i="1"/>
  <c r="HL65" i="1"/>
  <c r="HL71" i="1"/>
  <c r="EI81" i="8"/>
  <c r="EI75" i="8"/>
  <c r="EI74" i="8"/>
  <c r="EI14" i="8"/>
  <c r="EI13" i="8"/>
  <c r="EI12" i="8"/>
  <c r="EI56" i="8"/>
  <c r="EI55" i="8"/>
  <c r="EI24" i="8"/>
  <c r="EI20" i="8"/>
  <c r="EI19" i="8"/>
  <c r="EI8" i="8"/>
  <c r="EI29" i="8"/>
  <c r="EI28" i="8"/>
  <c r="EI22" i="8"/>
  <c r="EI21" i="8"/>
  <c r="EI3" i="8"/>
  <c r="EI30" i="7"/>
  <c r="EI29" i="7"/>
  <c r="EI140" i="7"/>
  <c r="EI139" i="7"/>
  <c r="EI113" i="7"/>
  <c r="EI112" i="7"/>
  <c r="EI85" i="7"/>
  <c r="EI84" i="7"/>
  <c r="EI58" i="7"/>
  <c r="EI57" i="7"/>
  <c r="EI114" i="6"/>
  <c r="EI113" i="6"/>
  <c r="EI86" i="6"/>
  <c r="EI85" i="6"/>
  <c r="EI58" i="6"/>
  <c r="EI57" i="6"/>
  <c r="EI30" i="6"/>
  <c r="EI29" i="6"/>
  <c r="EI218" i="5"/>
  <c r="EI217" i="5"/>
  <c r="EI199" i="5"/>
  <c r="EI198" i="5"/>
  <c r="EI171" i="5"/>
  <c r="EI170" i="5"/>
  <c r="EI143" i="5"/>
  <c r="EI142" i="5"/>
  <c r="EI115" i="5"/>
  <c r="EI114" i="5"/>
  <c r="EI87" i="5"/>
  <c r="EI86" i="5"/>
  <c r="EI59" i="5"/>
  <c r="EI58" i="5"/>
  <c r="EI31" i="5"/>
  <c r="EI30" i="5"/>
  <c r="EI171" i="3"/>
  <c r="EI170" i="3"/>
  <c r="EI143" i="3"/>
  <c r="EI142" i="3"/>
  <c r="EI115" i="3"/>
  <c r="EI114" i="3"/>
  <c r="EI87" i="3"/>
  <c r="EI86" i="3"/>
  <c r="EI59" i="3"/>
  <c r="EI58" i="3"/>
  <c r="EI31" i="3"/>
  <c r="EI30" i="3"/>
  <c r="EI218" i="4"/>
  <c r="EI217" i="4"/>
  <c r="EI199" i="4"/>
  <c r="EI198" i="4"/>
  <c r="EI171" i="4"/>
  <c r="EI170" i="4"/>
  <c r="EI143" i="4"/>
  <c r="EI142" i="4"/>
  <c r="EI115" i="4"/>
  <c r="EI114" i="4"/>
  <c r="EI87" i="4"/>
  <c r="EI86" i="4"/>
  <c r="EI59" i="4"/>
  <c r="EI58" i="4"/>
  <c r="EI31" i="4"/>
  <c r="EI30" i="4"/>
  <c r="EI146" i="2"/>
  <c r="EI145" i="2"/>
  <c r="EI121" i="2"/>
  <c r="EI120" i="2"/>
  <c r="EI96" i="2"/>
  <c r="EI95" i="2"/>
  <c r="EI77" i="2"/>
  <c r="EI76" i="2"/>
  <c r="EI52" i="2"/>
  <c r="EI51" i="2"/>
  <c r="EI27" i="2"/>
  <c r="EI26" i="2"/>
  <c r="EI13" i="1"/>
  <c r="EI40" i="1"/>
  <c r="EI78" i="1" s="1"/>
  <c r="EI39" i="1"/>
  <c r="EI77" i="1" s="1"/>
  <c r="EI14" i="1"/>
  <c r="EI21" i="1"/>
  <c r="EI20" i="1"/>
  <c r="EI15" i="1"/>
  <c r="EI6" i="1"/>
  <c r="EI3" i="1"/>
  <c r="HO60" i="1" s="1"/>
  <c r="EI103" i="7" l="1"/>
  <c r="EI104" i="7"/>
  <c r="EI105" i="7"/>
  <c r="EI106" i="7"/>
  <c r="EI107" i="7"/>
  <c r="EI25" i="6"/>
  <c r="EI108" i="7"/>
  <c r="EI205" i="5"/>
  <c r="EI206" i="5"/>
  <c r="EI92" i="7" s="1"/>
  <c r="EI208" i="5"/>
  <c r="EI94" i="7" s="1"/>
  <c r="EI74" i="5"/>
  <c r="EI89" i="5"/>
  <c r="EI128" i="5"/>
  <c r="EI15" i="7" s="1"/>
  <c r="EI182" i="5"/>
  <c r="EI209" i="5"/>
  <c r="EI12" i="5"/>
  <c r="EI228" i="4"/>
  <c r="EI8" i="5"/>
  <c r="EI20" i="5"/>
  <c r="EI36" i="5"/>
  <c r="EI48" i="5"/>
  <c r="EI63" i="5"/>
  <c r="EI75" i="5"/>
  <c r="EI90" i="5"/>
  <c r="EI102" i="5"/>
  <c r="EI117" i="5"/>
  <c r="EI4" i="7" s="1"/>
  <c r="EI129" i="5"/>
  <c r="EI16" i="7" s="1"/>
  <c r="EI144" i="5"/>
  <c r="EI156" i="5"/>
  <c r="EI183" i="5"/>
  <c r="EI210" i="5"/>
  <c r="EI96" i="7" s="1"/>
  <c r="EI226" i="4"/>
  <c r="EI227" i="4"/>
  <c r="EI35" i="5"/>
  <c r="EI47" i="5"/>
  <c r="EI62" i="5"/>
  <c r="EI101" i="5"/>
  <c r="EI116" i="5"/>
  <c r="EI3" i="7" s="1"/>
  <c r="EI155" i="5"/>
  <c r="EI194" i="5"/>
  <c r="EI229" i="4"/>
  <c r="EI9" i="5"/>
  <c r="EI21" i="5"/>
  <c r="EI37" i="5"/>
  <c r="EI49" i="5"/>
  <c r="EI64" i="5"/>
  <c r="EI76" i="5"/>
  <c r="EI91" i="5"/>
  <c r="EI103" i="5"/>
  <c r="EI118" i="5"/>
  <c r="EI5" i="7" s="1"/>
  <c r="EI130" i="5"/>
  <c r="EI17" i="7" s="1"/>
  <c r="EI157" i="5"/>
  <c r="EI184" i="5"/>
  <c r="EI211" i="5"/>
  <c r="EI97" i="7" s="1"/>
  <c r="EI230" i="4"/>
  <c r="EI22" i="5"/>
  <c r="EI77" i="5"/>
  <c r="EI119" i="5"/>
  <c r="EI6" i="7" s="1"/>
  <c r="EI159" i="5"/>
  <c r="EI201" i="5"/>
  <c r="EI87" i="7" s="1"/>
  <c r="EI220" i="4"/>
  <c r="EI232" i="4"/>
  <c r="EI24" i="5"/>
  <c r="EI40" i="5"/>
  <c r="EI52" i="5"/>
  <c r="EI67" i="5"/>
  <c r="EI79" i="5"/>
  <c r="EI94" i="5"/>
  <c r="EI106" i="5"/>
  <c r="EI121" i="5"/>
  <c r="EI8" i="7" s="1"/>
  <c r="EI148" i="5"/>
  <c r="EI160" i="5"/>
  <c r="EI175" i="5"/>
  <c r="EI187" i="5"/>
  <c r="EI202" i="5"/>
  <c r="EI88" i="7" s="1"/>
  <c r="EI50" i="5"/>
  <c r="EI65" i="5"/>
  <c r="EI104" i="5"/>
  <c r="EI131" i="5"/>
  <c r="EI18" i="7" s="1"/>
  <c r="EI173" i="5"/>
  <c r="EI185" i="5"/>
  <c r="EI219" i="4"/>
  <c r="EI231" i="4"/>
  <c r="EI66" i="5"/>
  <c r="EI213" i="5"/>
  <c r="EI99" i="7" s="1"/>
  <c r="EI41" i="5"/>
  <c r="EI134" i="5"/>
  <c r="EI21" i="7" s="1"/>
  <c r="EI207" i="5"/>
  <c r="EI93" i="7" s="1"/>
  <c r="EI222" i="4"/>
  <c r="EI14" i="5"/>
  <c r="EI69" i="5"/>
  <c r="EI108" i="5"/>
  <c r="EI135" i="5"/>
  <c r="EI22" i="7" s="1"/>
  <c r="EI162" i="5"/>
  <c r="EI177" i="5"/>
  <c r="EI204" i="5"/>
  <c r="EI90" i="7" s="1"/>
  <c r="EI3" i="5"/>
  <c r="EI43" i="5"/>
  <c r="EI97" i="5"/>
  <c r="EI124" i="5"/>
  <c r="EI11" i="7" s="1"/>
  <c r="EI190" i="5"/>
  <c r="EI38" i="5"/>
  <c r="EI92" i="5"/>
  <c r="EI146" i="5"/>
  <c r="EI212" i="5"/>
  <c r="EI98" i="7" s="1"/>
  <c r="EI221" i="4"/>
  <c r="EI161" i="5"/>
  <c r="EI203" i="5"/>
  <c r="EI89" i="7" s="1"/>
  <c r="EI223" i="4"/>
  <c r="EI151" i="5"/>
  <c r="EI163" i="5"/>
  <c r="EI4" i="5"/>
  <c r="EI16" i="5"/>
  <c r="EI32" i="5"/>
  <c r="EI44" i="5"/>
  <c r="EI71" i="5"/>
  <c r="EI98" i="5"/>
  <c r="EI110" i="5"/>
  <c r="EI125" i="5"/>
  <c r="EI12" i="7" s="1"/>
  <c r="EI137" i="5"/>
  <c r="EI24" i="7" s="1"/>
  <c r="EI152" i="5"/>
  <c r="EI164" i="5"/>
  <c r="EI179" i="5"/>
  <c r="EI191" i="5"/>
  <c r="EI225" i="4"/>
  <c r="EI10" i="5"/>
  <c r="EI158" i="5"/>
  <c r="EI13" i="5"/>
  <c r="EI224" i="4"/>
  <c r="EI133" i="5"/>
  <c r="EI20" i="7" s="1"/>
  <c r="EI24" i="6"/>
  <c r="EI128" i="2"/>
  <c r="EI65" i="7" s="1"/>
  <c r="EI39" i="5"/>
  <c r="EI140" i="2"/>
  <c r="EI15" i="5"/>
  <c r="EI70" i="5"/>
  <c r="EI82" i="5"/>
  <c r="EI109" i="5"/>
  <c r="EI136" i="5"/>
  <c r="EI23" i="7" s="1"/>
  <c r="EI178" i="5"/>
  <c r="EI95" i="7"/>
  <c r="EI68" i="5"/>
  <c r="EI42" i="5"/>
  <c r="EI12" i="6"/>
  <c r="EI141" i="2"/>
  <c r="EI78" i="7" s="1"/>
  <c r="EI16" i="1"/>
  <c r="EI130" i="2"/>
  <c r="EI11" i="5"/>
  <c r="EI23" i="5"/>
  <c r="EI51" i="5"/>
  <c r="EI78" i="5"/>
  <c r="EI105" i="5"/>
  <c r="EI120" i="5"/>
  <c r="EI7" i="7" s="1"/>
  <c r="EI132" i="5"/>
  <c r="EI147" i="5"/>
  <c r="EI174" i="5"/>
  <c r="EI186" i="5"/>
  <c r="EI5" i="5"/>
  <c r="EI17" i="5"/>
  <c r="EI33" i="5"/>
  <c r="EI45" i="5"/>
  <c r="EI60" i="5"/>
  <c r="EI72" i="5"/>
  <c r="EI99" i="5"/>
  <c r="EI126" i="5"/>
  <c r="EI13" i="7" s="1"/>
  <c r="EI138" i="5"/>
  <c r="EI25" i="7" s="1"/>
  <c r="EI153" i="5"/>
  <c r="EI165" i="5"/>
  <c r="EI180" i="5"/>
  <c r="EI192" i="5"/>
  <c r="EI16" i="8"/>
  <c r="EI129" i="2"/>
  <c r="EI79" i="1"/>
  <c r="EI6" i="5"/>
  <c r="EI18" i="5"/>
  <c r="EI34" i="5"/>
  <c r="EI46" i="5"/>
  <c r="EI61" i="5"/>
  <c r="EI73" i="5"/>
  <c r="EI88" i="5"/>
  <c r="EI100" i="5"/>
  <c r="EI127" i="5"/>
  <c r="EI14" i="7" s="1"/>
  <c r="EI154" i="5"/>
  <c r="EI166" i="5"/>
  <c r="EI181" i="5"/>
  <c r="EI193" i="5"/>
  <c r="EI5" i="6"/>
  <c r="EI17" i="6"/>
  <c r="EI25" i="5"/>
  <c r="EI95" i="5"/>
  <c r="EI81" i="5"/>
  <c r="EI123" i="5"/>
  <c r="EI10" i="7" s="1"/>
  <c r="EI107" i="5"/>
  <c r="EI188" i="5"/>
  <c r="EI7" i="5"/>
  <c r="EI96" i="5"/>
  <c r="EI150" i="5"/>
  <c r="EI9" i="8"/>
  <c r="EI6" i="8"/>
  <c r="EI53" i="5"/>
  <c r="EI80" i="5"/>
  <c r="EI122" i="5"/>
  <c r="EI9" i="7" s="1"/>
  <c r="EI149" i="5"/>
  <c r="EI176" i="5"/>
  <c r="EI19" i="5"/>
  <c r="EI54" i="5"/>
  <c r="EI189" i="5"/>
  <c r="EI11" i="6"/>
  <c r="EI23" i="6"/>
  <c r="HO71" i="1"/>
  <c r="HO72" i="1"/>
  <c r="HN70" i="1"/>
  <c r="HN71" i="1"/>
  <c r="HO70" i="1"/>
  <c r="HN72" i="1"/>
  <c r="HN63" i="1"/>
  <c r="HO63" i="1"/>
  <c r="EI5" i="1"/>
  <c r="EI11" i="1"/>
  <c r="EI9" i="1"/>
  <c r="EI7" i="1"/>
  <c r="EI12" i="1"/>
  <c r="EI10" i="1"/>
  <c r="EI167" i="4"/>
  <c r="EI145" i="5"/>
  <c r="EI73" i="2"/>
  <c r="EI214" i="4"/>
  <c r="EI7" i="8"/>
  <c r="EI131" i="2"/>
  <c r="EI111" i="4"/>
  <c r="EI48" i="2"/>
  <c r="EI83" i="4"/>
  <c r="EI93" i="5"/>
  <c r="EI54" i="7"/>
  <c r="EI134" i="2"/>
  <c r="EI167" i="3"/>
  <c r="EI13" i="6"/>
  <c r="EI221" i="5"/>
  <c r="EI132" i="2"/>
  <c r="EI133" i="2"/>
  <c r="EI55" i="4"/>
  <c r="EI26" i="4"/>
  <c r="EI195" i="3"/>
  <c r="EI200" i="5"/>
  <c r="EI14" i="6"/>
  <c r="EI172" i="5"/>
  <c r="EI195" i="4"/>
  <c r="EI23" i="2"/>
  <c r="EI3" i="6"/>
  <c r="EI15" i="6"/>
  <c r="EI19" i="7"/>
  <c r="EI123" i="2"/>
  <c r="EI136" i="2"/>
  <c r="EI139" i="3"/>
  <c r="EI138" i="6"/>
  <c r="EI137" i="2"/>
  <c r="EI126" i="2"/>
  <c r="EI138" i="2"/>
  <c r="EI83" i="3"/>
  <c r="EI110" i="6"/>
  <c r="EI18" i="6"/>
  <c r="EI5" i="8"/>
  <c r="EI10" i="8"/>
  <c r="EI135" i="2"/>
  <c r="EI124" i="2"/>
  <c r="EI16" i="6"/>
  <c r="EI55" i="1"/>
  <c r="EI127" i="2"/>
  <c r="EI139" i="2"/>
  <c r="EI117" i="2"/>
  <c r="EI9" i="6"/>
  <c r="EI21" i="6"/>
  <c r="EI8" i="6"/>
  <c r="EI20" i="6"/>
  <c r="EI7" i="6"/>
  <c r="EI19" i="6"/>
  <c r="EI15" i="8"/>
  <c r="EI11" i="8"/>
  <c r="EI36" i="1"/>
  <c r="EI125" i="2"/>
  <c r="EI111" i="3"/>
  <c r="EI4" i="6"/>
  <c r="EI71" i="8"/>
  <c r="EI8" i="1"/>
  <c r="EI92" i="2"/>
  <c r="EI139" i="4"/>
  <c r="EI26" i="3"/>
  <c r="EI55" i="3"/>
  <c r="EI10" i="6"/>
  <c r="EI22" i="6"/>
  <c r="EI4" i="8"/>
  <c r="EI100" i="7"/>
  <c r="EI102" i="7"/>
  <c r="EI101" i="7"/>
  <c r="EI54" i="6"/>
  <c r="EI6" i="6"/>
  <c r="EI82" i="6"/>
  <c r="EI122" i="2"/>
  <c r="EI4" i="1"/>
  <c r="CV108" i="6"/>
  <c r="CV131" i="6"/>
  <c r="CV117" i="6"/>
  <c r="CV89" i="6"/>
  <c r="CV88" i="6"/>
  <c r="EI160" i="7" l="1"/>
  <c r="EI147" i="7"/>
  <c r="EI156" i="7"/>
  <c r="EI159" i="7"/>
  <c r="EI149" i="7"/>
  <c r="EI154" i="2"/>
  <c r="EI227" i="5"/>
  <c r="EI162" i="2"/>
  <c r="EI158" i="7"/>
  <c r="EI151" i="7"/>
  <c r="EI224" i="5"/>
  <c r="EI149" i="2"/>
  <c r="EI116" i="7" s="1"/>
  <c r="EI214" i="5"/>
  <c r="EI157" i="7"/>
  <c r="EI155" i="2"/>
  <c r="EI232" i="5"/>
  <c r="EI226" i="5"/>
  <c r="EI219" i="5"/>
  <c r="EI220" i="5"/>
  <c r="EI230" i="5"/>
  <c r="EI165" i="2"/>
  <c r="EI86" i="7"/>
  <c r="EI109" i="7" s="1"/>
  <c r="EI148" i="2"/>
  <c r="EI148" i="7"/>
  <c r="EI144" i="7"/>
  <c r="EI163" i="2"/>
  <c r="EI151" i="2"/>
  <c r="EI160" i="2"/>
  <c r="EI161" i="2"/>
  <c r="EI166" i="2"/>
  <c r="EI223" i="5"/>
  <c r="EI77" i="7"/>
  <c r="EI164" i="2"/>
  <c r="EI233" i="4"/>
  <c r="EI145" i="7"/>
  <c r="EI158" i="2"/>
  <c r="EI159" i="2"/>
  <c r="EI153" i="2"/>
  <c r="EI231" i="5"/>
  <c r="EI229" i="5"/>
  <c r="EI228" i="5"/>
  <c r="EI152" i="2"/>
  <c r="EI83" i="5"/>
  <c r="EI150" i="2"/>
  <c r="EI152" i="7"/>
  <c r="EI225" i="5"/>
  <c r="EI222" i="5"/>
  <c r="EI83" i="1"/>
  <c r="HN60" i="1"/>
  <c r="HO62" i="1"/>
  <c r="HO65" i="1"/>
  <c r="HN64" i="1"/>
  <c r="HN67" i="1"/>
  <c r="HO67" i="1"/>
  <c r="HO73" i="1"/>
  <c r="HO69" i="1"/>
  <c r="HO68" i="1"/>
  <c r="HN66" i="1"/>
  <c r="HO66" i="1"/>
  <c r="HN73" i="1"/>
  <c r="HN69" i="1"/>
  <c r="EI163" i="7"/>
  <c r="EI26" i="5"/>
  <c r="EI61" i="7"/>
  <c r="EI154" i="7"/>
  <c r="EI139" i="5"/>
  <c r="EI72" i="7"/>
  <c r="EI64" i="7"/>
  <c r="EI161" i="7"/>
  <c r="EI155" i="7"/>
  <c r="EI150" i="7"/>
  <c r="EI70" i="7"/>
  <c r="EI143" i="7"/>
  <c r="EI153" i="7"/>
  <c r="EI63" i="7"/>
  <c r="EI26" i="6"/>
  <c r="EI66" i="7"/>
  <c r="EI195" i="5"/>
  <c r="EI55" i="5"/>
  <c r="EI67" i="7"/>
  <c r="EI162" i="7"/>
  <c r="EI167" i="5"/>
  <c r="HO61" i="1"/>
  <c r="EI111" i="5"/>
  <c r="HN62" i="1"/>
  <c r="EI71" i="7"/>
  <c r="HN65" i="1"/>
  <c r="HO64" i="1"/>
  <c r="HN68" i="1"/>
  <c r="HN61" i="1"/>
  <c r="EI60" i="7"/>
  <c r="EI146" i="7"/>
  <c r="EI141" i="7"/>
  <c r="EI17" i="1"/>
  <c r="HO74" i="1" s="1"/>
  <c r="EI157" i="2"/>
  <c r="EI69" i="7"/>
  <c r="EI156" i="2"/>
  <c r="EI68" i="7"/>
  <c r="EI74" i="7"/>
  <c r="EI73" i="7"/>
  <c r="EI75" i="7"/>
  <c r="EI142" i="7"/>
  <c r="EI26" i="7"/>
  <c r="EI147" i="2"/>
  <c r="EI142" i="2"/>
  <c r="CV137" i="6"/>
  <c r="CV136" i="6"/>
  <c r="CV135" i="6"/>
  <c r="CV129" i="6"/>
  <c r="CV119" i="6"/>
  <c r="CV118" i="6"/>
  <c r="CV107" i="6"/>
  <c r="CV103" i="6"/>
  <c r="CV101" i="6"/>
  <c r="CV92" i="6"/>
  <c r="CV91" i="6"/>
  <c r="CV90" i="6"/>
  <c r="CV87" i="6"/>
  <c r="EI130" i="7" l="1"/>
  <c r="EI127" i="7"/>
  <c r="EI125" i="7"/>
  <c r="EI233" i="5"/>
  <c r="EI121" i="7"/>
  <c r="EI124" i="7"/>
  <c r="EI118" i="7"/>
  <c r="EI115" i="7"/>
  <c r="EI129" i="7"/>
  <c r="EI120" i="7"/>
  <c r="EI128" i="7"/>
  <c r="EI123" i="7"/>
  <c r="EI122" i="7"/>
  <c r="EI119" i="7"/>
  <c r="EI126" i="7"/>
  <c r="EI167" i="2"/>
  <c r="EI136" i="7" s="1"/>
  <c r="HN74" i="1"/>
  <c r="EI81" i="7"/>
  <c r="EI79" i="7"/>
  <c r="EI164" i="7"/>
  <c r="CT47" i="6"/>
  <c r="CT33" i="6"/>
  <c r="CU33" i="6" s="1"/>
  <c r="CV33" i="6" s="1"/>
  <c r="CU52" i="6"/>
  <c r="CV52" i="6" s="1"/>
  <c r="CU47" i="6"/>
  <c r="CV47" i="6" s="1"/>
  <c r="CU45" i="6"/>
  <c r="CV45" i="6" s="1"/>
  <c r="CU37" i="6"/>
  <c r="CV37" i="6" s="1"/>
  <c r="CU36" i="6"/>
  <c r="CV36" i="6" s="1"/>
  <c r="CU35" i="6"/>
  <c r="CV35" i="6" s="1"/>
  <c r="CU34" i="6"/>
  <c r="CV34" i="6" s="1"/>
  <c r="CU32" i="6"/>
  <c r="CV32" i="6" s="1"/>
  <c r="CU31" i="6"/>
  <c r="CV31" i="6" s="1"/>
  <c r="EG23" i="8" l="1"/>
  <c r="EI18" i="8"/>
  <c r="EH23" i="8" l="1"/>
  <c r="EI23" i="8"/>
  <c r="EI17" i="8"/>
  <c r="EI25" i="8" s="1"/>
  <c r="EJ23" i="8" l="1"/>
  <c r="EI52" i="8"/>
  <c r="EH81" i="8"/>
  <c r="EH75" i="8"/>
  <c r="EH74" i="8"/>
  <c r="EH56" i="8"/>
  <c r="EH55" i="8"/>
  <c r="EH29" i="8"/>
  <c r="EH28" i="8"/>
  <c r="EH22" i="8"/>
  <c r="EH21" i="8"/>
  <c r="EH18" i="8"/>
  <c r="EH17" i="8"/>
  <c r="EH3" i="8"/>
  <c r="EH16" i="8" l="1"/>
  <c r="EH19" i="8"/>
  <c r="EH12" i="8"/>
  <c r="EH6" i="8"/>
  <c r="EH71" i="8"/>
  <c r="EH14" i="8"/>
  <c r="EH24" i="8"/>
  <c r="EH15" i="8"/>
  <c r="EH10" i="8"/>
  <c r="EH11" i="8"/>
  <c r="EH4" i="8"/>
  <c r="EH5" i="8"/>
  <c r="EH9" i="8"/>
  <c r="EH20" i="8"/>
  <c r="EH13" i="8"/>
  <c r="EH8" i="8"/>
  <c r="EH7" i="8"/>
  <c r="EH52" i="8"/>
  <c r="EH25" i="8" l="1"/>
  <c r="EH140" i="7" l="1"/>
  <c r="EH139" i="7"/>
  <c r="EH113" i="7"/>
  <c r="EH112" i="7"/>
  <c r="EH105" i="7"/>
  <c r="EH85" i="7"/>
  <c r="EH84" i="7"/>
  <c r="EH58" i="7"/>
  <c r="EH57" i="7"/>
  <c r="EH30" i="7"/>
  <c r="EH29" i="7"/>
  <c r="EH114" i="6" l="1"/>
  <c r="EH113" i="6"/>
  <c r="EH86" i="6"/>
  <c r="EH85" i="6"/>
  <c r="EH58" i="6"/>
  <c r="EH57" i="6"/>
  <c r="EH30" i="6"/>
  <c r="EH29" i="6"/>
  <c r="EH218" i="5"/>
  <c r="EH217" i="5"/>
  <c r="EH199" i="5"/>
  <c r="EH198" i="5"/>
  <c r="EH171" i="5"/>
  <c r="EH170" i="5"/>
  <c r="EH143" i="5"/>
  <c r="EH142" i="5"/>
  <c r="EH115" i="5"/>
  <c r="EH114" i="5"/>
  <c r="EH87" i="5"/>
  <c r="EH86" i="5"/>
  <c r="EH59" i="5"/>
  <c r="EH58" i="5"/>
  <c r="EH31" i="5"/>
  <c r="EH30" i="5"/>
  <c r="EH171" i="3"/>
  <c r="EH170" i="3"/>
  <c r="EH143" i="3"/>
  <c r="EH142" i="3"/>
  <c r="EH115" i="3"/>
  <c r="EH114" i="3"/>
  <c r="EH87" i="3"/>
  <c r="EH86" i="3"/>
  <c r="EH59" i="3"/>
  <c r="EH58" i="3"/>
  <c r="EH31" i="3"/>
  <c r="EH30" i="3"/>
  <c r="EH218" i="4"/>
  <c r="EH217" i="4"/>
  <c r="EH199" i="4"/>
  <c r="EH198" i="4"/>
  <c r="EH171" i="4"/>
  <c r="EH170" i="4"/>
  <c r="EH143" i="4"/>
  <c r="EH142" i="4"/>
  <c r="EH115" i="4"/>
  <c r="EH114" i="4"/>
  <c r="EH87" i="4"/>
  <c r="EH86" i="4"/>
  <c r="EH59" i="4"/>
  <c r="EH58" i="4"/>
  <c r="EH31" i="4"/>
  <c r="EH30" i="4"/>
  <c r="EH22" i="6" l="1"/>
  <c r="EH51" i="5"/>
  <c r="EH163" i="5"/>
  <c r="EH107" i="5"/>
  <c r="EH22" i="5"/>
  <c r="EH135" i="5"/>
  <c r="EH22" i="7" s="1"/>
  <c r="EH79" i="5"/>
  <c r="EH191" i="5"/>
  <c r="EH160" i="7" l="1"/>
  <c r="EG141" i="2" l="1"/>
  <c r="EG140" i="2"/>
  <c r="EG139" i="2"/>
  <c r="EG138" i="2"/>
  <c r="EG137" i="2"/>
  <c r="EG136" i="2"/>
  <c r="EG135" i="2"/>
  <c r="EG134" i="2"/>
  <c r="EG133" i="2"/>
  <c r="EG132" i="2"/>
  <c r="EG131" i="2"/>
  <c r="EG130" i="2"/>
  <c r="EG129" i="2"/>
  <c r="EG128" i="2"/>
  <c r="EG127" i="2"/>
  <c r="EG126" i="2"/>
  <c r="EG125" i="2"/>
  <c r="EG124" i="2"/>
  <c r="EG123" i="2"/>
  <c r="EG122" i="2"/>
  <c r="EH146" i="2"/>
  <c r="EH145" i="2"/>
  <c r="EH164" i="2"/>
  <c r="EH121" i="2"/>
  <c r="EH120" i="2"/>
  <c r="EH96" i="2"/>
  <c r="EH95" i="2"/>
  <c r="EH77" i="2"/>
  <c r="EH76" i="2"/>
  <c r="EH52" i="2"/>
  <c r="EH51" i="2"/>
  <c r="EH27" i="2"/>
  <c r="EH26" i="2"/>
  <c r="EG159" i="2" l="1"/>
  <c r="EG152" i="2"/>
  <c r="EG153" i="2"/>
  <c r="EG162" i="2"/>
  <c r="EG147" i="2"/>
  <c r="EG163" i="2"/>
  <c r="EG148" i="2"/>
  <c r="EG156" i="2"/>
  <c r="EG164" i="2"/>
  <c r="EG149" i="2"/>
  <c r="EG157" i="2"/>
  <c r="EG165" i="2"/>
  <c r="EG151" i="2"/>
  <c r="EG160" i="2"/>
  <c r="EG161" i="2"/>
  <c r="EG154" i="2"/>
  <c r="EG155" i="2"/>
  <c r="EG150" i="2"/>
  <c r="EG158" i="2"/>
  <c r="EG166" i="2"/>
  <c r="EH79" i="1" l="1"/>
  <c r="EH40" i="1"/>
  <c r="EH78" i="1" s="1"/>
  <c r="EH39" i="1"/>
  <c r="EH77" i="1" s="1"/>
  <c r="EH21" i="1"/>
  <c r="EH20" i="1"/>
  <c r="EH83" i="1" l="1"/>
  <c r="EH36" i="1"/>
  <c r="EH55" i="1"/>
  <c r="EH17" i="1" l="1"/>
  <c r="HL74" i="1" s="1"/>
  <c r="HM74" i="1" l="1"/>
  <c r="EG16" i="8"/>
  <c r="EJ16" i="8" s="1"/>
  <c r="EJ81" i="8" l="1"/>
  <c r="EG81" i="8"/>
  <c r="EG75" i="8" l="1"/>
  <c r="EJ74" i="8"/>
  <c r="EJ75" i="8" s="1"/>
  <c r="EG74" i="8"/>
  <c r="EG56" i="8"/>
  <c r="EJ55" i="8"/>
  <c r="EJ56" i="8" s="1"/>
  <c r="EG55" i="8"/>
  <c r="EJ28" i="8"/>
  <c r="EJ29" i="8" s="1"/>
  <c r="EG29" i="8"/>
  <c r="EG28" i="8"/>
  <c r="EG71" i="8"/>
  <c r="EG107" i="7" l="1"/>
  <c r="EG101" i="7"/>
  <c r="EG100" i="7"/>
  <c r="EE105" i="7"/>
  <c r="EE99" i="7"/>
  <c r="EF99" i="7" s="1"/>
  <c r="EE100" i="7"/>
  <c r="EE101" i="7"/>
  <c r="EE102" i="7"/>
  <c r="EE103" i="7"/>
  <c r="EE104" i="7"/>
  <c r="EG105" i="7"/>
  <c r="EE106" i="7"/>
  <c r="EE107" i="7"/>
  <c r="EE108" i="7"/>
  <c r="EG108" i="7"/>
  <c r="EF46" i="7"/>
  <c r="EF47" i="7"/>
  <c r="EF48" i="7"/>
  <c r="EF49" i="7"/>
  <c r="EF50" i="7"/>
  <c r="EF52" i="7"/>
  <c r="EF53" i="7"/>
  <c r="EG22" i="6"/>
  <c r="EE25" i="6"/>
  <c r="EE24" i="6"/>
  <c r="EE23" i="6"/>
  <c r="EE22" i="6"/>
  <c r="EE21" i="6"/>
  <c r="EE20" i="6"/>
  <c r="EE19" i="6"/>
  <c r="EE18" i="6"/>
  <c r="EE17" i="6"/>
  <c r="EE15" i="6"/>
  <c r="EE14" i="6"/>
  <c r="EE13" i="6"/>
  <c r="EE12" i="6"/>
  <c r="EE11" i="6"/>
  <c r="EE10" i="6"/>
  <c r="EE9" i="6"/>
  <c r="EE8" i="6"/>
  <c r="EE7" i="6"/>
  <c r="EE6" i="6"/>
  <c r="EE5" i="6"/>
  <c r="EE4" i="6"/>
  <c r="EE3" i="6"/>
  <c r="EF232" i="5"/>
  <c r="EE232" i="5"/>
  <c r="EF213" i="5"/>
  <c r="EE213" i="5"/>
  <c r="EE212" i="5"/>
  <c r="EE98" i="7" s="1"/>
  <c r="EE211" i="5"/>
  <c r="EE210" i="5"/>
  <c r="EE209" i="5"/>
  <c r="EE208" i="5"/>
  <c r="EE194" i="5"/>
  <c r="EE193" i="5"/>
  <c r="EE192" i="5"/>
  <c r="EG191" i="5"/>
  <c r="EE191" i="5"/>
  <c r="EE190" i="5"/>
  <c r="EE189" i="5"/>
  <c r="EE188" i="5"/>
  <c r="EE187" i="5"/>
  <c r="EE186" i="5"/>
  <c r="EF185" i="5"/>
  <c r="EE185" i="5"/>
  <c r="EE184" i="5"/>
  <c r="EE166" i="5"/>
  <c r="EE165" i="5"/>
  <c r="EE164" i="5"/>
  <c r="EG163" i="5"/>
  <c r="EE163" i="5"/>
  <c r="EE162" i="5"/>
  <c r="EG161" i="5"/>
  <c r="EE161" i="5"/>
  <c r="EE160" i="5"/>
  <c r="EE159" i="5"/>
  <c r="EE158" i="5"/>
  <c r="EF157" i="5"/>
  <c r="EE157" i="5"/>
  <c r="EE156" i="5"/>
  <c r="EE138" i="5"/>
  <c r="EE25" i="7" s="1"/>
  <c r="EE137" i="5"/>
  <c r="EE24" i="7" s="1"/>
  <c r="EE136" i="5"/>
  <c r="EE23" i="7" s="1"/>
  <c r="EG135" i="5"/>
  <c r="EG22" i="7" s="1"/>
  <c r="EE135" i="5"/>
  <c r="EE22" i="7" s="1"/>
  <c r="EE134" i="5"/>
  <c r="EE21" i="7" s="1"/>
  <c r="EE133" i="5"/>
  <c r="EE20" i="7" s="1"/>
  <c r="EE132" i="5"/>
  <c r="EE19" i="7" s="1"/>
  <c r="EE131" i="5"/>
  <c r="EE18" i="7" s="1"/>
  <c r="EE130" i="5"/>
  <c r="EE17" i="7" s="1"/>
  <c r="EF129" i="5"/>
  <c r="EE129" i="5"/>
  <c r="EE16" i="7" s="1"/>
  <c r="EF16" i="7" s="1"/>
  <c r="EE128" i="5"/>
  <c r="EE15" i="7" s="1"/>
  <c r="EE110" i="5"/>
  <c r="EE109" i="5"/>
  <c r="EE108" i="5"/>
  <c r="EG107" i="5"/>
  <c r="EE107" i="5"/>
  <c r="EE106" i="5"/>
  <c r="EE105" i="5"/>
  <c r="EE104" i="5"/>
  <c r="EE103" i="5"/>
  <c r="EE102" i="5"/>
  <c r="EF101" i="5"/>
  <c r="EE101" i="5"/>
  <c r="EE100" i="5"/>
  <c r="EE82" i="5"/>
  <c r="EE81" i="5"/>
  <c r="EE80" i="5"/>
  <c r="EG79" i="5"/>
  <c r="EE79" i="5"/>
  <c r="EE78" i="5"/>
  <c r="EE77" i="5"/>
  <c r="EE76" i="5"/>
  <c r="EE75" i="5"/>
  <c r="EE74" i="5"/>
  <c r="EF73" i="5"/>
  <c r="EE73" i="5"/>
  <c r="EE72" i="5"/>
  <c r="EE54" i="5"/>
  <c r="EE53" i="5"/>
  <c r="EE52" i="5"/>
  <c r="EG51" i="5"/>
  <c r="EE51" i="5"/>
  <c r="EE50" i="5"/>
  <c r="EE49" i="5"/>
  <c r="EE48" i="5"/>
  <c r="EE47" i="5"/>
  <c r="EE46" i="5"/>
  <c r="EF45" i="5"/>
  <c r="EE45" i="5"/>
  <c r="EE44" i="5"/>
  <c r="EE25" i="5"/>
  <c r="EE24" i="5"/>
  <c r="EE23" i="5"/>
  <c r="EG22" i="5"/>
  <c r="EE22" i="5"/>
  <c r="EE21" i="5"/>
  <c r="EE20" i="5"/>
  <c r="EE19" i="5"/>
  <c r="EE18" i="5"/>
  <c r="EE17" i="5"/>
  <c r="EF16" i="5"/>
  <c r="EE16" i="5"/>
  <c r="EE15" i="5"/>
  <c r="EG189" i="5"/>
  <c r="EG133" i="5"/>
  <c r="EG105" i="5"/>
  <c r="EG77" i="5"/>
  <c r="EG49" i="5"/>
  <c r="EG20" i="5"/>
  <c r="EG16" i="5"/>
  <c r="EG4" i="6" l="1"/>
  <c r="EG10" i="6"/>
  <c r="EG17" i="6"/>
  <c r="EG25" i="6"/>
  <c r="EG11" i="6"/>
  <c r="EG106" i="7"/>
  <c r="EG12" i="6"/>
  <c r="EG19" i="6"/>
  <c r="EG7" i="6"/>
  <c r="EG13" i="6"/>
  <c r="EG20" i="6"/>
  <c r="EG3" i="6"/>
  <c r="EG9" i="6"/>
  <c r="EG15" i="6"/>
  <c r="EG20" i="7"/>
  <c r="EG6" i="6"/>
  <c r="EG24" i="6"/>
  <c r="EG129" i="5"/>
  <c r="EG16" i="7" s="1"/>
  <c r="EG8" i="6"/>
  <c r="EG101" i="5"/>
  <c r="EG21" i="6"/>
  <c r="EG73" i="5"/>
  <c r="EG14" i="6"/>
  <c r="EG157" i="5"/>
  <c r="EG185" i="5"/>
  <c r="EG5" i="6"/>
  <c r="EG18" i="6"/>
  <c r="EG45" i="5"/>
  <c r="EG102" i="7"/>
  <c r="EG213" i="5"/>
  <c r="EG99" i="7" s="1"/>
  <c r="EG16" i="6"/>
  <c r="EE26" i="6"/>
  <c r="EG104" i="7"/>
  <c r="EG103" i="7"/>
  <c r="EG154" i="7" l="1"/>
  <c r="EG212" i="5" l="1"/>
  <c r="EG98" i="7" s="1"/>
  <c r="EG211" i="5"/>
  <c r="EG210" i="5"/>
  <c r="EG209" i="5"/>
  <c r="EG208" i="5"/>
  <c r="EG194" i="5"/>
  <c r="EG193" i="5"/>
  <c r="EG192" i="5"/>
  <c r="EG190" i="5"/>
  <c r="EG188" i="5"/>
  <c r="EG187" i="5"/>
  <c r="EG186" i="5"/>
  <c r="EG184" i="5"/>
  <c r="EG166" i="5"/>
  <c r="EG165" i="5"/>
  <c r="EG164" i="5"/>
  <c r="EG162" i="5"/>
  <c r="EG160" i="5"/>
  <c r="EG159" i="5"/>
  <c r="EG158" i="5"/>
  <c r="EG156" i="5"/>
  <c r="EG138" i="5"/>
  <c r="EG25" i="7" s="1"/>
  <c r="EG137" i="5"/>
  <c r="EG24" i="7" s="1"/>
  <c r="EG136" i="5"/>
  <c r="EG23" i="7" s="1"/>
  <c r="EG134" i="5"/>
  <c r="EG21" i="7" s="1"/>
  <c r="EG132" i="5"/>
  <c r="EG19" i="7" s="1"/>
  <c r="EG131" i="5"/>
  <c r="EG18" i="7" s="1"/>
  <c r="EG130" i="5"/>
  <c r="EG17" i="7" s="1"/>
  <c r="EG128" i="5"/>
  <c r="EG15" i="7" s="1"/>
  <c r="EG110" i="5"/>
  <c r="EG109" i="5"/>
  <c r="EG108" i="5"/>
  <c r="EG106" i="5"/>
  <c r="EG104" i="5"/>
  <c r="EG103" i="5"/>
  <c r="EG102" i="5"/>
  <c r="EG100" i="5"/>
  <c r="EG82" i="5"/>
  <c r="EG81" i="5"/>
  <c r="EG80" i="5"/>
  <c r="EG78" i="5"/>
  <c r="EG76" i="5"/>
  <c r="EG75" i="5"/>
  <c r="EG74" i="5"/>
  <c r="EG72" i="5"/>
  <c r="EG54" i="5"/>
  <c r="EG53" i="5"/>
  <c r="EG52" i="5"/>
  <c r="EG50" i="5"/>
  <c r="EG48" i="5"/>
  <c r="EG47" i="5"/>
  <c r="EG46" i="5"/>
  <c r="EG44" i="5"/>
  <c r="EG25" i="5"/>
  <c r="EG24" i="5"/>
  <c r="EG23" i="5"/>
  <c r="EG21" i="5"/>
  <c r="EG19" i="5"/>
  <c r="EG18" i="5"/>
  <c r="EG17" i="5"/>
  <c r="EG15" i="5"/>
  <c r="EG232" i="4" l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HJ60" i="1"/>
  <c r="EC36" i="1"/>
  <c r="ED36" i="1"/>
  <c r="EE36" i="1"/>
  <c r="EG232" i="5" l="1"/>
  <c r="EG72" i="7"/>
  <c r="HJ73" i="1"/>
  <c r="EG36" i="1"/>
  <c r="EG55" i="1"/>
  <c r="HK73" i="1" l="1"/>
  <c r="EG214" i="4"/>
  <c r="EG52" i="8"/>
  <c r="EG127" i="7" l="1"/>
  <c r="EG79" i="1"/>
  <c r="EG92" i="2"/>
  <c r="EG9" i="8"/>
  <c r="EJ9" i="8" s="1"/>
  <c r="EG24" i="8"/>
  <c r="EJ24" i="8" s="1"/>
  <c r="EG19" i="8"/>
  <c r="EJ19" i="8" s="1"/>
  <c r="EG15" i="8"/>
  <c r="EG13" i="8"/>
  <c r="EJ13" i="8" s="1"/>
  <c r="EG7" i="8"/>
  <c r="EJ7" i="8" s="1"/>
  <c r="EG22" i="8"/>
  <c r="EJ22" i="8" s="1"/>
  <c r="EG21" i="8"/>
  <c r="EJ21" i="8" s="1"/>
  <c r="EG20" i="8"/>
  <c r="EJ20" i="8" s="1"/>
  <c r="EG18" i="8"/>
  <c r="EJ18" i="8" s="1"/>
  <c r="EG17" i="8"/>
  <c r="EJ17" i="8" s="1"/>
  <c r="EG3" i="8"/>
  <c r="EJ3" i="8" s="1"/>
  <c r="EG140" i="7"/>
  <c r="EG139" i="7"/>
  <c r="EG113" i="7"/>
  <c r="EG112" i="7"/>
  <c r="EG85" i="7"/>
  <c r="EG84" i="7"/>
  <c r="EG58" i="7"/>
  <c r="EG57" i="7"/>
  <c r="EG30" i="7"/>
  <c r="EG29" i="7"/>
  <c r="EG114" i="6"/>
  <c r="EG113" i="6"/>
  <c r="EG86" i="6"/>
  <c r="EG85" i="6"/>
  <c r="EG58" i="6"/>
  <c r="EG57" i="6"/>
  <c r="EG30" i="6"/>
  <c r="EG29" i="6"/>
  <c r="EG218" i="5"/>
  <c r="EG217" i="5"/>
  <c r="EG199" i="5"/>
  <c r="EG198" i="5"/>
  <c r="EG171" i="5"/>
  <c r="EG170" i="5"/>
  <c r="EG143" i="5"/>
  <c r="EG142" i="5"/>
  <c r="EG115" i="5"/>
  <c r="EG114" i="5"/>
  <c r="EG87" i="5"/>
  <c r="EG86" i="5"/>
  <c r="EG59" i="5"/>
  <c r="EG58" i="5"/>
  <c r="EG31" i="5"/>
  <c r="EG30" i="5"/>
  <c r="EG8" i="5"/>
  <c r="EG206" i="5"/>
  <c r="EG205" i="5"/>
  <c r="EG91" i="7" s="1"/>
  <c r="EG203" i="5"/>
  <c r="EG202" i="5"/>
  <c r="EG200" i="5"/>
  <c r="EG86" i="7" s="1"/>
  <c r="EG182" i="5"/>
  <c r="EG181" i="5"/>
  <c r="EG175" i="5"/>
  <c r="EG173" i="5"/>
  <c r="EG172" i="5"/>
  <c r="EG155" i="5"/>
  <c r="EG154" i="5"/>
  <c r="EG152" i="5"/>
  <c r="EG144" i="5"/>
  <c r="EG125" i="5"/>
  <c r="EG12" i="7" s="1"/>
  <c r="EG122" i="5"/>
  <c r="EG9" i="7" s="1"/>
  <c r="EG116" i="5"/>
  <c r="EG3" i="7" s="1"/>
  <c r="EG98" i="5"/>
  <c r="EG97" i="5"/>
  <c r="EG95" i="5"/>
  <c r="EG94" i="5"/>
  <c r="EG92" i="5"/>
  <c r="EG68" i="5"/>
  <c r="EG67" i="5"/>
  <c r="EG64" i="5"/>
  <c r="EG61" i="5"/>
  <c r="EG38" i="5"/>
  <c r="EG37" i="5"/>
  <c r="EG35" i="5"/>
  <c r="EG32" i="5"/>
  <c r="EG12" i="5"/>
  <c r="EG9" i="5"/>
  <c r="EG6" i="5"/>
  <c r="EG5" i="5"/>
  <c r="EG3" i="5"/>
  <c r="EG171" i="3"/>
  <c r="EG170" i="3"/>
  <c r="EG143" i="3"/>
  <c r="EG142" i="3"/>
  <c r="EG115" i="3"/>
  <c r="EG114" i="3"/>
  <c r="EG87" i="3"/>
  <c r="EG86" i="3"/>
  <c r="EG59" i="3"/>
  <c r="EG58" i="3"/>
  <c r="EG31" i="3"/>
  <c r="EG30" i="3"/>
  <c r="EG176" i="5"/>
  <c r="EG146" i="5"/>
  <c r="EG88" i="5"/>
  <c r="EG60" i="5"/>
  <c r="EG13" i="5"/>
  <c r="EG218" i="4"/>
  <c r="EG217" i="4"/>
  <c r="EG199" i="4"/>
  <c r="EG198" i="4"/>
  <c r="EG171" i="4"/>
  <c r="EG170" i="4"/>
  <c r="EG143" i="4"/>
  <c r="EG142" i="4"/>
  <c r="EG115" i="4"/>
  <c r="EG114" i="4"/>
  <c r="EG87" i="4"/>
  <c r="EG86" i="4"/>
  <c r="EG59" i="4"/>
  <c r="EG58" i="4"/>
  <c r="EG228" i="4"/>
  <c r="EG226" i="4"/>
  <c r="EG220" i="4"/>
  <c r="EG219" i="4"/>
  <c r="EG204" i="5"/>
  <c r="EG174" i="5"/>
  <c r="EG126" i="5"/>
  <c r="EG13" i="7" s="1"/>
  <c r="EG66" i="5"/>
  <c r="EG30" i="4"/>
  <c r="EG31" i="4"/>
  <c r="EG33" i="5"/>
  <c r="EG36" i="5"/>
  <c r="EG11" i="5"/>
  <c r="EG10" i="5"/>
  <c r="EG7" i="5"/>
  <c r="EE141" i="2"/>
  <c r="EE140" i="2"/>
  <c r="EE77" i="7" s="1"/>
  <c r="EE139" i="2"/>
  <c r="EE164" i="2" s="1"/>
  <c r="EE138" i="2"/>
  <c r="EE137" i="2"/>
  <c r="EE136" i="2"/>
  <c r="EE134" i="2"/>
  <c r="EE133" i="2"/>
  <c r="EE132" i="2"/>
  <c r="EE69" i="7" s="1"/>
  <c r="EE131" i="2"/>
  <c r="EE156" i="2" s="1"/>
  <c r="EE130" i="2"/>
  <c r="EE155" i="2" s="1"/>
  <c r="EE129" i="2"/>
  <c r="EE154" i="2" s="1"/>
  <c r="EE128" i="2"/>
  <c r="EE153" i="2" s="1"/>
  <c r="EE127" i="2"/>
  <c r="EE152" i="2" s="1"/>
  <c r="EE126" i="2"/>
  <c r="EE151" i="2" s="1"/>
  <c r="EE125" i="2"/>
  <c r="EE150" i="2" s="1"/>
  <c r="EE124" i="2"/>
  <c r="EE149" i="2" s="1"/>
  <c r="EE123" i="2"/>
  <c r="EE148" i="2" s="1"/>
  <c r="EE122" i="2"/>
  <c r="EE147" i="2" s="1"/>
  <c r="EG77" i="7"/>
  <c r="EG70" i="7"/>
  <c r="EG231" i="4"/>
  <c r="EG146" i="2"/>
  <c r="EG145" i="2"/>
  <c r="EG121" i="2"/>
  <c r="EG120" i="2"/>
  <c r="EG96" i="2"/>
  <c r="EG95" i="2"/>
  <c r="EG77" i="2"/>
  <c r="EG76" i="2"/>
  <c r="EF28" i="2"/>
  <c r="EG52" i="2"/>
  <c r="EG51" i="2"/>
  <c r="EG27" i="2"/>
  <c r="EG26" i="2"/>
  <c r="EG74" i="7"/>
  <c r="EG73" i="7"/>
  <c r="EG78" i="1"/>
  <c r="HK63" i="1"/>
  <c r="HJ63" i="1"/>
  <c r="HK60" i="1"/>
  <c r="EG40" i="1"/>
  <c r="EG39" i="1"/>
  <c r="EG77" i="1" s="1"/>
  <c r="EG21" i="1"/>
  <c r="EG20" i="1"/>
  <c r="EJ15" i="8" l="1"/>
  <c r="EG231" i="5"/>
  <c r="EE157" i="2"/>
  <c r="EE165" i="2"/>
  <c r="EG228" i="5"/>
  <c r="EE158" i="2"/>
  <c r="EE70" i="7"/>
  <c r="EE166" i="2"/>
  <c r="EE78" i="7"/>
  <c r="EE159" i="2"/>
  <c r="EE71" i="7"/>
  <c r="EE161" i="2"/>
  <c r="EE73" i="7"/>
  <c r="EE162" i="2"/>
  <c r="EE74" i="7"/>
  <c r="EE163" i="2"/>
  <c r="EE75" i="7"/>
  <c r="EG69" i="7"/>
  <c r="EG75" i="7"/>
  <c r="EG220" i="5"/>
  <c r="EG160" i="7"/>
  <c r="EE142" i="2"/>
  <c r="EE79" i="7" s="1"/>
  <c r="EG219" i="5"/>
  <c r="EG226" i="5"/>
  <c r="EG78" i="7"/>
  <c r="EG70" i="5"/>
  <c r="EG178" i="5"/>
  <c r="EG71" i="5"/>
  <c r="EG93" i="5"/>
  <c r="EG230" i="4"/>
  <c r="EG91" i="5"/>
  <c r="EG145" i="5"/>
  <c r="EG63" i="7"/>
  <c r="EG34" i="5"/>
  <c r="EG83" i="1"/>
  <c r="EG65" i="7"/>
  <c r="EG65" i="5"/>
  <c r="EG124" i="5"/>
  <c r="EG11" i="7" s="1"/>
  <c r="EG158" i="7"/>
  <c r="EG127" i="5"/>
  <c r="EG14" i="7" s="1"/>
  <c r="EG43" i="5"/>
  <c r="EG14" i="5"/>
  <c r="EG179" i="5"/>
  <c r="EG97" i="7"/>
  <c r="HK62" i="1"/>
  <c r="EG229" i="4"/>
  <c r="EG90" i="5"/>
  <c r="EG123" i="5"/>
  <c r="EG10" i="7" s="1"/>
  <c r="EG177" i="5"/>
  <c r="EG161" i="7"/>
  <c r="EG96" i="7"/>
  <c r="EG90" i="7"/>
  <c r="EG26" i="4"/>
  <c r="EG4" i="5"/>
  <c r="EG63" i="5"/>
  <c r="EG221" i="4"/>
  <c r="EG40" i="5"/>
  <c r="EG223" i="4"/>
  <c r="EG66" i="7"/>
  <c r="EG39" i="5"/>
  <c r="EG96" i="5"/>
  <c r="EG139" i="4"/>
  <c r="EG117" i="5"/>
  <c r="EG4" i="7" s="1"/>
  <c r="EG150" i="5"/>
  <c r="EG183" i="5"/>
  <c r="EG222" i="4"/>
  <c r="EG41" i="5"/>
  <c r="EG118" i="5"/>
  <c r="EG5" i="7" s="1"/>
  <c r="HJ62" i="1"/>
  <c r="EG71" i="7"/>
  <c r="EG111" i="3"/>
  <c r="EG89" i="5"/>
  <c r="EG119" i="5"/>
  <c r="EG6" i="7" s="1"/>
  <c r="EG148" i="5"/>
  <c r="EG145" i="7" s="1"/>
  <c r="EG110" i="6"/>
  <c r="EG195" i="3"/>
  <c r="EG149" i="5"/>
  <c r="EG23" i="2"/>
  <c r="EG117" i="2"/>
  <c r="EG120" i="5"/>
  <c r="EG7" i="7" s="1"/>
  <c r="EG121" i="5"/>
  <c r="EG8" i="7" s="1"/>
  <c r="EG94" i="7"/>
  <c r="EG48" i="2"/>
  <c r="EG227" i="4"/>
  <c r="EG83" i="4"/>
  <c r="EG141" i="7"/>
  <c r="EG62" i="5"/>
  <c r="EG151" i="5"/>
  <c r="EG167" i="4"/>
  <c r="EG26" i="3"/>
  <c r="EG139" i="3"/>
  <c r="EG42" i="5"/>
  <c r="EG180" i="5"/>
  <c r="EG224" i="4"/>
  <c r="EG83" i="3"/>
  <c r="EG69" i="5"/>
  <c r="EG99" i="5"/>
  <c r="EG147" i="5"/>
  <c r="EG153" i="5"/>
  <c r="EG201" i="5"/>
  <c r="EG207" i="5"/>
  <c r="EG93" i="7" s="1"/>
  <c r="EG225" i="4"/>
  <c r="EG60" i="7"/>
  <c r="EG88" i="7"/>
  <c r="EG10" i="8"/>
  <c r="EJ10" i="8" s="1"/>
  <c r="EG111" i="4"/>
  <c r="EG55" i="3"/>
  <c r="EG167" i="3"/>
  <c r="EG61" i="7"/>
  <c r="EG92" i="7"/>
  <c r="EG12" i="8"/>
  <c r="EJ12" i="8" s="1"/>
  <c r="EG8" i="8"/>
  <c r="EJ8" i="8" s="1"/>
  <c r="EG14" i="8"/>
  <c r="EJ14" i="8" s="1"/>
  <c r="EG4" i="8"/>
  <c r="EJ4" i="8" s="1"/>
  <c r="EG5" i="8"/>
  <c r="EJ5" i="8" s="1"/>
  <c r="EG11" i="8"/>
  <c r="EJ11" i="8" s="1"/>
  <c r="EG6" i="8"/>
  <c r="EJ6" i="8" s="1"/>
  <c r="EG89" i="7"/>
  <c r="EG95" i="7"/>
  <c r="EG54" i="6"/>
  <c r="EG195" i="4"/>
  <c r="EG55" i="4"/>
  <c r="HJ66" i="1"/>
  <c r="EE167" i="2" l="1"/>
  <c r="EG229" i="5"/>
  <c r="EG227" i="5"/>
  <c r="EG230" i="5"/>
  <c r="EG214" i="5"/>
  <c r="EG25" i="8"/>
  <c r="EG233" i="4"/>
  <c r="EG157" i="7"/>
  <c r="EG147" i="7"/>
  <c r="HJ72" i="1"/>
  <c r="EG17" i="1"/>
  <c r="HK61" i="1"/>
  <c r="EG151" i="7"/>
  <c r="HK71" i="1"/>
  <c r="HK70" i="1"/>
  <c r="EG162" i="7"/>
  <c r="EG128" i="7"/>
  <c r="EG144" i="7"/>
  <c r="EG149" i="7"/>
  <c r="EG146" i="7"/>
  <c r="EG167" i="5"/>
  <c r="EG83" i="5"/>
  <c r="EG195" i="5"/>
  <c r="EG159" i="7"/>
  <c r="EG153" i="7"/>
  <c r="EG142" i="2"/>
  <c r="EG124" i="7"/>
  <c r="EG223" i="5"/>
  <c r="HK66" i="1"/>
  <c r="HK64" i="1"/>
  <c r="EG221" i="5"/>
  <c r="EG125" i="7"/>
  <c r="HJ70" i="1"/>
  <c r="HJ61" i="1"/>
  <c r="HJ67" i="1"/>
  <c r="HK67" i="1"/>
  <c r="EG73" i="2"/>
  <c r="EG163" i="7"/>
  <c r="EG152" i="7"/>
  <c r="EG129" i="7"/>
  <c r="HJ64" i="1"/>
  <c r="EG155" i="7"/>
  <c r="HJ69" i="1"/>
  <c r="EG64" i="7"/>
  <c r="EG224" i="5"/>
  <c r="EG87" i="7"/>
  <c r="EG67" i="7"/>
  <c r="EG142" i="7"/>
  <c r="HK72" i="1"/>
  <c r="EG116" i="7"/>
  <c r="HK69" i="1"/>
  <c r="HJ65" i="1"/>
  <c r="HK65" i="1"/>
  <c r="EG68" i="7"/>
  <c r="EG139" i="5"/>
  <c r="EG111" i="5"/>
  <c r="EG150" i="7"/>
  <c r="EG143" i="7"/>
  <c r="EG222" i="5"/>
  <c r="EG26" i="5"/>
  <c r="HJ71" i="1"/>
  <c r="HK68" i="1"/>
  <c r="HJ68" i="1"/>
  <c r="EG225" i="5"/>
  <c r="EG55" i="5"/>
  <c r="EG148" i="7"/>
  <c r="EG156" i="7"/>
  <c r="EG130" i="7"/>
  <c r="EG79" i="7" l="1"/>
  <c r="EG233" i="5"/>
  <c r="HK74" i="1"/>
  <c r="HJ74" i="1"/>
  <c r="EG123" i="7"/>
  <c r="EG120" i="7"/>
  <c r="EG164" i="7"/>
  <c r="EG118" i="7"/>
  <c r="EG167" i="2"/>
  <c r="EG126" i="7"/>
  <c r="EG115" i="7"/>
  <c r="EG122" i="7"/>
  <c r="EG119" i="7"/>
  <c r="EG121" i="7"/>
  <c r="ED12" i="1"/>
  <c r="EA88" i="3" l="1"/>
  <c r="EA89" i="3"/>
  <c r="EA90" i="3"/>
  <c r="EA91" i="3"/>
  <c r="EA92" i="3"/>
  <c r="EA93" i="3"/>
  <c r="EA94" i="3"/>
  <c r="EA95" i="3"/>
  <c r="EA96" i="3"/>
  <c r="EA97" i="3"/>
  <c r="EA98" i="3"/>
  <c r="EA99" i="3"/>
  <c r="EA100" i="3"/>
  <c r="EA103" i="3"/>
  <c r="EA104" i="3"/>
  <c r="EA105" i="3"/>
  <c r="EA106" i="3"/>
  <c r="EA107" i="3"/>
  <c r="EA108" i="3"/>
  <c r="EA109" i="3"/>
  <c r="EA110" i="3"/>
  <c r="DK67" i="2" l="1"/>
  <c r="EB68" i="2"/>
  <c r="EC68" i="2"/>
  <c r="ED67" i="2"/>
  <c r="ED68" i="2"/>
  <c r="EF63" i="6"/>
  <c r="EB21" i="2" l="1"/>
  <c r="EC17" i="2"/>
  <c r="EC67" i="2" s="1"/>
  <c r="EB17" i="2"/>
  <c r="EB67" i="2" s="1"/>
  <c r="EF21" i="2" l="1"/>
  <c r="ED26" i="4" l="1"/>
  <c r="EA79" i="8" l="1"/>
  <c r="EF75" i="8" l="1"/>
  <c r="EE75" i="8"/>
  <c r="EF74" i="8"/>
  <c r="EE74" i="8"/>
  <c r="EF56" i="8"/>
  <c r="EE56" i="8"/>
  <c r="EF55" i="8"/>
  <c r="EE55" i="8"/>
  <c r="EF29" i="8"/>
  <c r="EE29" i="8"/>
  <c r="EF28" i="8"/>
  <c r="EE28" i="8"/>
  <c r="EF79" i="8"/>
  <c r="EF78" i="8"/>
  <c r="EF77" i="8"/>
  <c r="EF76" i="8"/>
  <c r="EF81" i="8" s="1"/>
  <c r="EF69" i="8"/>
  <c r="EF68" i="8"/>
  <c r="EF67" i="8"/>
  <c r="EF66" i="8"/>
  <c r="EF65" i="8"/>
  <c r="EF64" i="8"/>
  <c r="EF63" i="8"/>
  <c r="EF62" i="8"/>
  <c r="EF61" i="8"/>
  <c r="EF60" i="8"/>
  <c r="EF59" i="8"/>
  <c r="EF58" i="8"/>
  <c r="EF57" i="8"/>
  <c r="EF51" i="8"/>
  <c r="EF50" i="8"/>
  <c r="EF49" i="8"/>
  <c r="EF48" i="8"/>
  <c r="EF47" i="8"/>
  <c r="EF46" i="8"/>
  <c r="EF45" i="8"/>
  <c r="EF44" i="8"/>
  <c r="EF42" i="8"/>
  <c r="EF41" i="8"/>
  <c r="EF40" i="8"/>
  <c r="EF39" i="8"/>
  <c r="EF38" i="8"/>
  <c r="EF37" i="8"/>
  <c r="EF36" i="8"/>
  <c r="EF35" i="8"/>
  <c r="EF34" i="8"/>
  <c r="EF33" i="8"/>
  <c r="EF32" i="8"/>
  <c r="EF31" i="8"/>
  <c r="EF30" i="8"/>
  <c r="EE81" i="8"/>
  <c r="EE71" i="8"/>
  <c r="EE52" i="8"/>
  <c r="EE24" i="8"/>
  <c r="EE23" i="8"/>
  <c r="EE22" i="8"/>
  <c r="EE21" i="8"/>
  <c r="EE20" i="8"/>
  <c r="EE19" i="8"/>
  <c r="EE18" i="8"/>
  <c r="EE17" i="8"/>
  <c r="EE15" i="8"/>
  <c r="EE14" i="8"/>
  <c r="EE13" i="8"/>
  <c r="EE12" i="8"/>
  <c r="EE11" i="8"/>
  <c r="EE10" i="8"/>
  <c r="EE9" i="8"/>
  <c r="EE8" i="8"/>
  <c r="EE7" i="8"/>
  <c r="EE6" i="8"/>
  <c r="EE5" i="8"/>
  <c r="EE4" i="8"/>
  <c r="EE3" i="8"/>
  <c r="EF42" i="7"/>
  <c r="EF40" i="7"/>
  <c r="EF38" i="7"/>
  <c r="EF32" i="7"/>
  <c r="EF140" i="7"/>
  <c r="EE140" i="7"/>
  <c r="EF139" i="7"/>
  <c r="EE139" i="7"/>
  <c r="EF113" i="7"/>
  <c r="EE113" i="7"/>
  <c r="EF112" i="7"/>
  <c r="EE112" i="7"/>
  <c r="EF85" i="7"/>
  <c r="EE85" i="7"/>
  <c r="EF84" i="7"/>
  <c r="EE84" i="7"/>
  <c r="EF58" i="7"/>
  <c r="EE58" i="7"/>
  <c r="EF57" i="7"/>
  <c r="EE57" i="7"/>
  <c r="EF30" i="7"/>
  <c r="EE30" i="7"/>
  <c r="EF29" i="7"/>
  <c r="EE29" i="7"/>
  <c r="EG23" i="6" l="1"/>
  <c r="EJ71" i="8"/>
  <c r="EF3" i="8"/>
  <c r="EF22" i="8"/>
  <c r="EF21" i="8"/>
  <c r="EF24" i="8"/>
  <c r="EG82" i="6"/>
  <c r="EG54" i="7"/>
  <c r="EF19" i="8"/>
  <c r="EF20" i="8"/>
  <c r="EG138" i="6"/>
  <c r="EF4" i="8"/>
  <c r="EF37" i="7"/>
  <c r="EF13" i="8"/>
  <c r="EF5" i="8"/>
  <c r="EF6" i="8"/>
  <c r="EF7" i="8"/>
  <c r="EF23" i="8"/>
  <c r="EF18" i="8"/>
  <c r="EF17" i="8"/>
  <c r="EF71" i="8"/>
  <c r="EF9" i="8"/>
  <c r="EF12" i="8"/>
  <c r="EF14" i="8"/>
  <c r="EF15" i="8"/>
  <c r="EF10" i="8"/>
  <c r="EF11" i="8"/>
  <c r="EE25" i="8"/>
  <c r="EF52" i="8"/>
  <c r="EE138" i="6"/>
  <c r="EF79" i="6"/>
  <c r="EF8" i="8"/>
  <c r="EF33" i="7"/>
  <c r="EF36" i="7"/>
  <c r="EF39" i="7"/>
  <c r="EF34" i="7"/>
  <c r="EF35" i="7"/>
  <c r="EF41" i="7"/>
  <c r="EF43" i="7"/>
  <c r="EF31" i="7"/>
  <c r="EE110" i="6"/>
  <c r="EF75" i="6"/>
  <c r="EF71" i="6"/>
  <c r="EF70" i="6"/>
  <c r="EF69" i="6"/>
  <c r="EF68" i="6"/>
  <c r="EF62" i="6"/>
  <c r="EF59" i="6"/>
  <c r="EF53" i="6"/>
  <c r="EF52" i="6"/>
  <c r="EF49" i="6"/>
  <c r="EF48" i="6"/>
  <c r="EF47" i="6"/>
  <c r="EF46" i="6"/>
  <c r="EF43" i="6"/>
  <c r="EF42" i="6"/>
  <c r="EF41" i="6"/>
  <c r="EF40" i="6"/>
  <c r="EF39" i="6"/>
  <c r="EF38" i="6"/>
  <c r="EF37" i="6"/>
  <c r="EF36" i="6"/>
  <c r="EF35" i="6"/>
  <c r="EF34" i="6"/>
  <c r="EF33" i="6"/>
  <c r="EF32" i="6"/>
  <c r="EF31" i="6"/>
  <c r="EF114" i="6"/>
  <c r="EE114" i="6"/>
  <c r="EF113" i="6"/>
  <c r="EE113" i="6"/>
  <c r="EF86" i="6"/>
  <c r="EE86" i="6"/>
  <c r="EF85" i="6"/>
  <c r="EE85" i="6"/>
  <c r="EF58" i="6"/>
  <c r="EE58" i="6"/>
  <c r="EF57" i="6"/>
  <c r="EE57" i="6"/>
  <c r="EF30" i="6"/>
  <c r="EE30" i="6"/>
  <c r="EF29" i="6"/>
  <c r="EE29" i="6"/>
  <c r="EF137" i="6"/>
  <c r="EF136" i="6"/>
  <c r="EF134" i="6"/>
  <c r="EF133" i="6"/>
  <c r="EF132" i="6"/>
  <c r="EF131" i="6"/>
  <c r="EF130" i="6"/>
  <c r="EF127" i="6"/>
  <c r="EF126" i="6"/>
  <c r="EF125" i="6"/>
  <c r="EF124" i="6"/>
  <c r="EF123" i="6"/>
  <c r="EF122" i="6"/>
  <c r="EF121" i="6"/>
  <c r="EF120" i="6"/>
  <c r="EF119" i="6"/>
  <c r="EF118" i="6"/>
  <c r="EF117" i="6"/>
  <c r="EF116" i="6"/>
  <c r="EF115" i="6"/>
  <c r="EF109" i="6"/>
  <c r="EF108" i="6"/>
  <c r="EF106" i="6"/>
  <c r="EF105" i="6"/>
  <c r="EF104" i="6"/>
  <c r="EF103" i="6"/>
  <c r="EF102" i="6"/>
  <c r="EF101" i="6"/>
  <c r="EF99" i="6"/>
  <c r="EF98" i="6"/>
  <c r="EF97" i="6"/>
  <c r="EF96" i="6"/>
  <c r="EF95" i="6"/>
  <c r="EF94" i="6"/>
  <c r="EF93" i="6"/>
  <c r="EF92" i="6"/>
  <c r="EF91" i="6"/>
  <c r="EF90" i="6"/>
  <c r="EF89" i="6"/>
  <c r="EF88" i="6"/>
  <c r="EF87" i="6"/>
  <c r="EF81" i="6"/>
  <c r="EF80" i="6"/>
  <c r="EF78" i="6"/>
  <c r="EF77" i="6"/>
  <c r="EF76" i="6"/>
  <c r="EF74" i="6"/>
  <c r="EF73" i="6"/>
  <c r="EF67" i="6"/>
  <c r="EF66" i="6"/>
  <c r="EF65" i="6"/>
  <c r="EF64" i="6"/>
  <c r="EF61" i="6"/>
  <c r="EF60" i="6"/>
  <c r="EF50" i="6"/>
  <c r="EF218" i="5"/>
  <c r="EE218" i="5"/>
  <c r="EF217" i="5"/>
  <c r="EE217" i="5"/>
  <c r="EF199" i="5"/>
  <c r="EE199" i="5"/>
  <c r="EF198" i="5"/>
  <c r="EE198" i="5"/>
  <c r="EF171" i="5"/>
  <c r="EE171" i="5"/>
  <c r="EF170" i="5"/>
  <c r="EE170" i="5"/>
  <c r="EF143" i="5"/>
  <c r="EE143" i="5"/>
  <c r="EF142" i="5"/>
  <c r="EE142" i="5"/>
  <c r="EF115" i="5"/>
  <c r="EE115" i="5"/>
  <c r="EF114" i="5"/>
  <c r="EE114" i="5"/>
  <c r="EF87" i="5"/>
  <c r="EE87" i="5"/>
  <c r="EF86" i="5"/>
  <c r="EE86" i="5"/>
  <c r="EF59" i="5"/>
  <c r="EE59" i="5"/>
  <c r="EF58" i="5"/>
  <c r="EE58" i="5"/>
  <c r="EF31" i="5"/>
  <c r="EF30" i="5"/>
  <c r="EE31" i="5"/>
  <c r="EE30" i="5"/>
  <c r="EE200" i="5"/>
  <c r="EE86" i="7" s="1"/>
  <c r="EE144" i="5"/>
  <c r="EF194" i="3"/>
  <c r="EF193" i="3"/>
  <c r="EF192" i="3"/>
  <c r="EF190" i="3"/>
  <c r="EF188" i="3"/>
  <c r="EF187" i="3"/>
  <c r="EF184" i="3"/>
  <c r="EF183" i="3"/>
  <c r="EF182" i="3"/>
  <c r="EF181" i="3"/>
  <c r="EF180" i="3"/>
  <c r="EF179" i="3"/>
  <c r="EF178" i="3"/>
  <c r="EF177" i="3"/>
  <c r="EF176" i="3"/>
  <c r="EF175" i="3"/>
  <c r="EF174" i="3"/>
  <c r="EF173" i="3"/>
  <c r="EF172" i="3"/>
  <c r="EF166" i="3"/>
  <c r="EF165" i="3"/>
  <c r="EF164" i="3"/>
  <c r="EF162" i="3"/>
  <c r="EF160" i="3"/>
  <c r="EF159" i="3"/>
  <c r="EF156" i="3"/>
  <c r="EF155" i="3"/>
  <c r="EF154" i="3"/>
  <c r="EF153" i="3"/>
  <c r="EF152" i="3"/>
  <c r="EF151" i="3"/>
  <c r="EF150" i="3"/>
  <c r="EF149" i="3"/>
  <c r="EF148" i="3"/>
  <c r="EF147" i="3"/>
  <c r="EF146" i="3"/>
  <c r="EF138" i="3"/>
  <c r="EF137" i="3"/>
  <c r="EF136" i="3"/>
  <c r="EF133" i="3"/>
  <c r="EF132" i="3"/>
  <c r="EF131" i="3"/>
  <c r="EF128" i="3"/>
  <c r="EF127" i="3"/>
  <c r="EF125" i="3"/>
  <c r="EF124" i="3"/>
  <c r="EF123" i="3"/>
  <c r="EF122" i="3"/>
  <c r="EF121" i="3"/>
  <c r="EF120" i="3"/>
  <c r="EF119" i="3"/>
  <c r="EF118" i="3"/>
  <c r="EF117" i="3"/>
  <c r="EF110" i="3"/>
  <c r="EF109" i="3"/>
  <c r="EF108" i="3"/>
  <c r="EF105" i="3"/>
  <c r="EF104" i="3"/>
  <c r="EF99" i="3"/>
  <c r="EF95" i="3"/>
  <c r="EF91" i="3"/>
  <c r="EF89" i="3"/>
  <c r="EE88" i="5"/>
  <c r="EF88" i="3"/>
  <c r="EF82" i="3"/>
  <c r="EF81" i="3"/>
  <c r="EF80" i="3"/>
  <c r="EF76" i="3"/>
  <c r="EF75" i="3"/>
  <c r="EF72" i="3"/>
  <c r="EF71" i="3"/>
  <c r="EF70" i="3"/>
  <c r="EF69" i="3"/>
  <c r="EF68" i="3"/>
  <c r="EF67" i="3"/>
  <c r="EF66" i="3"/>
  <c r="EF65" i="3"/>
  <c r="EF64" i="3"/>
  <c r="EF63" i="3"/>
  <c r="EF62" i="3"/>
  <c r="EF61" i="3"/>
  <c r="EF60" i="3"/>
  <c r="EF54" i="3"/>
  <c r="EF52" i="3"/>
  <c r="EF48" i="3"/>
  <c r="EF47" i="3"/>
  <c r="EF44" i="3"/>
  <c r="EF43" i="3"/>
  <c r="EF42" i="3"/>
  <c r="EF41" i="3"/>
  <c r="EF40" i="3"/>
  <c r="EF39" i="3"/>
  <c r="EF38" i="3"/>
  <c r="EF37" i="3"/>
  <c r="EF36" i="3"/>
  <c r="EF35" i="3"/>
  <c r="EF34" i="3"/>
  <c r="EF33" i="3"/>
  <c r="EE32" i="5"/>
  <c r="EF18" i="3"/>
  <c r="EE3" i="5"/>
  <c r="EF25" i="3"/>
  <c r="EF24" i="3"/>
  <c r="EF21" i="3"/>
  <c r="EF19" i="3"/>
  <c r="EF15" i="3"/>
  <c r="EF14" i="3"/>
  <c r="EF13" i="3"/>
  <c r="EF12" i="3"/>
  <c r="EF11" i="3"/>
  <c r="EF10" i="3"/>
  <c r="EF9" i="3"/>
  <c r="EF8" i="3"/>
  <c r="EF7" i="3"/>
  <c r="EF6" i="3"/>
  <c r="EF5" i="3"/>
  <c r="EF4" i="3"/>
  <c r="EF171" i="3"/>
  <c r="EE171" i="3"/>
  <c r="EF170" i="3"/>
  <c r="EE170" i="3"/>
  <c r="EF143" i="3"/>
  <c r="EE143" i="3"/>
  <c r="EF142" i="3"/>
  <c r="EE142" i="3"/>
  <c r="EF115" i="3"/>
  <c r="EE115" i="3"/>
  <c r="EF114" i="3"/>
  <c r="EE114" i="3"/>
  <c r="EF87" i="3"/>
  <c r="EE87" i="3"/>
  <c r="EF86" i="3"/>
  <c r="EE86" i="3"/>
  <c r="EF59" i="3"/>
  <c r="EE59" i="3"/>
  <c r="EF58" i="3"/>
  <c r="EE58" i="3"/>
  <c r="EF31" i="3"/>
  <c r="EF30" i="3"/>
  <c r="EE31" i="3"/>
  <c r="EE30" i="3"/>
  <c r="EF191" i="3"/>
  <c r="EF163" i="3"/>
  <c r="EF161" i="3"/>
  <c r="EF144" i="3"/>
  <c r="EF135" i="3"/>
  <c r="EF107" i="3"/>
  <c r="EF94" i="3"/>
  <c r="EF79" i="3"/>
  <c r="EF51" i="3"/>
  <c r="EF22" i="3"/>
  <c r="EE97" i="7"/>
  <c r="EF210" i="4"/>
  <c r="EF210" i="5" s="1"/>
  <c r="EE95" i="7"/>
  <c r="EE94" i="7"/>
  <c r="EE207" i="5"/>
  <c r="EE93" i="7" s="1"/>
  <c r="EE206" i="5"/>
  <c r="EE92" i="7" s="1"/>
  <c r="EE204" i="5"/>
  <c r="EE90" i="7" s="1"/>
  <c r="EF203" i="4"/>
  <c r="EF203" i="5" s="1"/>
  <c r="EF202" i="4"/>
  <c r="EF202" i="5" s="1"/>
  <c r="EE201" i="5"/>
  <c r="EE87" i="7" s="1"/>
  <c r="EF194" i="4"/>
  <c r="EF194" i="5" s="1"/>
  <c r="EF193" i="4"/>
  <c r="EF193" i="5" s="1"/>
  <c r="EF192" i="4"/>
  <c r="EF192" i="5" s="1"/>
  <c r="EF190" i="4"/>
  <c r="EF188" i="4"/>
  <c r="EF184" i="4"/>
  <c r="EF181" i="4"/>
  <c r="EF180" i="4"/>
  <c r="EF178" i="4"/>
  <c r="EF175" i="4"/>
  <c r="EF164" i="4"/>
  <c r="EF160" i="4"/>
  <c r="EF160" i="5" s="1"/>
  <c r="EF166" i="4"/>
  <c r="EF165" i="4"/>
  <c r="EF165" i="5" s="1"/>
  <c r="EF162" i="4"/>
  <c r="EF162" i="5" s="1"/>
  <c r="EF154" i="4"/>
  <c r="EF153" i="4"/>
  <c r="EF152" i="4"/>
  <c r="EF151" i="4"/>
  <c r="EF150" i="4"/>
  <c r="EF149" i="4"/>
  <c r="EF148" i="4"/>
  <c r="EF161" i="4"/>
  <c r="EF161" i="5" s="1"/>
  <c r="EF126" i="4"/>
  <c r="EF70" i="4"/>
  <c r="EF42" i="4"/>
  <c r="EF13" i="4"/>
  <c r="EF137" i="4"/>
  <c r="EF137" i="5" s="1"/>
  <c r="EF134" i="4"/>
  <c r="EF131" i="4"/>
  <c r="EF124" i="4"/>
  <c r="EF122" i="4"/>
  <c r="EF121" i="4"/>
  <c r="EF120" i="4"/>
  <c r="EF119" i="4"/>
  <c r="EF118" i="4"/>
  <c r="EF110" i="4"/>
  <c r="EF110" i="5" s="1"/>
  <c r="EF106" i="4"/>
  <c r="EF104" i="4"/>
  <c r="EF103" i="4"/>
  <c r="EE99" i="5"/>
  <c r="EF91" i="4"/>
  <c r="EF82" i="4"/>
  <c r="EF81" i="4"/>
  <c r="EF78" i="4"/>
  <c r="EF76" i="4"/>
  <c r="EF75" i="4"/>
  <c r="EF75" i="5" s="1"/>
  <c r="EF72" i="4"/>
  <c r="EF67" i="4"/>
  <c r="EF65" i="4"/>
  <c r="EF62" i="4"/>
  <c r="EF54" i="4"/>
  <c r="EF53" i="4"/>
  <c r="EF50" i="4"/>
  <c r="EF50" i="5" s="1"/>
  <c r="EF48" i="4"/>
  <c r="EF48" i="5" s="1"/>
  <c r="EF47" i="4"/>
  <c r="EF44" i="4"/>
  <c r="EF44" i="5" s="1"/>
  <c r="EF43" i="4"/>
  <c r="EF40" i="4"/>
  <c r="EF39" i="4"/>
  <c r="EF38" i="4"/>
  <c r="EF37" i="4"/>
  <c r="EF36" i="4"/>
  <c r="EF35" i="4"/>
  <c r="EF34" i="4"/>
  <c r="EF33" i="4"/>
  <c r="EF25" i="4"/>
  <c r="EF24" i="4"/>
  <c r="EF15" i="4"/>
  <c r="EF15" i="5" s="1"/>
  <c r="EF12" i="4"/>
  <c r="EF11" i="4"/>
  <c r="EF10" i="4"/>
  <c r="EE219" i="4"/>
  <c r="EE219" i="5" s="1"/>
  <c r="EE64" i="7"/>
  <c r="EE63" i="7"/>
  <c r="EE61" i="7"/>
  <c r="EE60" i="7"/>
  <c r="EE231" i="4"/>
  <c r="EE231" i="5" s="1"/>
  <c r="EE230" i="4"/>
  <c r="EE230" i="5" s="1"/>
  <c r="EE229" i="4"/>
  <c r="EE229" i="5" s="1"/>
  <c r="EE228" i="4"/>
  <c r="EE228" i="5" s="1"/>
  <c r="EE227" i="4"/>
  <c r="EE227" i="5" s="1"/>
  <c r="EE226" i="4"/>
  <c r="EE226" i="5" s="1"/>
  <c r="EE225" i="4"/>
  <c r="EE225" i="5" s="1"/>
  <c r="EE222" i="4"/>
  <c r="EE222" i="5" s="1"/>
  <c r="EE221" i="4"/>
  <c r="EE221" i="5" s="1"/>
  <c r="EE218" i="4"/>
  <c r="EF217" i="4"/>
  <c r="EE217" i="4"/>
  <c r="EE199" i="4"/>
  <c r="EF198" i="4"/>
  <c r="EE198" i="4"/>
  <c r="EE171" i="4"/>
  <c r="EF170" i="4"/>
  <c r="EE170" i="4"/>
  <c r="EF143" i="4"/>
  <c r="EE143" i="4"/>
  <c r="EF142" i="4"/>
  <c r="EE142" i="4"/>
  <c r="EE115" i="4"/>
  <c r="EF114" i="4"/>
  <c r="EE114" i="4"/>
  <c r="EE87" i="4"/>
  <c r="EF86" i="4"/>
  <c r="EE86" i="4"/>
  <c r="EF59" i="4"/>
  <c r="EE59" i="4"/>
  <c r="EF58" i="4"/>
  <c r="EE58" i="4"/>
  <c r="EF30" i="4"/>
  <c r="EE31" i="4"/>
  <c r="EE30" i="4"/>
  <c r="EF2" i="4"/>
  <c r="EF171" i="4" s="1"/>
  <c r="EF200" i="4"/>
  <c r="EF200" i="5" s="1"/>
  <c r="EF191" i="4"/>
  <c r="EF191" i="5" s="1"/>
  <c r="EF189" i="4"/>
  <c r="EF172" i="4"/>
  <c r="EF163" i="4"/>
  <c r="EF163" i="5" s="1"/>
  <c r="EF144" i="4"/>
  <c r="EF135" i="4"/>
  <c r="EF135" i="5" s="1"/>
  <c r="EF133" i="4"/>
  <c r="EF133" i="5" s="1"/>
  <c r="EF116" i="4"/>
  <c r="EF107" i="4"/>
  <c r="EF107" i="5" s="1"/>
  <c r="EF105" i="4"/>
  <c r="EF105" i="5" s="1"/>
  <c r="EF88" i="4"/>
  <c r="EF79" i="4"/>
  <c r="EF77" i="4"/>
  <c r="EF60" i="4"/>
  <c r="EF52" i="4"/>
  <c r="EF52" i="5" s="1"/>
  <c r="EF51" i="4"/>
  <c r="EF49" i="4"/>
  <c r="EF49" i="5" s="1"/>
  <c r="EF32" i="4"/>
  <c r="EF22" i="4"/>
  <c r="EF20" i="4"/>
  <c r="EF3" i="4"/>
  <c r="EE95" i="2"/>
  <c r="EE96" i="2"/>
  <c r="EF22" i="5" l="1"/>
  <c r="EF24" i="5"/>
  <c r="EF25" i="5"/>
  <c r="EF82" i="5"/>
  <c r="EF79" i="5"/>
  <c r="EF131" i="5"/>
  <c r="EF184" i="5"/>
  <c r="EF166" i="5"/>
  <c r="EF188" i="5"/>
  <c r="EF190" i="5"/>
  <c r="EF87" i="4"/>
  <c r="EF144" i="5"/>
  <c r="EF199" i="4"/>
  <c r="EF31" i="4"/>
  <c r="EF81" i="5"/>
  <c r="EF218" i="4"/>
  <c r="EF51" i="5"/>
  <c r="EF47" i="5"/>
  <c r="EF72" i="5"/>
  <c r="EG81" i="7"/>
  <c r="EF76" i="5"/>
  <c r="EF54" i="5"/>
  <c r="EF164" i="5"/>
  <c r="EF115" i="4"/>
  <c r="EF104" i="5"/>
  <c r="EG26" i="6"/>
  <c r="EJ25" i="8"/>
  <c r="EG109" i="7"/>
  <c r="EG136" i="7" s="1"/>
  <c r="EG26" i="7"/>
  <c r="EF32" i="3"/>
  <c r="EF172" i="5"/>
  <c r="EF88" i="5"/>
  <c r="EF32" i="5"/>
  <c r="EE54" i="7"/>
  <c r="EF11" i="5"/>
  <c r="EF207" i="4"/>
  <c r="EF207" i="5" s="1"/>
  <c r="EF206" i="4"/>
  <c r="EF206" i="5" s="1"/>
  <c r="EE183" i="5"/>
  <c r="EF153" i="5"/>
  <c r="EF34" i="5"/>
  <c r="EE177" i="5"/>
  <c r="EF154" i="5"/>
  <c r="EF3" i="3"/>
  <c r="EF3" i="5" s="1"/>
  <c r="EE71" i="5"/>
  <c r="EF62" i="5"/>
  <c r="EE63" i="5"/>
  <c r="EE64" i="5"/>
  <c r="EE66" i="5"/>
  <c r="EE11" i="5"/>
  <c r="EE61" i="5"/>
  <c r="EF25" i="8"/>
  <c r="EF138" i="4"/>
  <c r="EF138" i="5" s="1"/>
  <c r="EF183" i="4"/>
  <c r="EF183" i="5" s="1"/>
  <c r="EF63" i="4"/>
  <c r="EF63" i="5" s="1"/>
  <c r="EE123" i="5"/>
  <c r="EE10" i="7" s="1"/>
  <c r="EF12" i="5"/>
  <c r="EF61" i="4"/>
  <c r="EF61" i="5" s="1"/>
  <c r="EE93" i="5"/>
  <c r="EE179" i="5"/>
  <c r="EF151" i="5"/>
  <c r="EF180" i="5"/>
  <c r="EF20" i="3"/>
  <c r="EF20" i="5" s="1"/>
  <c r="EE62" i="5"/>
  <c r="EF211" i="4"/>
  <c r="EF211" i="5" s="1"/>
  <c r="EF212" i="4"/>
  <c r="EF212" i="5" s="1"/>
  <c r="EF152" i="5"/>
  <c r="EE94" i="5"/>
  <c r="EE14" i="5"/>
  <c r="EE117" i="5"/>
  <c r="EE4" i="7" s="1"/>
  <c r="EE174" i="5"/>
  <c r="EF208" i="4"/>
  <c r="EF208" i="5" s="1"/>
  <c r="EF150" i="5"/>
  <c r="EE92" i="5"/>
  <c r="EF136" i="4"/>
  <c r="EF136" i="5" s="1"/>
  <c r="EF209" i="4"/>
  <c r="EF209" i="5" s="1"/>
  <c r="EF43" i="5"/>
  <c r="EE119" i="5"/>
  <c r="EE6" i="7" s="1"/>
  <c r="EE60" i="5"/>
  <c r="EF117" i="4"/>
  <c r="EF117" i="5" s="1"/>
  <c r="EF66" i="4"/>
  <c r="EF66" i="5" s="1"/>
  <c r="EE122" i="7"/>
  <c r="EE9" i="5"/>
  <c r="EF36" i="5"/>
  <c r="EE124" i="5"/>
  <c r="EE11" i="7" s="1"/>
  <c r="EE7" i="5"/>
  <c r="EF37" i="5"/>
  <c r="EE120" i="7"/>
  <c r="EF108" i="4"/>
  <c r="EF108" i="5" s="1"/>
  <c r="EF35" i="5"/>
  <c r="EF181" i="5"/>
  <c r="EF177" i="4"/>
  <c r="EE65" i="5"/>
  <c r="EE160" i="7"/>
  <c r="EF121" i="5"/>
  <c r="EE202" i="5"/>
  <c r="EE88" i="7" s="1"/>
  <c r="EF14" i="4"/>
  <c r="EF14" i="5" s="1"/>
  <c r="EF91" i="5"/>
  <c r="EE96" i="5"/>
  <c r="EE203" i="5"/>
  <c r="EE89" i="7" s="1"/>
  <c r="EF179" i="4"/>
  <c r="EF179" i="5" s="1"/>
  <c r="EF123" i="4"/>
  <c r="EF33" i="5"/>
  <c r="EF78" i="3"/>
  <c r="EF78" i="5" s="1"/>
  <c r="EE178" i="5"/>
  <c r="EE120" i="5"/>
  <c r="EE7" i="7" s="1"/>
  <c r="EE150" i="5"/>
  <c r="EF174" i="4"/>
  <c r="EF134" i="3"/>
  <c r="EF134" i="5" s="1"/>
  <c r="EE121" i="5"/>
  <c r="EE8" i="7" s="1"/>
  <c r="EE152" i="5"/>
  <c r="EF122" i="5"/>
  <c r="EF148" i="5"/>
  <c r="EE12" i="5"/>
  <c r="EE122" i="5"/>
  <c r="EE9" i="7" s="1"/>
  <c r="EE153" i="5"/>
  <c r="EF60" i="5"/>
  <c r="EF204" i="4"/>
  <c r="EF204" i="5" s="1"/>
  <c r="EF64" i="4"/>
  <c r="EF64" i="5" s="1"/>
  <c r="EF77" i="3"/>
  <c r="EF77" i="5" s="1"/>
  <c r="EE154" i="5"/>
  <c r="EE95" i="5"/>
  <c r="EE129" i="7"/>
  <c r="EE182" i="5"/>
  <c r="EE34" i="5"/>
  <c r="EE172" i="5"/>
  <c r="EE96" i="7"/>
  <c r="EE145" i="5"/>
  <c r="EE123" i="7"/>
  <c r="EE118" i="5"/>
  <c r="EE5" i="7" s="1"/>
  <c r="EE155" i="5"/>
  <c r="EE35" i="5"/>
  <c r="EE181" i="5"/>
  <c r="EF109" i="4"/>
  <c r="EF109" i="5" s="1"/>
  <c r="EE89" i="5"/>
  <c r="EF187" i="4"/>
  <c r="EF187" i="5" s="1"/>
  <c r="EE36" i="5"/>
  <c r="EF80" i="4"/>
  <c r="EF80" i="5" s="1"/>
  <c r="EE40" i="5"/>
  <c r="EE43" i="5"/>
  <c r="EF120" i="5"/>
  <c r="EE126" i="7"/>
  <c r="EE128" i="7"/>
  <c r="EE125" i="7"/>
  <c r="EE220" i="4"/>
  <c r="EE220" i="5" s="1"/>
  <c r="EE130" i="7"/>
  <c r="EE68" i="7"/>
  <c r="EE115" i="7"/>
  <c r="EF53" i="3"/>
  <c r="EF53" i="5" s="1"/>
  <c r="EF7" i="4"/>
  <c r="EF182" i="4"/>
  <c r="EF182" i="5" s="1"/>
  <c r="EF189" i="3"/>
  <c r="EF189" i="5" s="1"/>
  <c r="EE37" i="5"/>
  <c r="EF124" i="5"/>
  <c r="EF119" i="5"/>
  <c r="EE118" i="7"/>
  <c r="EE223" i="4"/>
  <c r="EE223" i="5" s="1"/>
  <c r="EE38" i="5"/>
  <c r="EF116" i="3"/>
  <c r="EF116" i="5" s="1"/>
  <c r="EE116" i="5"/>
  <c r="EE3" i="7" s="1"/>
  <c r="EE33" i="5"/>
  <c r="EE67" i="7"/>
  <c r="EE13" i="5"/>
  <c r="EF118" i="5"/>
  <c r="EF65" i="5"/>
  <c r="EF156" i="4"/>
  <c r="EF156" i="5" s="1"/>
  <c r="EF71" i="4"/>
  <c r="EE224" i="4"/>
  <c r="EE224" i="5" s="1"/>
  <c r="EE117" i="2"/>
  <c r="EF39" i="5"/>
  <c r="EF146" i="4"/>
  <c r="EF146" i="5" s="1"/>
  <c r="EE146" i="5"/>
  <c r="EF159" i="4"/>
  <c r="EF159" i="5" s="1"/>
  <c r="EF173" i="4"/>
  <c r="EF173" i="5" s="1"/>
  <c r="EE173" i="5"/>
  <c r="EE90" i="5"/>
  <c r="EF21" i="4"/>
  <c r="EF21" i="5" s="1"/>
  <c r="EF8" i="4"/>
  <c r="EE8" i="5"/>
  <c r="EF155" i="4"/>
  <c r="EF155" i="5" s="1"/>
  <c r="EF67" i="5"/>
  <c r="EF147" i="4"/>
  <c r="EF147" i="5" s="1"/>
  <c r="EE147" i="5"/>
  <c r="EE91" i="5"/>
  <c r="EE180" i="5"/>
  <c r="EF42" i="5"/>
  <c r="EE65" i="7"/>
  <c r="EF6" i="4"/>
  <c r="EE6" i="5"/>
  <c r="EF205" i="4"/>
  <c r="EE205" i="5"/>
  <c r="EE91" i="7" s="1"/>
  <c r="EF126" i="3"/>
  <c r="EF126" i="5" s="1"/>
  <c r="EE126" i="5"/>
  <c r="EE13" i="7" s="1"/>
  <c r="EF18" i="4"/>
  <c r="EF18" i="5" s="1"/>
  <c r="EF41" i="4"/>
  <c r="EE41" i="5"/>
  <c r="EF128" i="4"/>
  <c r="EF128" i="5" s="1"/>
  <c r="EF175" i="5"/>
  <c r="EF13" i="5"/>
  <c r="EF23" i="4"/>
  <c r="EF38" i="5"/>
  <c r="EF178" i="5"/>
  <c r="EE66" i="7"/>
  <c r="EE121" i="7"/>
  <c r="EE4" i="5"/>
  <c r="EF4" i="4"/>
  <c r="EF68" i="4"/>
  <c r="EF68" i="5" s="1"/>
  <c r="EE68" i="5"/>
  <c r="EF125" i="4"/>
  <c r="EF125" i="5" s="1"/>
  <c r="EE125" i="5"/>
  <c r="EE12" i="7" s="1"/>
  <c r="EF145" i="4"/>
  <c r="EF5" i="4"/>
  <c r="EE5" i="5"/>
  <c r="EF19" i="4"/>
  <c r="EF19" i="5" s="1"/>
  <c r="EF69" i="4"/>
  <c r="EE69" i="5"/>
  <c r="EF127" i="4"/>
  <c r="EF127" i="5" s="1"/>
  <c r="EE127" i="5"/>
  <c r="EE14" i="7" s="1"/>
  <c r="EF149" i="5"/>
  <c r="EE176" i="5"/>
  <c r="EE42" i="5"/>
  <c r="EE151" i="5"/>
  <c r="EF9" i="4"/>
  <c r="EF176" i="4"/>
  <c r="EF176" i="5" s="1"/>
  <c r="EE67" i="5"/>
  <c r="EE97" i="5"/>
  <c r="EE175" i="5"/>
  <c r="EE98" i="5"/>
  <c r="EF132" i="4"/>
  <c r="EF132" i="5" s="1"/>
  <c r="EE39" i="5"/>
  <c r="EE70" i="5"/>
  <c r="EE148" i="5"/>
  <c r="EF40" i="5"/>
  <c r="EF70" i="5"/>
  <c r="EE10" i="5"/>
  <c r="EE149" i="5"/>
  <c r="EF10" i="5"/>
  <c r="EF107" i="6"/>
  <c r="EF82" i="6"/>
  <c r="EE82" i="6"/>
  <c r="EE54" i="6"/>
  <c r="EE195" i="3"/>
  <c r="EE167" i="3"/>
  <c r="EF145" i="3"/>
  <c r="EE139" i="3"/>
  <c r="EE111" i="3"/>
  <c r="EE83" i="3"/>
  <c r="EE55" i="3"/>
  <c r="EE26" i="3"/>
  <c r="EE26" i="4"/>
  <c r="EE214" i="4"/>
  <c r="EE167" i="4"/>
  <c r="EE92" i="2"/>
  <c r="EE111" i="4"/>
  <c r="EE55" i="4"/>
  <c r="EF201" i="4"/>
  <c r="EE195" i="4"/>
  <c r="EE139" i="4"/>
  <c r="EE83" i="4"/>
  <c r="EE142" i="7" l="1"/>
  <c r="EF141" i="7"/>
  <c r="EF160" i="7"/>
  <c r="EE124" i="7"/>
  <c r="EF177" i="5"/>
  <c r="EF163" i="7"/>
  <c r="EE152" i="7"/>
  <c r="EE141" i="7"/>
  <c r="EE150" i="7"/>
  <c r="EE214" i="5"/>
  <c r="EE116" i="7"/>
  <c r="EE83" i="5"/>
  <c r="EF144" i="7"/>
  <c r="EE147" i="7"/>
  <c r="EE153" i="7"/>
  <c r="EE158" i="7"/>
  <c r="EE148" i="7"/>
  <c r="EE163" i="7"/>
  <c r="EE167" i="5"/>
  <c r="EE109" i="7"/>
  <c r="EE145" i="7"/>
  <c r="EE151" i="7"/>
  <c r="EE144" i="7"/>
  <c r="EE195" i="5"/>
  <c r="EE143" i="7"/>
  <c r="EE159" i="7"/>
  <c r="EF174" i="5"/>
  <c r="EF158" i="7"/>
  <c r="EE161" i="7"/>
  <c r="EE156" i="7"/>
  <c r="EF123" i="5"/>
  <c r="EE233" i="4"/>
  <c r="EE233" i="5"/>
  <c r="EF214" i="4"/>
  <c r="EF201" i="5"/>
  <c r="EF157" i="7"/>
  <c r="EE157" i="7"/>
  <c r="EE139" i="5"/>
  <c r="EE26" i="5"/>
  <c r="EE149" i="7"/>
  <c r="EE155" i="7"/>
  <c r="EF5" i="5"/>
  <c r="EF71" i="5"/>
  <c r="EE162" i="7"/>
  <c r="EF161" i="7"/>
  <c r="EE55" i="5"/>
  <c r="EF8" i="5"/>
  <c r="EF69" i="5"/>
  <c r="EF41" i="5"/>
  <c r="EF9" i="5"/>
  <c r="EF6" i="5"/>
  <c r="EE26" i="7"/>
  <c r="EE111" i="5"/>
  <c r="EE119" i="7"/>
  <c r="EF4" i="5"/>
  <c r="EE146" i="7"/>
  <c r="EF205" i="5"/>
  <c r="EF7" i="5"/>
  <c r="EF145" i="5"/>
  <c r="EF110" i="6"/>
  <c r="EF162" i="7" l="1"/>
  <c r="EF214" i="5"/>
  <c r="EE164" i="7"/>
  <c r="EE146" i="2"/>
  <c r="EF145" i="2"/>
  <c r="EE145" i="2"/>
  <c r="EE121" i="2"/>
  <c r="EF120" i="2"/>
  <c r="EE120" i="2"/>
  <c r="EF95" i="2"/>
  <c r="EE77" i="2"/>
  <c r="EE76" i="2"/>
  <c r="EE52" i="2"/>
  <c r="EE51" i="2"/>
  <c r="EE27" i="2"/>
  <c r="EE26" i="2"/>
  <c r="EF76" i="2"/>
  <c r="EF51" i="2"/>
  <c r="EF26" i="2"/>
  <c r="EF2" i="2"/>
  <c r="EF146" i="2" s="1"/>
  <c r="EF116" i="2"/>
  <c r="EF115" i="2"/>
  <c r="EF114" i="2"/>
  <c r="EF113" i="2"/>
  <c r="EF112" i="2"/>
  <c r="EF109" i="2"/>
  <c r="EF108" i="2"/>
  <c r="EF107" i="2"/>
  <c r="EF106" i="2"/>
  <c r="EF105" i="2"/>
  <c r="EF104" i="2"/>
  <c r="EF103" i="2"/>
  <c r="EF102" i="2"/>
  <c r="EF101" i="2"/>
  <c r="EF100" i="2"/>
  <c r="EF99" i="2"/>
  <c r="EF98" i="2"/>
  <c r="EF97" i="2"/>
  <c r="EF90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2" i="2"/>
  <c r="EF71" i="2"/>
  <c r="EF70" i="2"/>
  <c r="EF69" i="2"/>
  <c r="EF65" i="2"/>
  <c r="EF64" i="2"/>
  <c r="EF63" i="2"/>
  <c r="EF62" i="2"/>
  <c r="EF61" i="2"/>
  <c r="EF60" i="2"/>
  <c r="EF59" i="2"/>
  <c r="EF58" i="2"/>
  <c r="EF57" i="2"/>
  <c r="EF56" i="2"/>
  <c r="EF55" i="2"/>
  <c r="EF54" i="2"/>
  <c r="EF53" i="2"/>
  <c r="EF46" i="2"/>
  <c r="EF45" i="2"/>
  <c r="EF44" i="2"/>
  <c r="EF43" i="2"/>
  <c r="EF42" i="2"/>
  <c r="EF40" i="2"/>
  <c r="EF39" i="2"/>
  <c r="EF38" i="2"/>
  <c r="EF37" i="2"/>
  <c r="EF36" i="2"/>
  <c r="EF35" i="2"/>
  <c r="EF34" i="2"/>
  <c r="EF33" i="2"/>
  <c r="EF32" i="2"/>
  <c r="EF31" i="2"/>
  <c r="EF30" i="2"/>
  <c r="EF29" i="2"/>
  <c r="EF22" i="2"/>
  <c r="EF20" i="2"/>
  <c r="EF19" i="2"/>
  <c r="EF18" i="2"/>
  <c r="EF15" i="2"/>
  <c r="EF14" i="2"/>
  <c r="EF13" i="2"/>
  <c r="EF12" i="2"/>
  <c r="EF11" i="2"/>
  <c r="EF10" i="2"/>
  <c r="EF9" i="2"/>
  <c r="EF8" i="2"/>
  <c r="EF7" i="2"/>
  <c r="EF6" i="2"/>
  <c r="EF5" i="2"/>
  <c r="EF4" i="2"/>
  <c r="EF3" i="2"/>
  <c r="EE48" i="2"/>
  <c r="EE23" i="2"/>
  <c r="EE4" i="1" l="1"/>
  <c r="EF27" i="2"/>
  <c r="EF96" i="2"/>
  <c r="EF52" i="2"/>
  <c r="EF77" i="2"/>
  <c r="EF121" i="2"/>
  <c r="EF92" i="2"/>
  <c r="EF48" i="2"/>
  <c r="EE73" i="2"/>
  <c r="EE136" i="7"/>
  <c r="EE81" i="7" l="1"/>
  <c r="EF82" i="1"/>
  <c r="EF81" i="1"/>
  <c r="EF80" i="1"/>
  <c r="EE79" i="1"/>
  <c r="EF40" i="1"/>
  <c r="EF78" i="1" s="1"/>
  <c r="EF39" i="1"/>
  <c r="EF77" i="1" s="1"/>
  <c r="EF21" i="1"/>
  <c r="EF20" i="1"/>
  <c r="EF53" i="1"/>
  <c r="EF52" i="1"/>
  <c r="EF51" i="1"/>
  <c r="EF50" i="1"/>
  <c r="EF49" i="1"/>
  <c r="EF48" i="1"/>
  <c r="EF47" i="1"/>
  <c r="EF46" i="1"/>
  <c r="EF45" i="1"/>
  <c r="EF44" i="1"/>
  <c r="EF43" i="1"/>
  <c r="EF42" i="1"/>
  <c r="EF41" i="1"/>
  <c r="EF34" i="1"/>
  <c r="EF33" i="1"/>
  <c r="EF32" i="1"/>
  <c r="EF31" i="1"/>
  <c r="EF30" i="1"/>
  <c r="EF29" i="1"/>
  <c r="EF28" i="1"/>
  <c r="EF27" i="1"/>
  <c r="EF26" i="1"/>
  <c r="EF25" i="1"/>
  <c r="EF24" i="1"/>
  <c r="EF23" i="1"/>
  <c r="EF22" i="1"/>
  <c r="EE40" i="1"/>
  <c r="EE78" i="1" s="1"/>
  <c r="EE39" i="1"/>
  <c r="EE77" i="1" s="1"/>
  <c r="EE21" i="1"/>
  <c r="EE20" i="1"/>
  <c r="EE55" i="1"/>
  <c r="EE15" i="1"/>
  <c r="EE14" i="1"/>
  <c r="EE13" i="1"/>
  <c r="EE12" i="1"/>
  <c r="EE11" i="1"/>
  <c r="EE10" i="1"/>
  <c r="EE9" i="1"/>
  <c r="EE8" i="1"/>
  <c r="EE7" i="1"/>
  <c r="EE6" i="1"/>
  <c r="EE5" i="1"/>
  <c r="EE3" i="1"/>
  <c r="EF36" i="1" l="1"/>
  <c r="EE83" i="1"/>
  <c r="HI63" i="1"/>
  <c r="HH63" i="1"/>
  <c r="HI60" i="1"/>
  <c r="HH60" i="1"/>
  <c r="HH72" i="1"/>
  <c r="HI72" i="1"/>
  <c r="HH62" i="1"/>
  <c r="HI62" i="1"/>
  <c r="HH71" i="1"/>
  <c r="HI71" i="1"/>
  <c r="HH61" i="1"/>
  <c r="HI61" i="1"/>
  <c r="HH65" i="1"/>
  <c r="HI65" i="1"/>
  <c r="HI69" i="1"/>
  <c r="HH69" i="1"/>
  <c r="HI70" i="1"/>
  <c r="HH70" i="1"/>
  <c r="HI64" i="1"/>
  <c r="HH64" i="1"/>
  <c r="EF12" i="1"/>
  <c r="HH66" i="1"/>
  <c r="HI66" i="1"/>
  <c r="EF14" i="1"/>
  <c r="HH67" i="1"/>
  <c r="HI67" i="1"/>
  <c r="HH68" i="1"/>
  <c r="HI68" i="1"/>
  <c r="EF6" i="1"/>
  <c r="EF11" i="1"/>
  <c r="EF8" i="1"/>
  <c r="EF55" i="1"/>
  <c r="EF5" i="1"/>
  <c r="EF7" i="1"/>
  <c r="EF13" i="1"/>
  <c r="EF10" i="1"/>
  <c r="EF9" i="1"/>
  <c r="EF15" i="1"/>
  <c r="EE17" i="1"/>
  <c r="HI74" i="1" s="1"/>
  <c r="EF3" i="1"/>
  <c r="EF4" i="1"/>
  <c r="ED24" i="8"/>
  <c r="ED23" i="8"/>
  <c r="ED22" i="8"/>
  <c r="ED21" i="8"/>
  <c r="ED20" i="8"/>
  <c r="ED19" i="8"/>
  <c r="ED18" i="8"/>
  <c r="ED17" i="8"/>
  <c r="ED15" i="8"/>
  <c r="ED14" i="8"/>
  <c r="ED13" i="8"/>
  <c r="ED12" i="8"/>
  <c r="ED11" i="8"/>
  <c r="ED10" i="8"/>
  <c r="ED9" i="8"/>
  <c r="ED8" i="8"/>
  <c r="ED7" i="8"/>
  <c r="ED6" i="8"/>
  <c r="ED5" i="8"/>
  <c r="ED4" i="8"/>
  <c r="ED3" i="8"/>
  <c r="ED25" i="6"/>
  <c r="ED24" i="6"/>
  <c r="ED23" i="6"/>
  <c r="ED22" i="6"/>
  <c r="ED21" i="6"/>
  <c r="ED20" i="6"/>
  <c r="ED19" i="6"/>
  <c r="ED18" i="6"/>
  <c r="ED17" i="6"/>
  <c r="ED15" i="6"/>
  <c r="ED14" i="6"/>
  <c r="ED13" i="6"/>
  <c r="ED12" i="6"/>
  <c r="ED11" i="6"/>
  <c r="ED10" i="6"/>
  <c r="ED9" i="6"/>
  <c r="ED8" i="6"/>
  <c r="ED7" i="6"/>
  <c r="ED6" i="6"/>
  <c r="ED5" i="6"/>
  <c r="ED4" i="6"/>
  <c r="ED3" i="6"/>
  <c r="EC25" i="6"/>
  <c r="EC24" i="6"/>
  <c r="EC23" i="6"/>
  <c r="EC22" i="6"/>
  <c r="EC21" i="6"/>
  <c r="EC20" i="6"/>
  <c r="EC19" i="6"/>
  <c r="EC18" i="6"/>
  <c r="EC17" i="6"/>
  <c r="EC15" i="6"/>
  <c r="EC14" i="6"/>
  <c r="EC13" i="6"/>
  <c r="EC12" i="6"/>
  <c r="EC11" i="6"/>
  <c r="EC10" i="6"/>
  <c r="EC9" i="6"/>
  <c r="EC8" i="6"/>
  <c r="EC7" i="6"/>
  <c r="EC6" i="6"/>
  <c r="EC5" i="6"/>
  <c r="EC4" i="6"/>
  <c r="EC3" i="6"/>
  <c r="HH74" i="1" l="1"/>
  <c r="EF17" i="1"/>
  <c r="ED75" i="8"/>
  <c r="ED74" i="8"/>
  <c r="ED56" i="8"/>
  <c r="ED55" i="8"/>
  <c r="ED29" i="8"/>
  <c r="ED28" i="8"/>
  <c r="ED81" i="8"/>
  <c r="ED71" i="8"/>
  <c r="ED52" i="8"/>
  <c r="ED25" i="8"/>
  <c r="ED140" i="7" l="1"/>
  <c r="ED139" i="7"/>
  <c r="ED113" i="7"/>
  <c r="ED112" i="7"/>
  <c r="ED85" i="7"/>
  <c r="ED84" i="7"/>
  <c r="ED58" i="7"/>
  <c r="ED57" i="7"/>
  <c r="ED30" i="7"/>
  <c r="ED29" i="7"/>
  <c r="ED108" i="7"/>
  <c r="ED107" i="7"/>
  <c r="ED106" i="7"/>
  <c r="ED105" i="7"/>
  <c r="ED104" i="7"/>
  <c r="ED103" i="7"/>
  <c r="ED102" i="7"/>
  <c r="ED101" i="7"/>
  <c r="ED100" i="7"/>
  <c r="ED54" i="7"/>
  <c r="ED54" i="6"/>
  <c r="ED114" i="6" l="1"/>
  <c r="ED113" i="6"/>
  <c r="ED86" i="6"/>
  <c r="ED85" i="6"/>
  <c r="ED58" i="6"/>
  <c r="ED57" i="6"/>
  <c r="ED30" i="6"/>
  <c r="ED29" i="6"/>
  <c r="ED138" i="6"/>
  <c r="ED110" i="6"/>
  <c r="ED82" i="6"/>
  <c r="ED26" i="6"/>
  <c r="ED218" i="5"/>
  <c r="ED217" i="5"/>
  <c r="ED199" i="5"/>
  <c r="ED198" i="5"/>
  <c r="ED171" i="5"/>
  <c r="ED170" i="5"/>
  <c r="ED143" i="5"/>
  <c r="ED142" i="5"/>
  <c r="ED115" i="5"/>
  <c r="ED114" i="5"/>
  <c r="ED87" i="5"/>
  <c r="ED86" i="5"/>
  <c r="ED59" i="5"/>
  <c r="ED58" i="5"/>
  <c r="ED31" i="5"/>
  <c r="ED30" i="5"/>
  <c r="ED212" i="5"/>
  <c r="ED98" i="7" s="1"/>
  <c r="ED211" i="5"/>
  <c r="ED97" i="7" s="1"/>
  <c r="ED210" i="5"/>
  <c r="ED96" i="7" s="1"/>
  <c r="ED209" i="5"/>
  <c r="ED95" i="7" s="1"/>
  <c r="ED208" i="5"/>
  <c r="ED94" i="7" s="1"/>
  <c r="ED207" i="5"/>
  <c r="ED93" i="7" s="1"/>
  <c r="ED206" i="5"/>
  <c r="ED92" i="7" s="1"/>
  <c r="ED205" i="5"/>
  <c r="ED91" i="7" s="1"/>
  <c r="ED204" i="5"/>
  <c r="ED90" i="7" s="1"/>
  <c r="ED203" i="5"/>
  <c r="ED89" i="7" s="1"/>
  <c r="ED202" i="5"/>
  <c r="ED88" i="7" s="1"/>
  <c r="ED201" i="5"/>
  <c r="ED87" i="7" s="1"/>
  <c r="ED200" i="5"/>
  <c r="ED194" i="5"/>
  <c r="ED193" i="5"/>
  <c r="ED192" i="5"/>
  <c r="ED191" i="5"/>
  <c r="ED190" i="5"/>
  <c r="ED189" i="5"/>
  <c r="ED188" i="5"/>
  <c r="ED187" i="5"/>
  <c r="ED186" i="5"/>
  <c r="ED184" i="5"/>
  <c r="ED183" i="5"/>
  <c r="ED182" i="5"/>
  <c r="ED181" i="5"/>
  <c r="ED180" i="5"/>
  <c r="ED179" i="5"/>
  <c r="ED178" i="5"/>
  <c r="ED177" i="5"/>
  <c r="ED176" i="5"/>
  <c r="ED175" i="5"/>
  <c r="ED174" i="5"/>
  <c r="ED173" i="5"/>
  <c r="ED172" i="5"/>
  <c r="ED166" i="5"/>
  <c r="ED165" i="5"/>
  <c r="ED164" i="5"/>
  <c r="ED163" i="5"/>
  <c r="ED162" i="5"/>
  <c r="ED161" i="5"/>
  <c r="ED160" i="5"/>
  <c r="ED159" i="5"/>
  <c r="ED158" i="5"/>
  <c r="ED156" i="5"/>
  <c r="ED155" i="5"/>
  <c r="ED154" i="5"/>
  <c r="ED153" i="5"/>
  <c r="ED152" i="5"/>
  <c r="ED151" i="5"/>
  <c r="ED150" i="5"/>
  <c r="ED149" i="5"/>
  <c r="ED148" i="5"/>
  <c r="ED147" i="5"/>
  <c r="ED146" i="5"/>
  <c r="ED145" i="5"/>
  <c r="ED144" i="5"/>
  <c r="ED138" i="5"/>
  <c r="ED25" i="7" s="1"/>
  <c r="ED137" i="5"/>
  <c r="ED24" i="7" s="1"/>
  <c r="ED136" i="5"/>
  <c r="ED23" i="7" s="1"/>
  <c r="ED135" i="5"/>
  <c r="ED22" i="7" s="1"/>
  <c r="ED134" i="5"/>
  <c r="ED21" i="7" s="1"/>
  <c r="ED133" i="5"/>
  <c r="ED20" i="7" s="1"/>
  <c r="ED132" i="5"/>
  <c r="ED19" i="7" s="1"/>
  <c r="ED131" i="5"/>
  <c r="ED18" i="7" s="1"/>
  <c r="ED130" i="5"/>
  <c r="ED17" i="7" s="1"/>
  <c r="ED128" i="5"/>
  <c r="ED15" i="7" s="1"/>
  <c r="ED127" i="5"/>
  <c r="ED14" i="7" s="1"/>
  <c r="ED126" i="5"/>
  <c r="ED13" i="7" s="1"/>
  <c r="ED125" i="5"/>
  <c r="ED12" i="7" s="1"/>
  <c r="ED124" i="5"/>
  <c r="ED11" i="7" s="1"/>
  <c r="ED123" i="5"/>
  <c r="ED10" i="7" s="1"/>
  <c r="ED122" i="5"/>
  <c r="ED9" i="7" s="1"/>
  <c r="ED121" i="5"/>
  <c r="ED8" i="7" s="1"/>
  <c r="ED120" i="5"/>
  <c r="ED7" i="7" s="1"/>
  <c r="ED119" i="5"/>
  <c r="ED6" i="7" s="1"/>
  <c r="ED118" i="5"/>
  <c r="ED5" i="7" s="1"/>
  <c r="ED117" i="5"/>
  <c r="ED4" i="7" s="1"/>
  <c r="ED116" i="5"/>
  <c r="ED110" i="5"/>
  <c r="ED109" i="5"/>
  <c r="ED108" i="5"/>
  <c r="ED107" i="5"/>
  <c r="ED106" i="5"/>
  <c r="ED105" i="5"/>
  <c r="ED104" i="5"/>
  <c r="ED103" i="5"/>
  <c r="ED102" i="5"/>
  <c r="ED100" i="5"/>
  <c r="ED99" i="5"/>
  <c r="ED98" i="5"/>
  <c r="ED97" i="5"/>
  <c r="ED96" i="5"/>
  <c r="ED95" i="5"/>
  <c r="ED94" i="5"/>
  <c r="ED93" i="5"/>
  <c r="ED92" i="5"/>
  <c r="ED91" i="5"/>
  <c r="ED90" i="5"/>
  <c r="ED89" i="5"/>
  <c r="ED88" i="5"/>
  <c r="ED82" i="5"/>
  <c r="ED81" i="5"/>
  <c r="ED80" i="5"/>
  <c r="ED79" i="5"/>
  <c r="ED78" i="5"/>
  <c r="ED77" i="5"/>
  <c r="ED76" i="5"/>
  <c r="ED75" i="5"/>
  <c r="ED74" i="5"/>
  <c r="ED72" i="5"/>
  <c r="ED71" i="5"/>
  <c r="ED70" i="5"/>
  <c r="ED69" i="5"/>
  <c r="ED68" i="5"/>
  <c r="ED67" i="5"/>
  <c r="ED66" i="5"/>
  <c r="ED65" i="5"/>
  <c r="ED64" i="5"/>
  <c r="ED63" i="5"/>
  <c r="ED62" i="5"/>
  <c r="ED61" i="5"/>
  <c r="ED60" i="5"/>
  <c r="ED54" i="5"/>
  <c r="ED53" i="5"/>
  <c r="ED52" i="5"/>
  <c r="ED51" i="5"/>
  <c r="ED50" i="5"/>
  <c r="ED49" i="5"/>
  <c r="ED48" i="5"/>
  <c r="ED47" i="5"/>
  <c r="ED46" i="5"/>
  <c r="ED44" i="5"/>
  <c r="ED43" i="5"/>
  <c r="ED42" i="5"/>
  <c r="ED41" i="5"/>
  <c r="ED40" i="5"/>
  <c r="ED39" i="5"/>
  <c r="ED38" i="5"/>
  <c r="ED37" i="5"/>
  <c r="ED36" i="5"/>
  <c r="ED35" i="5"/>
  <c r="ED34" i="5"/>
  <c r="ED33" i="5"/>
  <c r="ED32" i="5"/>
  <c r="ED25" i="5"/>
  <c r="ED24" i="5"/>
  <c r="ED23" i="5"/>
  <c r="ED22" i="5"/>
  <c r="ED21" i="5"/>
  <c r="ED20" i="5"/>
  <c r="ED19" i="5"/>
  <c r="ED18" i="5"/>
  <c r="ED17" i="5"/>
  <c r="ED15" i="5"/>
  <c r="ED14" i="5"/>
  <c r="ED13" i="5"/>
  <c r="ED12" i="5"/>
  <c r="ED11" i="5"/>
  <c r="ED10" i="5"/>
  <c r="ED9" i="5"/>
  <c r="ED8" i="5"/>
  <c r="ED7" i="5"/>
  <c r="ED6" i="5"/>
  <c r="ED5" i="5"/>
  <c r="ED4" i="5"/>
  <c r="ED3" i="5"/>
  <c r="ED171" i="3"/>
  <c r="ED170" i="3"/>
  <c r="ED143" i="3"/>
  <c r="ED142" i="3"/>
  <c r="ED115" i="3"/>
  <c r="ED114" i="3"/>
  <c r="ED87" i="3"/>
  <c r="ED86" i="3"/>
  <c r="ED59" i="3"/>
  <c r="ED58" i="3"/>
  <c r="ED31" i="3"/>
  <c r="ED30" i="3"/>
  <c r="ED195" i="3"/>
  <c r="ED167" i="3"/>
  <c r="ED139" i="3"/>
  <c r="ED111" i="3"/>
  <c r="ED83" i="3"/>
  <c r="ED55" i="3"/>
  <c r="ED26" i="3"/>
  <c r="ED147" i="7" l="1"/>
  <c r="ED160" i="7"/>
  <c r="ED146" i="7"/>
  <c r="ED159" i="7"/>
  <c r="ED150" i="7"/>
  <c r="ED151" i="7"/>
  <c r="ED139" i="5"/>
  <c r="ED3" i="7"/>
  <c r="ED26" i="7" s="1"/>
  <c r="ED161" i="7"/>
  <c r="ED149" i="7"/>
  <c r="ED83" i="5"/>
  <c r="ED214" i="5"/>
  <c r="ED86" i="7"/>
  <c r="ED109" i="7" s="1"/>
  <c r="ED162" i="7"/>
  <c r="ED163" i="7"/>
  <c r="ED152" i="7"/>
  <c r="ED55" i="5"/>
  <c r="ED142" i="7"/>
  <c r="ED155" i="7"/>
  <c r="ED153" i="7"/>
  <c r="ED26" i="5"/>
  <c r="ED143" i="7"/>
  <c r="ED156" i="7"/>
  <c r="ED195" i="5"/>
  <c r="ED148" i="7"/>
  <c r="ED111" i="5"/>
  <c r="ED141" i="7"/>
  <c r="ED144" i="7"/>
  <c r="ED157" i="7"/>
  <c r="ED145" i="7"/>
  <c r="ED158" i="7"/>
  <c r="ED167" i="5"/>
  <c r="ED78" i="1"/>
  <c r="ED77" i="1"/>
  <c r="ED40" i="1"/>
  <c r="ED39" i="1"/>
  <c r="ED21" i="1"/>
  <c r="ED20" i="1"/>
  <c r="ED218" i="4"/>
  <c r="ED217" i="4"/>
  <c r="ED199" i="4"/>
  <c r="ED198" i="4"/>
  <c r="ED171" i="4"/>
  <c r="ED170" i="4"/>
  <c r="ED143" i="4"/>
  <c r="ED142" i="4"/>
  <c r="ED115" i="4"/>
  <c r="ED114" i="4"/>
  <c r="ED87" i="4"/>
  <c r="ED86" i="4"/>
  <c r="ED59" i="4"/>
  <c r="ED58" i="4"/>
  <c r="ED31" i="4"/>
  <c r="ED30" i="4"/>
  <c r="ED231" i="4"/>
  <c r="ED231" i="5" s="1"/>
  <c r="ED230" i="4"/>
  <c r="ED230" i="5" s="1"/>
  <c r="ED229" i="4"/>
  <c r="ED229" i="5" s="1"/>
  <c r="ED228" i="4"/>
  <c r="ED228" i="5" s="1"/>
  <c r="ED227" i="4"/>
  <c r="ED227" i="5" s="1"/>
  <c r="ED226" i="4"/>
  <c r="ED226" i="5" s="1"/>
  <c r="ED225" i="4"/>
  <c r="ED225" i="5" s="1"/>
  <c r="ED224" i="4"/>
  <c r="ED224" i="5" s="1"/>
  <c r="ED223" i="4"/>
  <c r="ED223" i="5" s="1"/>
  <c r="ED222" i="4"/>
  <c r="ED222" i="5" s="1"/>
  <c r="ED221" i="4"/>
  <c r="ED221" i="5" s="1"/>
  <c r="ED220" i="4"/>
  <c r="ED220" i="5" s="1"/>
  <c r="ED219" i="4"/>
  <c r="ED214" i="4"/>
  <c r="ED195" i="4"/>
  <c r="ED167" i="4"/>
  <c r="ED139" i="4"/>
  <c r="ED111" i="4"/>
  <c r="ED83" i="4"/>
  <c r="ED55" i="4"/>
  <c r="ED164" i="7" l="1"/>
  <c r="ED233" i="4"/>
  <c r="ED219" i="5"/>
  <c r="ED233" i="5" s="1"/>
  <c r="ED146" i="2"/>
  <c r="ED145" i="2"/>
  <c r="ED121" i="2"/>
  <c r="ED120" i="2"/>
  <c r="ED96" i="2"/>
  <c r="ED95" i="2"/>
  <c r="ED77" i="2"/>
  <c r="ED76" i="2"/>
  <c r="ED52" i="2"/>
  <c r="ED51" i="2"/>
  <c r="ED26" i="2"/>
  <c r="ED27" i="2"/>
  <c r="ED141" i="2"/>
  <c r="ED166" i="2" s="1"/>
  <c r="ED140" i="2"/>
  <c r="ED165" i="2" s="1"/>
  <c r="ED139" i="2"/>
  <c r="ED164" i="2" s="1"/>
  <c r="ED138" i="2"/>
  <c r="ED137" i="2"/>
  <c r="ED136" i="2"/>
  <c r="ED134" i="2"/>
  <c r="ED133" i="2"/>
  <c r="ED132" i="2"/>
  <c r="ED131" i="2"/>
  <c r="ED130" i="2"/>
  <c r="ED129" i="2"/>
  <c r="ED128" i="2"/>
  <c r="ED127" i="2"/>
  <c r="ED126" i="2"/>
  <c r="ED125" i="2"/>
  <c r="ED150" i="2" s="1"/>
  <c r="ED124" i="2"/>
  <c r="ED123" i="2"/>
  <c r="ED122" i="2"/>
  <c r="ED147" i="2" s="1"/>
  <c r="ED117" i="2"/>
  <c r="ED92" i="2"/>
  <c r="ED73" i="2"/>
  <c r="ED48" i="2"/>
  <c r="ED23" i="2"/>
  <c r="ED79" i="1"/>
  <c r="EF79" i="1" s="1"/>
  <c r="EF83" i="1" l="1"/>
  <c r="ED152" i="2"/>
  <c r="ED119" i="7" s="1"/>
  <c r="ED64" i="7"/>
  <c r="ED163" i="2"/>
  <c r="ED130" i="7" s="1"/>
  <c r="ED75" i="7"/>
  <c r="ED157" i="2"/>
  <c r="ED124" i="7" s="1"/>
  <c r="ED69" i="7"/>
  <c r="ED158" i="2"/>
  <c r="ED125" i="7" s="1"/>
  <c r="ED70" i="7"/>
  <c r="ED149" i="2"/>
  <c r="ED116" i="7" s="1"/>
  <c r="ED61" i="7"/>
  <c r="ED159" i="2"/>
  <c r="ED126" i="7" s="1"/>
  <c r="ED71" i="7"/>
  <c r="ED148" i="2"/>
  <c r="ED115" i="7" s="1"/>
  <c r="ED60" i="7"/>
  <c r="ED161" i="2"/>
  <c r="ED128" i="7" s="1"/>
  <c r="ED73" i="7"/>
  <c r="ED162" i="2"/>
  <c r="ED129" i="7" s="1"/>
  <c r="ED74" i="7"/>
  <c r="ED151" i="2"/>
  <c r="ED118" i="7" s="1"/>
  <c r="ED63" i="7"/>
  <c r="ED153" i="2"/>
  <c r="ED120" i="7" s="1"/>
  <c r="ED65" i="7"/>
  <c r="ED154" i="2"/>
  <c r="ED121" i="7" s="1"/>
  <c r="ED66" i="7"/>
  <c r="ED155" i="2"/>
  <c r="ED122" i="7" s="1"/>
  <c r="ED67" i="7"/>
  <c r="ED156" i="2"/>
  <c r="ED123" i="7" s="1"/>
  <c r="ED68" i="7"/>
  <c r="ED142" i="2"/>
  <c r="ED83" i="1"/>
  <c r="HG69" i="1"/>
  <c r="HF69" i="1"/>
  <c r="ED81" i="7" l="1"/>
  <c r="ED167" i="2"/>
  <c r="ED136" i="7" s="1"/>
  <c r="ED55" i="1"/>
  <c r="ED15" i="1"/>
  <c r="ED14" i="1"/>
  <c r="ED13" i="1"/>
  <c r="ED11" i="1"/>
  <c r="ED10" i="1"/>
  <c r="ED9" i="1"/>
  <c r="ED8" i="1"/>
  <c r="ED7" i="1"/>
  <c r="ED6" i="1"/>
  <c r="ED5" i="1"/>
  <c r="ED4" i="1"/>
  <c r="ED3" i="1"/>
  <c r="HG68" i="1" l="1"/>
  <c r="HF68" i="1"/>
  <c r="HG65" i="1"/>
  <c r="HF65" i="1"/>
  <c r="HG67" i="1"/>
  <c r="HF67" i="1"/>
  <c r="HF71" i="1"/>
  <c r="HG71" i="1"/>
  <c r="HG60" i="1"/>
  <c r="HF60" i="1"/>
  <c r="HG66" i="1"/>
  <c r="HF66" i="1"/>
  <c r="HG70" i="1"/>
  <c r="HF70" i="1"/>
  <c r="HG72" i="1"/>
  <c r="HF72" i="1"/>
  <c r="HG61" i="1"/>
  <c r="HF61" i="1"/>
  <c r="HG62" i="1"/>
  <c r="HF62" i="1"/>
  <c r="HG63" i="1"/>
  <c r="HF63" i="1"/>
  <c r="HG64" i="1"/>
  <c r="HF64" i="1"/>
  <c r="ED17" i="1"/>
  <c r="HG74" i="1" s="1"/>
  <c r="EC81" i="8"/>
  <c r="EC71" i="8"/>
  <c r="EC52" i="8"/>
  <c r="EC24" i="8"/>
  <c r="EC23" i="8"/>
  <c r="EC22" i="8"/>
  <c r="EC21" i="8"/>
  <c r="EC20" i="8"/>
  <c r="EC19" i="8"/>
  <c r="EC18" i="8"/>
  <c r="EC17" i="8"/>
  <c r="EC15" i="8"/>
  <c r="EC14" i="8"/>
  <c r="EC13" i="8"/>
  <c r="EC12" i="8"/>
  <c r="EC11" i="8"/>
  <c r="EC10" i="8"/>
  <c r="EC9" i="8"/>
  <c r="EC8" i="8"/>
  <c r="EC7" i="8"/>
  <c r="EC6" i="8"/>
  <c r="EC5" i="8"/>
  <c r="EC4" i="8"/>
  <c r="EC3" i="8"/>
  <c r="HF74" i="1" l="1"/>
  <c r="EC25" i="8"/>
  <c r="EC108" i="7" l="1"/>
  <c r="EC107" i="7"/>
  <c r="EC105" i="7"/>
  <c r="EC104" i="7"/>
  <c r="EC103" i="7"/>
  <c r="EC102" i="7"/>
  <c r="EC101" i="7"/>
  <c r="EC100" i="7"/>
  <c r="EC54" i="7"/>
  <c r="EC106" i="7"/>
  <c r="EC138" i="6"/>
  <c r="EC110" i="6"/>
  <c r="EC82" i="6"/>
  <c r="EC212" i="5"/>
  <c r="EC98" i="7" s="1"/>
  <c r="EC211" i="5"/>
  <c r="EC97" i="7" s="1"/>
  <c r="EC210" i="5"/>
  <c r="EC96" i="7" s="1"/>
  <c r="EC209" i="5"/>
  <c r="EC95" i="7" s="1"/>
  <c r="EC208" i="5"/>
  <c r="EC94" i="7" s="1"/>
  <c r="EC207" i="5"/>
  <c r="EC93" i="7" s="1"/>
  <c r="EC206" i="5"/>
  <c r="EC92" i="7" s="1"/>
  <c r="EC205" i="5"/>
  <c r="EC91" i="7" s="1"/>
  <c r="EC204" i="5"/>
  <c r="EC90" i="7" s="1"/>
  <c r="EC203" i="5"/>
  <c r="EC89" i="7" s="1"/>
  <c r="EC202" i="5"/>
  <c r="EC88" i="7" s="1"/>
  <c r="EC201" i="5"/>
  <c r="EC87" i="7" s="1"/>
  <c r="EC200" i="5"/>
  <c r="EC86" i="7" s="1"/>
  <c r="EC194" i="5"/>
  <c r="EC193" i="5"/>
  <c r="EC192" i="5"/>
  <c r="EC191" i="5"/>
  <c r="EC190" i="5"/>
  <c r="EC189" i="5"/>
  <c r="EC188" i="5"/>
  <c r="EC187" i="5"/>
  <c r="EC186" i="5"/>
  <c r="EC184" i="5"/>
  <c r="EC183" i="5"/>
  <c r="EC182" i="5"/>
  <c r="EC181" i="5"/>
  <c r="EC180" i="5"/>
  <c r="EC179" i="5"/>
  <c r="EC178" i="5"/>
  <c r="EC177" i="5"/>
  <c r="EC176" i="5"/>
  <c r="EC175" i="5"/>
  <c r="EC174" i="5"/>
  <c r="EC173" i="5"/>
  <c r="EC172" i="5"/>
  <c r="EC166" i="5"/>
  <c r="EC165" i="5"/>
  <c r="EC164" i="5"/>
  <c r="EC163" i="5"/>
  <c r="EC162" i="5"/>
  <c r="EC161" i="5"/>
  <c r="EC160" i="5"/>
  <c r="EC159" i="5"/>
  <c r="EC158" i="5"/>
  <c r="EC156" i="5"/>
  <c r="EC155" i="5"/>
  <c r="EC154" i="5"/>
  <c r="EC153" i="5"/>
  <c r="EC152" i="5"/>
  <c r="EC151" i="5"/>
  <c r="EC150" i="5"/>
  <c r="EC149" i="5"/>
  <c r="EC148" i="5"/>
  <c r="EC147" i="5"/>
  <c r="EC146" i="5"/>
  <c r="EC145" i="5"/>
  <c r="EC144" i="5"/>
  <c r="EC138" i="5"/>
  <c r="EC25" i="7" s="1"/>
  <c r="EC137" i="5"/>
  <c r="EC24" i="7" s="1"/>
  <c r="EC136" i="5"/>
  <c r="EC23" i="7" s="1"/>
  <c r="EC135" i="5"/>
  <c r="EC22" i="7" s="1"/>
  <c r="EC134" i="5"/>
  <c r="EC21" i="7" s="1"/>
  <c r="EC133" i="5"/>
  <c r="EC20" i="7" s="1"/>
  <c r="EC132" i="5"/>
  <c r="EC19" i="7" s="1"/>
  <c r="EC131" i="5"/>
  <c r="EC18" i="7" s="1"/>
  <c r="EC130" i="5"/>
  <c r="EC17" i="7" s="1"/>
  <c r="EC128" i="5"/>
  <c r="EC15" i="7" s="1"/>
  <c r="EC127" i="5"/>
  <c r="EC14" i="7" s="1"/>
  <c r="EC126" i="5"/>
  <c r="EC13" i="7" s="1"/>
  <c r="EC125" i="5"/>
  <c r="EC12" i="7" s="1"/>
  <c r="EC124" i="5"/>
  <c r="EC11" i="7" s="1"/>
  <c r="EC123" i="5"/>
  <c r="EC10" i="7" s="1"/>
  <c r="EC122" i="5"/>
  <c r="EC9" i="7" s="1"/>
  <c r="EC121" i="5"/>
  <c r="EC8" i="7" s="1"/>
  <c r="EC120" i="5"/>
  <c r="EC7" i="7" s="1"/>
  <c r="EC119" i="5"/>
  <c r="EC6" i="7" s="1"/>
  <c r="EC118" i="5"/>
  <c r="EC5" i="7" s="1"/>
  <c r="EC117" i="5"/>
  <c r="EC4" i="7" s="1"/>
  <c r="EC116" i="5"/>
  <c r="EC110" i="5"/>
  <c r="EC109" i="5"/>
  <c r="EC108" i="5"/>
  <c r="EC107" i="5"/>
  <c r="EC106" i="5"/>
  <c r="EC105" i="5"/>
  <c r="EC104" i="5"/>
  <c r="EC103" i="5"/>
  <c r="EC102" i="5"/>
  <c r="EC100" i="5"/>
  <c r="EC99" i="5"/>
  <c r="EC98" i="5"/>
  <c r="EC97" i="5"/>
  <c r="EC96" i="5"/>
  <c r="EC95" i="5"/>
  <c r="EC94" i="5"/>
  <c r="EC93" i="5"/>
  <c r="EC92" i="5"/>
  <c r="EC91" i="5"/>
  <c r="EC90" i="5"/>
  <c r="EC89" i="5"/>
  <c r="EC88" i="5"/>
  <c r="EC82" i="5"/>
  <c r="EC81" i="5"/>
  <c r="EC80" i="5"/>
  <c r="EC79" i="5"/>
  <c r="EC78" i="5"/>
  <c r="EC77" i="5"/>
  <c r="EC76" i="5"/>
  <c r="EC75" i="5"/>
  <c r="EC74" i="5"/>
  <c r="EC72" i="5"/>
  <c r="EC71" i="5"/>
  <c r="EC70" i="5"/>
  <c r="EC69" i="5"/>
  <c r="EC68" i="5"/>
  <c r="EC67" i="5"/>
  <c r="EC66" i="5"/>
  <c r="EC65" i="5"/>
  <c r="EC64" i="5"/>
  <c r="EC63" i="5"/>
  <c r="EC62" i="5"/>
  <c r="EC61" i="5"/>
  <c r="EC60" i="5"/>
  <c r="EC54" i="5"/>
  <c r="EC53" i="5"/>
  <c r="EC52" i="5"/>
  <c r="EC51" i="5"/>
  <c r="EC50" i="5"/>
  <c r="EC49" i="5"/>
  <c r="EC48" i="5"/>
  <c r="EC47" i="5"/>
  <c r="EC46" i="5"/>
  <c r="EC44" i="5"/>
  <c r="EC43" i="5"/>
  <c r="EC42" i="5"/>
  <c r="EC41" i="5"/>
  <c r="EC40" i="5"/>
  <c r="EC39" i="5"/>
  <c r="EC38" i="5"/>
  <c r="EC37" i="5"/>
  <c r="EC36" i="5"/>
  <c r="EC35" i="5"/>
  <c r="EC34" i="5"/>
  <c r="EC33" i="5"/>
  <c r="EC32" i="5"/>
  <c r="EC25" i="5"/>
  <c r="EC24" i="5"/>
  <c r="EC23" i="5"/>
  <c r="EC22" i="5"/>
  <c r="EC21" i="5"/>
  <c r="EC20" i="5"/>
  <c r="EC19" i="5"/>
  <c r="EC18" i="5"/>
  <c r="EC17" i="5"/>
  <c r="EC15" i="5"/>
  <c r="EC14" i="5"/>
  <c r="EC13" i="5"/>
  <c r="EC12" i="5"/>
  <c r="EC11" i="5"/>
  <c r="EC10" i="5"/>
  <c r="EC9" i="5"/>
  <c r="EC8" i="5"/>
  <c r="EC7" i="5"/>
  <c r="EC6" i="5"/>
  <c r="EC5" i="5"/>
  <c r="EC4" i="5"/>
  <c r="EC3" i="5"/>
  <c r="EC195" i="3"/>
  <c r="EC167" i="3"/>
  <c r="EC139" i="3"/>
  <c r="EC111" i="3"/>
  <c r="EC83" i="3"/>
  <c r="EC55" i="3"/>
  <c r="EC26" i="3"/>
  <c r="EC219" i="4"/>
  <c r="EC219" i="5" s="1"/>
  <c r="EC220" i="4"/>
  <c r="EC220" i="5" s="1"/>
  <c r="EC221" i="4"/>
  <c r="EC221" i="5" s="1"/>
  <c r="EC222" i="4"/>
  <c r="EC222" i="5" s="1"/>
  <c r="EC223" i="4"/>
  <c r="EC223" i="5" s="1"/>
  <c r="EC224" i="4"/>
  <c r="EC224" i="5" s="1"/>
  <c r="EC225" i="4"/>
  <c r="EC225" i="5" s="1"/>
  <c r="EC226" i="4"/>
  <c r="EC227" i="4"/>
  <c r="EC227" i="5" s="1"/>
  <c r="EC228" i="4"/>
  <c r="EC228" i="5" s="1"/>
  <c r="EC229" i="4"/>
  <c r="EC229" i="5" s="1"/>
  <c r="EC230" i="4"/>
  <c r="EC230" i="5" s="1"/>
  <c r="EC231" i="4"/>
  <c r="EC231" i="5" s="1"/>
  <c r="EC214" i="4"/>
  <c r="EC195" i="4"/>
  <c r="EC167" i="4"/>
  <c r="EC139" i="4"/>
  <c r="EC111" i="4"/>
  <c r="EC83" i="4"/>
  <c r="EC55" i="4"/>
  <c r="EC26" i="4"/>
  <c r="EC141" i="2"/>
  <c r="EC166" i="2" s="1"/>
  <c r="EC140" i="2"/>
  <c r="EC165" i="2" s="1"/>
  <c r="EC139" i="2"/>
  <c r="EC164" i="2" s="1"/>
  <c r="EC138" i="2"/>
  <c r="EC163" i="2" s="1"/>
  <c r="EC137" i="2"/>
  <c r="EC162" i="2" s="1"/>
  <c r="EC136" i="2"/>
  <c r="EC161" i="2" s="1"/>
  <c r="EC134" i="2"/>
  <c r="EC159" i="2" s="1"/>
  <c r="EC133" i="2"/>
  <c r="EC158" i="2" s="1"/>
  <c r="EC132" i="2"/>
  <c r="EC157" i="2" s="1"/>
  <c r="EC131" i="2"/>
  <c r="EC156" i="2" s="1"/>
  <c r="EC130" i="2"/>
  <c r="EC155" i="2" s="1"/>
  <c r="EC129" i="2"/>
  <c r="EC154" i="2" s="1"/>
  <c r="EC128" i="2"/>
  <c r="EC153" i="2" s="1"/>
  <c r="EC127" i="2"/>
  <c r="EC152" i="2" s="1"/>
  <c r="EC126" i="2"/>
  <c r="EC151" i="2" s="1"/>
  <c r="EC125" i="2"/>
  <c r="EC150" i="2" s="1"/>
  <c r="EC124" i="2"/>
  <c r="EC149" i="2" s="1"/>
  <c r="EC123" i="2"/>
  <c r="EC148" i="2" s="1"/>
  <c r="EC122" i="2"/>
  <c r="EC147" i="2" s="1"/>
  <c r="EC117" i="2"/>
  <c r="EC92" i="2"/>
  <c r="EC48" i="2"/>
  <c r="EC123" i="7" l="1"/>
  <c r="EC119" i="7"/>
  <c r="EC121" i="7"/>
  <c r="EC120" i="7"/>
  <c r="EC115" i="7"/>
  <c r="EC150" i="7"/>
  <c r="EC116" i="7"/>
  <c r="EC118" i="7"/>
  <c r="EC142" i="7"/>
  <c r="EC159" i="7"/>
  <c r="EC125" i="7"/>
  <c r="EC70" i="7"/>
  <c r="EC60" i="7"/>
  <c r="EC61" i="7"/>
  <c r="EC69" i="7"/>
  <c r="EC124" i="7"/>
  <c r="EC233" i="4"/>
  <c r="EC145" i="7"/>
  <c r="EC153" i="7"/>
  <c r="EC146" i="7"/>
  <c r="EC163" i="7"/>
  <c r="EC155" i="7"/>
  <c r="EC55" i="5"/>
  <c r="EC149" i="7"/>
  <c r="EC158" i="7"/>
  <c r="EC143" i="7"/>
  <c r="EC151" i="7"/>
  <c r="EC160" i="7"/>
  <c r="EC147" i="7"/>
  <c r="EC156" i="7"/>
  <c r="EC139" i="5"/>
  <c r="EC144" i="7"/>
  <c r="EC152" i="7"/>
  <c r="EC161" i="7"/>
  <c r="EC148" i="7"/>
  <c r="EC157" i="7"/>
  <c r="EC162" i="7"/>
  <c r="EC111" i="5"/>
  <c r="EC63" i="7"/>
  <c r="EC71" i="7"/>
  <c r="EC128" i="7"/>
  <c r="EC141" i="7"/>
  <c r="EC126" i="7"/>
  <c r="EC64" i="7"/>
  <c r="EC74" i="7"/>
  <c r="EC129" i="7"/>
  <c r="EC195" i="5"/>
  <c r="EC65" i="7"/>
  <c r="EC75" i="7"/>
  <c r="EC130" i="7"/>
  <c r="EC73" i="7"/>
  <c r="EC66" i="7"/>
  <c r="EC122" i="7"/>
  <c r="EC83" i="5"/>
  <c r="EC167" i="5"/>
  <c r="EC214" i="5"/>
  <c r="EC226" i="5"/>
  <c r="EC233" i="5" s="1"/>
  <c r="EC67" i="7"/>
  <c r="EC26" i="5"/>
  <c r="EC3" i="7"/>
  <c r="EC26" i="7" s="1"/>
  <c r="EC68" i="7"/>
  <c r="EC109" i="7"/>
  <c r="EC26" i="6"/>
  <c r="EC54" i="6"/>
  <c r="EC73" i="2"/>
  <c r="EC167" i="2"/>
  <c r="EC23" i="2"/>
  <c r="EC142" i="2"/>
  <c r="EC81" i="7" l="1"/>
  <c r="EC164" i="7"/>
  <c r="EC136" i="7"/>
  <c r="EC83" i="1"/>
  <c r="EC55" i="1"/>
  <c r="EC15" i="1"/>
  <c r="HE72" i="1" s="1"/>
  <c r="EC14" i="1"/>
  <c r="HE71" i="1" s="1"/>
  <c r="EC13" i="1"/>
  <c r="HE70" i="1" s="1"/>
  <c r="EC12" i="1"/>
  <c r="HD69" i="1" s="1"/>
  <c r="EC11" i="1"/>
  <c r="HE68" i="1" s="1"/>
  <c r="EC10" i="1"/>
  <c r="HE67" i="1" s="1"/>
  <c r="EC9" i="1"/>
  <c r="HE66" i="1" s="1"/>
  <c r="EC8" i="1"/>
  <c r="HE65" i="1" s="1"/>
  <c r="EC7" i="1"/>
  <c r="HE64" i="1" s="1"/>
  <c r="EC6" i="1"/>
  <c r="HE63" i="1" s="1"/>
  <c r="EC5" i="1"/>
  <c r="HE62" i="1" s="1"/>
  <c r="EC4" i="1"/>
  <c r="EC3" i="1"/>
  <c r="HE60" i="1" s="1"/>
  <c r="HD67" i="1" l="1"/>
  <c r="HD71" i="1"/>
  <c r="HE61" i="1"/>
  <c r="HD61" i="1"/>
  <c r="HD63" i="1"/>
  <c r="HD60" i="1"/>
  <c r="HD64" i="1"/>
  <c r="HD68" i="1"/>
  <c r="HD72" i="1"/>
  <c r="HD65" i="1"/>
  <c r="HE69" i="1"/>
  <c r="HD62" i="1"/>
  <c r="HD66" i="1"/>
  <c r="HD70" i="1"/>
  <c r="EC17" i="1"/>
  <c r="HE74" i="1" s="1"/>
  <c r="EB103" i="7"/>
  <c r="EF103" i="7" s="1"/>
  <c r="HD74" i="1" l="1"/>
  <c r="EB81" i="8" l="1"/>
  <c r="EB71" i="8"/>
  <c r="EB52" i="8"/>
  <c r="EB24" i="8"/>
  <c r="EB23" i="8"/>
  <c r="EB22" i="8"/>
  <c r="EB21" i="8"/>
  <c r="EB20" i="8"/>
  <c r="EB19" i="8"/>
  <c r="EB18" i="8"/>
  <c r="EB17" i="8"/>
  <c r="EB15" i="8"/>
  <c r="EB14" i="8"/>
  <c r="EB13" i="8"/>
  <c r="EB12" i="8"/>
  <c r="EB11" i="8"/>
  <c r="EB10" i="8"/>
  <c r="EB9" i="8"/>
  <c r="EB8" i="8"/>
  <c r="EB7" i="8"/>
  <c r="EB6" i="8"/>
  <c r="EB5" i="8"/>
  <c r="EB4" i="8"/>
  <c r="EB3" i="8"/>
  <c r="EB51" i="7"/>
  <c r="EF51" i="7" s="1"/>
  <c r="EB45" i="7"/>
  <c r="EB108" i="7"/>
  <c r="EF108" i="7" s="1"/>
  <c r="EB107" i="7"/>
  <c r="EF107" i="7" s="1"/>
  <c r="EB105" i="7"/>
  <c r="EF105" i="7" s="1"/>
  <c r="EB104" i="7"/>
  <c r="EF104" i="7" s="1"/>
  <c r="EB102" i="7"/>
  <c r="EF102" i="7" s="1"/>
  <c r="EB101" i="7"/>
  <c r="EF101" i="7" s="1"/>
  <c r="EB135" i="6"/>
  <c r="EF135" i="6" s="1"/>
  <c r="EB129" i="6"/>
  <c r="EF129" i="6" s="1"/>
  <c r="EB51" i="6"/>
  <c r="EB45" i="6"/>
  <c r="EF45" i="6" s="1"/>
  <c r="EB110" i="6"/>
  <c r="EB82" i="6"/>
  <c r="EB25" i="6"/>
  <c r="EF25" i="6" s="1"/>
  <c r="EB24" i="6"/>
  <c r="EF24" i="6" s="1"/>
  <c r="EB22" i="6"/>
  <c r="EF22" i="6" s="1"/>
  <c r="EB21" i="6"/>
  <c r="EF21" i="6" s="1"/>
  <c r="EB20" i="6"/>
  <c r="EF20" i="6" s="1"/>
  <c r="EB19" i="6"/>
  <c r="EF19" i="6" s="1"/>
  <c r="EB18" i="6"/>
  <c r="EF18" i="6" s="1"/>
  <c r="EB15" i="6"/>
  <c r="EF15" i="6" s="1"/>
  <c r="EB14" i="6"/>
  <c r="EF14" i="6" s="1"/>
  <c r="EB13" i="6"/>
  <c r="EF13" i="6" s="1"/>
  <c r="EB12" i="6"/>
  <c r="EF12" i="6" s="1"/>
  <c r="EB11" i="6"/>
  <c r="EF11" i="6" s="1"/>
  <c r="EB10" i="6"/>
  <c r="EF10" i="6" s="1"/>
  <c r="EB9" i="6"/>
  <c r="EF9" i="6" s="1"/>
  <c r="EB8" i="6"/>
  <c r="EF8" i="6" s="1"/>
  <c r="EB7" i="6"/>
  <c r="EF7" i="6" s="1"/>
  <c r="EB6" i="6"/>
  <c r="EF6" i="6" s="1"/>
  <c r="EB5" i="6"/>
  <c r="EF5" i="6" s="1"/>
  <c r="EB4" i="6"/>
  <c r="EF4" i="6" s="1"/>
  <c r="EB3" i="6"/>
  <c r="EF3" i="6" s="1"/>
  <c r="EB212" i="5"/>
  <c r="EB98" i="7" s="1"/>
  <c r="EF98" i="7" s="1"/>
  <c r="EB211" i="5"/>
  <c r="EB97" i="7" s="1"/>
  <c r="EF97" i="7" s="1"/>
  <c r="EB210" i="5"/>
  <c r="EB96" i="7" s="1"/>
  <c r="EF96" i="7" s="1"/>
  <c r="EB209" i="5"/>
  <c r="EB95" i="7" s="1"/>
  <c r="EF95" i="7" s="1"/>
  <c r="EB208" i="5"/>
  <c r="EB94" i="7" s="1"/>
  <c r="EF94" i="7" s="1"/>
  <c r="EB207" i="5"/>
  <c r="EB93" i="7" s="1"/>
  <c r="EF93" i="7" s="1"/>
  <c r="EB206" i="5"/>
  <c r="EB92" i="7" s="1"/>
  <c r="EF92" i="7" s="1"/>
  <c r="EB205" i="5"/>
  <c r="EB91" i="7" s="1"/>
  <c r="EF91" i="7" s="1"/>
  <c r="EB204" i="5"/>
  <c r="EB90" i="7" s="1"/>
  <c r="EF90" i="7" s="1"/>
  <c r="EB203" i="5"/>
  <c r="EB89" i="7" s="1"/>
  <c r="EF89" i="7" s="1"/>
  <c r="EB202" i="5"/>
  <c r="EB88" i="7" s="1"/>
  <c r="EF88" i="7" s="1"/>
  <c r="EB201" i="5"/>
  <c r="EB87" i="7" s="1"/>
  <c r="EF87" i="7" s="1"/>
  <c r="EB200" i="5"/>
  <c r="EB194" i="5"/>
  <c r="EB193" i="5"/>
  <c r="EB192" i="5"/>
  <c r="EB191" i="5"/>
  <c r="EB190" i="5"/>
  <c r="EB189" i="5"/>
  <c r="EB188" i="5"/>
  <c r="EB187" i="5"/>
  <c r="EB184" i="5"/>
  <c r="EB183" i="5"/>
  <c r="EB182" i="5"/>
  <c r="EB181" i="5"/>
  <c r="EB180" i="5"/>
  <c r="EB179" i="5"/>
  <c r="EB178" i="5"/>
  <c r="EB177" i="5"/>
  <c r="EB176" i="5"/>
  <c r="EB175" i="5"/>
  <c r="EB174" i="5"/>
  <c r="EB173" i="5"/>
  <c r="EB172" i="5"/>
  <c r="EB166" i="5"/>
  <c r="EB165" i="5"/>
  <c r="EB164" i="5"/>
  <c r="EB163" i="5"/>
  <c r="EB162" i="5"/>
  <c r="EB161" i="5"/>
  <c r="EB160" i="5"/>
  <c r="EB159" i="5"/>
  <c r="EB156" i="5"/>
  <c r="EB155" i="5"/>
  <c r="EB154" i="5"/>
  <c r="EB153" i="5"/>
  <c r="EB152" i="5"/>
  <c r="EB151" i="5"/>
  <c r="EB150" i="5"/>
  <c r="EB149" i="5"/>
  <c r="EB148" i="5"/>
  <c r="EB147" i="5"/>
  <c r="EB146" i="5"/>
  <c r="EB145" i="5"/>
  <c r="EB144" i="5"/>
  <c r="EB138" i="5"/>
  <c r="EB25" i="7" s="1"/>
  <c r="EF25" i="7" s="1"/>
  <c r="EB137" i="5"/>
  <c r="EB24" i="7" s="1"/>
  <c r="EF24" i="7" s="1"/>
  <c r="EB136" i="5"/>
  <c r="EB135" i="5"/>
  <c r="EB22" i="7" s="1"/>
  <c r="EF22" i="7" s="1"/>
  <c r="EB134" i="5"/>
  <c r="EB21" i="7" s="1"/>
  <c r="EF21" i="7" s="1"/>
  <c r="EB133" i="5"/>
  <c r="EB20" i="7" s="1"/>
  <c r="EF20" i="7" s="1"/>
  <c r="EB132" i="5"/>
  <c r="EB19" i="7" s="1"/>
  <c r="EF19" i="7" s="1"/>
  <c r="EB131" i="5"/>
  <c r="EB18" i="7" s="1"/>
  <c r="EF18" i="7" s="1"/>
  <c r="EB128" i="5"/>
  <c r="EB15" i="7" s="1"/>
  <c r="EF15" i="7" s="1"/>
  <c r="EB127" i="5"/>
  <c r="EB14" i="7" s="1"/>
  <c r="EF14" i="7" s="1"/>
  <c r="EB126" i="5"/>
  <c r="EB13" i="7" s="1"/>
  <c r="EF13" i="7" s="1"/>
  <c r="EB125" i="5"/>
  <c r="EB12" i="7" s="1"/>
  <c r="EF12" i="7" s="1"/>
  <c r="EB124" i="5"/>
  <c r="EB11" i="7" s="1"/>
  <c r="EF11" i="7" s="1"/>
  <c r="EB123" i="5"/>
  <c r="EB10" i="7" s="1"/>
  <c r="EF10" i="7" s="1"/>
  <c r="EB122" i="5"/>
  <c r="EB9" i="7" s="1"/>
  <c r="EF9" i="7" s="1"/>
  <c r="EB121" i="5"/>
  <c r="EB8" i="7" s="1"/>
  <c r="EF8" i="7" s="1"/>
  <c r="EB120" i="5"/>
  <c r="EB7" i="7" s="1"/>
  <c r="EF7" i="7" s="1"/>
  <c r="EB119" i="5"/>
  <c r="EB6" i="7" s="1"/>
  <c r="EF6" i="7" s="1"/>
  <c r="EB118" i="5"/>
  <c r="EB5" i="7" s="1"/>
  <c r="EF5" i="7" s="1"/>
  <c r="EB117" i="5"/>
  <c r="EB116" i="5"/>
  <c r="EB3" i="7" s="1"/>
  <c r="EF3" i="7" s="1"/>
  <c r="EB110" i="5"/>
  <c r="EB109" i="5"/>
  <c r="EB108" i="5"/>
  <c r="EB107" i="5"/>
  <c r="EB105" i="5"/>
  <c r="EB104" i="5"/>
  <c r="EB91" i="5"/>
  <c r="EB88" i="5"/>
  <c r="EB82" i="5"/>
  <c r="EB81" i="5"/>
  <c r="EB80" i="5"/>
  <c r="EB79" i="5"/>
  <c r="EB78" i="5"/>
  <c r="EB77" i="5"/>
  <c r="EB76" i="5"/>
  <c r="EB75" i="5"/>
  <c r="EB72" i="5"/>
  <c r="EB71" i="5"/>
  <c r="EB70" i="5"/>
  <c r="EB69" i="5"/>
  <c r="EB68" i="5"/>
  <c r="EB67" i="5"/>
  <c r="EB66" i="5"/>
  <c r="EB65" i="5"/>
  <c r="EB64" i="5"/>
  <c r="EB63" i="5"/>
  <c r="EB62" i="5"/>
  <c r="EB61" i="5"/>
  <c r="EB60" i="5"/>
  <c r="EB54" i="5"/>
  <c r="EB53" i="5"/>
  <c r="EB52" i="5"/>
  <c r="EB51" i="5"/>
  <c r="EB50" i="5"/>
  <c r="EB49" i="5"/>
  <c r="EB48" i="5"/>
  <c r="EB47" i="5"/>
  <c r="EB44" i="5"/>
  <c r="EB43" i="5"/>
  <c r="EB42" i="5"/>
  <c r="EB41" i="5"/>
  <c r="EB40" i="5"/>
  <c r="EB39" i="5"/>
  <c r="EB38" i="5"/>
  <c r="EB37" i="5"/>
  <c r="EB36" i="5"/>
  <c r="EB35" i="5"/>
  <c r="EB34" i="5"/>
  <c r="EB33" i="5"/>
  <c r="EB32" i="5"/>
  <c r="EB25" i="5"/>
  <c r="EB24" i="5"/>
  <c r="EB22" i="5"/>
  <c r="EB21" i="5"/>
  <c r="EB20" i="5"/>
  <c r="EB19" i="5"/>
  <c r="EB18" i="5"/>
  <c r="EB15" i="5"/>
  <c r="EB14" i="5"/>
  <c r="EB13" i="5"/>
  <c r="EB12" i="5"/>
  <c r="EB11" i="5"/>
  <c r="EB10" i="5"/>
  <c r="EB9" i="5"/>
  <c r="EB8" i="5"/>
  <c r="EB7" i="5"/>
  <c r="EB6" i="5"/>
  <c r="EB5" i="5"/>
  <c r="EB4" i="5"/>
  <c r="EB3" i="5"/>
  <c r="EB186" i="3"/>
  <c r="EF186" i="3" s="1"/>
  <c r="EF195" i="3" s="1"/>
  <c r="EB195" i="3"/>
  <c r="EB158" i="3"/>
  <c r="EB130" i="3"/>
  <c r="EF130" i="3" s="1"/>
  <c r="EF139" i="3" s="1"/>
  <c r="EB139" i="3"/>
  <c r="EB106" i="3"/>
  <c r="EB103" i="3"/>
  <c r="EB102" i="3"/>
  <c r="EF102" i="3" s="1"/>
  <c r="EB100" i="3"/>
  <c r="EF100" i="3" s="1"/>
  <c r="EB98" i="3"/>
  <c r="EF98" i="3" s="1"/>
  <c r="EB97" i="3"/>
  <c r="EF97" i="3" s="1"/>
  <c r="EB96" i="3"/>
  <c r="EF96" i="3" s="1"/>
  <c r="EB93" i="3"/>
  <c r="EF93" i="3" s="1"/>
  <c r="EB92" i="3"/>
  <c r="EF92" i="3" s="1"/>
  <c r="EB90" i="3"/>
  <c r="EF90" i="3" s="1"/>
  <c r="EB74" i="3"/>
  <c r="EB46" i="3"/>
  <c r="EF46" i="3" s="1"/>
  <c r="EF55" i="3" s="1"/>
  <c r="EB23" i="3"/>
  <c r="EB17" i="3"/>
  <c r="EF17" i="3" s="1"/>
  <c r="EB186" i="4"/>
  <c r="EB158" i="4"/>
  <c r="EB130" i="4"/>
  <c r="EB102" i="4"/>
  <c r="EF102" i="4" s="1"/>
  <c r="EF102" i="5" s="1"/>
  <c r="EB100" i="4"/>
  <c r="EB99" i="4"/>
  <c r="EB98" i="4"/>
  <c r="EB97" i="4"/>
  <c r="EF97" i="4" s="1"/>
  <c r="EB96" i="4"/>
  <c r="EB95" i="4"/>
  <c r="EB94" i="4"/>
  <c r="EB93" i="4"/>
  <c r="EB92" i="4"/>
  <c r="EF92" i="4" s="1"/>
  <c r="EF92" i="5" s="1"/>
  <c r="EF145" i="7" s="1"/>
  <c r="EB90" i="4"/>
  <c r="EB89" i="4"/>
  <c r="EB74" i="4"/>
  <c r="EF74" i="4" s="1"/>
  <c r="EB46" i="4"/>
  <c r="EB17" i="4"/>
  <c r="EF17" i="4" s="1"/>
  <c r="EB231" i="4"/>
  <c r="EB229" i="4"/>
  <c r="EB228" i="4"/>
  <c r="EB227" i="4"/>
  <c r="EB225" i="4"/>
  <c r="EB224" i="4"/>
  <c r="EB223" i="4"/>
  <c r="EB222" i="4"/>
  <c r="EB221" i="4"/>
  <c r="EB220" i="4"/>
  <c r="EB230" i="4"/>
  <c r="EB226" i="4"/>
  <c r="EB219" i="4"/>
  <c r="EB214" i="4"/>
  <c r="EB111" i="2"/>
  <c r="EF111" i="2" s="1"/>
  <c r="EF68" i="2"/>
  <c r="EF17" i="2"/>
  <c r="EB141" i="2"/>
  <c r="EB140" i="2"/>
  <c r="EB139" i="2"/>
  <c r="EB138" i="2"/>
  <c r="EB137" i="2"/>
  <c r="EB134" i="2"/>
  <c r="EF134" i="2" s="1"/>
  <c r="EB133" i="2"/>
  <c r="EB132" i="2"/>
  <c r="EB131" i="2"/>
  <c r="EB130" i="2"/>
  <c r="EB129" i="2"/>
  <c r="EB128" i="2"/>
  <c r="EB127" i="2"/>
  <c r="EB126" i="2"/>
  <c r="EB125" i="2"/>
  <c r="EB124" i="2"/>
  <c r="EB123" i="2"/>
  <c r="EB122" i="2"/>
  <c r="EF122" i="2" s="1"/>
  <c r="EB92" i="2"/>
  <c r="EB48" i="2"/>
  <c r="HB67" i="1"/>
  <c r="EB55" i="1"/>
  <c r="EB36" i="1"/>
  <c r="EB15" i="1"/>
  <c r="HC72" i="1" s="1"/>
  <c r="EB14" i="1"/>
  <c r="HC71" i="1" s="1"/>
  <c r="EB13" i="1"/>
  <c r="HB70" i="1" s="1"/>
  <c r="EB12" i="1"/>
  <c r="HB69" i="1" s="1"/>
  <c r="EB11" i="1"/>
  <c r="HC68" i="1" s="1"/>
  <c r="EB10" i="1"/>
  <c r="HC67" i="1" s="1"/>
  <c r="EB9" i="1"/>
  <c r="HB66" i="1" s="1"/>
  <c r="EB8" i="1"/>
  <c r="HC65" i="1" s="1"/>
  <c r="EB7" i="1"/>
  <c r="HC64" i="1" s="1"/>
  <c r="EB6" i="1"/>
  <c r="HC63" i="1" s="1"/>
  <c r="EB5" i="1"/>
  <c r="HB62" i="1" s="1"/>
  <c r="EB4" i="1"/>
  <c r="HB61" i="1" s="1"/>
  <c r="EB3" i="1"/>
  <c r="HC60" i="1" s="1"/>
  <c r="EB83" i="1"/>
  <c r="EB17" i="6" l="1"/>
  <c r="EF17" i="6" s="1"/>
  <c r="EB100" i="5"/>
  <c r="EF100" i="4"/>
  <c r="EF100" i="5" s="1"/>
  <c r="EF153" i="7" s="1"/>
  <c r="EB83" i="3"/>
  <c r="EF74" i="3"/>
  <c r="EF83" i="3" s="1"/>
  <c r="EB89" i="5"/>
  <c r="EF89" i="4"/>
  <c r="EB98" i="5"/>
  <c r="EB151" i="7" s="1"/>
  <c r="EF98" i="4"/>
  <c r="EF98" i="5" s="1"/>
  <c r="EF151" i="7" s="1"/>
  <c r="EB167" i="3"/>
  <c r="EF158" i="3"/>
  <c r="EF167" i="3" s="1"/>
  <c r="EB90" i="5"/>
  <c r="EB143" i="7" s="1"/>
  <c r="EF90" i="4"/>
  <c r="EF90" i="5" s="1"/>
  <c r="EF143" i="7" s="1"/>
  <c r="EB26" i="4"/>
  <c r="EB94" i="5"/>
  <c r="EF94" i="4"/>
  <c r="EF94" i="5" s="1"/>
  <c r="EF147" i="7" s="1"/>
  <c r="EB130" i="5"/>
  <c r="EF130" i="4"/>
  <c r="EB139" i="4"/>
  <c r="EB46" i="5"/>
  <c r="EF46" i="4"/>
  <c r="EB95" i="5"/>
  <c r="EB148" i="7" s="1"/>
  <c r="EF95" i="4"/>
  <c r="EF95" i="5" s="1"/>
  <c r="EF148" i="7" s="1"/>
  <c r="EB167" i="4"/>
  <c r="EF158" i="4"/>
  <c r="EB106" i="5"/>
  <c r="EF106" i="3"/>
  <c r="EF106" i="5" s="1"/>
  <c r="EF159" i="7" s="1"/>
  <c r="EB83" i="4"/>
  <c r="EB96" i="5"/>
  <c r="EB149" i="7" s="1"/>
  <c r="EF96" i="4"/>
  <c r="EF96" i="5" s="1"/>
  <c r="EF149" i="7" s="1"/>
  <c r="EB195" i="4"/>
  <c r="EF186" i="4"/>
  <c r="EF138" i="6"/>
  <c r="EB100" i="7"/>
  <c r="EF100" i="7" s="1"/>
  <c r="EF45" i="7"/>
  <c r="EF54" i="7" s="1"/>
  <c r="EB99" i="5"/>
  <c r="EB152" i="7" s="1"/>
  <c r="EF99" i="4"/>
  <c r="EF99" i="5" s="1"/>
  <c r="EF152" i="7" s="1"/>
  <c r="EB23" i="5"/>
  <c r="EF23" i="3"/>
  <c r="EF23" i="5" s="1"/>
  <c r="EB93" i="5"/>
  <c r="EF93" i="4"/>
  <c r="EF93" i="5" s="1"/>
  <c r="EF146" i="7" s="1"/>
  <c r="EF17" i="5"/>
  <c r="EF26" i="5" s="1"/>
  <c r="EF26" i="4"/>
  <c r="EB103" i="5"/>
  <c r="EF103" i="3"/>
  <c r="EF103" i="5" s="1"/>
  <c r="EF156" i="7" s="1"/>
  <c r="EB23" i="6"/>
  <c r="EF23" i="6" s="1"/>
  <c r="EF26" i="6" s="1"/>
  <c r="EF51" i="6"/>
  <c r="EF54" i="6" s="1"/>
  <c r="EF83" i="4"/>
  <c r="EF97" i="5"/>
  <c r="EF150" i="7" s="1"/>
  <c r="EB55" i="3"/>
  <c r="EB164" i="2"/>
  <c r="EF139" i="2"/>
  <c r="EF164" i="2" s="1"/>
  <c r="EB165" i="2"/>
  <c r="EF140" i="2"/>
  <c r="EB166" i="2"/>
  <c r="EF141" i="2"/>
  <c r="EB159" i="2"/>
  <c r="EB126" i="7" s="1"/>
  <c r="EF71" i="7"/>
  <c r="EB162" i="2"/>
  <c r="EB129" i="7" s="1"/>
  <c r="EF137" i="2"/>
  <c r="EF74" i="7" s="1"/>
  <c r="EB163" i="2"/>
  <c r="EB130" i="7" s="1"/>
  <c r="EF138" i="2"/>
  <c r="EF75" i="7" s="1"/>
  <c r="EB157" i="2"/>
  <c r="EB124" i="7" s="1"/>
  <c r="EF132" i="2"/>
  <c r="EF69" i="7" s="1"/>
  <c r="EB158" i="2"/>
  <c r="EB125" i="7" s="1"/>
  <c r="EF133" i="2"/>
  <c r="EF70" i="7" s="1"/>
  <c r="EB154" i="2"/>
  <c r="EB121" i="7" s="1"/>
  <c r="EF129" i="2"/>
  <c r="EB156" i="2"/>
  <c r="EB123" i="7" s="1"/>
  <c r="EF131" i="2"/>
  <c r="EF147" i="2"/>
  <c r="EB152" i="2"/>
  <c r="EB119" i="7" s="1"/>
  <c r="EF127" i="2"/>
  <c r="EB148" i="2"/>
  <c r="EB115" i="7" s="1"/>
  <c r="EF123" i="2"/>
  <c r="EB149" i="2"/>
  <c r="EB116" i="7" s="1"/>
  <c r="EF124" i="2"/>
  <c r="EB153" i="2"/>
  <c r="EB120" i="7" s="1"/>
  <c r="EF128" i="2"/>
  <c r="EB155" i="2"/>
  <c r="EB122" i="7" s="1"/>
  <c r="EF130" i="2"/>
  <c r="EB150" i="2"/>
  <c r="EF125" i="2"/>
  <c r="EB151" i="2"/>
  <c r="EF126" i="2"/>
  <c r="HB71" i="1"/>
  <c r="HB63" i="1"/>
  <c r="HC70" i="1"/>
  <c r="HC62" i="1"/>
  <c r="HC69" i="1"/>
  <c r="HC61" i="1"/>
  <c r="HC66" i="1"/>
  <c r="EF23" i="2"/>
  <c r="EB229" i="5"/>
  <c r="EF229" i="4"/>
  <c r="EF229" i="5" s="1"/>
  <c r="EB224" i="5"/>
  <c r="EF224" i="4"/>
  <c r="EB223" i="5"/>
  <c r="EF223" i="4"/>
  <c r="EB222" i="5"/>
  <c r="EF222" i="4"/>
  <c r="EB225" i="5"/>
  <c r="EF225" i="4"/>
  <c r="EB227" i="5"/>
  <c r="EF227" i="4"/>
  <c r="EF227" i="5" s="1"/>
  <c r="EB228" i="5"/>
  <c r="EF228" i="4"/>
  <c r="EF228" i="5" s="1"/>
  <c r="EB219" i="5"/>
  <c r="EF219" i="4"/>
  <c r="EB231" i="5"/>
  <c r="EF231" i="4"/>
  <c r="EF231" i="5" s="1"/>
  <c r="EB226" i="5"/>
  <c r="EF226" i="4"/>
  <c r="EB230" i="5"/>
  <c r="EF230" i="4"/>
  <c r="EF230" i="5" s="1"/>
  <c r="EB220" i="5"/>
  <c r="EF220" i="4"/>
  <c r="EB221" i="5"/>
  <c r="EF221" i="4"/>
  <c r="EF117" i="2"/>
  <c r="EB117" i="2"/>
  <c r="EB161" i="7"/>
  <c r="EB144" i="7"/>
  <c r="EB162" i="7"/>
  <c r="EB17" i="5"/>
  <c r="EB74" i="5"/>
  <c r="EB83" i="5" s="1"/>
  <c r="EB97" i="5"/>
  <c r="EB150" i="7" s="1"/>
  <c r="EB157" i="7"/>
  <c r="EB146" i="7"/>
  <c r="EB156" i="7"/>
  <c r="HB60" i="1"/>
  <c r="HB64" i="1"/>
  <c r="HB68" i="1"/>
  <c r="HB72" i="1"/>
  <c r="EB158" i="7"/>
  <c r="EB63" i="7"/>
  <c r="EB141" i="7"/>
  <c r="EB159" i="7"/>
  <c r="EB69" i="7"/>
  <c r="EB136" i="2"/>
  <c r="HB65" i="1"/>
  <c r="EB92" i="5"/>
  <c r="EB160" i="7"/>
  <c r="EB70" i="7"/>
  <c r="EB102" i="5"/>
  <c r="EB71" i="7"/>
  <c r="EB163" i="7"/>
  <c r="EB147" i="7"/>
  <c r="EB142" i="7"/>
  <c r="EB153" i="7"/>
  <c r="EB55" i="4"/>
  <c r="EB55" i="5"/>
  <c r="EB139" i="5"/>
  <c r="EB186" i="5"/>
  <c r="EB195" i="5" s="1"/>
  <c r="EB214" i="5"/>
  <c r="EB158" i="5"/>
  <c r="EB167" i="5" s="1"/>
  <c r="EB86" i="7"/>
  <c r="EF86" i="7" s="1"/>
  <c r="EB4" i="7"/>
  <c r="EF4" i="7" s="1"/>
  <c r="EB23" i="2"/>
  <c r="EB64" i="7"/>
  <c r="EB74" i="7"/>
  <c r="EB60" i="7"/>
  <c r="EB65" i="7"/>
  <c r="EB75" i="7"/>
  <c r="EB66" i="7"/>
  <c r="EB61" i="7"/>
  <c r="EB67" i="7"/>
  <c r="EB68" i="7"/>
  <c r="EB233" i="4"/>
  <c r="EB23" i="7"/>
  <c r="EF23" i="7" s="1"/>
  <c r="EB106" i="7"/>
  <c r="EF106" i="7" s="1"/>
  <c r="EB25" i="8"/>
  <c r="EB54" i="7"/>
  <c r="EB17" i="7"/>
  <c r="EF17" i="7" s="1"/>
  <c r="EB118" i="7"/>
  <c r="EB138" i="6"/>
  <c r="EB54" i="6"/>
  <c r="EB111" i="3"/>
  <c r="EB26" i="3"/>
  <c r="EB111" i="4"/>
  <c r="EB147" i="2"/>
  <c r="EB17" i="1"/>
  <c r="HC74" i="1" s="1"/>
  <c r="DZ68" i="2"/>
  <c r="DZ67" i="2"/>
  <c r="EF46" i="5" l="1"/>
  <c r="EF55" i="4"/>
  <c r="EF89" i="5"/>
  <c r="EF111" i="4"/>
  <c r="EB26" i="6"/>
  <c r="EF74" i="5"/>
  <c r="EF83" i="5" s="1"/>
  <c r="EF186" i="5"/>
  <c r="EF195" i="5" s="1"/>
  <c r="EF195" i="4"/>
  <c r="EF130" i="5"/>
  <c r="EF139" i="5" s="1"/>
  <c r="EF139" i="4"/>
  <c r="EF158" i="5"/>
  <c r="EF167" i="5" s="1"/>
  <c r="EF167" i="4"/>
  <c r="EF111" i="3"/>
  <c r="EB26" i="5"/>
  <c r="EF26" i="3"/>
  <c r="EF166" i="2"/>
  <c r="EF78" i="7"/>
  <c r="EF165" i="2"/>
  <c r="EF77" i="7"/>
  <c r="EF163" i="2"/>
  <c r="EF130" i="7" s="1"/>
  <c r="EF162" i="2"/>
  <c r="EF129" i="7" s="1"/>
  <c r="EB161" i="2"/>
  <c r="EB128" i="7" s="1"/>
  <c r="EF136" i="2"/>
  <c r="EF161" i="2" s="1"/>
  <c r="EF159" i="2"/>
  <c r="EF126" i="7" s="1"/>
  <c r="EF109" i="7"/>
  <c r="EF65" i="7"/>
  <c r="EF153" i="2"/>
  <c r="EF120" i="7" s="1"/>
  <c r="EF66" i="7"/>
  <c r="EF154" i="2"/>
  <c r="EF121" i="7" s="1"/>
  <c r="EF64" i="7"/>
  <c r="EF152" i="2"/>
  <c r="EF119" i="7" s="1"/>
  <c r="EF150" i="2"/>
  <c r="EF67" i="7"/>
  <c r="EF155" i="2"/>
  <c r="EF122" i="7" s="1"/>
  <c r="EF63" i="7"/>
  <c r="EF151" i="2"/>
  <c r="EF118" i="7" s="1"/>
  <c r="EF61" i="7"/>
  <c r="EF149" i="2"/>
  <c r="EF116" i="7" s="1"/>
  <c r="EF158" i="2"/>
  <c r="EF125" i="7" s="1"/>
  <c r="EF68" i="7"/>
  <c r="EF156" i="2"/>
  <c r="EF123" i="7" s="1"/>
  <c r="EF60" i="7"/>
  <c r="EF148" i="2"/>
  <c r="EF115" i="7" s="1"/>
  <c r="EF157" i="2"/>
  <c r="EF124" i="7" s="1"/>
  <c r="EB167" i="2"/>
  <c r="EB73" i="7"/>
  <c r="EF26" i="7"/>
  <c r="EF219" i="5"/>
  <c r="EB142" i="2"/>
  <c r="EB81" i="7" s="1"/>
  <c r="EB233" i="5"/>
  <c r="EF225" i="5"/>
  <c r="EF222" i="5"/>
  <c r="EF223" i="5"/>
  <c r="EF224" i="5"/>
  <c r="EF221" i="5"/>
  <c r="EF220" i="5"/>
  <c r="EF226" i="5"/>
  <c r="EF233" i="4"/>
  <c r="EB111" i="5"/>
  <c r="EB109" i="7"/>
  <c r="EB73" i="2"/>
  <c r="EF67" i="2"/>
  <c r="EB145" i="7"/>
  <c r="HB74" i="1"/>
  <c r="EB155" i="7"/>
  <c r="EB26" i="7"/>
  <c r="DZ15" i="1"/>
  <c r="DZ14" i="1"/>
  <c r="DZ13" i="1"/>
  <c r="DZ12" i="1"/>
  <c r="DZ11" i="1"/>
  <c r="DZ10" i="1"/>
  <c r="DZ9" i="1"/>
  <c r="DZ8" i="1"/>
  <c r="DZ7" i="1"/>
  <c r="DZ6" i="1"/>
  <c r="DZ5" i="1"/>
  <c r="DZ4" i="1"/>
  <c r="EF142" i="7" l="1"/>
  <c r="EF111" i="5"/>
  <c r="EF155" i="7"/>
  <c r="EF55" i="5"/>
  <c r="EF142" i="2"/>
  <c r="EF79" i="7" s="1"/>
  <c r="EF73" i="7"/>
  <c r="EB164" i="7"/>
  <c r="EF167" i="2"/>
  <c r="EF136" i="7" s="1"/>
  <c r="EF128" i="7"/>
  <c r="EF73" i="2"/>
  <c r="EF233" i="5"/>
  <c r="EB136" i="7"/>
  <c r="DZ23" i="3"/>
  <c r="EF164" i="7" l="1"/>
  <c r="EF81" i="7"/>
  <c r="EA69" i="8"/>
  <c r="EA43" i="7"/>
  <c r="EA127" i="6"/>
  <c r="EA99" i="6"/>
  <c r="EA71" i="6"/>
  <c r="EA43" i="6"/>
  <c r="EA184" i="3"/>
  <c r="EA156" i="3"/>
  <c r="EA128" i="3"/>
  <c r="EA72" i="3"/>
  <c r="EA44" i="3"/>
  <c r="EA15" i="3"/>
  <c r="EA212" i="4"/>
  <c r="EA184" i="4"/>
  <c r="EA156" i="4"/>
  <c r="EA128" i="4"/>
  <c r="EA72" i="4"/>
  <c r="EA44" i="4"/>
  <c r="EA15" i="4"/>
  <c r="EA109" i="2"/>
  <c r="EA90" i="2"/>
  <c r="EA65" i="2"/>
  <c r="EA15" i="2"/>
  <c r="EA15" i="6" l="1"/>
  <c r="DZ107" i="7"/>
  <c r="DZ81" i="8" l="1"/>
  <c r="EA78" i="8"/>
  <c r="EA77" i="8"/>
  <c r="EA76" i="8"/>
  <c r="DZ71" i="8"/>
  <c r="EA68" i="8"/>
  <c r="EA67" i="8"/>
  <c r="EA66" i="8"/>
  <c r="EA65" i="8"/>
  <c r="EA64" i="8"/>
  <c r="EA63" i="8"/>
  <c r="EA62" i="8"/>
  <c r="EA61" i="8"/>
  <c r="EA60" i="8"/>
  <c r="EA59" i="8"/>
  <c r="EA58" i="8"/>
  <c r="EA57" i="8"/>
  <c r="EA51" i="8"/>
  <c r="EA24" i="8" s="1"/>
  <c r="EA49" i="8"/>
  <c r="EA22" i="8" s="1"/>
  <c r="EA48" i="8"/>
  <c r="EA21" i="8" s="1"/>
  <c r="EA46" i="8"/>
  <c r="EA19" i="8" s="1"/>
  <c r="DZ18" i="8"/>
  <c r="DZ17" i="8"/>
  <c r="EA41" i="8"/>
  <c r="EA40" i="8"/>
  <c r="EA39" i="8"/>
  <c r="EA38" i="8"/>
  <c r="EA37" i="8"/>
  <c r="EA36" i="8"/>
  <c r="EA35" i="8"/>
  <c r="EA34" i="8"/>
  <c r="EA33" i="8"/>
  <c r="EA32" i="8"/>
  <c r="EA31" i="8"/>
  <c r="EA30" i="8"/>
  <c r="DZ24" i="8"/>
  <c r="DZ22" i="8"/>
  <c r="DZ21" i="8"/>
  <c r="DZ20" i="8"/>
  <c r="DZ19" i="8"/>
  <c r="DZ15" i="8"/>
  <c r="DZ14" i="8"/>
  <c r="DZ13" i="8"/>
  <c r="DZ12" i="8"/>
  <c r="DZ11" i="8"/>
  <c r="DZ10" i="8"/>
  <c r="DZ9" i="8"/>
  <c r="DZ8" i="8"/>
  <c r="DZ7" i="8"/>
  <c r="DZ6" i="8"/>
  <c r="DZ5" i="8"/>
  <c r="DZ4" i="8"/>
  <c r="DZ3" i="8"/>
  <c r="DZ108" i="7"/>
  <c r="DZ105" i="7"/>
  <c r="DZ104" i="7"/>
  <c r="DZ103" i="7"/>
  <c r="DZ102" i="7"/>
  <c r="DZ101" i="7"/>
  <c r="DZ100" i="7"/>
  <c r="DZ54" i="7"/>
  <c r="EA53" i="7"/>
  <c r="EA52" i="7"/>
  <c r="EA51" i="7"/>
  <c r="EA50" i="7"/>
  <c r="EA49" i="7"/>
  <c r="EA48" i="7"/>
  <c r="EA47" i="7"/>
  <c r="EA46" i="7"/>
  <c r="EA42" i="7"/>
  <c r="EA41" i="7"/>
  <c r="EA40" i="7"/>
  <c r="EA39" i="7"/>
  <c r="EA38" i="7"/>
  <c r="EA37" i="7"/>
  <c r="EA36" i="7"/>
  <c r="EA35" i="7"/>
  <c r="EA34" i="7"/>
  <c r="EA33" i="7"/>
  <c r="EA32" i="7"/>
  <c r="EA31" i="7"/>
  <c r="DZ17" i="6"/>
  <c r="EA137" i="6"/>
  <c r="EA136" i="6"/>
  <c r="EA135" i="6"/>
  <c r="EA134" i="6"/>
  <c r="EA133" i="6"/>
  <c r="EA132" i="6"/>
  <c r="EA131" i="6"/>
  <c r="EA130" i="6"/>
  <c r="EA126" i="6"/>
  <c r="EA125" i="6"/>
  <c r="EA124" i="6"/>
  <c r="EA123" i="6"/>
  <c r="EA122" i="6"/>
  <c r="EA121" i="6"/>
  <c r="EA120" i="6"/>
  <c r="EA119" i="6"/>
  <c r="EA118" i="6"/>
  <c r="EA117" i="6"/>
  <c r="EA116" i="6"/>
  <c r="EA115" i="6"/>
  <c r="DZ110" i="6"/>
  <c r="EA109" i="6"/>
  <c r="EA108" i="6"/>
  <c r="EA107" i="6"/>
  <c r="EA106" i="6"/>
  <c r="EA105" i="6"/>
  <c r="EA104" i="6"/>
  <c r="EA103" i="6"/>
  <c r="EA102" i="6"/>
  <c r="EA101" i="6"/>
  <c r="EA98" i="6"/>
  <c r="EA97" i="6"/>
  <c r="EA96" i="6"/>
  <c r="EA95" i="6"/>
  <c r="EA94" i="6"/>
  <c r="EA93" i="6"/>
  <c r="EA92" i="6"/>
  <c r="EA91" i="6"/>
  <c r="EA90" i="6"/>
  <c r="EA89" i="6"/>
  <c r="EA88" i="6"/>
  <c r="EA87" i="6"/>
  <c r="DZ82" i="6"/>
  <c r="EA81" i="6"/>
  <c r="EA80" i="6"/>
  <c r="EA79" i="6"/>
  <c r="EA78" i="6"/>
  <c r="EA77" i="6"/>
  <c r="EA76" i="6"/>
  <c r="EA75" i="6"/>
  <c r="EA74" i="6"/>
  <c r="EA73" i="6"/>
  <c r="EA70" i="6"/>
  <c r="EA69" i="6"/>
  <c r="EA68" i="6"/>
  <c r="EA67" i="6"/>
  <c r="EA66" i="6"/>
  <c r="EA65" i="6"/>
  <c r="EA64" i="6"/>
  <c r="EA63" i="6"/>
  <c r="EA62" i="6"/>
  <c r="EA61" i="6"/>
  <c r="EA60" i="6"/>
  <c r="EA59" i="6"/>
  <c r="EA53" i="6"/>
  <c r="EA52" i="6"/>
  <c r="EA51" i="6"/>
  <c r="EA50" i="6"/>
  <c r="EA49" i="6"/>
  <c r="EA48" i="6"/>
  <c r="EA47" i="6"/>
  <c r="EA46" i="6"/>
  <c r="EA42" i="6"/>
  <c r="EA41" i="6"/>
  <c r="EA40" i="6"/>
  <c r="EA39" i="6"/>
  <c r="EA38" i="6"/>
  <c r="EA37" i="6"/>
  <c r="EA36" i="6"/>
  <c r="EA35" i="6"/>
  <c r="EA34" i="6"/>
  <c r="EA33" i="6"/>
  <c r="EA32" i="6"/>
  <c r="EA31" i="6"/>
  <c r="DZ25" i="6"/>
  <c r="DZ19" i="6" s="1"/>
  <c r="DZ24" i="6"/>
  <c r="DZ23" i="6"/>
  <c r="DZ22" i="6"/>
  <c r="DZ21" i="6"/>
  <c r="DZ20" i="6"/>
  <c r="DZ18" i="6"/>
  <c r="DZ15" i="6"/>
  <c r="DZ14" i="6"/>
  <c r="DZ13" i="6"/>
  <c r="DZ12" i="6"/>
  <c r="DZ11" i="6"/>
  <c r="DZ10" i="6"/>
  <c r="DZ9" i="6"/>
  <c r="DZ8" i="6"/>
  <c r="DZ7" i="6"/>
  <c r="DZ6" i="6"/>
  <c r="DZ5" i="6"/>
  <c r="DZ4" i="6"/>
  <c r="DZ3" i="6"/>
  <c r="EA212" i="5"/>
  <c r="DZ212" i="5"/>
  <c r="DZ98" i="7" s="1"/>
  <c r="DZ211" i="5"/>
  <c r="DZ97" i="7" s="1"/>
  <c r="DZ210" i="5"/>
  <c r="DZ96" i="7" s="1"/>
  <c r="DZ209" i="5"/>
  <c r="DZ95" i="7" s="1"/>
  <c r="DZ208" i="5"/>
  <c r="DZ94" i="7" s="1"/>
  <c r="DZ207" i="5"/>
  <c r="DZ93" i="7" s="1"/>
  <c r="DZ206" i="5"/>
  <c r="DZ92" i="7" s="1"/>
  <c r="DZ205" i="5"/>
  <c r="DZ204" i="5"/>
  <c r="DZ90" i="7" s="1"/>
  <c r="DZ203" i="5"/>
  <c r="DZ89" i="7" s="1"/>
  <c r="DZ202" i="5"/>
  <c r="DZ88" i="7" s="1"/>
  <c r="DZ201" i="5"/>
  <c r="DZ87" i="7" s="1"/>
  <c r="DZ200" i="5"/>
  <c r="DZ86" i="7" s="1"/>
  <c r="DZ194" i="5"/>
  <c r="DZ193" i="5"/>
  <c r="DZ191" i="5"/>
  <c r="DZ190" i="5"/>
  <c r="DZ189" i="5"/>
  <c r="DZ188" i="5"/>
  <c r="DZ187" i="5"/>
  <c r="DZ186" i="5"/>
  <c r="EA184" i="5"/>
  <c r="DZ184" i="5"/>
  <c r="DZ183" i="5"/>
  <c r="DZ182" i="5"/>
  <c r="DZ181" i="5"/>
  <c r="DZ180" i="5"/>
  <c r="DZ179" i="5"/>
  <c r="DZ178" i="5"/>
  <c r="DZ177" i="5"/>
  <c r="DZ176" i="5"/>
  <c r="DZ175" i="5"/>
  <c r="DZ174" i="5"/>
  <c r="DZ173" i="5"/>
  <c r="DZ172" i="5"/>
  <c r="DZ166" i="5"/>
  <c r="DZ165" i="5"/>
  <c r="DZ164" i="5"/>
  <c r="DZ163" i="5"/>
  <c r="DZ162" i="5"/>
  <c r="DZ161" i="5"/>
  <c r="DZ160" i="5"/>
  <c r="DZ159" i="5"/>
  <c r="DZ158" i="5"/>
  <c r="EA156" i="5"/>
  <c r="DZ156" i="5"/>
  <c r="DZ155" i="5"/>
  <c r="DZ154" i="5"/>
  <c r="DZ153" i="5"/>
  <c r="DZ152" i="5"/>
  <c r="DZ151" i="5"/>
  <c r="DZ150" i="5"/>
  <c r="DZ149" i="5"/>
  <c r="DZ148" i="5"/>
  <c r="DZ147" i="5"/>
  <c r="DZ146" i="5"/>
  <c r="DZ145" i="5"/>
  <c r="DZ144" i="5"/>
  <c r="DZ138" i="5"/>
  <c r="DZ25" i="7" s="1"/>
  <c r="DZ137" i="5"/>
  <c r="DZ24" i="7" s="1"/>
  <c r="DZ136" i="5"/>
  <c r="DZ23" i="7" s="1"/>
  <c r="DZ135" i="5"/>
  <c r="DZ22" i="7" s="1"/>
  <c r="DZ134" i="5"/>
  <c r="DZ21" i="7" s="1"/>
  <c r="DZ133" i="5"/>
  <c r="DZ20" i="7" s="1"/>
  <c r="DZ132" i="5"/>
  <c r="DZ19" i="7" s="1"/>
  <c r="DZ131" i="5"/>
  <c r="DZ18" i="7" s="1"/>
  <c r="EA128" i="5"/>
  <c r="DZ128" i="5"/>
  <c r="DZ15" i="7" s="1"/>
  <c r="DZ127" i="5"/>
  <c r="DZ14" i="7" s="1"/>
  <c r="DZ126" i="5"/>
  <c r="DZ13" i="7" s="1"/>
  <c r="DZ125" i="5"/>
  <c r="DZ12" i="7" s="1"/>
  <c r="DZ124" i="5"/>
  <c r="DZ11" i="7" s="1"/>
  <c r="DZ123" i="5"/>
  <c r="DZ10" i="7" s="1"/>
  <c r="DZ122" i="5"/>
  <c r="DZ9" i="7" s="1"/>
  <c r="DZ121" i="5"/>
  <c r="DZ8" i="7" s="1"/>
  <c r="DZ120" i="5"/>
  <c r="DZ7" i="7" s="1"/>
  <c r="DZ119" i="5"/>
  <c r="DZ6" i="7" s="1"/>
  <c r="DZ118" i="5"/>
  <c r="DZ5" i="7" s="1"/>
  <c r="DZ117" i="5"/>
  <c r="DZ4" i="7" s="1"/>
  <c r="DZ116" i="5"/>
  <c r="DZ109" i="5"/>
  <c r="DZ108" i="5"/>
  <c r="DZ107" i="5"/>
  <c r="DZ106" i="5"/>
  <c r="DZ105" i="5"/>
  <c r="DZ104" i="5"/>
  <c r="DZ103" i="5"/>
  <c r="DZ102" i="5"/>
  <c r="DZ91" i="5"/>
  <c r="DZ88" i="5"/>
  <c r="DZ82" i="5"/>
  <c r="DZ81" i="5"/>
  <c r="DZ80" i="5"/>
  <c r="DZ79" i="5"/>
  <c r="DZ78" i="5"/>
  <c r="DZ77" i="5"/>
  <c r="DZ76" i="5"/>
  <c r="DZ75" i="5"/>
  <c r="DZ74" i="5"/>
  <c r="EA72" i="5"/>
  <c r="DZ72" i="5"/>
  <c r="DZ71" i="5"/>
  <c r="DZ70" i="5"/>
  <c r="DZ69" i="5"/>
  <c r="DZ68" i="5"/>
  <c r="DZ67" i="5"/>
  <c r="DZ66" i="5"/>
  <c r="DZ65" i="5"/>
  <c r="DZ64" i="5"/>
  <c r="DZ63" i="5"/>
  <c r="DZ62" i="5"/>
  <c r="DZ61" i="5"/>
  <c r="DZ60" i="5"/>
  <c r="DZ54" i="5"/>
  <c r="DZ53" i="5"/>
  <c r="DZ52" i="5"/>
  <c r="DZ51" i="5"/>
  <c r="DZ50" i="5"/>
  <c r="DZ49" i="5"/>
  <c r="DZ48" i="5"/>
  <c r="DZ47" i="5"/>
  <c r="DZ46" i="5"/>
  <c r="EA44" i="5"/>
  <c r="DZ44" i="5"/>
  <c r="DZ43" i="5"/>
  <c r="DZ42" i="5"/>
  <c r="DZ41" i="5"/>
  <c r="DZ40" i="5"/>
  <c r="DZ39" i="5"/>
  <c r="DZ38" i="5"/>
  <c r="DZ37" i="5"/>
  <c r="DZ36" i="5"/>
  <c r="DZ35" i="5"/>
  <c r="DZ34" i="5"/>
  <c r="DZ33" i="5"/>
  <c r="DZ32" i="5"/>
  <c r="DZ25" i="5"/>
  <c r="DZ24" i="5"/>
  <c r="DZ23" i="5"/>
  <c r="DZ22" i="5"/>
  <c r="DZ21" i="5"/>
  <c r="DZ20" i="5"/>
  <c r="DZ19" i="5"/>
  <c r="DZ18" i="5"/>
  <c r="DZ17" i="5"/>
  <c r="EA15" i="5"/>
  <c r="DZ15" i="5"/>
  <c r="DZ14" i="5"/>
  <c r="DZ13" i="5"/>
  <c r="DZ12" i="5"/>
  <c r="DZ11" i="5"/>
  <c r="DZ10" i="5"/>
  <c r="DZ9" i="5"/>
  <c r="DZ8" i="5"/>
  <c r="DZ7" i="5"/>
  <c r="DZ6" i="5"/>
  <c r="DZ5" i="5"/>
  <c r="DZ4" i="5"/>
  <c r="DZ3" i="5"/>
  <c r="DZ192" i="3"/>
  <c r="DZ195" i="3" s="1"/>
  <c r="DZ83" i="3"/>
  <c r="EA194" i="3"/>
  <c r="EA193" i="3"/>
  <c r="EA191" i="3"/>
  <c r="EA190" i="3"/>
  <c r="EA189" i="3"/>
  <c r="EA188" i="3"/>
  <c r="EA187" i="3"/>
  <c r="EA183" i="3"/>
  <c r="EA182" i="3"/>
  <c r="EA181" i="3"/>
  <c r="EA180" i="3"/>
  <c r="EA179" i="3"/>
  <c r="EA178" i="3"/>
  <c r="EA177" i="3"/>
  <c r="EA176" i="3"/>
  <c r="EA175" i="3"/>
  <c r="EA174" i="3"/>
  <c r="EA173" i="3"/>
  <c r="EA172" i="3"/>
  <c r="DZ167" i="3"/>
  <c r="EA166" i="3"/>
  <c r="EA165" i="3"/>
  <c r="EA164" i="3"/>
  <c r="EA163" i="3"/>
  <c r="EA162" i="3"/>
  <c r="EA161" i="3"/>
  <c r="EA160" i="3"/>
  <c r="EA159" i="3"/>
  <c r="EA155" i="3"/>
  <c r="EA154" i="3"/>
  <c r="EA153" i="3"/>
  <c r="EA152" i="3"/>
  <c r="EA151" i="3"/>
  <c r="EA150" i="3"/>
  <c r="EA149" i="3"/>
  <c r="EA148" i="3"/>
  <c r="EA147" i="3"/>
  <c r="EA146" i="3"/>
  <c r="EA145" i="3"/>
  <c r="EA144" i="3"/>
  <c r="DZ139" i="3"/>
  <c r="EA138" i="3"/>
  <c r="EA137" i="3"/>
  <c r="EA136" i="3"/>
  <c r="EA135" i="3"/>
  <c r="EA134" i="3"/>
  <c r="EA133" i="3"/>
  <c r="EA132" i="3"/>
  <c r="EA131" i="3"/>
  <c r="EA130" i="3"/>
  <c r="EA127" i="3"/>
  <c r="EA126" i="3"/>
  <c r="EA125" i="3"/>
  <c r="EA124" i="3"/>
  <c r="EA123" i="3"/>
  <c r="EA122" i="3"/>
  <c r="EA121" i="3"/>
  <c r="EA120" i="3"/>
  <c r="EA119" i="3"/>
  <c r="EA118" i="3"/>
  <c r="EA117" i="3"/>
  <c r="EA116" i="3"/>
  <c r="EA82" i="3"/>
  <c r="EA81" i="3"/>
  <c r="EA80" i="3"/>
  <c r="EA79" i="3"/>
  <c r="EA78" i="3"/>
  <c r="EA77" i="3"/>
  <c r="EA76" i="3"/>
  <c r="EA75" i="3"/>
  <c r="EA71" i="3"/>
  <c r="EA70" i="3"/>
  <c r="EA69" i="3"/>
  <c r="EA68" i="3"/>
  <c r="EA67" i="3"/>
  <c r="EA66" i="3"/>
  <c r="EA65" i="3"/>
  <c r="EA64" i="3"/>
  <c r="EA63" i="3"/>
  <c r="EA62" i="3"/>
  <c r="EA61" i="3"/>
  <c r="EA60" i="3"/>
  <c r="DZ55" i="3"/>
  <c r="EA54" i="3"/>
  <c r="EA53" i="3"/>
  <c r="EA52" i="3"/>
  <c r="EA51" i="3"/>
  <c r="EA48" i="3"/>
  <c r="EA47" i="3"/>
  <c r="EA43" i="3"/>
  <c r="EA42" i="3"/>
  <c r="EA41" i="3"/>
  <c r="EA40" i="3"/>
  <c r="EA39" i="3"/>
  <c r="EA38" i="3"/>
  <c r="EA37" i="3"/>
  <c r="EA36" i="3"/>
  <c r="EA35" i="3"/>
  <c r="EA34" i="3"/>
  <c r="EA33" i="3"/>
  <c r="EA32" i="3"/>
  <c r="EA25" i="3"/>
  <c r="EA24" i="3"/>
  <c r="EA23" i="3"/>
  <c r="EA22" i="3"/>
  <c r="EA21" i="3"/>
  <c r="EA20" i="3"/>
  <c r="EA19" i="3"/>
  <c r="EA18" i="3"/>
  <c r="EA14" i="3"/>
  <c r="EA13" i="3"/>
  <c r="EA12" i="3"/>
  <c r="EA11" i="3"/>
  <c r="EA10" i="3"/>
  <c r="EA9" i="3"/>
  <c r="EA8" i="3"/>
  <c r="EA7" i="3"/>
  <c r="EA6" i="3"/>
  <c r="EA5" i="3"/>
  <c r="EA4" i="3"/>
  <c r="EA3" i="3"/>
  <c r="DZ130" i="4"/>
  <c r="DZ130" i="5" s="1"/>
  <c r="DZ17" i="7" s="1"/>
  <c r="DZ100" i="4"/>
  <c r="DZ100" i="5" s="1"/>
  <c r="DZ99" i="4"/>
  <c r="DZ99" i="5" s="1"/>
  <c r="DZ98" i="4"/>
  <c r="DZ98" i="5" s="1"/>
  <c r="DZ97" i="4"/>
  <c r="DZ97" i="5" s="1"/>
  <c r="DZ96" i="4"/>
  <c r="DZ96" i="5" s="1"/>
  <c r="DZ95" i="4"/>
  <c r="DZ95" i="5" s="1"/>
  <c r="DZ94" i="4"/>
  <c r="DZ94" i="5" s="1"/>
  <c r="DZ93" i="4"/>
  <c r="DZ93" i="5" s="1"/>
  <c r="DZ92" i="4"/>
  <c r="DZ92" i="5" s="1"/>
  <c r="DZ90" i="4"/>
  <c r="DZ90" i="5" s="1"/>
  <c r="DZ89" i="4"/>
  <c r="DZ89" i="5" s="1"/>
  <c r="DZ110" i="4"/>
  <c r="DZ110" i="5" s="1"/>
  <c r="EA81" i="8" l="1"/>
  <c r="EA10" i="8"/>
  <c r="EA8" i="8"/>
  <c r="DZ141" i="7"/>
  <c r="DZ149" i="7"/>
  <c r="DZ157" i="7"/>
  <c r="DZ147" i="7"/>
  <c r="DZ163" i="7"/>
  <c r="EA192" i="3"/>
  <c r="DZ151" i="7"/>
  <c r="DZ143" i="7"/>
  <c r="DZ155" i="7"/>
  <c r="DZ156" i="7"/>
  <c r="DZ150" i="7"/>
  <c r="DZ159" i="7"/>
  <c r="DZ167" i="5"/>
  <c r="EA6" i="8"/>
  <c r="DZ144" i="7"/>
  <c r="DZ192" i="5"/>
  <c r="DZ195" i="5" s="1"/>
  <c r="DZ158" i="7"/>
  <c r="DZ162" i="7"/>
  <c r="EA12" i="8"/>
  <c r="DZ152" i="7"/>
  <c r="DZ145" i="7"/>
  <c r="DZ153" i="7"/>
  <c r="DZ146" i="7"/>
  <c r="DZ142" i="7"/>
  <c r="DZ148" i="7"/>
  <c r="DZ111" i="5"/>
  <c r="DZ214" i="5"/>
  <c r="DZ139" i="5"/>
  <c r="DZ3" i="7"/>
  <c r="DZ26" i="7" s="1"/>
  <c r="DZ83" i="5"/>
  <c r="DZ55" i="5"/>
  <c r="DZ160" i="7"/>
  <c r="DZ26" i="5"/>
  <c r="EA13" i="8"/>
  <c r="EA9" i="8"/>
  <c r="EA4" i="8"/>
  <c r="EA14" i="8"/>
  <c r="EA7" i="8"/>
  <c r="EA3" i="8"/>
  <c r="EA11" i="8"/>
  <c r="DZ23" i="8"/>
  <c r="DZ25" i="8" s="1"/>
  <c r="EA45" i="8"/>
  <c r="EA18" i="8" s="1"/>
  <c r="EA5" i="8"/>
  <c r="DZ52" i="8"/>
  <c r="EA71" i="8"/>
  <c r="EA47" i="8"/>
  <c r="EA20" i="8" s="1"/>
  <c r="DZ109" i="7"/>
  <c r="EA22" i="6"/>
  <c r="EA4" i="6"/>
  <c r="DZ138" i="6"/>
  <c r="EA21" i="6"/>
  <c r="EA13" i="6"/>
  <c r="EA24" i="6"/>
  <c r="EA8" i="6"/>
  <c r="EA23" i="6"/>
  <c r="EA12" i="6"/>
  <c r="EA6" i="6"/>
  <c r="EA14" i="6"/>
  <c r="EA5" i="6"/>
  <c r="DZ54" i="6"/>
  <c r="EA9" i="6"/>
  <c r="EA7" i="6"/>
  <c r="EA25" i="6"/>
  <c r="EA19" i="6" s="1"/>
  <c r="EA110" i="6"/>
  <c r="EA10" i="6"/>
  <c r="EA18" i="6"/>
  <c r="EA11" i="6"/>
  <c r="EA20" i="6"/>
  <c r="DZ26" i="6"/>
  <c r="EA82" i="6"/>
  <c r="EA3" i="6"/>
  <c r="DZ111" i="3"/>
  <c r="DZ26" i="3"/>
  <c r="EA139" i="3"/>
  <c r="DZ161" i="7" l="1"/>
  <c r="DZ164" i="7" s="1"/>
  <c r="EA211" i="4" l="1"/>
  <c r="EA211" i="5" s="1"/>
  <c r="EA210" i="4"/>
  <c r="EA210" i="5" s="1"/>
  <c r="EA209" i="4"/>
  <c r="EA209" i="5" s="1"/>
  <c r="EA208" i="4"/>
  <c r="EA208" i="5" s="1"/>
  <c r="EA207" i="4"/>
  <c r="EA207" i="5" s="1"/>
  <c r="EA206" i="4"/>
  <c r="EA206" i="5" s="1"/>
  <c r="EA205" i="4"/>
  <c r="EA205" i="5" s="1"/>
  <c r="EA204" i="4"/>
  <c r="EA204" i="5" s="1"/>
  <c r="EA203" i="4"/>
  <c r="EA203" i="5" s="1"/>
  <c r="EA202" i="4"/>
  <c r="EA202" i="5" s="1"/>
  <c r="EA201" i="4"/>
  <c r="EA201" i="5" s="1"/>
  <c r="EA200" i="4"/>
  <c r="EA200" i="5" s="1"/>
  <c r="EA194" i="4"/>
  <c r="EA194" i="5" s="1"/>
  <c r="EA193" i="4"/>
  <c r="EA193" i="5" s="1"/>
  <c r="EA192" i="4"/>
  <c r="EA192" i="5" s="1"/>
  <c r="EA191" i="4"/>
  <c r="EA191" i="5" s="1"/>
  <c r="EA190" i="4"/>
  <c r="EA190" i="5" s="1"/>
  <c r="EA189" i="4"/>
  <c r="EA189" i="5" s="1"/>
  <c r="EA188" i="4"/>
  <c r="EA188" i="5" s="1"/>
  <c r="EA187" i="4"/>
  <c r="EA187" i="5" s="1"/>
  <c r="EA183" i="4"/>
  <c r="EA183" i="5" s="1"/>
  <c r="EA182" i="4"/>
  <c r="EA182" i="5" s="1"/>
  <c r="EA181" i="4"/>
  <c r="EA181" i="5" s="1"/>
  <c r="EA180" i="4"/>
  <c r="EA180" i="5" s="1"/>
  <c r="EA179" i="4"/>
  <c r="EA179" i="5" s="1"/>
  <c r="EA178" i="4"/>
  <c r="EA178" i="5" s="1"/>
  <c r="EA177" i="4"/>
  <c r="EA177" i="5" s="1"/>
  <c r="EA176" i="4"/>
  <c r="EA176" i="5" s="1"/>
  <c r="EA175" i="4"/>
  <c r="EA175" i="5" s="1"/>
  <c r="EA174" i="4"/>
  <c r="EA174" i="5" s="1"/>
  <c r="EA173" i="4"/>
  <c r="EA173" i="5" s="1"/>
  <c r="EA172" i="4"/>
  <c r="EA172" i="5" s="1"/>
  <c r="EA166" i="4"/>
  <c r="EA166" i="5" s="1"/>
  <c r="EA165" i="4"/>
  <c r="EA165" i="5" s="1"/>
  <c r="EA164" i="4"/>
  <c r="EA164" i="5" s="1"/>
  <c r="EA163" i="4"/>
  <c r="EA163" i="5" s="1"/>
  <c r="EA162" i="4"/>
  <c r="EA162" i="5" s="1"/>
  <c r="EA161" i="4"/>
  <c r="EA161" i="5" s="1"/>
  <c r="EA160" i="4"/>
  <c r="EA160" i="5" s="1"/>
  <c r="EA159" i="4"/>
  <c r="EA159" i="5" s="1"/>
  <c r="EA155" i="4"/>
  <c r="EA155" i="5" s="1"/>
  <c r="EA154" i="4"/>
  <c r="EA154" i="5" s="1"/>
  <c r="EA153" i="4"/>
  <c r="EA153" i="5" s="1"/>
  <c r="EA152" i="4"/>
  <c r="EA152" i="5" s="1"/>
  <c r="EA151" i="4"/>
  <c r="EA151" i="5" s="1"/>
  <c r="EA150" i="4"/>
  <c r="EA150" i="5" s="1"/>
  <c r="EA149" i="4"/>
  <c r="EA149" i="5" s="1"/>
  <c r="EA148" i="4"/>
  <c r="EA148" i="5" s="1"/>
  <c r="EA147" i="4"/>
  <c r="EA147" i="5" s="1"/>
  <c r="EA146" i="4"/>
  <c r="EA146" i="5" s="1"/>
  <c r="EA145" i="4"/>
  <c r="EA145" i="5" s="1"/>
  <c r="EA144" i="4"/>
  <c r="EA144" i="5" s="1"/>
  <c r="EA138" i="4"/>
  <c r="EA138" i="5" s="1"/>
  <c r="EA137" i="4"/>
  <c r="EA137" i="5" s="1"/>
  <c r="EA136" i="4"/>
  <c r="EA136" i="5" s="1"/>
  <c r="EA135" i="4"/>
  <c r="EA135" i="5" s="1"/>
  <c r="EA134" i="4"/>
  <c r="EA134" i="5" s="1"/>
  <c r="EA133" i="4"/>
  <c r="EA133" i="5" s="1"/>
  <c r="EA132" i="4"/>
  <c r="EA132" i="5" s="1"/>
  <c r="EA131" i="4"/>
  <c r="EA131" i="5" s="1"/>
  <c r="EA127" i="4"/>
  <c r="EA127" i="5" s="1"/>
  <c r="EA126" i="4"/>
  <c r="EA126" i="5" s="1"/>
  <c r="EA125" i="4"/>
  <c r="EA125" i="5" s="1"/>
  <c r="EA124" i="4"/>
  <c r="EA124" i="5" s="1"/>
  <c r="EA123" i="4"/>
  <c r="EA123" i="5" s="1"/>
  <c r="EA122" i="4"/>
  <c r="EA122" i="5" s="1"/>
  <c r="EA121" i="4"/>
  <c r="EA121" i="5" s="1"/>
  <c r="EA120" i="4"/>
  <c r="EA120" i="5" s="1"/>
  <c r="EA119" i="4"/>
  <c r="EA119" i="5" s="1"/>
  <c r="EA118" i="4"/>
  <c r="EA118" i="5" s="1"/>
  <c r="EA117" i="4"/>
  <c r="EA117" i="5" s="1"/>
  <c r="EA116" i="4"/>
  <c r="EA116" i="5" s="1"/>
  <c r="EA110" i="4"/>
  <c r="EA110" i="5" s="1"/>
  <c r="EA109" i="4"/>
  <c r="EA109" i="5" s="1"/>
  <c r="EA108" i="4"/>
  <c r="EA108" i="5" s="1"/>
  <c r="EA107" i="4"/>
  <c r="EA107" i="5" s="1"/>
  <c r="EA106" i="4"/>
  <c r="EA106" i="5" s="1"/>
  <c r="EA105" i="4"/>
  <c r="EA105" i="5" s="1"/>
  <c r="EA104" i="4"/>
  <c r="EA104" i="5" s="1"/>
  <c r="EA103" i="4"/>
  <c r="EA103" i="5" s="1"/>
  <c r="EA91" i="4"/>
  <c r="EA91" i="5" s="1"/>
  <c r="EA88" i="4"/>
  <c r="EA88" i="5" s="1"/>
  <c r="EA82" i="4"/>
  <c r="EA82" i="5" s="1"/>
  <c r="EA81" i="4"/>
  <c r="EA81" i="5" s="1"/>
  <c r="EA80" i="4"/>
  <c r="EA80" i="5" s="1"/>
  <c r="EA79" i="4"/>
  <c r="EA79" i="5" s="1"/>
  <c r="EA78" i="4"/>
  <c r="EA78" i="5" s="1"/>
  <c r="EA77" i="4"/>
  <c r="EA77" i="5" s="1"/>
  <c r="EA76" i="4"/>
  <c r="EA76" i="5" s="1"/>
  <c r="EA75" i="4"/>
  <c r="EA75" i="5" s="1"/>
  <c r="EA71" i="4"/>
  <c r="EA71" i="5" s="1"/>
  <c r="EA70" i="4"/>
  <c r="EA70" i="5" s="1"/>
  <c r="EA69" i="4"/>
  <c r="EA69" i="5" s="1"/>
  <c r="EA68" i="4"/>
  <c r="EA68" i="5" s="1"/>
  <c r="EA67" i="4"/>
  <c r="EA67" i="5" s="1"/>
  <c r="EA66" i="4"/>
  <c r="EA66" i="5" s="1"/>
  <c r="EA65" i="4"/>
  <c r="EA65" i="5" s="1"/>
  <c r="EA64" i="4"/>
  <c r="EA64" i="5" s="1"/>
  <c r="EA63" i="4"/>
  <c r="EA63" i="5" s="1"/>
  <c r="EA62" i="4"/>
  <c r="EA62" i="5" s="1"/>
  <c r="EA61" i="4"/>
  <c r="EA61" i="5" s="1"/>
  <c r="EA60" i="4"/>
  <c r="EA60" i="5" s="1"/>
  <c r="EA54" i="4"/>
  <c r="EA54" i="5" s="1"/>
  <c r="EA53" i="4"/>
  <c r="EA53" i="5" s="1"/>
  <c r="EA52" i="4"/>
  <c r="EA52" i="5" s="1"/>
  <c r="EA51" i="4"/>
  <c r="EA51" i="5" s="1"/>
  <c r="EA50" i="4"/>
  <c r="EA50" i="5" s="1"/>
  <c r="EA49" i="4"/>
  <c r="EA49" i="5" s="1"/>
  <c r="EA48" i="4"/>
  <c r="EA48" i="5" s="1"/>
  <c r="EA47" i="4"/>
  <c r="EA47" i="5" s="1"/>
  <c r="EA43" i="4"/>
  <c r="EA43" i="5" s="1"/>
  <c r="EA42" i="4"/>
  <c r="EA42" i="5" s="1"/>
  <c r="EA41" i="4"/>
  <c r="EA41" i="5" s="1"/>
  <c r="EA40" i="4"/>
  <c r="EA40" i="5" s="1"/>
  <c r="EA39" i="4"/>
  <c r="EA39" i="5" s="1"/>
  <c r="EA38" i="4"/>
  <c r="EA38" i="5" s="1"/>
  <c r="EA37" i="4"/>
  <c r="EA37" i="5" s="1"/>
  <c r="EA36" i="4"/>
  <c r="EA36" i="5" s="1"/>
  <c r="EA35" i="4"/>
  <c r="EA35" i="5" s="1"/>
  <c r="EA34" i="4"/>
  <c r="EA34" i="5" s="1"/>
  <c r="EA33" i="4"/>
  <c r="EA33" i="5" s="1"/>
  <c r="EA32" i="4"/>
  <c r="EA32" i="5" s="1"/>
  <c r="EA25" i="4"/>
  <c r="EA25" i="5" s="1"/>
  <c r="EA24" i="4"/>
  <c r="EA24" i="5" s="1"/>
  <c r="EA23" i="4"/>
  <c r="EA23" i="5" s="1"/>
  <c r="EA22" i="4"/>
  <c r="EA22" i="5" s="1"/>
  <c r="EA21" i="4"/>
  <c r="EA21" i="5" s="1"/>
  <c r="EA20" i="4"/>
  <c r="EA20" i="5" s="1"/>
  <c r="EA19" i="4"/>
  <c r="EA19" i="5" s="1"/>
  <c r="EA18" i="4"/>
  <c r="EA18" i="5" s="1"/>
  <c r="EA14" i="4"/>
  <c r="EA14" i="5" s="1"/>
  <c r="EA13" i="4"/>
  <c r="EA13" i="5" s="1"/>
  <c r="EA12" i="4"/>
  <c r="EA12" i="5" s="1"/>
  <c r="EA11" i="4"/>
  <c r="EA11" i="5" s="1"/>
  <c r="EA10" i="4"/>
  <c r="EA10" i="5" s="1"/>
  <c r="EA9" i="4"/>
  <c r="EA9" i="5" s="1"/>
  <c r="EA8" i="4"/>
  <c r="EA8" i="5" s="1"/>
  <c r="EA7" i="4"/>
  <c r="EA7" i="5" s="1"/>
  <c r="EA6" i="4"/>
  <c r="EA6" i="5" s="1"/>
  <c r="EA5" i="4"/>
  <c r="EA5" i="5" s="1"/>
  <c r="EA4" i="4"/>
  <c r="EA4" i="5" s="1"/>
  <c r="EA3" i="4"/>
  <c r="EA3" i="5" s="1"/>
  <c r="DZ231" i="4"/>
  <c r="DZ231" i="5" s="1"/>
  <c r="DZ230" i="4"/>
  <c r="DZ230" i="5" s="1"/>
  <c r="DZ229" i="4"/>
  <c r="DZ229" i="5" s="1"/>
  <c r="DZ228" i="4"/>
  <c r="DZ228" i="5" s="1"/>
  <c r="DZ227" i="4"/>
  <c r="DZ227" i="5" s="1"/>
  <c r="DZ226" i="4"/>
  <c r="DZ226" i="5" s="1"/>
  <c r="DZ225" i="4"/>
  <c r="DZ225" i="5" s="1"/>
  <c r="DZ224" i="4"/>
  <c r="DZ224" i="5" s="1"/>
  <c r="DZ223" i="4"/>
  <c r="DZ223" i="5" s="1"/>
  <c r="DZ222" i="4"/>
  <c r="DZ222" i="5" s="1"/>
  <c r="DZ221" i="4"/>
  <c r="DZ221" i="5" s="1"/>
  <c r="DZ220" i="4"/>
  <c r="DZ220" i="5" s="1"/>
  <c r="DZ219" i="4"/>
  <c r="DZ214" i="4"/>
  <c r="DZ195" i="4"/>
  <c r="DZ167" i="4"/>
  <c r="DZ139" i="4"/>
  <c r="DZ111" i="4"/>
  <c r="DZ83" i="4"/>
  <c r="DZ55" i="4"/>
  <c r="DZ26" i="4"/>
  <c r="EA40" i="2"/>
  <c r="EA134" i="2"/>
  <c r="EA116" i="2"/>
  <c r="EA115" i="2"/>
  <c r="EA114" i="2"/>
  <c r="EA113" i="2"/>
  <c r="EA112" i="2"/>
  <c r="EA108" i="2"/>
  <c r="EA107" i="2"/>
  <c r="EA106" i="2"/>
  <c r="EA105" i="2"/>
  <c r="EA104" i="2"/>
  <c r="EA103" i="2"/>
  <c r="EA102" i="2"/>
  <c r="EA101" i="2"/>
  <c r="EA100" i="2"/>
  <c r="EA99" i="2"/>
  <c r="EA98" i="2"/>
  <c r="EA97" i="2"/>
  <c r="EA89" i="2"/>
  <c r="EA88" i="2"/>
  <c r="EA87" i="2"/>
  <c r="EA86" i="2"/>
  <c r="EA85" i="2"/>
  <c r="EA84" i="2"/>
  <c r="EA83" i="2"/>
  <c r="EA82" i="2"/>
  <c r="EA81" i="2"/>
  <c r="EA80" i="2"/>
  <c r="EA79" i="2"/>
  <c r="EA78" i="2"/>
  <c r="EA72" i="2"/>
  <c r="EA71" i="2"/>
  <c r="EA70" i="2"/>
  <c r="EA69" i="2"/>
  <c r="EA64" i="2"/>
  <c r="EA63" i="2"/>
  <c r="EA62" i="2"/>
  <c r="EA61" i="2"/>
  <c r="EA60" i="2"/>
  <c r="EA59" i="2"/>
  <c r="EA58" i="2"/>
  <c r="EA57" i="2"/>
  <c r="EA56" i="2"/>
  <c r="EA55" i="2"/>
  <c r="EA54" i="2"/>
  <c r="EA53" i="2"/>
  <c r="EA46" i="2"/>
  <c r="EA45" i="2"/>
  <c r="EA44" i="2"/>
  <c r="EA43" i="2"/>
  <c r="EA42" i="2"/>
  <c r="EA39" i="2"/>
  <c r="EA38" i="2"/>
  <c r="EA37" i="2"/>
  <c r="EA36" i="2"/>
  <c r="EA35" i="2"/>
  <c r="EA34" i="2"/>
  <c r="EA33" i="2"/>
  <c r="EA32" i="2"/>
  <c r="EA31" i="2"/>
  <c r="EA30" i="2"/>
  <c r="EA29" i="2"/>
  <c r="EA28" i="2"/>
  <c r="EA22" i="2"/>
  <c r="EA21" i="2"/>
  <c r="EA20" i="2"/>
  <c r="EA19" i="2"/>
  <c r="EA18" i="2"/>
  <c r="EA14" i="2"/>
  <c r="EA13" i="2"/>
  <c r="EA12" i="2"/>
  <c r="EA11" i="2"/>
  <c r="EA10" i="2"/>
  <c r="EA9" i="2"/>
  <c r="EA8" i="2"/>
  <c r="EA7" i="2"/>
  <c r="EA6" i="2"/>
  <c r="EA5" i="2"/>
  <c r="EA4" i="2"/>
  <c r="EA3" i="2"/>
  <c r="EA162" i="7" l="1"/>
  <c r="EA125" i="2"/>
  <c r="EA144" i="7"/>
  <c r="EA163" i="7"/>
  <c r="EA158" i="7"/>
  <c r="EA161" i="7"/>
  <c r="EA156" i="7"/>
  <c r="EA157" i="7"/>
  <c r="EA214" i="5"/>
  <c r="EA141" i="7"/>
  <c r="EA159" i="7"/>
  <c r="EA160" i="7"/>
  <c r="EA132" i="2"/>
  <c r="EA69" i="7" s="1"/>
  <c r="EA131" i="2"/>
  <c r="EA68" i="7" s="1"/>
  <c r="EA141" i="2"/>
  <c r="EA166" i="2" s="1"/>
  <c r="EA123" i="2"/>
  <c r="EA60" i="7" s="1"/>
  <c r="EA137" i="2"/>
  <c r="DZ233" i="4"/>
  <c r="DZ219" i="5"/>
  <c r="DZ233" i="5" s="1"/>
  <c r="EA159" i="2"/>
  <c r="EA71" i="7"/>
  <c r="EA140" i="2"/>
  <c r="EA165" i="2" s="1"/>
  <c r="EA214" i="4"/>
  <c r="EA130" i="2"/>
  <c r="EA67" i="7" s="1"/>
  <c r="EA129" i="2"/>
  <c r="EA126" i="2"/>
  <c r="EA124" i="2"/>
  <c r="EA139" i="2"/>
  <c r="EA164" i="2" s="1"/>
  <c r="EA127" i="2"/>
  <c r="EA133" i="2"/>
  <c r="EA128" i="2"/>
  <c r="EA138" i="2"/>
  <c r="EA150" i="2"/>
  <c r="EA92" i="2"/>
  <c r="EA48" i="2"/>
  <c r="EA122" i="2"/>
  <c r="DZ146" i="2"/>
  <c r="DZ145" i="2"/>
  <c r="DZ141" i="2"/>
  <c r="DZ140" i="2"/>
  <c r="DZ165" i="2" s="1"/>
  <c r="DZ139" i="2"/>
  <c r="DZ164" i="2" s="1"/>
  <c r="DZ138" i="2"/>
  <c r="DZ137" i="2"/>
  <c r="DZ136" i="2"/>
  <c r="DZ134" i="2"/>
  <c r="DZ133" i="2"/>
  <c r="DZ132" i="2"/>
  <c r="DZ131" i="2"/>
  <c r="DZ130" i="2"/>
  <c r="DZ129" i="2"/>
  <c r="DZ128" i="2"/>
  <c r="DZ127" i="2"/>
  <c r="DZ126" i="2"/>
  <c r="DZ125" i="2"/>
  <c r="DZ150" i="2" s="1"/>
  <c r="DZ124" i="2"/>
  <c r="DZ123" i="2"/>
  <c r="DZ122" i="2"/>
  <c r="DZ147" i="2" s="1"/>
  <c r="DZ117" i="2"/>
  <c r="DZ92" i="2"/>
  <c r="DZ73" i="2"/>
  <c r="DZ48" i="2"/>
  <c r="DZ23" i="2"/>
  <c r="EA82" i="1"/>
  <c r="EA81" i="1"/>
  <c r="EA80" i="1"/>
  <c r="EA79" i="1"/>
  <c r="EA157" i="2" l="1"/>
  <c r="EA156" i="2"/>
  <c r="EA155" i="2"/>
  <c r="EA148" i="2"/>
  <c r="EA149" i="2"/>
  <c r="EA61" i="7"/>
  <c r="DZ159" i="2"/>
  <c r="DZ126" i="7" s="1"/>
  <c r="DZ71" i="7"/>
  <c r="DZ152" i="2"/>
  <c r="DZ119" i="7" s="1"/>
  <c r="DZ64" i="7"/>
  <c r="DZ161" i="2"/>
  <c r="DZ128" i="7" s="1"/>
  <c r="DZ73" i="7"/>
  <c r="EA151" i="2"/>
  <c r="EA63" i="7"/>
  <c r="DZ157" i="2"/>
  <c r="DZ124" i="7" s="1"/>
  <c r="DZ69" i="7"/>
  <c r="DZ158" i="2"/>
  <c r="DZ125" i="7" s="1"/>
  <c r="DZ70" i="7"/>
  <c r="DZ153" i="2"/>
  <c r="DZ120" i="7" s="1"/>
  <c r="DZ65" i="7"/>
  <c r="DZ162" i="2"/>
  <c r="DZ129" i="7" s="1"/>
  <c r="DZ74" i="7"/>
  <c r="EA163" i="2"/>
  <c r="EA75" i="7"/>
  <c r="EA154" i="2"/>
  <c r="EA66" i="7"/>
  <c r="EA152" i="2"/>
  <c r="EA64" i="7"/>
  <c r="DZ154" i="2"/>
  <c r="DZ121" i="7" s="1"/>
  <c r="DZ66" i="7"/>
  <c r="DZ163" i="2"/>
  <c r="DZ130" i="7" s="1"/>
  <c r="DZ75" i="7"/>
  <c r="EA153" i="2"/>
  <c r="EA65" i="7"/>
  <c r="DZ149" i="2"/>
  <c r="DZ116" i="7" s="1"/>
  <c r="DZ61" i="7"/>
  <c r="DZ166" i="2"/>
  <c r="DZ155" i="2"/>
  <c r="DZ122" i="7" s="1"/>
  <c r="DZ67" i="7"/>
  <c r="EA158" i="2"/>
  <c r="EA70" i="7"/>
  <c r="EA162" i="2"/>
  <c r="EA74" i="7"/>
  <c r="DZ151" i="2"/>
  <c r="DZ118" i="7" s="1"/>
  <c r="DZ63" i="7"/>
  <c r="DZ148" i="2"/>
  <c r="DZ115" i="7" s="1"/>
  <c r="DZ60" i="7"/>
  <c r="DZ156" i="2"/>
  <c r="DZ123" i="7" s="1"/>
  <c r="DZ68" i="7"/>
  <c r="EA147" i="2"/>
  <c r="DZ142" i="2"/>
  <c r="EA83" i="1"/>
  <c r="DZ167" i="2" l="1"/>
  <c r="DZ136" i="7" s="1"/>
  <c r="DZ81" i="7"/>
  <c r="HA69" i="1"/>
  <c r="GZ69" i="1"/>
  <c r="HA68" i="1"/>
  <c r="GZ68" i="1"/>
  <c r="HA61" i="1"/>
  <c r="GZ61" i="1"/>
  <c r="EA34" i="1"/>
  <c r="DZ3" i="1" l="1"/>
  <c r="HA66" i="1" l="1"/>
  <c r="GZ66" i="1"/>
  <c r="HA63" i="1"/>
  <c r="GZ63" i="1"/>
  <c r="GZ67" i="1"/>
  <c r="HA67" i="1"/>
  <c r="GZ70" i="1"/>
  <c r="HA70" i="1"/>
  <c r="HA64" i="1"/>
  <c r="GZ64" i="1"/>
  <c r="HA60" i="1"/>
  <c r="GZ60" i="1"/>
  <c r="HA71" i="1"/>
  <c r="GZ71" i="1"/>
  <c r="HA65" i="1"/>
  <c r="GZ65" i="1"/>
  <c r="GZ62" i="1"/>
  <c r="HA62" i="1"/>
  <c r="HA72" i="1"/>
  <c r="GZ72" i="1"/>
  <c r="DZ17" i="1"/>
  <c r="DZ83" i="1"/>
  <c r="EA53" i="1"/>
  <c r="EA15" i="1" s="1"/>
  <c r="EA52" i="1"/>
  <c r="EA51" i="1"/>
  <c r="EA50" i="1"/>
  <c r="EA49" i="1"/>
  <c r="EA48" i="1"/>
  <c r="EA47" i="1"/>
  <c r="EA46" i="1"/>
  <c r="EA45" i="1"/>
  <c r="EA44" i="1"/>
  <c r="EA43" i="1"/>
  <c r="EA42" i="1"/>
  <c r="EA41" i="1"/>
  <c r="EA33" i="1"/>
  <c r="EA32" i="1"/>
  <c r="EA31" i="1"/>
  <c r="EA30" i="1"/>
  <c r="EA29" i="1"/>
  <c r="EA28" i="1"/>
  <c r="EA27" i="1"/>
  <c r="EA26" i="1"/>
  <c r="EA25" i="1"/>
  <c r="EA24" i="1"/>
  <c r="EA23" i="1"/>
  <c r="EA22" i="1"/>
  <c r="DZ55" i="1"/>
  <c r="DZ36" i="1"/>
  <c r="EA3" i="1" l="1"/>
  <c r="EA5" i="1"/>
  <c r="EA14" i="1"/>
  <c r="EA7" i="1"/>
  <c r="EA6" i="1"/>
  <c r="EA4" i="1"/>
  <c r="HA74" i="1"/>
  <c r="GZ74" i="1"/>
  <c r="EA13" i="1"/>
  <c r="EA12" i="1"/>
  <c r="EA11" i="1"/>
  <c r="EA10" i="1"/>
  <c r="EA9" i="1"/>
  <c r="EA55" i="1"/>
  <c r="EA36" i="1"/>
  <c r="EA8" i="1"/>
  <c r="EA17" i="1" l="1"/>
  <c r="DY24" i="8" l="1"/>
  <c r="DY23" i="8"/>
  <c r="DY22" i="8"/>
  <c r="DY21" i="8"/>
  <c r="DY20" i="8"/>
  <c r="DY19" i="8"/>
  <c r="DY18" i="8"/>
  <c r="DY17" i="8"/>
  <c r="DY15" i="8"/>
  <c r="DY14" i="8"/>
  <c r="DY13" i="8"/>
  <c r="DY12" i="8"/>
  <c r="DY11" i="8"/>
  <c r="DY10" i="8"/>
  <c r="DY9" i="8"/>
  <c r="DY8" i="8"/>
  <c r="DY7" i="8"/>
  <c r="DY6" i="8"/>
  <c r="DY5" i="8"/>
  <c r="DY4" i="8"/>
  <c r="DY3" i="8"/>
  <c r="DY45" i="7" l="1"/>
  <c r="EA45" i="7" s="1"/>
  <c r="EA54" i="7" s="1"/>
  <c r="DY45" i="6"/>
  <c r="EA45" i="6" s="1"/>
  <c r="DY22" i="6"/>
  <c r="DY17" i="6"/>
  <c r="DY129" i="6"/>
  <c r="EA129" i="6" s="1"/>
  <c r="EA138" i="6" s="1"/>
  <c r="EA17" i="6" l="1"/>
  <c r="EA26" i="6" s="1"/>
  <c r="EA54" i="6" s="1"/>
  <c r="DY186" i="3"/>
  <c r="EA186" i="3" s="1"/>
  <c r="EA195" i="3" s="1"/>
  <c r="DY158" i="3"/>
  <c r="EA158" i="3" s="1"/>
  <c r="EA167" i="3" s="1"/>
  <c r="DY102" i="3"/>
  <c r="DY74" i="3"/>
  <c r="EA74" i="3" s="1"/>
  <c r="EA83" i="3" s="1"/>
  <c r="DY46" i="3"/>
  <c r="EA46" i="3" s="1"/>
  <c r="EA55" i="3" s="1"/>
  <c r="DY17" i="3"/>
  <c r="EA17" i="3" s="1"/>
  <c r="EA26" i="3" s="1"/>
  <c r="DY186" i="4"/>
  <c r="EA186" i="4" s="1"/>
  <c r="DY100" i="4"/>
  <c r="EA100" i="4" s="1"/>
  <c r="EA100" i="5" s="1"/>
  <c r="EA153" i="7" s="1"/>
  <c r="DY99" i="4"/>
  <c r="EA99" i="4" s="1"/>
  <c r="EA99" i="5" s="1"/>
  <c r="EA152" i="7" s="1"/>
  <c r="DY98" i="4"/>
  <c r="EA98" i="4" s="1"/>
  <c r="EA98" i="5" s="1"/>
  <c r="EA151" i="7" s="1"/>
  <c r="DY97" i="4"/>
  <c r="EA97" i="4" s="1"/>
  <c r="EA97" i="5" s="1"/>
  <c r="EA150" i="7" s="1"/>
  <c r="DY96" i="4"/>
  <c r="EA96" i="4" s="1"/>
  <c r="EA96" i="5" s="1"/>
  <c r="EA149" i="7" s="1"/>
  <c r="DY95" i="4"/>
  <c r="EA95" i="4" s="1"/>
  <c r="EA95" i="5" s="1"/>
  <c r="EA148" i="7" s="1"/>
  <c r="DY94" i="4"/>
  <c r="EA94" i="4" s="1"/>
  <c r="EA94" i="5" s="1"/>
  <c r="EA147" i="7" s="1"/>
  <c r="DY93" i="4"/>
  <c r="EA93" i="4" s="1"/>
  <c r="EA93" i="5" s="1"/>
  <c r="EA146" i="7" s="1"/>
  <c r="DY92" i="4"/>
  <c r="EA92" i="4" s="1"/>
  <c r="EA92" i="5" s="1"/>
  <c r="EA145" i="7" s="1"/>
  <c r="DY90" i="4"/>
  <c r="EA90" i="4" s="1"/>
  <c r="EA90" i="5" s="1"/>
  <c r="EA143" i="7" s="1"/>
  <c r="DY89" i="4"/>
  <c r="EA89" i="4" s="1"/>
  <c r="DY158" i="4"/>
  <c r="EA158" i="4" s="1"/>
  <c r="DY130" i="4"/>
  <c r="EA130" i="4" s="1"/>
  <c r="DY102" i="4"/>
  <c r="EA102" i="4" s="1"/>
  <c r="DY74" i="4"/>
  <c r="EA74" i="4" s="1"/>
  <c r="DY46" i="4"/>
  <c r="EA46" i="4" s="1"/>
  <c r="DY17" i="4"/>
  <c r="EA17" i="4" s="1"/>
  <c r="DY111" i="2"/>
  <c r="EA111" i="2" s="1"/>
  <c r="EA117" i="2" s="1"/>
  <c r="DY17" i="2"/>
  <c r="EA17" i="2" s="1"/>
  <c r="DY48" i="2"/>
  <c r="DY68" i="2"/>
  <c r="EA102" i="3" l="1"/>
  <c r="EA102" i="5" s="1"/>
  <c r="EA74" i="5"/>
  <c r="EA83" i="5" s="1"/>
  <c r="EA83" i="4"/>
  <c r="EA130" i="5"/>
  <c r="EA139" i="5" s="1"/>
  <c r="EA139" i="4"/>
  <c r="EA158" i="5"/>
  <c r="EA167" i="5" s="1"/>
  <c r="EA167" i="4"/>
  <c r="EA17" i="5"/>
  <c r="EA26" i="5" s="1"/>
  <c r="EA26" i="4"/>
  <c r="EA186" i="5"/>
  <c r="EA195" i="5" s="1"/>
  <c r="EA195" i="4"/>
  <c r="EA89" i="5"/>
  <c r="EA111" i="4"/>
  <c r="EA46" i="5"/>
  <c r="EA55" i="4"/>
  <c r="DY23" i="2"/>
  <c r="EA136" i="2"/>
  <c r="EA23" i="2"/>
  <c r="DY67" i="2"/>
  <c r="EA111" i="3" l="1"/>
  <c r="EA155" i="7"/>
  <c r="EA55" i="5"/>
  <c r="EA111" i="5"/>
  <c r="EA142" i="7"/>
  <c r="EA142" i="2"/>
  <c r="EA81" i="7" s="1"/>
  <c r="EA73" i="7"/>
  <c r="EA161" i="2"/>
  <c r="EA164" i="7" l="1"/>
  <c r="EA167" i="2"/>
  <c r="DY81" i="8"/>
  <c r="DY71" i="8"/>
  <c r="DY52" i="8"/>
  <c r="DY108" i="7"/>
  <c r="DY107" i="7"/>
  <c r="DY106" i="7"/>
  <c r="DY105" i="7"/>
  <c r="DY104" i="7"/>
  <c r="DY103" i="7"/>
  <c r="DY102" i="7"/>
  <c r="DY101" i="7"/>
  <c r="DY100" i="7"/>
  <c r="DY54" i="7"/>
  <c r="DY138" i="6"/>
  <c r="DY110" i="6"/>
  <c r="DY82" i="6"/>
  <c r="DY212" i="5"/>
  <c r="DY98" i="7" s="1"/>
  <c r="DY211" i="5"/>
  <c r="DY97" i="7" s="1"/>
  <c r="DY210" i="5"/>
  <c r="DY96" i="7" s="1"/>
  <c r="DY209" i="5"/>
  <c r="DY95" i="7" s="1"/>
  <c r="DY208" i="5"/>
  <c r="DY94" i="7" s="1"/>
  <c r="DY207" i="5"/>
  <c r="DY93" i="7" s="1"/>
  <c r="DY206" i="5"/>
  <c r="DY92" i="7" s="1"/>
  <c r="DY205" i="5"/>
  <c r="DY91" i="7" s="1"/>
  <c r="DY204" i="5"/>
  <c r="DY90" i="7" s="1"/>
  <c r="DY203" i="5"/>
  <c r="DY89" i="7" s="1"/>
  <c r="DY202" i="5"/>
  <c r="DY88" i="7" s="1"/>
  <c r="DY201" i="5"/>
  <c r="DY87" i="7" s="1"/>
  <c r="DY200" i="5"/>
  <c r="DY86" i="7" s="1"/>
  <c r="DY194" i="5"/>
  <c r="DY193" i="5"/>
  <c r="DY192" i="5"/>
  <c r="DY191" i="5"/>
  <c r="DY190" i="5"/>
  <c r="DY189" i="5"/>
  <c r="DY188" i="5"/>
  <c r="DY187" i="5"/>
  <c r="DY186" i="5"/>
  <c r="DY184" i="5"/>
  <c r="DY183" i="5"/>
  <c r="DY182" i="5"/>
  <c r="DY181" i="5"/>
  <c r="DY180" i="5"/>
  <c r="DY179" i="5"/>
  <c r="DY178" i="5"/>
  <c r="DY177" i="5"/>
  <c r="DY176" i="5"/>
  <c r="DY175" i="5"/>
  <c r="DY174" i="5"/>
  <c r="DY173" i="5"/>
  <c r="DY172" i="5"/>
  <c r="DY166" i="5"/>
  <c r="DY165" i="5"/>
  <c r="DY164" i="5"/>
  <c r="DY163" i="5"/>
  <c r="DY162" i="5"/>
  <c r="DY161" i="5"/>
  <c r="DY160" i="5"/>
  <c r="DY159" i="5"/>
  <c r="DY158" i="5"/>
  <c r="DY156" i="5"/>
  <c r="DY155" i="5"/>
  <c r="DY154" i="5"/>
  <c r="DY153" i="5"/>
  <c r="DY152" i="5"/>
  <c r="DY151" i="5"/>
  <c r="DY150" i="5"/>
  <c r="DY149" i="5"/>
  <c r="DY148" i="5"/>
  <c r="DY147" i="5"/>
  <c r="DY146" i="5"/>
  <c r="DY145" i="5"/>
  <c r="DY144" i="5"/>
  <c r="DY138" i="5"/>
  <c r="DY25" i="7" s="1"/>
  <c r="DY137" i="5"/>
  <c r="DY24" i="7" s="1"/>
  <c r="DY136" i="5"/>
  <c r="DY23" i="7" s="1"/>
  <c r="DY135" i="5"/>
  <c r="DY22" i="7" s="1"/>
  <c r="DY134" i="5"/>
  <c r="DY21" i="7" s="1"/>
  <c r="DY133" i="5"/>
  <c r="DY20" i="7" s="1"/>
  <c r="DY132" i="5"/>
  <c r="DY19" i="7" s="1"/>
  <c r="DY131" i="5"/>
  <c r="DY18" i="7" s="1"/>
  <c r="DY130" i="5"/>
  <c r="DY17" i="7" s="1"/>
  <c r="DY128" i="5"/>
  <c r="DY15" i="7" s="1"/>
  <c r="DY127" i="5"/>
  <c r="DY14" i="7" s="1"/>
  <c r="DY126" i="5"/>
  <c r="DY13" i="7" s="1"/>
  <c r="DY125" i="5"/>
  <c r="DY12" i="7" s="1"/>
  <c r="DY124" i="5"/>
  <c r="DY11" i="7" s="1"/>
  <c r="DY123" i="5"/>
  <c r="DY10" i="7" s="1"/>
  <c r="DY122" i="5"/>
  <c r="DY9" i="7" s="1"/>
  <c r="DY121" i="5"/>
  <c r="DY8" i="7" s="1"/>
  <c r="DY120" i="5"/>
  <c r="DY7" i="7" s="1"/>
  <c r="DY119" i="5"/>
  <c r="DY6" i="7" s="1"/>
  <c r="DY118" i="5"/>
  <c r="DY5" i="7" s="1"/>
  <c r="DY117" i="5"/>
  <c r="DY4" i="7" s="1"/>
  <c r="DY116" i="5"/>
  <c r="DY3" i="7" s="1"/>
  <c r="DY110" i="5"/>
  <c r="DY109" i="5"/>
  <c r="DY108" i="5"/>
  <c r="DY107" i="5"/>
  <c r="DY106" i="5"/>
  <c r="DY105" i="5"/>
  <c r="DY104" i="5"/>
  <c r="DY103" i="5"/>
  <c r="DY102" i="5"/>
  <c r="DY100" i="5"/>
  <c r="DY99" i="5"/>
  <c r="DY98" i="5"/>
  <c r="DY97" i="5"/>
  <c r="DY96" i="5"/>
  <c r="DY95" i="5"/>
  <c r="DY94" i="5"/>
  <c r="DY93" i="5"/>
  <c r="DY92" i="5"/>
  <c r="DY91" i="5"/>
  <c r="DY90" i="5"/>
  <c r="DY89" i="5"/>
  <c r="DY88" i="5"/>
  <c r="DY82" i="5"/>
  <c r="DY81" i="5"/>
  <c r="DY80" i="5"/>
  <c r="DY79" i="5"/>
  <c r="DY78" i="5"/>
  <c r="DY77" i="5"/>
  <c r="DY76" i="5"/>
  <c r="DY75" i="5"/>
  <c r="DY74" i="5"/>
  <c r="DY72" i="5"/>
  <c r="DY71" i="5"/>
  <c r="DY70" i="5"/>
  <c r="DY69" i="5"/>
  <c r="DY68" i="5"/>
  <c r="DY67" i="5"/>
  <c r="DY66" i="5"/>
  <c r="DY65" i="5"/>
  <c r="DY64" i="5"/>
  <c r="DY63" i="5"/>
  <c r="DY62" i="5"/>
  <c r="DY61" i="5"/>
  <c r="DY60" i="5"/>
  <c r="DY54" i="5"/>
  <c r="DY53" i="5"/>
  <c r="DY52" i="5"/>
  <c r="DY51" i="5"/>
  <c r="DY50" i="5"/>
  <c r="DY49" i="5"/>
  <c r="DY48" i="5"/>
  <c r="DY47" i="5"/>
  <c r="DY46" i="5"/>
  <c r="DY44" i="5"/>
  <c r="DY43" i="5"/>
  <c r="DY42" i="5"/>
  <c r="DY41" i="5"/>
  <c r="DY40" i="5"/>
  <c r="DY39" i="5"/>
  <c r="DY38" i="5"/>
  <c r="DY37" i="5"/>
  <c r="DY36" i="5"/>
  <c r="DY35" i="5"/>
  <c r="DY34" i="5"/>
  <c r="DY33" i="5"/>
  <c r="DY32" i="5"/>
  <c r="DY25" i="5"/>
  <c r="DY24" i="5"/>
  <c r="DY23" i="5"/>
  <c r="DY22" i="5"/>
  <c r="DY20" i="5"/>
  <c r="DY19" i="5"/>
  <c r="DY18" i="5"/>
  <c r="DY17" i="5"/>
  <c r="DY15" i="5"/>
  <c r="DY14" i="5"/>
  <c r="DY13" i="5"/>
  <c r="DY12" i="5"/>
  <c r="DY11" i="5"/>
  <c r="DY10" i="5"/>
  <c r="DY9" i="5"/>
  <c r="DY8" i="5"/>
  <c r="DY7" i="5"/>
  <c r="DY6" i="5"/>
  <c r="DY4" i="5"/>
  <c r="DY3" i="5"/>
  <c r="DY195" i="3"/>
  <c r="DY167" i="3"/>
  <c r="DY139" i="3"/>
  <c r="DY111" i="3"/>
  <c r="DY83" i="3"/>
  <c r="DY55" i="3"/>
  <c r="DY26" i="3"/>
  <c r="DY231" i="4"/>
  <c r="DY231" i="5" s="1"/>
  <c r="DY230" i="4"/>
  <c r="DY230" i="5" s="1"/>
  <c r="DY229" i="4"/>
  <c r="DY229" i="5" s="1"/>
  <c r="DY228" i="4"/>
  <c r="DY228" i="5" s="1"/>
  <c r="DY227" i="4"/>
  <c r="DY227" i="5" s="1"/>
  <c r="DY226" i="4"/>
  <c r="DY226" i="5" s="1"/>
  <c r="DY225" i="4"/>
  <c r="DY225" i="5" s="1"/>
  <c r="DY224" i="4"/>
  <c r="DY224" i="5" s="1"/>
  <c r="DY223" i="4"/>
  <c r="DY223" i="5" s="1"/>
  <c r="DY222" i="4"/>
  <c r="DY222" i="5" s="1"/>
  <c r="DY221" i="4"/>
  <c r="DY221" i="5" s="1"/>
  <c r="DY220" i="4"/>
  <c r="DY220" i="5" s="1"/>
  <c r="DY219" i="4"/>
  <c r="DY219" i="5" s="1"/>
  <c r="DY214" i="4"/>
  <c r="DY195" i="4"/>
  <c r="DY167" i="4"/>
  <c r="DY139" i="4"/>
  <c r="DY111" i="4"/>
  <c r="DY83" i="4"/>
  <c r="DY55" i="4"/>
  <c r="DY26" i="4" s="1"/>
  <c r="DY21" i="5" s="1"/>
  <c r="DY146" i="2"/>
  <c r="DY145" i="2"/>
  <c r="DY141" i="2"/>
  <c r="DY140" i="2"/>
  <c r="DY165" i="2" s="1"/>
  <c r="DY139" i="2"/>
  <c r="DY164" i="2" s="1"/>
  <c r="DY138" i="2"/>
  <c r="DY163" i="2" s="1"/>
  <c r="DY137" i="2"/>
  <c r="DY162" i="2" s="1"/>
  <c r="DY136" i="2"/>
  <c r="DY134" i="2"/>
  <c r="DY133" i="2"/>
  <c r="DY158" i="2" s="1"/>
  <c r="DY132" i="2"/>
  <c r="DY157" i="2" s="1"/>
  <c r="DY131" i="2"/>
  <c r="DY156" i="2" s="1"/>
  <c r="DY130" i="2"/>
  <c r="DY155" i="2" s="1"/>
  <c r="DY129" i="2"/>
  <c r="DY154" i="2" s="1"/>
  <c r="DY128" i="2"/>
  <c r="DY153" i="2" s="1"/>
  <c r="DY127" i="2"/>
  <c r="DY152" i="2" s="1"/>
  <c r="DY126" i="2"/>
  <c r="DY151" i="2" s="1"/>
  <c r="DY125" i="2"/>
  <c r="DY150" i="2" s="1"/>
  <c r="DY124" i="2"/>
  <c r="DY149" i="2" s="1"/>
  <c r="DY123" i="2"/>
  <c r="DY148" i="2" s="1"/>
  <c r="DY122" i="2"/>
  <c r="DY117" i="2"/>
  <c r="DY92" i="2"/>
  <c r="DY73" i="2"/>
  <c r="DY83" i="1"/>
  <c r="DY55" i="1"/>
  <c r="DY36" i="1"/>
  <c r="DY15" i="1"/>
  <c r="DY14" i="1"/>
  <c r="DY13" i="1"/>
  <c r="DY12" i="1"/>
  <c r="DY11" i="1"/>
  <c r="DY10" i="1"/>
  <c r="DY9" i="1"/>
  <c r="DY8" i="1"/>
  <c r="DY7" i="1"/>
  <c r="DY6" i="1"/>
  <c r="DY5" i="1"/>
  <c r="DY4" i="1"/>
  <c r="DY3" i="1"/>
  <c r="DY144" i="7" l="1"/>
  <c r="DY160" i="7"/>
  <c r="DY161" i="7"/>
  <c r="GX60" i="1"/>
  <c r="GY60" i="1"/>
  <c r="DY158" i="7"/>
  <c r="DY74" i="7"/>
  <c r="DY159" i="2"/>
  <c r="DY126" i="7" s="1"/>
  <c r="DY71" i="7"/>
  <c r="DY161" i="2"/>
  <c r="DY128" i="7" s="1"/>
  <c r="DY73" i="7"/>
  <c r="GY70" i="1"/>
  <c r="GX70" i="1"/>
  <c r="GX64" i="1"/>
  <c r="GY64" i="1"/>
  <c r="GY72" i="1"/>
  <c r="GX72" i="1"/>
  <c r="GX61" i="1"/>
  <c r="GY61" i="1"/>
  <c r="GY71" i="1"/>
  <c r="GX71" i="1"/>
  <c r="GX66" i="1"/>
  <c r="GY66" i="1"/>
  <c r="GX69" i="1"/>
  <c r="GY69" i="1"/>
  <c r="GX62" i="1"/>
  <c r="GY62" i="1"/>
  <c r="GX65" i="1"/>
  <c r="GY65" i="1"/>
  <c r="GY67" i="1"/>
  <c r="GX67" i="1"/>
  <c r="GY63" i="1"/>
  <c r="GX63" i="1"/>
  <c r="GY68" i="1"/>
  <c r="GX68" i="1"/>
  <c r="DY129" i="7"/>
  <c r="DY130" i="7"/>
  <c r="DY116" i="7"/>
  <c r="DY125" i="7"/>
  <c r="DY124" i="7"/>
  <c r="DY123" i="7"/>
  <c r="DY122" i="7"/>
  <c r="DY121" i="7"/>
  <c r="DY120" i="7"/>
  <c r="DY119" i="7"/>
  <c r="DY109" i="7"/>
  <c r="DY118" i="7"/>
  <c r="DY214" i="5"/>
  <c r="DY115" i="7"/>
  <c r="DY159" i="7"/>
  <c r="DY141" i="7"/>
  <c r="DY195" i="5"/>
  <c r="DY167" i="5"/>
  <c r="DY139" i="5"/>
  <c r="DY151" i="7"/>
  <c r="DY143" i="7"/>
  <c r="DY111" i="5"/>
  <c r="DY163" i="7"/>
  <c r="DY162" i="7"/>
  <c r="DY153" i="7"/>
  <c r="DY150" i="7"/>
  <c r="DY149" i="7"/>
  <c r="DY148" i="7"/>
  <c r="DY147" i="7"/>
  <c r="DY146" i="7"/>
  <c r="DY145" i="7"/>
  <c r="DY142" i="7"/>
  <c r="DY157" i="7"/>
  <c r="DY152" i="7"/>
  <c r="DY156" i="7"/>
  <c r="DY155" i="7"/>
  <c r="DY83" i="5"/>
  <c r="DY5" i="5"/>
  <c r="DY26" i="5" s="1"/>
  <c r="DY55" i="5"/>
  <c r="DY64" i="7"/>
  <c r="DY65" i="7"/>
  <c r="DY233" i="5"/>
  <c r="DY233" i="4"/>
  <c r="DY66" i="7"/>
  <c r="DY70" i="7"/>
  <c r="DY69" i="7"/>
  <c r="DY63" i="7"/>
  <c r="DY166" i="2"/>
  <c r="DY68" i="7"/>
  <c r="DY67" i="7"/>
  <c r="DY61" i="7"/>
  <c r="DY60" i="7"/>
  <c r="DY75" i="7"/>
  <c r="DY25" i="8"/>
  <c r="DY26" i="7"/>
  <c r="DY26" i="6"/>
  <c r="DY54" i="6" s="1"/>
  <c r="DY142" i="2"/>
  <c r="DY81" i="7" s="1"/>
  <c r="DY147" i="2"/>
  <c r="DY17" i="1"/>
  <c r="GX74" i="1" s="1"/>
  <c r="CV25" i="6"/>
  <c r="CV21" i="6" s="1"/>
  <c r="CQ23" i="6"/>
  <c r="BV129" i="6"/>
  <c r="BW129" i="6" s="1"/>
  <c r="BV73" i="6"/>
  <c r="BW73" i="6" s="1"/>
  <c r="DM3" i="6"/>
  <c r="DN3" i="6"/>
  <c r="DO3" i="6"/>
  <c r="DP3" i="6"/>
  <c r="DM4" i="6"/>
  <c r="DN4" i="6"/>
  <c r="DO4" i="6"/>
  <c r="DP4" i="6"/>
  <c r="DM5" i="6"/>
  <c r="DN5" i="6"/>
  <c r="DO5" i="6"/>
  <c r="DP5" i="6"/>
  <c r="DM6" i="6"/>
  <c r="DN6" i="6"/>
  <c r="DO6" i="6"/>
  <c r="DP6" i="6"/>
  <c r="DM7" i="6"/>
  <c r="DN7" i="6"/>
  <c r="DO7" i="6"/>
  <c r="DP7" i="6"/>
  <c r="DM8" i="6"/>
  <c r="DN8" i="6"/>
  <c r="DO8" i="6"/>
  <c r="DP8" i="6"/>
  <c r="DM9" i="6"/>
  <c r="DN9" i="6"/>
  <c r="DO9" i="6"/>
  <c r="DP9" i="6"/>
  <c r="DM10" i="6"/>
  <c r="DN10" i="6"/>
  <c r="DO10" i="6"/>
  <c r="DP10" i="6"/>
  <c r="DM11" i="6"/>
  <c r="DN11" i="6"/>
  <c r="DO11" i="6"/>
  <c r="DP11" i="6"/>
  <c r="DM12" i="6"/>
  <c r="DM23" i="6" s="1"/>
  <c r="DN12" i="6"/>
  <c r="DN23" i="6" s="1"/>
  <c r="DO12" i="6"/>
  <c r="DO23" i="6" s="1"/>
  <c r="DP12" i="6"/>
  <c r="DM13" i="6"/>
  <c r="DM14" i="6" s="1"/>
  <c r="DN13" i="6"/>
  <c r="DN14" i="6" s="1"/>
  <c r="DO13" i="6"/>
  <c r="DO14" i="6" s="1"/>
  <c r="DP13" i="6"/>
  <c r="DP14" i="6" s="1"/>
  <c r="DM15" i="6"/>
  <c r="DN15" i="6"/>
  <c r="DO15" i="6"/>
  <c r="DP15" i="6"/>
  <c r="DM17" i="6"/>
  <c r="DN17" i="6"/>
  <c r="DO17" i="6"/>
  <c r="DP17" i="6"/>
  <c r="DM20" i="6"/>
  <c r="DN20" i="6"/>
  <c r="DO20" i="6"/>
  <c r="DP20" i="6"/>
  <c r="DM22" i="6"/>
  <c r="DN22" i="6"/>
  <c r="DO22" i="6"/>
  <c r="DP22" i="6"/>
  <c r="DP23" i="6"/>
  <c r="DM24" i="6"/>
  <c r="DN24" i="6"/>
  <c r="DO24" i="6"/>
  <c r="DP24" i="6"/>
  <c r="DM25" i="6"/>
  <c r="DM21" i="6" s="1"/>
  <c r="DN25" i="6"/>
  <c r="DN21" i="6" s="1"/>
  <c r="DO25" i="6"/>
  <c r="DO21" i="6" s="1"/>
  <c r="DP25" i="6"/>
  <c r="DP21" i="6" s="1"/>
  <c r="CW52" i="6"/>
  <c r="CW51" i="6"/>
  <c r="CV9" i="6"/>
  <c r="CU4" i="6"/>
  <c r="CV3" i="6"/>
  <c r="CR52" i="6"/>
  <c r="CR47" i="6"/>
  <c r="CR45" i="6"/>
  <c r="CR37" i="6"/>
  <c r="CR36" i="6"/>
  <c r="CR35" i="6"/>
  <c r="CR34" i="6"/>
  <c r="CR33" i="6"/>
  <c r="CC53" i="6"/>
  <c r="CB52" i="6"/>
  <c r="CC52" i="6" s="1"/>
  <c r="CC51" i="6"/>
  <c r="CC50" i="6"/>
  <c r="CC49" i="6"/>
  <c r="CC48" i="6"/>
  <c r="CC47" i="6"/>
  <c r="CC46" i="6"/>
  <c r="CC45" i="6"/>
  <c r="CC37" i="6"/>
  <c r="CC36" i="6"/>
  <c r="CC35" i="6"/>
  <c r="CC34" i="6"/>
  <c r="CC33" i="6"/>
  <c r="CC32" i="6"/>
  <c r="CC31" i="6"/>
  <c r="BN31" i="6"/>
  <c r="BS31" i="6"/>
  <c r="BX31" i="6"/>
  <c r="CH31" i="6"/>
  <c r="CM31" i="6"/>
  <c r="DB31" i="6"/>
  <c r="DG31" i="6"/>
  <c r="DL31" i="6"/>
  <c r="DQ31" i="6"/>
  <c r="DV31" i="6"/>
  <c r="BN32" i="6"/>
  <c r="BS32" i="6"/>
  <c r="BX32" i="6"/>
  <c r="CH32" i="6"/>
  <c r="CM32" i="6"/>
  <c r="DB32" i="6"/>
  <c r="DG32" i="6"/>
  <c r="DL32" i="6"/>
  <c r="DQ32" i="6"/>
  <c r="DV32" i="6"/>
  <c r="BN33" i="6"/>
  <c r="BS33" i="6"/>
  <c r="BX33" i="6"/>
  <c r="CH33" i="6"/>
  <c r="CM33" i="6"/>
  <c r="DB33" i="6"/>
  <c r="DG33" i="6"/>
  <c r="DL33" i="6"/>
  <c r="DQ33" i="6"/>
  <c r="DV33" i="6"/>
  <c r="BN34" i="6"/>
  <c r="BS34" i="6"/>
  <c r="BX34" i="6"/>
  <c r="CH34" i="6"/>
  <c r="CM34" i="6"/>
  <c r="DB34" i="6"/>
  <c r="DG34" i="6"/>
  <c r="DL34" i="6"/>
  <c r="DQ34" i="6"/>
  <c r="DV34" i="6"/>
  <c r="BN35" i="6"/>
  <c r="BS35" i="6"/>
  <c r="BX35" i="6"/>
  <c r="CH35" i="6"/>
  <c r="CM35" i="6"/>
  <c r="DB35" i="6"/>
  <c r="DG35" i="6"/>
  <c r="DL35" i="6"/>
  <c r="DQ35" i="6"/>
  <c r="DV35" i="6"/>
  <c r="BN36" i="6"/>
  <c r="BS36" i="6"/>
  <c r="BX36" i="6"/>
  <c r="CH36" i="6"/>
  <c r="CM36" i="6"/>
  <c r="DB36" i="6"/>
  <c r="DG36" i="6"/>
  <c r="DL36" i="6"/>
  <c r="DQ36" i="6"/>
  <c r="DV36" i="6"/>
  <c r="BN37" i="6"/>
  <c r="BS37" i="6"/>
  <c r="BX37" i="6"/>
  <c r="CH37" i="6"/>
  <c r="CM37" i="6"/>
  <c r="DB37" i="6"/>
  <c r="DG37" i="6"/>
  <c r="DL37" i="6"/>
  <c r="DQ37" i="6"/>
  <c r="DV37" i="6"/>
  <c r="DB38" i="6"/>
  <c r="DG38" i="6"/>
  <c r="DL38" i="6"/>
  <c r="DQ38" i="6"/>
  <c r="DV38" i="6"/>
  <c r="DB39" i="6"/>
  <c r="DG39" i="6"/>
  <c r="DL39" i="6"/>
  <c r="DQ39" i="6"/>
  <c r="DV39" i="6"/>
  <c r="DB40" i="6"/>
  <c r="DG40" i="6"/>
  <c r="DL40" i="6"/>
  <c r="DQ40" i="6"/>
  <c r="DV40" i="6"/>
  <c r="DB41" i="6"/>
  <c r="DG41" i="6"/>
  <c r="DL41" i="6"/>
  <c r="DQ41" i="6"/>
  <c r="DV41" i="6"/>
  <c r="DB42" i="6"/>
  <c r="DG42" i="6"/>
  <c r="DL42" i="6"/>
  <c r="DQ42" i="6"/>
  <c r="DV42" i="6"/>
  <c r="BN45" i="6"/>
  <c r="BS45" i="6"/>
  <c r="BX45" i="6"/>
  <c r="CH45" i="6"/>
  <c r="CM45" i="6"/>
  <c r="DB45" i="6"/>
  <c r="DG45" i="6"/>
  <c r="DL45" i="6"/>
  <c r="DQ45" i="6"/>
  <c r="DV45" i="6"/>
  <c r="BN46" i="6"/>
  <c r="BS46" i="6"/>
  <c r="BX46" i="6"/>
  <c r="CH46" i="6"/>
  <c r="CM46" i="6"/>
  <c r="CR46" i="6"/>
  <c r="CW46" i="6"/>
  <c r="DB46" i="6"/>
  <c r="DG46" i="6"/>
  <c r="DL46" i="6"/>
  <c r="DQ46" i="6"/>
  <c r="DV46" i="6"/>
  <c r="BN47" i="6"/>
  <c r="BS47" i="6"/>
  <c r="BX47" i="6"/>
  <c r="CH47" i="6"/>
  <c r="CM47" i="6"/>
  <c r="DB47" i="6"/>
  <c r="DG47" i="6"/>
  <c r="DL47" i="6"/>
  <c r="DQ47" i="6"/>
  <c r="DV47" i="6"/>
  <c r="BN48" i="6"/>
  <c r="BS48" i="6"/>
  <c r="BX48" i="6"/>
  <c r="CH48" i="6"/>
  <c r="CM48" i="6"/>
  <c r="CR48" i="6"/>
  <c r="CW48" i="6"/>
  <c r="DB48" i="6"/>
  <c r="DG48" i="6"/>
  <c r="DL48" i="6"/>
  <c r="DQ48" i="6"/>
  <c r="DV48" i="6"/>
  <c r="BN49" i="6"/>
  <c r="BS49" i="6"/>
  <c r="BX49" i="6"/>
  <c r="CH49" i="6"/>
  <c r="CM49" i="6"/>
  <c r="CR49" i="6"/>
  <c r="CW49" i="6"/>
  <c r="DB49" i="6"/>
  <c r="DG49" i="6"/>
  <c r="DL49" i="6"/>
  <c r="DQ49" i="6"/>
  <c r="DV49" i="6"/>
  <c r="BN50" i="6"/>
  <c r="BS50" i="6"/>
  <c r="BX50" i="6"/>
  <c r="CH50" i="6"/>
  <c r="CM50" i="6"/>
  <c r="CR50" i="6"/>
  <c r="CW50" i="6"/>
  <c r="DB50" i="6"/>
  <c r="DG50" i="6"/>
  <c r="DL50" i="6"/>
  <c r="DQ50" i="6"/>
  <c r="DV50" i="6"/>
  <c r="BN51" i="6"/>
  <c r="BS51" i="6"/>
  <c r="BX51" i="6"/>
  <c r="CH51" i="6"/>
  <c r="CM51" i="6"/>
  <c r="CR51" i="6"/>
  <c r="DB51" i="6"/>
  <c r="DG51" i="6"/>
  <c r="DL51" i="6"/>
  <c r="DQ51" i="6"/>
  <c r="DV51" i="6"/>
  <c r="BN52" i="6"/>
  <c r="BS52" i="6"/>
  <c r="BX52" i="6"/>
  <c r="CH52" i="6"/>
  <c r="CM52" i="6"/>
  <c r="DB52" i="6"/>
  <c r="DG52" i="6"/>
  <c r="DL52" i="6"/>
  <c r="DQ52" i="6"/>
  <c r="DV52" i="6"/>
  <c r="BN53" i="6"/>
  <c r="BS53" i="6"/>
  <c r="BX53" i="6"/>
  <c r="CH53" i="6"/>
  <c r="CM53" i="6"/>
  <c r="CR53" i="6"/>
  <c r="CW53" i="6"/>
  <c r="DB53" i="6"/>
  <c r="DG53" i="6"/>
  <c r="DL53" i="6"/>
  <c r="DQ53" i="6"/>
  <c r="DV53" i="6"/>
  <c r="BJ3" i="6"/>
  <c r="BK3" i="6"/>
  <c r="BL3" i="6"/>
  <c r="BM3" i="6"/>
  <c r="BO3" i="6"/>
  <c r="BP3" i="6"/>
  <c r="BQ3" i="6"/>
  <c r="BR3" i="6"/>
  <c r="BT3" i="6"/>
  <c r="BU3" i="6"/>
  <c r="BV3" i="6"/>
  <c r="BW3" i="6"/>
  <c r="BY3" i="6"/>
  <c r="BZ3" i="6"/>
  <c r="CA3" i="6"/>
  <c r="CB3" i="6"/>
  <c r="CD3" i="6"/>
  <c r="CE3" i="6"/>
  <c r="CF3" i="6"/>
  <c r="CG3" i="6"/>
  <c r="CI3" i="6"/>
  <c r="CJ3" i="6"/>
  <c r="CK3" i="6"/>
  <c r="CL3" i="6"/>
  <c r="CN3" i="6"/>
  <c r="CO3" i="6"/>
  <c r="CP3" i="6"/>
  <c r="CS3" i="6"/>
  <c r="CT3" i="6"/>
  <c r="CX3" i="6"/>
  <c r="CY3" i="6"/>
  <c r="CZ3" i="6"/>
  <c r="DA3" i="6"/>
  <c r="DC3" i="6"/>
  <c r="DD3" i="6"/>
  <c r="DE3" i="6"/>
  <c r="DF3" i="6"/>
  <c r="DH3" i="6"/>
  <c r="DI3" i="6"/>
  <c r="DJ3" i="6"/>
  <c r="DK3" i="6"/>
  <c r="DR3" i="6"/>
  <c r="DS3" i="6"/>
  <c r="DT3" i="6"/>
  <c r="DU3" i="6"/>
  <c r="DW3" i="6"/>
  <c r="DX3" i="6"/>
  <c r="BJ4" i="6"/>
  <c r="BK4" i="6"/>
  <c r="BL4" i="6"/>
  <c r="BM4" i="6"/>
  <c r="BO4" i="6"/>
  <c r="BP4" i="6"/>
  <c r="BQ4" i="6"/>
  <c r="BR4" i="6"/>
  <c r="BT4" i="6"/>
  <c r="BU4" i="6"/>
  <c r="BV4" i="6"/>
  <c r="BW4" i="6"/>
  <c r="BY4" i="6"/>
  <c r="BZ4" i="6"/>
  <c r="CA4" i="6"/>
  <c r="CB4" i="6"/>
  <c r="CD4" i="6"/>
  <c r="CE4" i="6"/>
  <c r="CF4" i="6"/>
  <c r="CG4" i="6"/>
  <c r="CI4" i="6"/>
  <c r="CJ4" i="6"/>
  <c r="CK4" i="6"/>
  <c r="CL4" i="6"/>
  <c r="CN4" i="6"/>
  <c r="CO4" i="6"/>
  <c r="CP4" i="6"/>
  <c r="CS4" i="6"/>
  <c r="CT4" i="6"/>
  <c r="CX4" i="6"/>
  <c r="CY4" i="6"/>
  <c r="CZ4" i="6"/>
  <c r="DA4" i="6"/>
  <c r="DC4" i="6"/>
  <c r="DD4" i="6"/>
  <c r="DE4" i="6"/>
  <c r="DF4" i="6"/>
  <c r="DH4" i="6"/>
  <c r="DI4" i="6"/>
  <c r="DJ4" i="6"/>
  <c r="DK4" i="6"/>
  <c r="DR4" i="6"/>
  <c r="DS4" i="6"/>
  <c r="DT4" i="6"/>
  <c r="DU4" i="6"/>
  <c r="DW4" i="6"/>
  <c r="DX4" i="6"/>
  <c r="BJ5" i="6"/>
  <c r="BK5" i="6"/>
  <c r="BL5" i="6"/>
  <c r="BM5" i="6"/>
  <c r="BO5" i="6"/>
  <c r="BP5" i="6"/>
  <c r="BQ5" i="6"/>
  <c r="BR5" i="6"/>
  <c r="BT5" i="6"/>
  <c r="BU5" i="6"/>
  <c r="BV5" i="6"/>
  <c r="BW5" i="6"/>
  <c r="BY5" i="6"/>
  <c r="BZ5" i="6"/>
  <c r="CA5" i="6"/>
  <c r="CB5" i="6"/>
  <c r="CD5" i="6"/>
  <c r="CE5" i="6"/>
  <c r="CF5" i="6"/>
  <c r="CG5" i="6"/>
  <c r="CI5" i="6"/>
  <c r="CJ5" i="6"/>
  <c r="CK5" i="6"/>
  <c r="CL5" i="6"/>
  <c r="CN5" i="6"/>
  <c r="CO5" i="6"/>
  <c r="CP5" i="6"/>
  <c r="CS5" i="6"/>
  <c r="CX5" i="6"/>
  <c r="CY5" i="6"/>
  <c r="CZ5" i="6"/>
  <c r="DA5" i="6"/>
  <c r="DC5" i="6"/>
  <c r="DD5" i="6"/>
  <c r="DE5" i="6"/>
  <c r="DF5" i="6"/>
  <c r="DH5" i="6"/>
  <c r="DI5" i="6"/>
  <c r="DJ5" i="6"/>
  <c r="DK5" i="6"/>
  <c r="DR5" i="6"/>
  <c r="DS5" i="6"/>
  <c r="DT5" i="6"/>
  <c r="DU5" i="6"/>
  <c r="DW5" i="6"/>
  <c r="DX5" i="6"/>
  <c r="BJ6" i="6"/>
  <c r="BK6" i="6"/>
  <c r="BL6" i="6"/>
  <c r="BM6" i="6"/>
  <c r="BO6" i="6"/>
  <c r="BP6" i="6"/>
  <c r="BQ6" i="6"/>
  <c r="BR6" i="6"/>
  <c r="BT6" i="6"/>
  <c r="BU6" i="6"/>
  <c r="BV6" i="6"/>
  <c r="BW6" i="6"/>
  <c r="BY6" i="6"/>
  <c r="BZ6" i="6"/>
  <c r="CA6" i="6"/>
  <c r="CB6" i="6"/>
  <c r="CD6" i="6"/>
  <c r="CE6" i="6"/>
  <c r="CF6" i="6"/>
  <c r="CG6" i="6"/>
  <c r="CI6" i="6"/>
  <c r="CJ6" i="6"/>
  <c r="CK6" i="6"/>
  <c r="CL6" i="6"/>
  <c r="CN6" i="6"/>
  <c r="CO6" i="6"/>
  <c r="CP6" i="6"/>
  <c r="CS6" i="6"/>
  <c r="CT6" i="6"/>
  <c r="CX6" i="6"/>
  <c r="CY6" i="6"/>
  <c r="CZ6" i="6"/>
  <c r="DA6" i="6"/>
  <c r="DC6" i="6"/>
  <c r="DD6" i="6"/>
  <c r="DE6" i="6"/>
  <c r="DF6" i="6"/>
  <c r="DH6" i="6"/>
  <c r="DI6" i="6"/>
  <c r="DJ6" i="6"/>
  <c r="DK6" i="6"/>
  <c r="DR6" i="6"/>
  <c r="DS6" i="6"/>
  <c r="DT6" i="6"/>
  <c r="DU6" i="6"/>
  <c r="DW6" i="6"/>
  <c r="DX6" i="6"/>
  <c r="BJ7" i="6"/>
  <c r="BK7" i="6"/>
  <c r="BL7" i="6"/>
  <c r="BM7" i="6"/>
  <c r="BO7" i="6"/>
  <c r="BP7" i="6"/>
  <c r="BQ7" i="6"/>
  <c r="BR7" i="6"/>
  <c r="BT7" i="6"/>
  <c r="BU7" i="6"/>
  <c r="BV7" i="6"/>
  <c r="BW7" i="6"/>
  <c r="BY7" i="6"/>
  <c r="BZ7" i="6"/>
  <c r="CA7" i="6"/>
  <c r="CB7" i="6"/>
  <c r="CD7" i="6"/>
  <c r="CE7" i="6"/>
  <c r="CF7" i="6"/>
  <c r="CG7" i="6"/>
  <c r="CI7" i="6"/>
  <c r="CJ7" i="6"/>
  <c r="CK7" i="6"/>
  <c r="CL7" i="6"/>
  <c r="CN7" i="6"/>
  <c r="CO7" i="6"/>
  <c r="CP7" i="6"/>
  <c r="CS7" i="6"/>
  <c r="CT7" i="6"/>
  <c r="CX7" i="6"/>
  <c r="CY7" i="6"/>
  <c r="CZ7" i="6"/>
  <c r="DA7" i="6"/>
  <c r="DC7" i="6"/>
  <c r="DD7" i="6"/>
  <c r="DE7" i="6"/>
  <c r="DF7" i="6"/>
  <c r="DH7" i="6"/>
  <c r="DI7" i="6"/>
  <c r="DJ7" i="6"/>
  <c r="DK7" i="6"/>
  <c r="DR7" i="6"/>
  <c r="DS7" i="6"/>
  <c r="DT7" i="6"/>
  <c r="DU7" i="6"/>
  <c r="DW7" i="6"/>
  <c r="DX7" i="6"/>
  <c r="BJ8" i="6"/>
  <c r="BK8" i="6"/>
  <c r="BL8" i="6"/>
  <c r="BM8" i="6"/>
  <c r="BO8" i="6"/>
  <c r="BP8" i="6"/>
  <c r="BQ8" i="6"/>
  <c r="BR8" i="6"/>
  <c r="BT8" i="6"/>
  <c r="BU8" i="6"/>
  <c r="BV8" i="6"/>
  <c r="BW8" i="6"/>
  <c r="BY8" i="6"/>
  <c r="BZ8" i="6"/>
  <c r="CA8" i="6"/>
  <c r="CB8" i="6"/>
  <c r="CD8" i="6"/>
  <c r="CE8" i="6"/>
  <c r="CF8" i="6"/>
  <c r="CG8" i="6"/>
  <c r="CI8" i="6"/>
  <c r="CJ8" i="6"/>
  <c r="CK8" i="6"/>
  <c r="CL8" i="6"/>
  <c r="CN8" i="6"/>
  <c r="CO8" i="6"/>
  <c r="CP8" i="6"/>
  <c r="CS8" i="6"/>
  <c r="CT8" i="6"/>
  <c r="CX8" i="6"/>
  <c r="CY8" i="6"/>
  <c r="CZ8" i="6"/>
  <c r="DA8" i="6"/>
  <c r="DC8" i="6"/>
  <c r="DD8" i="6"/>
  <c r="DE8" i="6"/>
  <c r="DF8" i="6"/>
  <c r="DH8" i="6"/>
  <c r="DI8" i="6"/>
  <c r="DJ8" i="6"/>
  <c r="DK8" i="6"/>
  <c r="DR8" i="6"/>
  <c r="DS8" i="6"/>
  <c r="DT8" i="6"/>
  <c r="DU8" i="6"/>
  <c r="DW8" i="6"/>
  <c r="DX8" i="6"/>
  <c r="BJ9" i="6"/>
  <c r="BK9" i="6"/>
  <c r="BL9" i="6"/>
  <c r="BM9" i="6"/>
  <c r="BO9" i="6"/>
  <c r="BP9" i="6"/>
  <c r="BQ9" i="6"/>
  <c r="BR9" i="6"/>
  <c r="BT9" i="6"/>
  <c r="BU9" i="6"/>
  <c r="BV9" i="6"/>
  <c r="BW9" i="6"/>
  <c r="BY9" i="6"/>
  <c r="BZ9" i="6"/>
  <c r="CA9" i="6"/>
  <c r="CB9" i="6"/>
  <c r="CD9" i="6"/>
  <c r="CE9" i="6"/>
  <c r="CF9" i="6"/>
  <c r="CG9" i="6"/>
  <c r="CI9" i="6"/>
  <c r="CJ9" i="6"/>
  <c r="CK9" i="6"/>
  <c r="CL9" i="6"/>
  <c r="CN9" i="6"/>
  <c r="CO9" i="6"/>
  <c r="CP9" i="6"/>
  <c r="CS9" i="6"/>
  <c r="CT9" i="6"/>
  <c r="CX9" i="6"/>
  <c r="CY9" i="6"/>
  <c r="CZ9" i="6"/>
  <c r="DA9" i="6"/>
  <c r="DC9" i="6"/>
  <c r="DD9" i="6"/>
  <c r="DE9" i="6"/>
  <c r="DF9" i="6"/>
  <c r="DH9" i="6"/>
  <c r="DI9" i="6"/>
  <c r="DJ9" i="6"/>
  <c r="DK9" i="6"/>
  <c r="DR9" i="6"/>
  <c r="DS9" i="6"/>
  <c r="DT9" i="6"/>
  <c r="DU9" i="6"/>
  <c r="DW9" i="6"/>
  <c r="DX9" i="6"/>
  <c r="BJ10" i="6"/>
  <c r="BK10" i="6"/>
  <c r="BL10" i="6"/>
  <c r="BM10" i="6"/>
  <c r="BO10" i="6"/>
  <c r="BP10" i="6"/>
  <c r="BQ10" i="6"/>
  <c r="BR10" i="6"/>
  <c r="BT10" i="6"/>
  <c r="BU10" i="6"/>
  <c r="BV10" i="6"/>
  <c r="BW10" i="6"/>
  <c r="BY10" i="6"/>
  <c r="BZ10" i="6"/>
  <c r="CA10" i="6"/>
  <c r="CB10" i="6"/>
  <c r="CD10" i="6"/>
  <c r="CE10" i="6"/>
  <c r="CF10" i="6"/>
  <c r="CG10" i="6"/>
  <c r="CI10" i="6"/>
  <c r="CJ10" i="6"/>
  <c r="CK10" i="6"/>
  <c r="CL10" i="6"/>
  <c r="CN10" i="6"/>
  <c r="CO10" i="6"/>
  <c r="CP10" i="6"/>
  <c r="CQ10" i="6"/>
  <c r="CS10" i="6"/>
  <c r="CT10" i="6"/>
  <c r="CU10" i="6"/>
  <c r="CV10" i="6"/>
  <c r="CX10" i="6"/>
  <c r="CY10" i="6"/>
  <c r="CZ10" i="6"/>
  <c r="DA10" i="6"/>
  <c r="DC10" i="6"/>
  <c r="DD10" i="6"/>
  <c r="DE10" i="6"/>
  <c r="DF10" i="6"/>
  <c r="DH10" i="6"/>
  <c r="DI10" i="6"/>
  <c r="DJ10" i="6"/>
  <c r="DK10" i="6"/>
  <c r="DU10" i="6"/>
  <c r="DW10" i="6"/>
  <c r="DX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X11" i="6"/>
  <c r="CY11" i="6"/>
  <c r="CZ11" i="6"/>
  <c r="DA11" i="6"/>
  <c r="DC11" i="6"/>
  <c r="DD11" i="6"/>
  <c r="DE11" i="6"/>
  <c r="DF11" i="6"/>
  <c r="DH11" i="6"/>
  <c r="DI11" i="6"/>
  <c r="DJ11" i="6"/>
  <c r="DK11" i="6"/>
  <c r="DR11" i="6"/>
  <c r="DS11" i="6"/>
  <c r="DT11" i="6"/>
  <c r="DU11" i="6"/>
  <c r="DW11" i="6"/>
  <c r="DX11" i="6"/>
  <c r="BJ12" i="6"/>
  <c r="BK12" i="6"/>
  <c r="BL12" i="6"/>
  <c r="BM12" i="6"/>
  <c r="BN12" i="6"/>
  <c r="BO12" i="6"/>
  <c r="BP12" i="6"/>
  <c r="BP23" i="6" s="1"/>
  <c r="BQ12" i="6"/>
  <c r="BQ23" i="6" s="1"/>
  <c r="BR12" i="6"/>
  <c r="BS12" i="6"/>
  <c r="BT12" i="6"/>
  <c r="BT23" i="6" s="1"/>
  <c r="BU12" i="6"/>
  <c r="BV12" i="6"/>
  <c r="BW12" i="6"/>
  <c r="BX12" i="6"/>
  <c r="BY12" i="6"/>
  <c r="BY23" i="6" s="1"/>
  <c r="BZ12" i="6"/>
  <c r="CA12" i="6"/>
  <c r="CB12" i="6"/>
  <c r="CB23" i="6" s="1"/>
  <c r="CC12" i="6"/>
  <c r="CD12" i="6"/>
  <c r="CD23" i="6" s="1"/>
  <c r="CE12" i="6"/>
  <c r="CF12" i="6"/>
  <c r="CF23" i="6" s="1"/>
  <c r="CG12" i="6"/>
  <c r="CG23" i="6" s="1"/>
  <c r="CH12" i="6"/>
  <c r="CI12" i="6"/>
  <c r="CJ12" i="6"/>
  <c r="CJ23" i="6" s="1"/>
  <c r="CK12" i="6"/>
  <c r="CL12" i="6"/>
  <c r="CL23" i="6" s="1"/>
  <c r="CM12" i="6"/>
  <c r="CN12" i="6"/>
  <c r="CN23" i="6" s="1"/>
  <c r="CO12" i="6"/>
  <c r="CP12" i="6"/>
  <c r="CQ12" i="6"/>
  <c r="CR12" i="6"/>
  <c r="CS12" i="6"/>
  <c r="CT12" i="6"/>
  <c r="CT23" i="6" s="1"/>
  <c r="CU12" i="6"/>
  <c r="CV12" i="6"/>
  <c r="CX12" i="6"/>
  <c r="CX23" i="6" s="1"/>
  <c r="CY12" i="6"/>
  <c r="CZ12" i="6"/>
  <c r="DA12" i="6"/>
  <c r="DA23" i="6" s="1"/>
  <c r="DC12" i="6"/>
  <c r="DD12" i="6"/>
  <c r="DD23" i="6" s="1"/>
  <c r="DE12" i="6"/>
  <c r="DF12" i="6"/>
  <c r="DF23" i="6" s="1"/>
  <c r="DH12" i="6"/>
  <c r="DH23" i="6" s="1"/>
  <c r="DI12" i="6"/>
  <c r="DJ12" i="6"/>
  <c r="DK12" i="6"/>
  <c r="DK23" i="6" s="1"/>
  <c r="DT12" i="6"/>
  <c r="DU12" i="6"/>
  <c r="DU23" i="6" s="1"/>
  <c r="DW12" i="6"/>
  <c r="DX12" i="6"/>
  <c r="DX23" i="6" s="1"/>
  <c r="BJ13" i="6"/>
  <c r="BK13" i="6"/>
  <c r="BL13" i="6"/>
  <c r="BL14" i="6" s="1"/>
  <c r="BM13" i="6"/>
  <c r="BM14" i="6" s="1"/>
  <c r="BN13" i="6"/>
  <c r="BO13" i="6"/>
  <c r="BO14" i="6" s="1"/>
  <c r="BP13" i="6"/>
  <c r="BQ13" i="6"/>
  <c r="BQ14" i="6" s="1"/>
  <c r="BR13" i="6"/>
  <c r="BR14" i="6" s="1"/>
  <c r="BS13" i="6"/>
  <c r="BT13" i="6"/>
  <c r="BT14" i="6" s="1"/>
  <c r="BU13" i="6"/>
  <c r="BU14" i="6" s="1"/>
  <c r="BV13" i="6"/>
  <c r="BW13" i="6"/>
  <c r="BW14" i="6" s="1"/>
  <c r="BX13" i="6"/>
  <c r="BY13" i="6"/>
  <c r="BY14" i="6" s="1"/>
  <c r="BZ13" i="6"/>
  <c r="BZ14" i="6" s="1"/>
  <c r="CA13" i="6"/>
  <c r="CB13" i="6"/>
  <c r="CB14" i="6" s="1"/>
  <c r="CC13" i="6"/>
  <c r="CD13" i="6"/>
  <c r="CE13" i="6"/>
  <c r="CE14" i="6" s="1"/>
  <c r="CF13" i="6"/>
  <c r="CG13" i="6"/>
  <c r="CG14" i="6" s="1"/>
  <c r="CH13" i="6"/>
  <c r="CH14" i="6" s="1"/>
  <c r="CI13" i="6"/>
  <c r="CJ13" i="6"/>
  <c r="CJ14" i="6" s="1"/>
  <c r="CK13" i="6"/>
  <c r="CK14" i="6" s="1"/>
  <c r="CL13" i="6"/>
  <c r="CM13" i="6"/>
  <c r="CM14" i="6" s="1"/>
  <c r="CN13" i="6"/>
  <c r="CO13" i="6"/>
  <c r="CO14" i="6" s="1"/>
  <c r="CP13" i="6"/>
  <c r="CQ13" i="6"/>
  <c r="CR13" i="6"/>
  <c r="CS13" i="6"/>
  <c r="CS14" i="6" s="1"/>
  <c r="CT13" i="6"/>
  <c r="CU13" i="6"/>
  <c r="CU14" i="6" s="1"/>
  <c r="CV13" i="6"/>
  <c r="CX13" i="6"/>
  <c r="CX14" i="6" s="1"/>
  <c r="CY13" i="6"/>
  <c r="CY14" i="6" s="1"/>
  <c r="CZ13" i="6"/>
  <c r="DA13" i="6"/>
  <c r="DA14" i="6" s="1"/>
  <c r="DC13" i="6"/>
  <c r="DC14" i="6" s="1"/>
  <c r="DD13" i="6"/>
  <c r="DE13" i="6"/>
  <c r="DE14" i="6" s="1"/>
  <c r="DF13" i="6"/>
  <c r="DH13" i="6"/>
  <c r="DH14" i="6" s="1"/>
  <c r="DI13" i="6"/>
  <c r="DI14" i="6" s="1"/>
  <c r="DJ13" i="6"/>
  <c r="DK13" i="6"/>
  <c r="DK14" i="6" s="1"/>
  <c r="DT13" i="6"/>
  <c r="DU13" i="6"/>
  <c r="DU14" i="6" s="1"/>
  <c r="DW13" i="6"/>
  <c r="DX13" i="6"/>
  <c r="BJ14" i="6"/>
  <c r="BK14" i="6"/>
  <c r="BN14" i="6"/>
  <c r="BP14" i="6"/>
  <c r="BV14" i="6"/>
  <c r="BX14" i="6"/>
  <c r="CA14" i="6"/>
  <c r="CD14" i="6"/>
  <c r="CF14" i="6"/>
  <c r="CI14" i="6"/>
  <c r="CL14" i="6"/>
  <c r="CN14" i="6"/>
  <c r="CP14" i="6"/>
  <c r="CT14" i="6"/>
  <c r="CZ14" i="6"/>
  <c r="DD14" i="6"/>
  <c r="DF14" i="6"/>
  <c r="DJ14" i="6"/>
  <c r="DW14" i="6"/>
  <c r="DX14" i="6"/>
  <c r="BJ15" i="6"/>
  <c r="BK15" i="6"/>
  <c r="BL15" i="6"/>
  <c r="BM15" i="6"/>
  <c r="BO15" i="6"/>
  <c r="BP15" i="6"/>
  <c r="BQ15" i="6"/>
  <c r="BR15" i="6"/>
  <c r="BT15" i="6"/>
  <c r="BU15" i="6"/>
  <c r="BV15" i="6"/>
  <c r="BW15" i="6"/>
  <c r="BY15" i="6"/>
  <c r="BZ15" i="6"/>
  <c r="CA15" i="6"/>
  <c r="CB15" i="6"/>
  <c r="CD15" i="6"/>
  <c r="CE15" i="6"/>
  <c r="CF15" i="6"/>
  <c r="CG15" i="6"/>
  <c r="CI15" i="6"/>
  <c r="CJ15" i="6"/>
  <c r="CK15" i="6"/>
  <c r="CL15" i="6"/>
  <c r="CN15" i="6"/>
  <c r="CO15" i="6"/>
  <c r="CP15" i="6"/>
  <c r="CQ15" i="6"/>
  <c r="CS15" i="6"/>
  <c r="CT15" i="6"/>
  <c r="CU15" i="6"/>
  <c r="CV15" i="6"/>
  <c r="CX15" i="6"/>
  <c r="CY15" i="6"/>
  <c r="CZ15" i="6"/>
  <c r="DA15" i="6"/>
  <c r="DC15" i="6"/>
  <c r="DD15" i="6"/>
  <c r="DE15" i="6"/>
  <c r="DF15" i="6"/>
  <c r="DH15" i="6"/>
  <c r="DI15" i="6"/>
  <c r="DJ15" i="6"/>
  <c r="DK15" i="6"/>
  <c r="DR15" i="6"/>
  <c r="DS15" i="6"/>
  <c r="DT15" i="6"/>
  <c r="DU15" i="6"/>
  <c r="DW15" i="6"/>
  <c r="DX15" i="6"/>
  <c r="BJ17" i="6"/>
  <c r="BK17" i="6"/>
  <c r="BL17" i="6"/>
  <c r="BM17" i="6"/>
  <c r="BO17" i="6"/>
  <c r="BP17" i="6"/>
  <c r="BQ17" i="6"/>
  <c r="BR17" i="6"/>
  <c r="BT17" i="6"/>
  <c r="BU17" i="6"/>
  <c r="BY17" i="6"/>
  <c r="BZ17" i="6"/>
  <c r="CA17" i="6"/>
  <c r="CB17" i="6"/>
  <c r="CD17" i="6"/>
  <c r="CE17" i="6"/>
  <c r="CF17" i="6"/>
  <c r="CG17" i="6"/>
  <c r="CI17" i="6"/>
  <c r="CJ17" i="6"/>
  <c r="CK17" i="6"/>
  <c r="CL17" i="6"/>
  <c r="CN17" i="6"/>
  <c r="CO17" i="6"/>
  <c r="CP17" i="6"/>
  <c r="CS17" i="6"/>
  <c r="CT17" i="6"/>
  <c r="CX17" i="6"/>
  <c r="CY17" i="6"/>
  <c r="CZ17" i="6"/>
  <c r="DA17" i="6"/>
  <c r="DC17" i="6"/>
  <c r="DD17" i="6"/>
  <c r="DE17" i="6"/>
  <c r="DF17" i="6"/>
  <c r="DH17" i="6"/>
  <c r="DI17" i="6"/>
  <c r="DJ17" i="6"/>
  <c r="DK17" i="6"/>
  <c r="DT17" i="6"/>
  <c r="DU17" i="6"/>
  <c r="DW17" i="6"/>
  <c r="DX17" i="6"/>
  <c r="CA19" i="6"/>
  <c r="CZ19" i="6"/>
  <c r="DW19" i="6"/>
  <c r="BJ20" i="6"/>
  <c r="BK20" i="6"/>
  <c r="BL20" i="6"/>
  <c r="BM20" i="6"/>
  <c r="BO20" i="6"/>
  <c r="BP20" i="6"/>
  <c r="BQ20" i="6"/>
  <c r="BR20" i="6"/>
  <c r="BT20" i="6"/>
  <c r="BU20" i="6"/>
  <c r="BV20" i="6"/>
  <c r="BW20" i="6"/>
  <c r="BY20" i="6"/>
  <c r="BZ20" i="6"/>
  <c r="CA20" i="6"/>
  <c r="CB20" i="6"/>
  <c r="CD20" i="6"/>
  <c r="CE20" i="6"/>
  <c r="CF20" i="6"/>
  <c r="CG20" i="6"/>
  <c r="CI20" i="6"/>
  <c r="CJ20" i="6"/>
  <c r="CK20" i="6"/>
  <c r="CL20" i="6"/>
  <c r="CN20" i="6"/>
  <c r="CO20" i="6"/>
  <c r="CP20" i="6"/>
  <c r="CQ20" i="6"/>
  <c r="CS20" i="6"/>
  <c r="CT20" i="6"/>
  <c r="CU20" i="6"/>
  <c r="CV20" i="6"/>
  <c r="CX20" i="6"/>
  <c r="CY20" i="6"/>
  <c r="CZ20" i="6"/>
  <c r="DA20" i="6"/>
  <c r="DC20" i="6"/>
  <c r="DD20" i="6"/>
  <c r="DE20" i="6"/>
  <c r="DF20" i="6"/>
  <c r="DH20" i="6"/>
  <c r="DI20" i="6"/>
  <c r="DJ20" i="6"/>
  <c r="DK20" i="6"/>
  <c r="DR20" i="6"/>
  <c r="DS20" i="6"/>
  <c r="DT20" i="6"/>
  <c r="DU20" i="6"/>
  <c r="DW20" i="6"/>
  <c r="DX20" i="6"/>
  <c r="BM21" i="6"/>
  <c r="BJ22" i="6"/>
  <c r="BK22" i="6"/>
  <c r="BL22" i="6"/>
  <c r="BM22" i="6"/>
  <c r="BO22" i="6"/>
  <c r="BP22" i="6"/>
  <c r="BQ22" i="6"/>
  <c r="BR22" i="6"/>
  <c r="BT22" i="6"/>
  <c r="BU22" i="6"/>
  <c r="BV22" i="6"/>
  <c r="BW22" i="6"/>
  <c r="BY22" i="6"/>
  <c r="BZ22" i="6"/>
  <c r="CA22" i="6"/>
  <c r="CB22" i="6"/>
  <c r="CD22" i="6"/>
  <c r="CE22" i="6"/>
  <c r="CF22" i="6"/>
  <c r="CG22" i="6"/>
  <c r="CI22" i="6"/>
  <c r="CJ22" i="6"/>
  <c r="CK22" i="6"/>
  <c r="CL22" i="6"/>
  <c r="CN22" i="6"/>
  <c r="CO22" i="6"/>
  <c r="CP22" i="6"/>
  <c r="CS22" i="6"/>
  <c r="CT22" i="6"/>
  <c r="CU22" i="6"/>
  <c r="CX22" i="6"/>
  <c r="CY22" i="6"/>
  <c r="CZ22" i="6"/>
  <c r="DA22" i="6"/>
  <c r="DC22" i="6"/>
  <c r="DD22" i="6"/>
  <c r="DE22" i="6"/>
  <c r="DF22" i="6"/>
  <c r="DH22" i="6"/>
  <c r="DI22" i="6"/>
  <c r="DJ22" i="6"/>
  <c r="DK22" i="6"/>
  <c r="DR22" i="6"/>
  <c r="DS22" i="6"/>
  <c r="DT22" i="6"/>
  <c r="DU22" i="6"/>
  <c r="DW22" i="6"/>
  <c r="DX22" i="6"/>
  <c r="BJ23" i="6"/>
  <c r="BK23" i="6"/>
  <c r="BL23" i="6"/>
  <c r="BM23" i="6"/>
  <c r="BO23" i="6"/>
  <c r="BR23" i="6"/>
  <c r="BU23" i="6"/>
  <c r="BV23" i="6"/>
  <c r="BW23" i="6"/>
  <c r="BZ23" i="6"/>
  <c r="CA23" i="6"/>
  <c r="CE23" i="6"/>
  <c r="CI23" i="6"/>
  <c r="CK23" i="6"/>
  <c r="CO23" i="6"/>
  <c r="CP23" i="6"/>
  <c r="CS23" i="6"/>
  <c r="CY23" i="6"/>
  <c r="CZ23" i="6"/>
  <c r="DC23" i="6"/>
  <c r="DE23" i="6"/>
  <c r="DI23" i="6"/>
  <c r="DJ23" i="6"/>
  <c r="DT23" i="6"/>
  <c r="DW23" i="6"/>
  <c r="BJ24" i="6"/>
  <c r="BK24" i="6"/>
  <c r="BL24" i="6"/>
  <c r="BM24" i="6"/>
  <c r="BO24" i="6"/>
  <c r="BP24" i="6"/>
  <c r="BQ24" i="6"/>
  <c r="BR24" i="6"/>
  <c r="BT24" i="6"/>
  <c r="BU24" i="6"/>
  <c r="BV24" i="6"/>
  <c r="BW24" i="6"/>
  <c r="BY24" i="6"/>
  <c r="BZ24" i="6"/>
  <c r="CA24" i="6"/>
  <c r="CB24" i="6"/>
  <c r="CD24" i="6"/>
  <c r="CE24" i="6"/>
  <c r="CF24" i="6"/>
  <c r="CG24" i="6"/>
  <c r="CI24" i="6"/>
  <c r="CJ24" i="6"/>
  <c r="CK24" i="6"/>
  <c r="CL24" i="6"/>
  <c r="CN24" i="6"/>
  <c r="CO24" i="6"/>
  <c r="CP24" i="6"/>
  <c r="CS24" i="6"/>
  <c r="CT24" i="6"/>
  <c r="CX24" i="6"/>
  <c r="CY24" i="6"/>
  <c r="CZ24" i="6"/>
  <c r="DA24" i="6"/>
  <c r="DC24" i="6"/>
  <c r="DD24" i="6"/>
  <c r="DE24" i="6"/>
  <c r="DF24" i="6"/>
  <c r="DH24" i="6"/>
  <c r="DI24" i="6"/>
  <c r="DJ24" i="6"/>
  <c r="DK24" i="6"/>
  <c r="DR24" i="6"/>
  <c r="DS24" i="6"/>
  <c r="DT24" i="6"/>
  <c r="DU24" i="6"/>
  <c r="DW24" i="6"/>
  <c r="DX24" i="6"/>
  <c r="BJ25" i="6"/>
  <c r="BJ21" i="6" s="1"/>
  <c r="BK25" i="6"/>
  <c r="BK21" i="6" s="1"/>
  <c r="BL25" i="6"/>
  <c r="BL21" i="6" s="1"/>
  <c r="BM25" i="6"/>
  <c r="BM19" i="6" s="1"/>
  <c r="BO25" i="6"/>
  <c r="BO21" i="6" s="1"/>
  <c r="BP25" i="6"/>
  <c r="BP21" i="6" s="1"/>
  <c r="BQ25" i="6"/>
  <c r="BQ21" i="6" s="1"/>
  <c r="BR25" i="6"/>
  <c r="BR21" i="6" s="1"/>
  <c r="BT25" i="6"/>
  <c r="BT21" i="6" s="1"/>
  <c r="BU25" i="6"/>
  <c r="BU21" i="6" s="1"/>
  <c r="BV25" i="6"/>
  <c r="BV21" i="6" s="1"/>
  <c r="BW25" i="6"/>
  <c r="BW21" i="6" s="1"/>
  <c r="BY25" i="6"/>
  <c r="BY21" i="6" s="1"/>
  <c r="BZ25" i="6"/>
  <c r="BZ21" i="6" s="1"/>
  <c r="CA25" i="6"/>
  <c r="CA21" i="6" s="1"/>
  <c r="CB25" i="6"/>
  <c r="CB21" i="6" s="1"/>
  <c r="CD25" i="6"/>
  <c r="CD21" i="6" s="1"/>
  <c r="CE25" i="6"/>
  <c r="CE21" i="6" s="1"/>
  <c r="CF25" i="6"/>
  <c r="CF21" i="6" s="1"/>
  <c r="CG25" i="6"/>
  <c r="CG21" i="6" s="1"/>
  <c r="CI25" i="6"/>
  <c r="CI21" i="6" s="1"/>
  <c r="CJ25" i="6"/>
  <c r="CJ21" i="6" s="1"/>
  <c r="CK25" i="6"/>
  <c r="CK21" i="6" s="1"/>
  <c r="CL25" i="6"/>
  <c r="CL21" i="6" s="1"/>
  <c r="CN25" i="6"/>
  <c r="CN21" i="6" s="1"/>
  <c r="CO25" i="6"/>
  <c r="CO21" i="6" s="1"/>
  <c r="CP25" i="6"/>
  <c r="CP21" i="6" s="1"/>
  <c r="CQ25" i="6"/>
  <c r="CQ21" i="6" s="1"/>
  <c r="CS25" i="6"/>
  <c r="CS21" i="6" s="1"/>
  <c r="CT25" i="6"/>
  <c r="CT21" i="6" s="1"/>
  <c r="CU25" i="6"/>
  <c r="CU21" i="6" s="1"/>
  <c r="CX25" i="6"/>
  <c r="CX21" i="6" s="1"/>
  <c r="CY25" i="6"/>
  <c r="CY21" i="6" s="1"/>
  <c r="CZ25" i="6"/>
  <c r="CZ21" i="6" s="1"/>
  <c r="DA25" i="6"/>
  <c r="DA21" i="6" s="1"/>
  <c r="DC25" i="6"/>
  <c r="DC21" i="6" s="1"/>
  <c r="DD25" i="6"/>
  <c r="DD21" i="6" s="1"/>
  <c r="DE25" i="6"/>
  <c r="DE21" i="6" s="1"/>
  <c r="DF25" i="6"/>
  <c r="DF21" i="6" s="1"/>
  <c r="DH25" i="6"/>
  <c r="DH21" i="6" s="1"/>
  <c r="DI25" i="6"/>
  <c r="DI21" i="6" s="1"/>
  <c r="DJ25" i="6"/>
  <c r="DJ21" i="6" s="1"/>
  <c r="DK25" i="6"/>
  <c r="DK21" i="6" s="1"/>
  <c r="DR25" i="6"/>
  <c r="DR21" i="6" s="1"/>
  <c r="DS25" i="6"/>
  <c r="DS21" i="6" s="1"/>
  <c r="DT25" i="6"/>
  <c r="DT21" i="6" s="1"/>
  <c r="DU25" i="6"/>
  <c r="DU21" i="6" s="1"/>
  <c r="DW25" i="6"/>
  <c r="DW21" i="6" s="1"/>
  <c r="DX25" i="6"/>
  <c r="DX21" i="6" s="1"/>
  <c r="DX48" i="2"/>
  <c r="DW48" i="2"/>
  <c r="DU48" i="2"/>
  <c r="DT48" i="2"/>
  <c r="DS48" i="2"/>
  <c r="DR48" i="2"/>
  <c r="DP48" i="2"/>
  <c r="DO48" i="2"/>
  <c r="DN48" i="2"/>
  <c r="DM48" i="2"/>
  <c r="DV46" i="2"/>
  <c r="DQ46" i="2"/>
  <c r="DL46" i="2"/>
  <c r="DG46" i="2"/>
  <c r="DB46" i="2"/>
  <c r="CW46" i="2"/>
  <c r="CR46" i="2"/>
  <c r="CM46" i="2"/>
  <c r="CH46" i="2"/>
  <c r="CC46" i="2"/>
  <c r="BX46" i="2"/>
  <c r="BS46" i="2"/>
  <c r="BN46" i="2"/>
  <c r="DV45" i="2"/>
  <c r="DQ45" i="2"/>
  <c r="DL45" i="2"/>
  <c r="DG45" i="2"/>
  <c r="CW45" i="2"/>
  <c r="CX45" i="2" s="1"/>
  <c r="DB45" i="2" s="1"/>
  <c r="CR45" i="2"/>
  <c r="CM45" i="2"/>
  <c r="CH45" i="2"/>
  <c r="CC45" i="2"/>
  <c r="BX45" i="2"/>
  <c r="BS45" i="2"/>
  <c r="BN45" i="2"/>
  <c r="DV44" i="2"/>
  <c r="DQ44" i="2"/>
  <c r="DL44" i="2"/>
  <c r="DG44" i="2"/>
  <c r="CW44" i="2"/>
  <c r="CX44" i="2" s="1"/>
  <c r="DB44" i="2" s="1"/>
  <c r="CR44" i="2"/>
  <c r="CM44" i="2"/>
  <c r="CH44" i="2"/>
  <c r="CC44" i="2"/>
  <c r="BX44" i="2"/>
  <c r="BS44" i="2"/>
  <c r="BN44" i="2"/>
  <c r="DV43" i="2"/>
  <c r="DQ43" i="2"/>
  <c r="DL43" i="2"/>
  <c r="DG43" i="2"/>
  <c r="CW43" i="2"/>
  <c r="CX43" i="2" s="1"/>
  <c r="DB43" i="2" s="1"/>
  <c r="CR43" i="2"/>
  <c r="CM43" i="2"/>
  <c r="CH43" i="2"/>
  <c r="CC43" i="2"/>
  <c r="BX43" i="2"/>
  <c r="BS43" i="2"/>
  <c r="BN43" i="2"/>
  <c r="DV42" i="2"/>
  <c r="DQ42" i="2"/>
  <c r="DL42" i="2"/>
  <c r="DG42" i="2"/>
  <c r="CW42" i="2"/>
  <c r="CX42" i="2" s="1"/>
  <c r="DB42" i="2" s="1"/>
  <c r="CR42" i="2"/>
  <c r="CM42" i="2"/>
  <c r="CH42" i="2"/>
  <c r="CC42" i="2"/>
  <c r="BX42" i="2"/>
  <c r="BS42" i="2"/>
  <c r="BN42" i="2"/>
  <c r="DV39" i="2"/>
  <c r="DQ39" i="2"/>
  <c r="BJ39" i="2"/>
  <c r="DV38" i="2"/>
  <c r="DQ38" i="2"/>
  <c r="BJ38" i="2"/>
  <c r="BK38" i="2" s="1"/>
  <c r="DV37" i="2"/>
  <c r="DQ37" i="2"/>
  <c r="BJ37" i="2"/>
  <c r="BK37" i="2" s="1"/>
  <c r="DV36" i="2"/>
  <c r="DQ36" i="2"/>
  <c r="DL36" i="2"/>
  <c r="BJ36" i="2"/>
  <c r="BK36" i="2" s="1"/>
  <c r="DV35" i="2"/>
  <c r="DQ35" i="2"/>
  <c r="DL35" i="2"/>
  <c r="BJ35" i="2"/>
  <c r="DV34" i="2"/>
  <c r="DQ34" i="2"/>
  <c r="DL34" i="2"/>
  <c r="DG34" i="2"/>
  <c r="DB34" i="2"/>
  <c r="CW34" i="2"/>
  <c r="CR34" i="2"/>
  <c r="CM34" i="2"/>
  <c r="CH34" i="2"/>
  <c r="CC34" i="2"/>
  <c r="BX34" i="2"/>
  <c r="BS34" i="2"/>
  <c r="BN34" i="2"/>
  <c r="DV33" i="2"/>
  <c r="DQ33" i="2"/>
  <c r="DL33" i="2"/>
  <c r="DG33" i="2"/>
  <c r="DB33" i="2"/>
  <c r="CW33" i="2"/>
  <c r="CR33" i="2"/>
  <c r="CM33" i="2"/>
  <c r="CH33" i="2"/>
  <c r="CC33" i="2"/>
  <c r="BX33" i="2"/>
  <c r="BS33" i="2"/>
  <c r="BN33" i="2"/>
  <c r="DV32" i="2"/>
  <c r="DQ32" i="2"/>
  <c r="DL32" i="2"/>
  <c r="DG32" i="2"/>
  <c r="DB32" i="2"/>
  <c r="CW32" i="2"/>
  <c r="CR32" i="2"/>
  <c r="CM32" i="2"/>
  <c r="CH32" i="2"/>
  <c r="CC32" i="2"/>
  <c r="BX32" i="2"/>
  <c r="BS32" i="2"/>
  <c r="BN32" i="2"/>
  <c r="DV31" i="2"/>
  <c r="DQ31" i="2"/>
  <c r="DL31" i="2"/>
  <c r="DG31" i="2"/>
  <c r="DB31" i="2"/>
  <c r="CW31" i="2"/>
  <c r="CR31" i="2"/>
  <c r="CM31" i="2"/>
  <c r="CH31" i="2"/>
  <c r="CC31" i="2"/>
  <c r="BX31" i="2"/>
  <c r="BS31" i="2"/>
  <c r="BN31" i="2"/>
  <c r="DV30" i="2"/>
  <c r="DQ30" i="2"/>
  <c r="DL30" i="2"/>
  <c r="DG30" i="2"/>
  <c r="DB30" i="2"/>
  <c r="CW30" i="2"/>
  <c r="CR30" i="2"/>
  <c r="CM30" i="2"/>
  <c r="CH30" i="2"/>
  <c r="CC30" i="2"/>
  <c r="BX30" i="2"/>
  <c r="BS30" i="2"/>
  <c r="BN30" i="2"/>
  <c r="DV29" i="2"/>
  <c r="DQ29" i="2"/>
  <c r="DL29" i="2"/>
  <c r="DG29" i="2"/>
  <c r="DB29" i="2"/>
  <c r="CW29" i="2"/>
  <c r="CR29" i="2"/>
  <c r="CM29" i="2"/>
  <c r="CH29" i="2"/>
  <c r="CC29" i="2"/>
  <c r="BX29" i="2"/>
  <c r="BS29" i="2"/>
  <c r="BN29" i="2"/>
  <c r="DV28" i="2"/>
  <c r="DQ28" i="2"/>
  <c r="DL28" i="2"/>
  <c r="DG28" i="2"/>
  <c r="DB28" i="2"/>
  <c r="CW28" i="2"/>
  <c r="CR28" i="2"/>
  <c r="CM28" i="2"/>
  <c r="CH28" i="2"/>
  <c r="CC28" i="2"/>
  <c r="BX28" i="2"/>
  <c r="BS28" i="2"/>
  <c r="BN28" i="2"/>
  <c r="DX15" i="1"/>
  <c r="DW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B15" i="1"/>
  <c r="CA15" i="1"/>
  <c r="BZ15" i="1"/>
  <c r="BY15" i="1"/>
  <c r="BW15" i="1"/>
  <c r="BV15" i="1"/>
  <c r="BU15" i="1"/>
  <c r="BT15" i="1"/>
  <c r="BR15" i="1"/>
  <c r="BQ15" i="1"/>
  <c r="BP15" i="1"/>
  <c r="BO15" i="1"/>
  <c r="BM15" i="1"/>
  <c r="BL15" i="1"/>
  <c r="BK15" i="1"/>
  <c r="BJ15" i="1"/>
  <c r="BH15" i="1"/>
  <c r="BG15" i="1"/>
  <c r="BF15" i="1"/>
  <c r="BE15" i="1"/>
  <c r="BC15" i="1"/>
  <c r="BB15" i="1"/>
  <c r="BA15" i="1"/>
  <c r="AZ15" i="1"/>
  <c r="AX15" i="1"/>
  <c r="AW15" i="1"/>
  <c r="AV15" i="1"/>
  <c r="AU15" i="1"/>
  <c r="AS15" i="1"/>
  <c r="AR15" i="1"/>
  <c r="AQ15" i="1"/>
  <c r="AP15" i="1"/>
  <c r="AN15" i="1"/>
  <c r="AM15" i="1"/>
  <c r="AL15" i="1"/>
  <c r="AK15" i="1"/>
  <c r="AI15" i="1"/>
  <c r="AH15" i="1"/>
  <c r="AG15" i="1"/>
  <c r="AF15" i="1"/>
  <c r="AD15" i="1"/>
  <c r="AC15" i="1"/>
  <c r="AB15" i="1"/>
  <c r="AA15" i="1"/>
  <c r="Y15" i="1"/>
  <c r="X15" i="1"/>
  <c r="W15" i="1"/>
  <c r="V15" i="1"/>
  <c r="T15" i="1"/>
  <c r="S15" i="1"/>
  <c r="R15" i="1"/>
  <c r="Q15" i="1"/>
  <c r="O15" i="1"/>
  <c r="N15" i="1"/>
  <c r="M15" i="1"/>
  <c r="L15" i="1"/>
  <c r="J15" i="1"/>
  <c r="I15" i="1"/>
  <c r="H15" i="1"/>
  <c r="G15" i="1"/>
  <c r="E15" i="1"/>
  <c r="D15" i="1"/>
  <c r="C15" i="1"/>
  <c r="B15" i="1"/>
  <c r="DX14" i="1"/>
  <c r="DW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B14" i="1"/>
  <c r="CA14" i="1"/>
  <c r="BZ14" i="1"/>
  <c r="BY14" i="1"/>
  <c r="BW14" i="1"/>
  <c r="BV14" i="1"/>
  <c r="BU14" i="1"/>
  <c r="BT14" i="1"/>
  <c r="BR14" i="1"/>
  <c r="BQ14" i="1"/>
  <c r="BP14" i="1"/>
  <c r="BO14" i="1"/>
  <c r="BM14" i="1"/>
  <c r="BL14" i="1"/>
  <c r="BK14" i="1"/>
  <c r="BJ14" i="1"/>
  <c r="BH14" i="1"/>
  <c r="BG14" i="1"/>
  <c r="BF14" i="1"/>
  <c r="BE14" i="1"/>
  <c r="BC14" i="1"/>
  <c r="BB14" i="1"/>
  <c r="BA14" i="1"/>
  <c r="AZ14" i="1"/>
  <c r="AX14" i="1"/>
  <c r="AW14" i="1"/>
  <c r="AV14" i="1"/>
  <c r="AU14" i="1"/>
  <c r="AS14" i="1"/>
  <c r="AR14" i="1"/>
  <c r="AQ14" i="1"/>
  <c r="AP14" i="1"/>
  <c r="AN14" i="1"/>
  <c r="AM14" i="1"/>
  <c r="AL14" i="1"/>
  <c r="AK14" i="1"/>
  <c r="AI14" i="1"/>
  <c r="AH14" i="1"/>
  <c r="AG14" i="1"/>
  <c r="AF14" i="1"/>
  <c r="AD14" i="1"/>
  <c r="AC14" i="1"/>
  <c r="AB14" i="1"/>
  <c r="AA14" i="1"/>
  <c r="Y14" i="1"/>
  <c r="X14" i="1"/>
  <c r="W14" i="1"/>
  <c r="V14" i="1"/>
  <c r="T14" i="1"/>
  <c r="S14" i="1"/>
  <c r="R14" i="1"/>
  <c r="Q14" i="1"/>
  <c r="O14" i="1"/>
  <c r="N14" i="1"/>
  <c r="M14" i="1"/>
  <c r="L14" i="1"/>
  <c r="J14" i="1"/>
  <c r="I14" i="1"/>
  <c r="H14" i="1"/>
  <c r="G14" i="1"/>
  <c r="E14" i="1"/>
  <c r="D14" i="1"/>
  <c r="C14" i="1"/>
  <c r="B14" i="1"/>
  <c r="DX13" i="1"/>
  <c r="DW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B13" i="1"/>
  <c r="CA13" i="1"/>
  <c r="BZ13" i="1"/>
  <c r="BY13" i="1"/>
  <c r="BW13" i="1"/>
  <c r="BV13" i="1"/>
  <c r="BU13" i="1"/>
  <c r="BT13" i="1"/>
  <c r="BR13" i="1"/>
  <c r="BQ13" i="1"/>
  <c r="BP13" i="1"/>
  <c r="BO13" i="1"/>
  <c r="BM13" i="1"/>
  <c r="BL13" i="1"/>
  <c r="BK13" i="1"/>
  <c r="BJ13" i="1"/>
  <c r="BH13" i="1"/>
  <c r="BG13" i="1"/>
  <c r="BF13" i="1"/>
  <c r="BE13" i="1"/>
  <c r="BC13" i="1"/>
  <c r="BB13" i="1"/>
  <c r="BA13" i="1"/>
  <c r="AZ13" i="1"/>
  <c r="AX13" i="1"/>
  <c r="AW13" i="1"/>
  <c r="AV13" i="1"/>
  <c r="AU13" i="1"/>
  <c r="AS13" i="1"/>
  <c r="AR13" i="1"/>
  <c r="AQ13" i="1"/>
  <c r="AP13" i="1"/>
  <c r="AN13" i="1"/>
  <c r="AM13" i="1"/>
  <c r="AL13" i="1"/>
  <c r="AK13" i="1"/>
  <c r="AI13" i="1"/>
  <c r="AH13" i="1"/>
  <c r="AG13" i="1"/>
  <c r="AF13" i="1"/>
  <c r="AD13" i="1"/>
  <c r="AC13" i="1"/>
  <c r="AB13" i="1"/>
  <c r="AA13" i="1"/>
  <c r="Y13" i="1"/>
  <c r="X13" i="1"/>
  <c r="W13" i="1"/>
  <c r="V13" i="1"/>
  <c r="T13" i="1"/>
  <c r="S13" i="1"/>
  <c r="R13" i="1"/>
  <c r="Q13" i="1"/>
  <c r="O13" i="1"/>
  <c r="N13" i="1"/>
  <c r="M13" i="1"/>
  <c r="L13" i="1"/>
  <c r="J13" i="1"/>
  <c r="I13" i="1"/>
  <c r="H13" i="1"/>
  <c r="G13" i="1"/>
  <c r="E13" i="1"/>
  <c r="D13" i="1"/>
  <c r="C13" i="1"/>
  <c r="B13" i="1"/>
  <c r="DX12" i="1"/>
  <c r="DW12" i="1"/>
  <c r="DU12" i="1"/>
  <c r="DT12" i="1"/>
  <c r="DS12" i="1"/>
  <c r="DR12" i="1"/>
  <c r="DP12" i="1"/>
  <c r="DO12" i="1"/>
  <c r="DN12" i="1"/>
  <c r="DM12" i="1"/>
  <c r="DK12" i="1"/>
  <c r="DA12" i="1"/>
  <c r="CZ12" i="1"/>
  <c r="CY12" i="1"/>
  <c r="CX12" i="1"/>
  <c r="CV12" i="1"/>
  <c r="CU12" i="1"/>
  <c r="CT12" i="1"/>
  <c r="CS12" i="1"/>
  <c r="CQ12" i="1"/>
  <c r="CP12" i="1"/>
  <c r="CO12" i="1"/>
  <c r="CN12" i="1"/>
  <c r="CL12" i="1"/>
  <c r="CK12" i="1"/>
  <c r="CJ12" i="1"/>
  <c r="CI12" i="1"/>
  <c r="CG12" i="1"/>
  <c r="CF12" i="1"/>
  <c r="CE12" i="1"/>
  <c r="CD12" i="1"/>
  <c r="CB12" i="1"/>
  <c r="CA12" i="1"/>
  <c r="BZ12" i="1"/>
  <c r="BY12" i="1"/>
  <c r="BW12" i="1"/>
  <c r="BV12" i="1"/>
  <c r="BU12" i="1"/>
  <c r="BT12" i="1"/>
  <c r="BR12" i="1"/>
  <c r="BQ12" i="1"/>
  <c r="BP12" i="1"/>
  <c r="BO12" i="1"/>
  <c r="BM12" i="1"/>
  <c r="BL12" i="1"/>
  <c r="BK12" i="1"/>
  <c r="BJ12" i="1"/>
  <c r="BH12" i="1"/>
  <c r="BG12" i="1"/>
  <c r="BF12" i="1"/>
  <c r="BE12" i="1"/>
  <c r="BC12" i="1"/>
  <c r="BB12" i="1"/>
  <c r="BA12" i="1"/>
  <c r="AZ12" i="1"/>
  <c r="AX12" i="1"/>
  <c r="AW12" i="1"/>
  <c r="AV12" i="1"/>
  <c r="AU12" i="1"/>
  <c r="AS12" i="1"/>
  <c r="AR12" i="1"/>
  <c r="AQ12" i="1"/>
  <c r="AP12" i="1"/>
  <c r="AN12" i="1"/>
  <c r="AM12" i="1"/>
  <c r="AL12" i="1"/>
  <c r="AK12" i="1"/>
  <c r="AI12" i="1"/>
  <c r="AH12" i="1"/>
  <c r="AG12" i="1"/>
  <c r="AF12" i="1"/>
  <c r="AD12" i="1"/>
  <c r="AC12" i="1"/>
  <c r="AB12" i="1"/>
  <c r="AA12" i="1"/>
  <c r="Y12" i="1"/>
  <c r="X12" i="1"/>
  <c r="W12" i="1"/>
  <c r="V12" i="1"/>
  <c r="T12" i="1"/>
  <c r="S12" i="1"/>
  <c r="R12" i="1"/>
  <c r="Q12" i="1"/>
  <c r="O12" i="1"/>
  <c r="N12" i="1"/>
  <c r="M12" i="1"/>
  <c r="L12" i="1"/>
  <c r="J12" i="1"/>
  <c r="I12" i="1"/>
  <c r="H12" i="1"/>
  <c r="G12" i="1"/>
  <c r="E12" i="1"/>
  <c r="D12" i="1"/>
  <c r="C12" i="1"/>
  <c r="B12" i="1"/>
  <c r="DX11" i="1"/>
  <c r="DW11" i="1"/>
  <c r="DU11" i="1"/>
  <c r="DT11" i="1"/>
  <c r="DS11" i="1"/>
  <c r="DR11" i="1"/>
  <c r="DP11" i="1"/>
  <c r="DO11" i="1"/>
  <c r="DN11" i="1"/>
  <c r="DM11" i="1"/>
  <c r="DK11" i="1"/>
  <c r="DJ11" i="1"/>
  <c r="DI11" i="1"/>
  <c r="DH11" i="1"/>
  <c r="DF11" i="1"/>
  <c r="DE11" i="1"/>
  <c r="DD11" i="1"/>
  <c r="DA11" i="1"/>
  <c r="CZ11" i="1"/>
  <c r="CY11" i="1"/>
  <c r="CX11" i="1"/>
  <c r="CV11" i="1"/>
  <c r="CU11" i="1"/>
  <c r="CT11" i="1"/>
  <c r="CS11" i="1"/>
  <c r="CQ11" i="1"/>
  <c r="CP11" i="1"/>
  <c r="CO11" i="1"/>
  <c r="CN11" i="1"/>
  <c r="CL11" i="1"/>
  <c r="CK11" i="1"/>
  <c r="CJ11" i="1"/>
  <c r="CI11" i="1"/>
  <c r="CG11" i="1"/>
  <c r="CF11" i="1"/>
  <c r="CE11" i="1"/>
  <c r="CD11" i="1"/>
  <c r="CB11" i="1"/>
  <c r="CA11" i="1"/>
  <c r="BZ11" i="1"/>
  <c r="BY11" i="1"/>
  <c r="BW11" i="1"/>
  <c r="BV11" i="1"/>
  <c r="BU11" i="1"/>
  <c r="BT11" i="1"/>
  <c r="BR11" i="1"/>
  <c r="BQ11" i="1"/>
  <c r="BP11" i="1"/>
  <c r="BO11" i="1"/>
  <c r="BM11" i="1"/>
  <c r="BL11" i="1"/>
  <c r="BK11" i="1"/>
  <c r="BJ11" i="1"/>
  <c r="BH11" i="1"/>
  <c r="BG11" i="1"/>
  <c r="BF11" i="1"/>
  <c r="BE11" i="1"/>
  <c r="BC11" i="1"/>
  <c r="BB11" i="1"/>
  <c r="BA11" i="1"/>
  <c r="AZ11" i="1"/>
  <c r="AX11" i="1"/>
  <c r="AW11" i="1"/>
  <c r="AV11" i="1"/>
  <c r="AU11" i="1"/>
  <c r="AS11" i="1"/>
  <c r="AR11" i="1"/>
  <c r="AQ11" i="1"/>
  <c r="AP11" i="1"/>
  <c r="AN11" i="1"/>
  <c r="AM11" i="1"/>
  <c r="AL11" i="1"/>
  <c r="AK11" i="1"/>
  <c r="AI11" i="1"/>
  <c r="AH11" i="1"/>
  <c r="AG11" i="1"/>
  <c r="AF11" i="1"/>
  <c r="AD11" i="1"/>
  <c r="AC11" i="1"/>
  <c r="AB11" i="1"/>
  <c r="AA11" i="1"/>
  <c r="Y11" i="1"/>
  <c r="X11" i="1"/>
  <c r="W11" i="1"/>
  <c r="V11" i="1"/>
  <c r="T11" i="1"/>
  <c r="S11" i="1"/>
  <c r="R11" i="1"/>
  <c r="Q11" i="1"/>
  <c r="O11" i="1"/>
  <c r="N11" i="1"/>
  <c r="M11" i="1"/>
  <c r="L11" i="1"/>
  <c r="J11" i="1"/>
  <c r="I11" i="1"/>
  <c r="H11" i="1"/>
  <c r="G11" i="1"/>
  <c r="E11" i="1"/>
  <c r="D11" i="1"/>
  <c r="C11" i="1"/>
  <c r="B11" i="1"/>
  <c r="DX10" i="1"/>
  <c r="DW10" i="1"/>
  <c r="DU10" i="1"/>
  <c r="DT10" i="1"/>
  <c r="DS10" i="1"/>
  <c r="DR10" i="1"/>
  <c r="DP10" i="1"/>
  <c r="DO10" i="1"/>
  <c r="DN10" i="1"/>
  <c r="DM10" i="1"/>
  <c r="DK10" i="1"/>
  <c r="DJ10" i="1"/>
  <c r="DI10" i="1"/>
  <c r="DH10" i="1"/>
  <c r="DF10" i="1"/>
  <c r="DE10" i="1"/>
  <c r="DD10" i="1"/>
  <c r="DA10" i="1"/>
  <c r="CZ10" i="1"/>
  <c r="CY10" i="1"/>
  <c r="CX10" i="1"/>
  <c r="CV10" i="1"/>
  <c r="CU10" i="1"/>
  <c r="CT10" i="1"/>
  <c r="CS10" i="1"/>
  <c r="CQ10" i="1"/>
  <c r="CP10" i="1"/>
  <c r="CO10" i="1"/>
  <c r="CN10" i="1"/>
  <c r="CL10" i="1"/>
  <c r="CK10" i="1"/>
  <c r="CJ10" i="1"/>
  <c r="CI10" i="1"/>
  <c r="CG10" i="1"/>
  <c r="CF10" i="1"/>
  <c r="CE10" i="1"/>
  <c r="CD10" i="1"/>
  <c r="CB10" i="1"/>
  <c r="CA10" i="1"/>
  <c r="BZ10" i="1"/>
  <c r="BY10" i="1"/>
  <c r="BW10" i="1"/>
  <c r="BV10" i="1"/>
  <c r="BU10" i="1"/>
  <c r="BT10" i="1"/>
  <c r="BR10" i="1"/>
  <c r="BQ10" i="1"/>
  <c r="BP10" i="1"/>
  <c r="BO10" i="1"/>
  <c r="BM10" i="1"/>
  <c r="BL10" i="1"/>
  <c r="BK10" i="1"/>
  <c r="BJ10" i="1"/>
  <c r="BH10" i="1"/>
  <c r="BG10" i="1"/>
  <c r="BF10" i="1"/>
  <c r="BE10" i="1"/>
  <c r="BC10" i="1"/>
  <c r="BB10" i="1"/>
  <c r="BA10" i="1"/>
  <c r="AZ10" i="1"/>
  <c r="AX10" i="1"/>
  <c r="AW10" i="1"/>
  <c r="AV10" i="1"/>
  <c r="AU10" i="1"/>
  <c r="AS10" i="1"/>
  <c r="AR10" i="1"/>
  <c r="AQ10" i="1"/>
  <c r="AP10" i="1"/>
  <c r="AN10" i="1"/>
  <c r="AM10" i="1"/>
  <c r="AL10" i="1"/>
  <c r="AK10" i="1"/>
  <c r="AI10" i="1"/>
  <c r="AH10" i="1"/>
  <c r="AG10" i="1"/>
  <c r="AF10" i="1"/>
  <c r="AD10" i="1"/>
  <c r="AC10" i="1"/>
  <c r="AB10" i="1"/>
  <c r="AA10" i="1"/>
  <c r="Y10" i="1"/>
  <c r="X10" i="1"/>
  <c r="W10" i="1"/>
  <c r="V10" i="1"/>
  <c r="T10" i="1"/>
  <c r="S10" i="1"/>
  <c r="R10" i="1"/>
  <c r="Q10" i="1"/>
  <c r="O10" i="1"/>
  <c r="N10" i="1"/>
  <c r="M10" i="1"/>
  <c r="L10" i="1"/>
  <c r="J10" i="1"/>
  <c r="I10" i="1"/>
  <c r="H10" i="1"/>
  <c r="G10" i="1"/>
  <c r="E10" i="1"/>
  <c r="D10" i="1"/>
  <c r="C10" i="1"/>
  <c r="B10" i="1"/>
  <c r="DX9" i="1"/>
  <c r="DW9" i="1"/>
  <c r="DU9" i="1"/>
  <c r="DT9" i="1"/>
  <c r="DS9" i="1"/>
  <c r="DR9" i="1"/>
  <c r="DP9" i="1"/>
  <c r="DO9" i="1"/>
  <c r="DN9" i="1"/>
  <c r="DM9" i="1"/>
  <c r="DK9" i="1"/>
  <c r="DJ9" i="1"/>
  <c r="DI9" i="1"/>
  <c r="DH9" i="1"/>
  <c r="DF9" i="1"/>
  <c r="DE9" i="1"/>
  <c r="DD9" i="1"/>
  <c r="DC9" i="1"/>
  <c r="DA9" i="1"/>
  <c r="CZ9" i="1"/>
  <c r="CY9" i="1"/>
  <c r="CX9" i="1"/>
  <c r="CV9" i="1"/>
  <c r="CU9" i="1"/>
  <c r="CT9" i="1"/>
  <c r="CS9" i="1"/>
  <c r="CQ9" i="1"/>
  <c r="CP9" i="1"/>
  <c r="CO9" i="1"/>
  <c r="CN9" i="1"/>
  <c r="CL9" i="1"/>
  <c r="CK9" i="1"/>
  <c r="CJ9" i="1"/>
  <c r="CI9" i="1"/>
  <c r="CG9" i="1"/>
  <c r="CF9" i="1"/>
  <c r="CE9" i="1"/>
  <c r="CD9" i="1"/>
  <c r="CB9" i="1"/>
  <c r="CA9" i="1"/>
  <c r="BZ9" i="1"/>
  <c r="BY9" i="1"/>
  <c r="BW9" i="1"/>
  <c r="BV9" i="1"/>
  <c r="BU9" i="1"/>
  <c r="BT9" i="1"/>
  <c r="BR9" i="1"/>
  <c r="BQ9" i="1"/>
  <c r="BP9" i="1"/>
  <c r="BO9" i="1"/>
  <c r="BM9" i="1"/>
  <c r="BL9" i="1"/>
  <c r="BK9" i="1"/>
  <c r="BJ9" i="1"/>
  <c r="BH9" i="1"/>
  <c r="BG9" i="1"/>
  <c r="BF9" i="1"/>
  <c r="BE9" i="1"/>
  <c r="BC9" i="1"/>
  <c r="BB9" i="1"/>
  <c r="BA9" i="1"/>
  <c r="AZ9" i="1"/>
  <c r="AX9" i="1"/>
  <c r="AW9" i="1"/>
  <c r="AV9" i="1"/>
  <c r="AU9" i="1"/>
  <c r="AS9" i="1"/>
  <c r="AR9" i="1"/>
  <c r="AQ9" i="1"/>
  <c r="AP9" i="1"/>
  <c r="AN9" i="1"/>
  <c r="AM9" i="1"/>
  <c r="AL9" i="1"/>
  <c r="AK9" i="1"/>
  <c r="AI9" i="1"/>
  <c r="AH9" i="1"/>
  <c r="AG9" i="1"/>
  <c r="AF9" i="1"/>
  <c r="AD9" i="1"/>
  <c r="AC9" i="1"/>
  <c r="AB9" i="1"/>
  <c r="AA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DX8" i="1"/>
  <c r="DW8" i="1"/>
  <c r="DU8" i="1"/>
  <c r="DT8" i="1"/>
  <c r="DS8" i="1"/>
  <c r="DR8" i="1"/>
  <c r="DP8" i="1"/>
  <c r="DO8" i="1"/>
  <c r="DN8" i="1"/>
  <c r="DM8" i="1"/>
  <c r="DK8" i="1"/>
  <c r="DJ8" i="1"/>
  <c r="DI8" i="1"/>
  <c r="DH8" i="1"/>
  <c r="DF8" i="1"/>
  <c r="DE8" i="1"/>
  <c r="DD8" i="1"/>
  <c r="DC8" i="1"/>
  <c r="DA8" i="1"/>
  <c r="CZ8" i="1"/>
  <c r="CY8" i="1"/>
  <c r="CX8" i="1"/>
  <c r="CV8" i="1"/>
  <c r="CU8" i="1"/>
  <c r="CT8" i="1"/>
  <c r="CS8" i="1"/>
  <c r="CQ8" i="1"/>
  <c r="CP8" i="1"/>
  <c r="CO8" i="1"/>
  <c r="CN8" i="1"/>
  <c r="CL8" i="1"/>
  <c r="CK8" i="1"/>
  <c r="CJ8" i="1"/>
  <c r="CI8" i="1"/>
  <c r="CG8" i="1"/>
  <c r="CF8" i="1"/>
  <c r="CE8" i="1"/>
  <c r="CD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C8" i="1"/>
  <c r="BB8" i="1"/>
  <c r="BA8" i="1"/>
  <c r="AZ8" i="1"/>
  <c r="AX8" i="1"/>
  <c r="AW8" i="1"/>
  <c r="AV8" i="1"/>
  <c r="AU8" i="1"/>
  <c r="AS8" i="1"/>
  <c r="AR8" i="1"/>
  <c r="AQ8" i="1"/>
  <c r="AP8" i="1"/>
  <c r="AN8" i="1"/>
  <c r="AM8" i="1"/>
  <c r="AL8" i="1"/>
  <c r="AK8" i="1"/>
  <c r="AI8" i="1"/>
  <c r="AH8" i="1"/>
  <c r="AG8" i="1"/>
  <c r="AF8" i="1"/>
  <c r="AD8" i="1"/>
  <c r="AC8" i="1"/>
  <c r="AB8" i="1"/>
  <c r="AA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DX7" i="1"/>
  <c r="DW7" i="1"/>
  <c r="DU7" i="1"/>
  <c r="DT7" i="1"/>
  <c r="DS7" i="1"/>
  <c r="DR7" i="1"/>
  <c r="DP7" i="1"/>
  <c r="DO7" i="1"/>
  <c r="DN7" i="1"/>
  <c r="DM7" i="1"/>
  <c r="DK7" i="1"/>
  <c r="DJ7" i="1"/>
  <c r="DI7" i="1"/>
  <c r="DH7" i="1"/>
  <c r="DF7" i="1"/>
  <c r="DE7" i="1"/>
  <c r="DD7" i="1"/>
  <c r="DC7" i="1"/>
  <c r="DA7" i="1"/>
  <c r="CZ7" i="1"/>
  <c r="CY7" i="1"/>
  <c r="CX7" i="1"/>
  <c r="CV7" i="1"/>
  <c r="CU7" i="1"/>
  <c r="CT7" i="1"/>
  <c r="CS7" i="1"/>
  <c r="CQ7" i="1"/>
  <c r="CP7" i="1"/>
  <c r="CO7" i="1"/>
  <c r="CN7" i="1"/>
  <c r="CL7" i="1"/>
  <c r="CK7" i="1"/>
  <c r="CJ7" i="1"/>
  <c r="CI7" i="1"/>
  <c r="CG7" i="1"/>
  <c r="CF7" i="1"/>
  <c r="CE7" i="1"/>
  <c r="CD7" i="1"/>
  <c r="CB7" i="1"/>
  <c r="CA7" i="1"/>
  <c r="BZ7" i="1"/>
  <c r="BY7" i="1"/>
  <c r="BW7" i="1"/>
  <c r="BV7" i="1"/>
  <c r="BU7" i="1"/>
  <c r="BT7" i="1"/>
  <c r="BR7" i="1"/>
  <c r="BQ7" i="1"/>
  <c r="BP7" i="1"/>
  <c r="BO7" i="1"/>
  <c r="BM7" i="1"/>
  <c r="BL7" i="1"/>
  <c r="BK7" i="1"/>
  <c r="BJ7" i="1"/>
  <c r="BH7" i="1"/>
  <c r="BG7" i="1"/>
  <c r="BF7" i="1"/>
  <c r="BE7" i="1"/>
  <c r="BC7" i="1"/>
  <c r="BB7" i="1"/>
  <c r="BA7" i="1"/>
  <c r="AZ7" i="1"/>
  <c r="AX7" i="1"/>
  <c r="AW7" i="1"/>
  <c r="AV7" i="1"/>
  <c r="AU7" i="1"/>
  <c r="AS7" i="1"/>
  <c r="AR7" i="1"/>
  <c r="AQ7" i="1"/>
  <c r="AP7" i="1"/>
  <c r="AN7" i="1"/>
  <c r="AM7" i="1"/>
  <c r="AL7" i="1"/>
  <c r="AK7" i="1"/>
  <c r="AI7" i="1"/>
  <c r="AH7" i="1"/>
  <c r="AG7" i="1"/>
  <c r="AF7" i="1"/>
  <c r="AD7" i="1"/>
  <c r="AC7" i="1"/>
  <c r="AB7" i="1"/>
  <c r="AA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DX6" i="1"/>
  <c r="DW6" i="1"/>
  <c r="DU6" i="1"/>
  <c r="DT6" i="1"/>
  <c r="DS6" i="1"/>
  <c r="DR6" i="1"/>
  <c r="DP6" i="1"/>
  <c r="DO6" i="1"/>
  <c r="DN6" i="1"/>
  <c r="DM6" i="1"/>
  <c r="DK6" i="1"/>
  <c r="DJ6" i="1"/>
  <c r="DI6" i="1"/>
  <c r="DH6" i="1"/>
  <c r="DF6" i="1"/>
  <c r="DE6" i="1"/>
  <c r="DD6" i="1"/>
  <c r="DC6" i="1"/>
  <c r="DA6" i="1"/>
  <c r="CZ6" i="1"/>
  <c r="CY6" i="1"/>
  <c r="CX6" i="1"/>
  <c r="CV6" i="1"/>
  <c r="CU6" i="1"/>
  <c r="CT6" i="1"/>
  <c r="CS6" i="1"/>
  <c r="CQ6" i="1"/>
  <c r="CP6" i="1"/>
  <c r="CO6" i="1"/>
  <c r="CN6" i="1"/>
  <c r="CL6" i="1"/>
  <c r="CK6" i="1"/>
  <c r="CJ6" i="1"/>
  <c r="CI6" i="1"/>
  <c r="CG6" i="1"/>
  <c r="CF6" i="1"/>
  <c r="CE6" i="1"/>
  <c r="CD6" i="1"/>
  <c r="CB6" i="1"/>
  <c r="CA6" i="1"/>
  <c r="BZ6" i="1"/>
  <c r="BY6" i="1"/>
  <c r="BW6" i="1"/>
  <c r="BV6" i="1"/>
  <c r="BU6" i="1"/>
  <c r="BT6" i="1"/>
  <c r="BR6" i="1"/>
  <c r="BQ6" i="1"/>
  <c r="BP6" i="1"/>
  <c r="BO6" i="1"/>
  <c r="BM6" i="1"/>
  <c r="BL6" i="1"/>
  <c r="BK6" i="1"/>
  <c r="BJ6" i="1"/>
  <c r="BH6" i="1"/>
  <c r="BG6" i="1"/>
  <c r="BF6" i="1"/>
  <c r="BE6" i="1"/>
  <c r="BC6" i="1"/>
  <c r="BB6" i="1"/>
  <c r="BA6" i="1"/>
  <c r="AZ6" i="1"/>
  <c r="AX6" i="1"/>
  <c r="AW6" i="1"/>
  <c r="AV6" i="1"/>
  <c r="AU6" i="1"/>
  <c r="AS6" i="1"/>
  <c r="AR6" i="1"/>
  <c r="AQ6" i="1"/>
  <c r="AP6" i="1"/>
  <c r="AN6" i="1"/>
  <c r="AM6" i="1"/>
  <c r="AL6" i="1"/>
  <c r="AK6" i="1"/>
  <c r="AI6" i="1"/>
  <c r="AH6" i="1"/>
  <c r="AG6" i="1"/>
  <c r="AF6" i="1"/>
  <c r="AD6" i="1"/>
  <c r="AC6" i="1"/>
  <c r="AB6" i="1"/>
  <c r="AA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DX5" i="1"/>
  <c r="DW5" i="1"/>
  <c r="DU5" i="1"/>
  <c r="DT5" i="1"/>
  <c r="DS5" i="1"/>
  <c r="DR5" i="1"/>
  <c r="DP5" i="1"/>
  <c r="DO5" i="1"/>
  <c r="DN5" i="1"/>
  <c r="DM5" i="1"/>
  <c r="DK5" i="1"/>
  <c r="DJ5" i="1"/>
  <c r="DI5" i="1"/>
  <c r="DH5" i="1"/>
  <c r="DF5" i="1"/>
  <c r="DE5" i="1"/>
  <c r="DD5" i="1"/>
  <c r="DC5" i="1"/>
  <c r="DA5" i="1"/>
  <c r="CZ5" i="1"/>
  <c r="CY5" i="1"/>
  <c r="CX5" i="1"/>
  <c r="CV5" i="1"/>
  <c r="CU5" i="1"/>
  <c r="CT5" i="1"/>
  <c r="CS5" i="1"/>
  <c r="CQ5" i="1"/>
  <c r="CP5" i="1"/>
  <c r="CO5" i="1"/>
  <c r="CN5" i="1"/>
  <c r="CL5" i="1"/>
  <c r="CK5" i="1"/>
  <c r="CJ5" i="1"/>
  <c r="CI5" i="1"/>
  <c r="CG5" i="1"/>
  <c r="CF5" i="1"/>
  <c r="CE5" i="1"/>
  <c r="CD5" i="1"/>
  <c r="CB5" i="1"/>
  <c r="CA5" i="1"/>
  <c r="BZ5" i="1"/>
  <c r="BY5" i="1"/>
  <c r="BW5" i="1"/>
  <c r="BV5" i="1"/>
  <c r="BU5" i="1"/>
  <c r="BT5" i="1"/>
  <c r="BR5" i="1"/>
  <c r="BQ5" i="1"/>
  <c r="BP5" i="1"/>
  <c r="BO5" i="1"/>
  <c r="BM5" i="1"/>
  <c r="BL5" i="1"/>
  <c r="BK5" i="1"/>
  <c r="BJ5" i="1"/>
  <c r="BH5" i="1"/>
  <c r="BG5" i="1"/>
  <c r="BF5" i="1"/>
  <c r="BE5" i="1"/>
  <c r="BC5" i="1"/>
  <c r="BB5" i="1"/>
  <c r="BA5" i="1"/>
  <c r="AZ5" i="1"/>
  <c r="AX5" i="1"/>
  <c r="AW5" i="1"/>
  <c r="AV5" i="1"/>
  <c r="AU5" i="1"/>
  <c r="AS5" i="1"/>
  <c r="AR5" i="1"/>
  <c r="AQ5" i="1"/>
  <c r="AP5" i="1"/>
  <c r="AN5" i="1"/>
  <c r="AM5" i="1"/>
  <c r="AL5" i="1"/>
  <c r="AK5" i="1"/>
  <c r="AI5" i="1"/>
  <c r="AH5" i="1"/>
  <c r="AG5" i="1"/>
  <c r="AF5" i="1"/>
  <c r="AD5" i="1"/>
  <c r="AC5" i="1"/>
  <c r="AB5" i="1"/>
  <c r="AA5" i="1"/>
  <c r="Y5" i="1"/>
  <c r="X5" i="1"/>
  <c r="W5" i="1"/>
  <c r="V5" i="1"/>
  <c r="T5" i="1"/>
  <c r="S5" i="1"/>
  <c r="R5" i="1"/>
  <c r="Q5" i="1"/>
  <c r="O5" i="1"/>
  <c r="N5" i="1"/>
  <c r="M5" i="1"/>
  <c r="L5" i="1"/>
  <c r="J5" i="1"/>
  <c r="I5" i="1"/>
  <c r="H5" i="1"/>
  <c r="G5" i="1"/>
  <c r="E5" i="1"/>
  <c r="D5" i="1"/>
  <c r="C5" i="1"/>
  <c r="B5" i="1"/>
  <c r="DX4" i="1"/>
  <c r="DW4" i="1"/>
  <c r="DU4" i="1"/>
  <c r="DT4" i="1"/>
  <c r="DS4" i="1"/>
  <c r="DR4" i="1"/>
  <c r="DP4" i="1"/>
  <c r="DO4" i="1"/>
  <c r="DN4" i="1"/>
  <c r="DM4" i="1"/>
  <c r="DK4" i="1"/>
  <c r="DJ4" i="1"/>
  <c r="DI4" i="1"/>
  <c r="DH4" i="1"/>
  <c r="DF4" i="1"/>
  <c r="DE4" i="1"/>
  <c r="DD4" i="1"/>
  <c r="DC4" i="1"/>
  <c r="DA4" i="1"/>
  <c r="CZ4" i="1"/>
  <c r="CY4" i="1"/>
  <c r="CX4" i="1"/>
  <c r="CV4" i="1"/>
  <c r="CU4" i="1"/>
  <c r="CT4" i="1"/>
  <c r="CS4" i="1"/>
  <c r="CQ4" i="1"/>
  <c r="CP4" i="1"/>
  <c r="CO4" i="1"/>
  <c r="CN4" i="1"/>
  <c r="CL4" i="1"/>
  <c r="CK4" i="1"/>
  <c r="CJ4" i="1"/>
  <c r="CI4" i="1"/>
  <c r="CG4" i="1"/>
  <c r="CF4" i="1"/>
  <c r="CE4" i="1"/>
  <c r="CD4" i="1"/>
  <c r="CB4" i="1"/>
  <c r="CA4" i="1"/>
  <c r="BZ4" i="1"/>
  <c r="BY4" i="1"/>
  <c r="BW4" i="1"/>
  <c r="BV4" i="1"/>
  <c r="BU4" i="1"/>
  <c r="BT4" i="1"/>
  <c r="BR4" i="1"/>
  <c r="BQ4" i="1"/>
  <c r="BP4" i="1"/>
  <c r="BO4" i="1"/>
  <c r="BM4" i="1"/>
  <c r="BL4" i="1"/>
  <c r="BK4" i="1"/>
  <c r="BJ4" i="1"/>
  <c r="BH4" i="1"/>
  <c r="BG4" i="1"/>
  <c r="BF4" i="1"/>
  <c r="BE4" i="1"/>
  <c r="BC4" i="1"/>
  <c r="BB4" i="1"/>
  <c r="BA4" i="1"/>
  <c r="AZ4" i="1"/>
  <c r="AX4" i="1"/>
  <c r="AW4" i="1"/>
  <c r="AV4" i="1"/>
  <c r="AU4" i="1"/>
  <c r="AS4" i="1"/>
  <c r="AR4" i="1"/>
  <c r="AQ4" i="1"/>
  <c r="AP4" i="1"/>
  <c r="AN4" i="1"/>
  <c r="AM4" i="1"/>
  <c r="AL4" i="1"/>
  <c r="AK4" i="1"/>
  <c r="AI4" i="1"/>
  <c r="AH4" i="1"/>
  <c r="AG4" i="1"/>
  <c r="AF4" i="1"/>
  <c r="AD4" i="1"/>
  <c r="AC4" i="1"/>
  <c r="AB4" i="1"/>
  <c r="AA4" i="1"/>
  <c r="Y4" i="1"/>
  <c r="X4" i="1"/>
  <c r="W4" i="1"/>
  <c r="V4" i="1"/>
  <c r="T4" i="1"/>
  <c r="S4" i="1"/>
  <c r="R4" i="1"/>
  <c r="Q4" i="1"/>
  <c r="O4" i="1"/>
  <c r="N4" i="1"/>
  <c r="M4" i="1"/>
  <c r="L4" i="1"/>
  <c r="J4" i="1"/>
  <c r="I4" i="1"/>
  <c r="H4" i="1"/>
  <c r="G4" i="1"/>
  <c r="E4" i="1"/>
  <c r="D4" i="1"/>
  <c r="C4" i="1"/>
  <c r="B4" i="1"/>
  <c r="DX3" i="1"/>
  <c r="DW3" i="1"/>
  <c r="DU3" i="1"/>
  <c r="DT3" i="1"/>
  <c r="DS3" i="1"/>
  <c r="DR3" i="1"/>
  <c r="DP3" i="1"/>
  <c r="DO3" i="1"/>
  <c r="DN3" i="1"/>
  <c r="DM3" i="1"/>
  <c r="DK3" i="1"/>
  <c r="DJ3" i="1"/>
  <c r="DI3" i="1"/>
  <c r="DH3" i="1"/>
  <c r="DF3" i="1"/>
  <c r="DE3" i="1"/>
  <c r="DD3" i="1"/>
  <c r="DC3" i="1"/>
  <c r="DA3" i="1"/>
  <c r="CZ3" i="1"/>
  <c r="CY3" i="1"/>
  <c r="CX3" i="1"/>
  <c r="CV3" i="1"/>
  <c r="CU3" i="1"/>
  <c r="CT3" i="1"/>
  <c r="CS3" i="1"/>
  <c r="CQ3" i="1"/>
  <c r="CP3" i="1"/>
  <c r="CO3" i="1"/>
  <c r="CN3" i="1"/>
  <c r="CL3" i="1"/>
  <c r="CK3" i="1"/>
  <c r="CJ3" i="1"/>
  <c r="CI3" i="1"/>
  <c r="CG3" i="1"/>
  <c r="CF3" i="1"/>
  <c r="CE3" i="1"/>
  <c r="CD3" i="1"/>
  <c r="CB3" i="1"/>
  <c r="CA3" i="1"/>
  <c r="BZ3" i="1"/>
  <c r="BY3" i="1"/>
  <c r="BW3" i="1"/>
  <c r="BV3" i="1"/>
  <c r="BU3" i="1"/>
  <c r="BT3" i="1"/>
  <c r="BR3" i="1"/>
  <c r="BQ3" i="1"/>
  <c r="BP3" i="1"/>
  <c r="BO3" i="1"/>
  <c r="BM3" i="1"/>
  <c r="BL3" i="1"/>
  <c r="BK3" i="1"/>
  <c r="BJ3" i="1"/>
  <c r="BH3" i="1"/>
  <c r="BG3" i="1"/>
  <c r="BF3" i="1"/>
  <c r="BE3" i="1"/>
  <c r="BC3" i="1"/>
  <c r="BB3" i="1"/>
  <c r="BA3" i="1"/>
  <c r="AZ3" i="1"/>
  <c r="AX3" i="1"/>
  <c r="AW3" i="1"/>
  <c r="AV3" i="1"/>
  <c r="AU3" i="1"/>
  <c r="AS3" i="1"/>
  <c r="AR3" i="1"/>
  <c r="AQ3" i="1"/>
  <c r="AP3" i="1"/>
  <c r="AN3" i="1"/>
  <c r="AM3" i="1"/>
  <c r="AL3" i="1"/>
  <c r="AK3" i="1"/>
  <c r="AI3" i="1"/>
  <c r="AH3" i="1"/>
  <c r="AG3" i="1"/>
  <c r="AF3" i="1"/>
  <c r="AD3" i="1"/>
  <c r="AC3" i="1"/>
  <c r="AB3" i="1"/>
  <c r="AA3" i="1"/>
  <c r="Y3" i="1"/>
  <c r="X3" i="1"/>
  <c r="W3" i="1"/>
  <c r="V3" i="1"/>
  <c r="T3" i="1"/>
  <c r="S3" i="1"/>
  <c r="R3" i="1"/>
  <c r="Q3" i="1"/>
  <c r="O3" i="1"/>
  <c r="N3" i="1"/>
  <c r="M3" i="1"/>
  <c r="L3" i="1"/>
  <c r="J3" i="1"/>
  <c r="I3" i="1"/>
  <c r="H3" i="1"/>
  <c r="G3" i="1"/>
  <c r="E3" i="1"/>
  <c r="D3" i="1"/>
  <c r="C3" i="1"/>
  <c r="B3" i="1"/>
  <c r="CV8" i="6" l="1"/>
  <c r="CU23" i="6"/>
  <c r="DP17" i="1"/>
  <c r="CJ17" i="1"/>
  <c r="CZ17" i="1"/>
  <c r="AF17" i="1"/>
  <c r="AV17" i="1"/>
  <c r="BT17" i="1"/>
  <c r="CE17" i="1"/>
  <c r="CU17" i="1"/>
  <c r="BL17" i="1"/>
  <c r="CB17" i="1"/>
  <c r="H17" i="1"/>
  <c r="DX17" i="1"/>
  <c r="X17" i="1"/>
  <c r="AN17" i="1"/>
  <c r="Q17" i="1"/>
  <c r="AG17" i="1"/>
  <c r="BE17" i="1"/>
  <c r="BU17" i="1"/>
  <c r="CS17" i="1"/>
  <c r="DA17" i="1"/>
  <c r="AA17" i="1"/>
  <c r="AI17" i="1"/>
  <c r="BG17" i="1"/>
  <c r="BO17" i="1"/>
  <c r="B17" i="1"/>
  <c r="R17" i="1"/>
  <c r="AH17" i="1"/>
  <c r="AX17" i="1"/>
  <c r="BF17" i="1"/>
  <c r="BV17" i="1"/>
  <c r="CD17" i="1"/>
  <c r="CL17" i="1"/>
  <c r="CT17" i="1"/>
  <c r="DR17" i="1"/>
  <c r="DK17" i="1"/>
  <c r="I17" i="1"/>
  <c r="Y17" i="1"/>
  <c r="AW17" i="1"/>
  <c r="BM17" i="1"/>
  <c r="CK17" i="1"/>
  <c r="C17" i="1"/>
  <c r="S17" i="1"/>
  <c r="AQ17" i="1"/>
  <c r="BW17" i="1"/>
  <c r="J17" i="1"/>
  <c r="AP17" i="1"/>
  <c r="DS17" i="1"/>
  <c r="L17" i="1"/>
  <c r="AR17" i="1"/>
  <c r="BP17" i="1"/>
  <c r="CF17" i="1"/>
  <c r="DT17" i="1"/>
  <c r="CU3" i="6"/>
  <c r="E17" i="1"/>
  <c r="M17" i="1"/>
  <c r="AC17" i="1"/>
  <c r="AK17" i="1"/>
  <c r="AS17" i="1"/>
  <c r="BA17" i="1"/>
  <c r="BQ17" i="1"/>
  <c r="BY17" i="1"/>
  <c r="CG17" i="1"/>
  <c r="CO17" i="1"/>
  <c r="DM17" i="1"/>
  <c r="DU17" i="1"/>
  <c r="T17" i="1"/>
  <c r="AZ17" i="1"/>
  <c r="CV17" i="1"/>
  <c r="N17" i="1"/>
  <c r="V17" i="1"/>
  <c r="AD17" i="1"/>
  <c r="AL17" i="1"/>
  <c r="BB17" i="1"/>
  <c r="BJ17" i="1"/>
  <c r="BR17" i="1"/>
  <c r="BZ17" i="1"/>
  <c r="CP17" i="1"/>
  <c r="CX17" i="1"/>
  <c r="DN17" i="1"/>
  <c r="D17" i="1"/>
  <c r="AB17" i="1"/>
  <c r="BH17" i="1"/>
  <c r="CN17" i="1"/>
  <c r="G17" i="1"/>
  <c r="O17" i="1"/>
  <c r="W17" i="1"/>
  <c r="AM17" i="1"/>
  <c r="AU17" i="1"/>
  <c r="BC17" i="1"/>
  <c r="BK17" i="1"/>
  <c r="CA17" i="1"/>
  <c r="CI17" i="1"/>
  <c r="CQ17" i="1"/>
  <c r="CY17" i="1"/>
  <c r="DO17" i="1"/>
  <c r="DW17" i="1"/>
  <c r="DQ48" i="2"/>
  <c r="DV48" i="2"/>
  <c r="GY74" i="1"/>
  <c r="DT19" i="6"/>
  <c r="CY19" i="6"/>
  <c r="BZ19" i="6"/>
  <c r="DR19" i="6"/>
  <c r="CX19" i="6"/>
  <c r="BQ19" i="6"/>
  <c r="DJ19" i="6"/>
  <c r="CN19" i="6"/>
  <c r="BP19" i="6"/>
  <c r="BS14" i="6"/>
  <c r="DI19" i="6"/>
  <c r="CK19" i="6"/>
  <c r="DH19" i="6"/>
  <c r="CJ19" i="6"/>
  <c r="DE19" i="6"/>
  <c r="CI19" i="6"/>
  <c r="DO19" i="6"/>
  <c r="DX19" i="6"/>
  <c r="DC19" i="6"/>
  <c r="CD19" i="6"/>
  <c r="CQ9" i="6"/>
  <c r="BY19" i="6"/>
  <c r="BO19" i="6"/>
  <c r="DU19" i="6"/>
  <c r="DF19" i="6"/>
  <c r="CS19" i="6"/>
  <c r="CG19" i="6"/>
  <c r="BW19" i="6"/>
  <c r="DP19" i="6"/>
  <c r="CF19" i="6"/>
  <c r="DS19" i="6"/>
  <c r="DD19" i="6"/>
  <c r="CO19" i="6"/>
  <c r="CE19" i="6"/>
  <c r="BU19" i="6"/>
  <c r="BK19" i="6"/>
  <c r="CC14" i="6"/>
  <c r="DN19" i="6"/>
  <c r="CP19" i="6"/>
  <c r="BL19" i="6"/>
  <c r="CQ14" i="6"/>
  <c r="BT19" i="6"/>
  <c r="BJ19" i="6"/>
  <c r="CR14" i="6"/>
  <c r="DM19" i="6"/>
  <c r="BV19" i="6"/>
  <c r="DK19" i="6"/>
  <c r="DA19" i="6"/>
  <c r="CL19" i="6"/>
  <c r="CB19" i="6"/>
  <c r="BR19" i="6"/>
  <c r="CU24" i="6"/>
  <c r="CV23" i="6"/>
  <c r="DY164" i="7"/>
  <c r="DY167" i="2"/>
  <c r="DY136" i="7" s="1"/>
  <c r="BV17" i="6"/>
  <c r="BW17" i="6"/>
  <c r="CQ3" i="6"/>
  <c r="CU17" i="6"/>
  <c r="CU6" i="6"/>
  <c r="CQ22" i="6"/>
  <c r="CR31" i="6"/>
  <c r="CU9" i="6"/>
  <c r="CU8" i="6"/>
  <c r="CV4" i="6"/>
  <c r="CQ4" i="6"/>
  <c r="CQ24" i="6"/>
  <c r="CQ17" i="6"/>
  <c r="CR32" i="6"/>
  <c r="CV7" i="6"/>
  <c r="CQ19" i="6"/>
  <c r="CU7" i="6"/>
  <c r="CV14" i="6"/>
  <c r="CV17" i="6"/>
  <c r="CT5" i="6"/>
  <c r="CQ5" i="6"/>
  <c r="CV5" i="6"/>
  <c r="CU5" i="6"/>
  <c r="CT19" i="6"/>
  <c r="CW37" i="6"/>
  <c r="CW36" i="6"/>
  <c r="CW35" i="6"/>
  <c r="CW33" i="6"/>
  <c r="CQ7" i="6"/>
  <c r="CW47" i="6"/>
  <c r="CW31" i="6"/>
  <c r="CQ6" i="6"/>
  <c r="CV24" i="6"/>
  <c r="CQ8" i="6"/>
  <c r="BL37" i="2"/>
  <c r="BM37" i="2" s="1"/>
  <c r="BL38" i="2"/>
  <c r="BK39" i="2"/>
  <c r="BK35" i="2"/>
  <c r="BL35" i="2" s="1"/>
  <c r="BJ48" i="2"/>
  <c r="BL36" i="2"/>
  <c r="BN37" i="2" l="1"/>
  <c r="CW32" i="6"/>
  <c r="CV6" i="6"/>
  <c r="CV22" i="6"/>
  <c r="CW45" i="6"/>
  <c r="CW34" i="6"/>
  <c r="CV19" i="6"/>
  <c r="CU19" i="6"/>
  <c r="BL39" i="2"/>
  <c r="BL48" i="2" s="1"/>
  <c r="BM38" i="2"/>
  <c r="BN38" i="2" s="1"/>
  <c r="BO38" i="2" s="1"/>
  <c r="BK48" i="2"/>
  <c r="BM35" i="2"/>
  <c r="BO37" i="2"/>
  <c r="BM36" i="2"/>
  <c r="BN36" i="2" s="1"/>
  <c r="BM39" i="2" l="1"/>
  <c r="BM48" i="2" s="1"/>
  <c r="BN35" i="2"/>
  <c r="BO36" i="2"/>
  <c r="BP38" i="2"/>
  <c r="BP37" i="2"/>
  <c r="BN39" i="2" l="1"/>
  <c r="BO39" i="2" s="1"/>
  <c r="BQ38" i="2"/>
  <c r="BP36" i="2"/>
  <c r="BQ37" i="2"/>
  <c r="BO35" i="2"/>
  <c r="BN48" i="2" l="1"/>
  <c r="BO48" i="2"/>
  <c r="BP35" i="2"/>
  <c r="BR37" i="2"/>
  <c r="BP39" i="2"/>
  <c r="BQ36" i="2"/>
  <c r="BR38" i="2"/>
  <c r="BP48" i="2" l="1"/>
  <c r="BS38" i="2"/>
  <c r="BS37" i="2"/>
  <c r="BT37" i="2" s="1"/>
  <c r="BR36" i="2"/>
  <c r="BQ35" i="2"/>
  <c r="BR35" i="2" s="1"/>
  <c r="BQ39" i="2"/>
  <c r="DF100" i="7"/>
  <c r="DF106" i="7"/>
  <c r="BS35" i="2" l="1"/>
  <c r="BT35" i="2" s="1"/>
  <c r="BS36" i="2"/>
  <c r="BQ48" i="2"/>
  <c r="BR39" i="2"/>
  <c r="BR48" i="2" s="1"/>
  <c r="BU37" i="2"/>
  <c r="BT38" i="2"/>
  <c r="DF108" i="7"/>
  <c r="BV37" i="2" l="1"/>
  <c r="BT36" i="2"/>
  <c r="BU36" i="2" s="1"/>
  <c r="BU35" i="2"/>
  <c r="BU38" i="2"/>
  <c r="BS39" i="2"/>
  <c r="BS48" i="2" s="1"/>
  <c r="BV35" i="2" l="1"/>
  <c r="BW37" i="2"/>
  <c r="BT39" i="2"/>
  <c r="BU39" i="2" s="1"/>
  <c r="BV38" i="2"/>
  <c r="BW38" i="2" s="1"/>
  <c r="BV36" i="2"/>
  <c r="BX38" i="2" l="1"/>
  <c r="BY38" i="2" s="1"/>
  <c r="BU48" i="2"/>
  <c r="BT48" i="2"/>
  <c r="BV39" i="2"/>
  <c r="BW36" i="2"/>
  <c r="BX37" i="2"/>
  <c r="BY37" i="2" s="1"/>
  <c r="BW35" i="2"/>
  <c r="DW68" i="2"/>
  <c r="DU68" i="2"/>
  <c r="DT68" i="2"/>
  <c r="DS68" i="2"/>
  <c r="DR68" i="2"/>
  <c r="DP68" i="2"/>
  <c r="DO68" i="2"/>
  <c r="DN68" i="2"/>
  <c r="DM68" i="2"/>
  <c r="DK68" i="2"/>
  <c r="DJ68" i="2"/>
  <c r="DI68" i="2"/>
  <c r="DH68" i="2"/>
  <c r="DF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DW67" i="2"/>
  <c r="DU67" i="2"/>
  <c r="DT67" i="2"/>
  <c r="DS67" i="2"/>
  <c r="DR67" i="2"/>
  <c r="DP67" i="2"/>
  <c r="DO67" i="2"/>
  <c r="DN67" i="2"/>
  <c r="DM67" i="2"/>
  <c r="DJ67" i="2"/>
  <c r="DI67" i="2"/>
  <c r="DH67" i="2"/>
  <c r="DF67" i="2"/>
  <c r="DE67" i="2"/>
  <c r="DD67" i="2"/>
  <c r="DC67" i="2"/>
  <c r="DA67" i="2"/>
  <c r="CZ67" i="2"/>
  <c r="CY67" i="2"/>
  <c r="CX67" i="2"/>
  <c r="CS67" i="2"/>
  <c r="DX68" i="2"/>
  <c r="DX67" i="2"/>
  <c r="DW126" i="2"/>
  <c r="DX42" i="8"/>
  <c r="DX146" i="2"/>
  <c r="DX145" i="2"/>
  <c r="EA42" i="8" l="1"/>
  <c r="DX15" i="8"/>
  <c r="EA68" i="2"/>
  <c r="EA15" i="8"/>
  <c r="EA67" i="2"/>
  <c r="BZ37" i="2"/>
  <c r="BX35" i="2"/>
  <c r="BY35" i="2" s="1"/>
  <c r="BZ38" i="2"/>
  <c r="BW39" i="2"/>
  <c r="BX39" i="2" s="1"/>
  <c r="BX36" i="2"/>
  <c r="BV48" i="2"/>
  <c r="DW24" i="8"/>
  <c r="DU24" i="8"/>
  <c r="DT24" i="8"/>
  <c r="DS24" i="8"/>
  <c r="DR24" i="8"/>
  <c r="DP24" i="8"/>
  <c r="DO24" i="8"/>
  <c r="DN24" i="8"/>
  <c r="DM24" i="8"/>
  <c r="DK24" i="8"/>
  <c r="DJ24" i="8"/>
  <c r="DI24" i="8"/>
  <c r="DH24" i="8"/>
  <c r="DF24" i="8"/>
  <c r="DE24" i="8"/>
  <c r="DD24" i="8"/>
  <c r="DC24" i="8"/>
  <c r="DA24" i="8"/>
  <c r="CZ24" i="8"/>
  <c r="CY24" i="8"/>
  <c r="CX24" i="8"/>
  <c r="CV24" i="8"/>
  <c r="CU24" i="8"/>
  <c r="CT24" i="8"/>
  <c r="CS24" i="8"/>
  <c r="CQ24" i="8"/>
  <c r="CP24" i="8"/>
  <c r="CO24" i="8"/>
  <c r="CN24" i="8"/>
  <c r="CL24" i="8"/>
  <c r="CK24" i="8"/>
  <c r="CJ24" i="8"/>
  <c r="CI24" i="8"/>
  <c r="CG24" i="8"/>
  <c r="CF24" i="8"/>
  <c r="CE24" i="8"/>
  <c r="CD24" i="8"/>
  <c r="CB24" i="8"/>
  <c r="CA24" i="8"/>
  <c r="BZ24" i="8"/>
  <c r="BY24" i="8"/>
  <c r="BW24" i="8"/>
  <c r="BV24" i="8"/>
  <c r="BU24" i="8"/>
  <c r="BT24" i="8"/>
  <c r="BR24" i="8"/>
  <c r="BQ24" i="8"/>
  <c r="BP24" i="8"/>
  <c r="BO24" i="8"/>
  <c r="BM24" i="8"/>
  <c r="BL24" i="8"/>
  <c r="BK24" i="8"/>
  <c r="BJ24" i="8"/>
  <c r="CZ23" i="8"/>
  <c r="CV23" i="8"/>
  <c r="CU23" i="8"/>
  <c r="CS23" i="8"/>
  <c r="CQ23" i="8"/>
  <c r="CP23" i="8"/>
  <c r="CO23" i="8"/>
  <c r="CN23" i="8"/>
  <c r="CL23" i="8"/>
  <c r="CK23" i="8"/>
  <c r="CJ23" i="8"/>
  <c r="CI23" i="8"/>
  <c r="CG23" i="8"/>
  <c r="CF23" i="8"/>
  <c r="CE23" i="8"/>
  <c r="CD23" i="8"/>
  <c r="CB23" i="8"/>
  <c r="CA23" i="8"/>
  <c r="BZ23" i="8"/>
  <c r="BY23" i="8"/>
  <c r="BW23" i="8"/>
  <c r="BV23" i="8"/>
  <c r="BU23" i="8"/>
  <c r="BT23" i="8"/>
  <c r="BQ23" i="8"/>
  <c r="BP23" i="8"/>
  <c r="BO23" i="8"/>
  <c r="BM23" i="8"/>
  <c r="BL23" i="8"/>
  <c r="BK23" i="8"/>
  <c r="BJ23" i="8"/>
  <c r="DW22" i="8"/>
  <c r="DU22" i="8"/>
  <c r="DT22" i="8"/>
  <c r="DS22" i="8"/>
  <c r="DR22" i="8"/>
  <c r="DP22" i="8"/>
  <c r="DO22" i="8"/>
  <c r="DN22" i="8"/>
  <c r="DM22" i="8"/>
  <c r="DK22" i="8"/>
  <c r="DJ22" i="8"/>
  <c r="DI22" i="8"/>
  <c r="DH22" i="8"/>
  <c r="DF22" i="8"/>
  <c r="DE22" i="8"/>
  <c r="DD22" i="8"/>
  <c r="DC22" i="8"/>
  <c r="DA22" i="8"/>
  <c r="CZ22" i="8"/>
  <c r="CY22" i="8"/>
  <c r="CX22" i="8"/>
  <c r="CV22" i="8"/>
  <c r="CU22" i="8"/>
  <c r="CT22" i="8"/>
  <c r="CS22" i="8"/>
  <c r="CQ22" i="8"/>
  <c r="CP22" i="8"/>
  <c r="CO22" i="8"/>
  <c r="CN22" i="8"/>
  <c r="CL22" i="8"/>
  <c r="CK22" i="8"/>
  <c r="CJ22" i="8"/>
  <c r="CI22" i="8"/>
  <c r="CG22" i="8"/>
  <c r="CF22" i="8"/>
  <c r="CE22" i="8"/>
  <c r="CD22" i="8"/>
  <c r="CB22" i="8"/>
  <c r="CA22" i="8"/>
  <c r="BZ22" i="8"/>
  <c r="BY22" i="8"/>
  <c r="BW22" i="8"/>
  <c r="BV22" i="8"/>
  <c r="BU22" i="8"/>
  <c r="BT22" i="8"/>
  <c r="BQ22" i="8"/>
  <c r="BP22" i="8"/>
  <c r="BO22" i="8"/>
  <c r="BM22" i="8"/>
  <c r="BL22" i="8"/>
  <c r="BK22" i="8"/>
  <c r="BJ22" i="8"/>
  <c r="DW21" i="8"/>
  <c r="DU21" i="8"/>
  <c r="DT21" i="8"/>
  <c r="DS21" i="8"/>
  <c r="DR21" i="8"/>
  <c r="DP21" i="8"/>
  <c r="DO21" i="8"/>
  <c r="DN21" i="8"/>
  <c r="DM21" i="8"/>
  <c r="DK21" i="8"/>
  <c r="DJ21" i="8"/>
  <c r="DI21" i="8"/>
  <c r="DH21" i="8"/>
  <c r="DF21" i="8"/>
  <c r="DE21" i="8"/>
  <c r="DD21" i="8"/>
  <c r="DC21" i="8"/>
  <c r="DA21" i="8"/>
  <c r="CZ21" i="8"/>
  <c r="CY21" i="8"/>
  <c r="CX21" i="8"/>
  <c r="CV21" i="8"/>
  <c r="CU21" i="8"/>
  <c r="CT21" i="8"/>
  <c r="CS21" i="8"/>
  <c r="CQ21" i="8"/>
  <c r="CP21" i="8"/>
  <c r="CO21" i="8"/>
  <c r="CN21" i="8"/>
  <c r="CL21" i="8"/>
  <c r="CK21" i="8"/>
  <c r="CJ21" i="8"/>
  <c r="CI21" i="8"/>
  <c r="CG21" i="8"/>
  <c r="CF21" i="8"/>
  <c r="CE21" i="8"/>
  <c r="CD21" i="8"/>
  <c r="CB21" i="8"/>
  <c r="CA21" i="8"/>
  <c r="BZ21" i="8"/>
  <c r="BY21" i="8"/>
  <c r="BW21" i="8"/>
  <c r="BV21" i="8"/>
  <c r="BU21" i="8"/>
  <c r="BT21" i="8"/>
  <c r="BQ21" i="8"/>
  <c r="BP21" i="8"/>
  <c r="BO21" i="8"/>
  <c r="BM21" i="8"/>
  <c r="BL21" i="8"/>
  <c r="BK21" i="8"/>
  <c r="BJ21" i="8"/>
  <c r="DW20" i="8"/>
  <c r="DR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DW19" i="8"/>
  <c r="DR19" i="8"/>
  <c r="DM19" i="8"/>
  <c r="DH19" i="8"/>
  <c r="DC19" i="8"/>
  <c r="DA19" i="8"/>
  <c r="CZ19" i="8"/>
  <c r="CY19" i="8"/>
  <c r="CX19" i="8"/>
  <c r="CV19" i="8"/>
  <c r="CU19" i="8"/>
  <c r="CT19" i="8"/>
  <c r="CS19" i="8"/>
  <c r="CQ19" i="8"/>
  <c r="CP19" i="8"/>
  <c r="CO19" i="8"/>
  <c r="CN19" i="8"/>
  <c r="CL19" i="8"/>
  <c r="CK19" i="8"/>
  <c r="CJ19" i="8"/>
  <c r="CI19" i="8"/>
  <c r="CG19" i="8"/>
  <c r="CF19" i="8"/>
  <c r="CE19" i="8"/>
  <c r="CD19" i="8"/>
  <c r="CB19" i="8"/>
  <c r="CA19" i="8"/>
  <c r="BZ19" i="8"/>
  <c r="BY19" i="8"/>
  <c r="BW19" i="8"/>
  <c r="BV19" i="8"/>
  <c r="BU19" i="8"/>
  <c r="BT19" i="8"/>
  <c r="BR19" i="8"/>
  <c r="BQ19" i="8"/>
  <c r="BP19" i="8"/>
  <c r="BO19" i="8"/>
  <c r="BM19" i="8"/>
  <c r="BL19" i="8"/>
  <c r="BK19" i="8"/>
  <c r="BJ19" i="8"/>
  <c r="DW18" i="8"/>
  <c r="DR18" i="8"/>
  <c r="DM18" i="8"/>
  <c r="DH18" i="8"/>
  <c r="DE18" i="8"/>
  <c r="DD18" i="8"/>
  <c r="DC18" i="8"/>
  <c r="DA18" i="8"/>
  <c r="CZ18" i="8"/>
  <c r="CY18" i="8"/>
  <c r="CX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DD17" i="8"/>
  <c r="DC17" i="8"/>
  <c r="DA17" i="8"/>
  <c r="CZ17" i="8"/>
  <c r="CY17" i="8"/>
  <c r="CX17" i="8"/>
  <c r="CV17" i="8"/>
  <c r="CU17" i="8"/>
  <c r="CT17" i="8"/>
  <c r="CS17" i="8"/>
  <c r="CQ17" i="8"/>
  <c r="CP17" i="8"/>
  <c r="CO17" i="8"/>
  <c r="CN17" i="8"/>
  <c r="CL17" i="8"/>
  <c r="CK17" i="8"/>
  <c r="CJ17" i="8"/>
  <c r="CI17" i="8"/>
  <c r="CG17" i="8"/>
  <c r="CF17" i="8"/>
  <c r="CE17" i="8"/>
  <c r="CD17" i="8"/>
  <c r="CB17" i="8"/>
  <c r="CA17" i="8"/>
  <c r="BZ17" i="8"/>
  <c r="BY17" i="8"/>
  <c r="BV17" i="8"/>
  <c r="BU17" i="8"/>
  <c r="BT17" i="8"/>
  <c r="BR17" i="8"/>
  <c r="BQ17" i="8"/>
  <c r="BP17" i="8"/>
  <c r="BO17" i="8"/>
  <c r="BM17" i="8"/>
  <c r="BL17" i="8"/>
  <c r="BK17" i="8"/>
  <c r="BJ17" i="8"/>
  <c r="DW15" i="8"/>
  <c r="DU15" i="8"/>
  <c r="DT15" i="8"/>
  <c r="DS15" i="8"/>
  <c r="DR15" i="8"/>
  <c r="DP15" i="8"/>
  <c r="DO15" i="8"/>
  <c r="DN15" i="8"/>
  <c r="DM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DW14" i="8"/>
  <c r="DU14" i="8"/>
  <c r="DT14" i="8"/>
  <c r="DS14" i="8"/>
  <c r="DR14" i="8"/>
  <c r="DP14" i="8"/>
  <c r="DO14" i="8"/>
  <c r="DN14" i="8"/>
  <c r="DM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DW13" i="8"/>
  <c r="DU13" i="8"/>
  <c r="DT13" i="8"/>
  <c r="DS13" i="8"/>
  <c r="DR13" i="8"/>
  <c r="DP13" i="8"/>
  <c r="DN13" i="8"/>
  <c r="DM13" i="8"/>
  <c r="DK13" i="8"/>
  <c r="DJ13" i="8"/>
  <c r="DI13" i="8"/>
  <c r="DH13" i="8"/>
  <c r="DF13" i="8"/>
  <c r="DE13" i="8"/>
  <c r="DD13" i="8"/>
  <c r="DC13" i="8"/>
  <c r="DA13" i="8"/>
  <c r="CZ13" i="8"/>
  <c r="CY13" i="8"/>
  <c r="CX13" i="8"/>
  <c r="CV13" i="8"/>
  <c r="CU13" i="8"/>
  <c r="CT13" i="8"/>
  <c r="CS13" i="8"/>
  <c r="CQ13" i="8"/>
  <c r="CP13" i="8"/>
  <c r="CO13" i="8"/>
  <c r="CN13" i="8"/>
  <c r="CL13" i="8"/>
  <c r="CK13" i="8"/>
  <c r="CJ13" i="8"/>
  <c r="CI13" i="8"/>
  <c r="CG13" i="8"/>
  <c r="CF13" i="8"/>
  <c r="CE13" i="8"/>
  <c r="CD13" i="8"/>
  <c r="CB13" i="8"/>
  <c r="CA13" i="8"/>
  <c r="BZ13" i="8"/>
  <c r="BY13" i="8"/>
  <c r="BW13" i="8"/>
  <c r="BV13" i="8"/>
  <c r="BU13" i="8"/>
  <c r="BT13" i="8"/>
  <c r="BR13" i="8"/>
  <c r="BQ13" i="8"/>
  <c r="BP13" i="8"/>
  <c r="BO13" i="8"/>
  <c r="BM13" i="8"/>
  <c r="BL13" i="8"/>
  <c r="BK13" i="8"/>
  <c r="BJ13" i="8"/>
  <c r="DW12" i="8"/>
  <c r="DU12" i="8"/>
  <c r="DT12" i="8"/>
  <c r="DS12" i="8"/>
  <c r="DR12" i="8"/>
  <c r="DP12" i="8"/>
  <c r="DO12" i="8"/>
  <c r="DN12" i="8"/>
  <c r="DM12" i="8"/>
  <c r="DK12" i="8"/>
  <c r="DJ12" i="8"/>
  <c r="DI12" i="8"/>
  <c r="DH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DW11" i="8"/>
  <c r="DU11" i="8"/>
  <c r="DT11" i="8"/>
  <c r="DS11" i="8"/>
  <c r="DR11" i="8"/>
  <c r="DP11" i="8"/>
  <c r="DO11" i="8"/>
  <c r="DN11" i="8"/>
  <c r="DM11" i="8"/>
  <c r="DK11" i="8"/>
  <c r="DJ11" i="8"/>
  <c r="DI11" i="8"/>
  <c r="DH11" i="8"/>
  <c r="DF11" i="8"/>
  <c r="DE11" i="8"/>
  <c r="DD11" i="8"/>
  <c r="DC11" i="8"/>
  <c r="DA11" i="8"/>
  <c r="CZ11" i="8"/>
  <c r="CY11" i="8"/>
  <c r="CX11" i="8"/>
  <c r="CV11" i="8"/>
  <c r="CU11" i="8"/>
  <c r="CT11" i="8"/>
  <c r="CS11" i="8"/>
  <c r="CQ11" i="8"/>
  <c r="CP11" i="8"/>
  <c r="CO11" i="8"/>
  <c r="CN11" i="8"/>
  <c r="CL11" i="8"/>
  <c r="CK11" i="8"/>
  <c r="CJ11" i="8"/>
  <c r="CI11" i="8"/>
  <c r="CG11" i="8"/>
  <c r="CF11" i="8"/>
  <c r="CE11" i="8"/>
  <c r="CD11" i="8"/>
  <c r="CB11" i="8"/>
  <c r="CA11" i="8"/>
  <c r="BZ11" i="8"/>
  <c r="BY11" i="8"/>
  <c r="BW11" i="8"/>
  <c r="BV11" i="8"/>
  <c r="BU11" i="8"/>
  <c r="BT11" i="8"/>
  <c r="BR11" i="8"/>
  <c r="BQ11" i="8"/>
  <c r="BP11" i="8"/>
  <c r="BO11" i="8"/>
  <c r="BM11" i="8"/>
  <c r="BL11" i="8"/>
  <c r="BK11" i="8"/>
  <c r="BJ11" i="8"/>
  <c r="DW10" i="8"/>
  <c r="DU10" i="8"/>
  <c r="DT10" i="8"/>
  <c r="DS10" i="8"/>
  <c r="DR10" i="8"/>
  <c r="DP10" i="8"/>
  <c r="DO10" i="8"/>
  <c r="DN10" i="8"/>
  <c r="DM10" i="8"/>
  <c r="DK10" i="8"/>
  <c r="DJ10" i="8"/>
  <c r="DI10" i="8"/>
  <c r="DH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DW9" i="8"/>
  <c r="DU9" i="8"/>
  <c r="DT9" i="8"/>
  <c r="DS9" i="8"/>
  <c r="DR9" i="8"/>
  <c r="DP9" i="8"/>
  <c r="DO9" i="8"/>
  <c r="DN9" i="8"/>
  <c r="DM9" i="8"/>
  <c r="DK9" i="8"/>
  <c r="DJ9" i="8"/>
  <c r="DI9" i="8"/>
  <c r="DH9" i="8"/>
  <c r="DF9" i="8"/>
  <c r="DE9" i="8"/>
  <c r="DD9" i="8"/>
  <c r="DC9" i="8"/>
  <c r="DA9" i="8"/>
  <c r="CZ9" i="8"/>
  <c r="CY9" i="8"/>
  <c r="CX9" i="8"/>
  <c r="CU9" i="8"/>
  <c r="CT9" i="8"/>
  <c r="CS9" i="8"/>
  <c r="CQ9" i="8"/>
  <c r="CP9" i="8"/>
  <c r="CO9" i="8"/>
  <c r="CN9" i="8"/>
  <c r="CL9" i="8"/>
  <c r="CK9" i="8"/>
  <c r="CJ9" i="8"/>
  <c r="CI9" i="8"/>
  <c r="CG9" i="8"/>
  <c r="CF9" i="8"/>
  <c r="CE9" i="8"/>
  <c r="CD9" i="8"/>
  <c r="CB9" i="8"/>
  <c r="CA9" i="8"/>
  <c r="BZ9" i="8"/>
  <c r="BY9" i="8"/>
  <c r="BW9" i="8"/>
  <c r="BV9" i="8"/>
  <c r="BU9" i="8"/>
  <c r="BT9" i="8"/>
  <c r="BR9" i="8"/>
  <c r="BQ9" i="8"/>
  <c r="BP9" i="8"/>
  <c r="BO9" i="8"/>
  <c r="BM9" i="8"/>
  <c r="BL9" i="8"/>
  <c r="BK9" i="8"/>
  <c r="BJ9" i="8"/>
  <c r="DW8" i="8"/>
  <c r="DU8" i="8"/>
  <c r="DT8" i="8"/>
  <c r="DS8" i="8"/>
  <c r="DR8" i="8"/>
  <c r="DP8" i="8"/>
  <c r="DO8" i="8"/>
  <c r="DN8" i="8"/>
  <c r="DM8" i="8"/>
  <c r="DK8" i="8"/>
  <c r="DJ8" i="8"/>
  <c r="DI8" i="8"/>
  <c r="DH8" i="8"/>
  <c r="DF8" i="8"/>
  <c r="DE8" i="8"/>
  <c r="DD8" i="8"/>
  <c r="DC8" i="8"/>
  <c r="DA8" i="8"/>
  <c r="CZ8" i="8"/>
  <c r="CY8" i="8"/>
  <c r="CX8" i="8"/>
  <c r="CV8" i="8"/>
  <c r="CU8" i="8"/>
  <c r="CT8" i="8"/>
  <c r="CS8" i="8"/>
  <c r="CQ8" i="8"/>
  <c r="CP8" i="8"/>
  <c r="CO8" i="8"/>
  <c r="CN8" i="8"/>
  <c r="CL8" i="8"/>
  <c r="CK8" i="8"/>
  <c r="CJ8" i="8"/>
  <c r="CI8" i="8"/>
  <c r="CG8" i="8"/>
  <c r="CF8" i="8"/>
  <c r="CE8" i="8"/>
  <c r="CD8" i="8"/>
  <c r="CB8" i="8"/>
  <c r="CA8" i="8"/>
  <c r="BZ8" i="8"/>
  <c r="BY8" i="8"/>
  <c r="BW8" i="8"/>
  <c r="BV8" i="8"/>
  <c r="BU8" i="8"/>
  <c r="BT8" i="8"/>
  <c r="BR8" i="8"/>
  <c r="BQ8" i="8"/>
  <c r="BP8" i="8"/>
  <c r="BO8" i="8"/>
  <c r="BM8" i="8"/>
  <c r="BL8" i="8"/>
  <c r="BK8" i="8"/>
  <c r="BJ8" i="8"/>
  <c r="DW7" i="8"/>
  <c r="DU7" i="8"/>
  <c r="DT7" i="8"/>
  <c r="DS7" i="8"/>
  <c r="DR7" i="8"/>
  <c r="DP7" i="8"/>
  <c r="DO7" i="8"/>
  <c r="DN7" i="8"/>
  <c r="DM7" i="8"/>
  <c r="DK7" i="8"/>
  <c r="DJ7" i="8"/>
  <c r="DI7" i="8"/>
  <c r="DH7" i="8"/>
  <c r="DF7" i="8"/>
  <c r="DE7" i="8"/>
  <c r="DD7" i="8"/>
  <c r="DC7" i="8"/>
  <c r="DA7" i="8"/>
  <c r="CZ7" i="8"/>
  <c r="CY7" i="8"/>
  <c r="CX7" i="8"/>
  <c r="CV7" i="8"/>
  <c r="CU7" i="8"/>
  <c r="CT7" i="8"/>
  <c r="CS7" i="8"/>
  <c r="CQ7" i="8"/>
  <c r="CP7" i="8"/>
  <c r="CO7" i="8"/>
  <c r="CN7" i="8"/>
  <c r="CL7" i="8"/>
  <c r="CK7" i="8"/>
  <c r="CJ7" i="8"/>
  <c r="CI7" i="8"/>
  <c r="CG7" i="8"/>
  <c r="CF7" i="8"/>
  <c r="CE7" i="8"/>
  <c r="CD7" i="8"/>
  <c r="CB7" i="8"/>
  <c r="CA7" i="8"/>
  <c r="BZ7" i="8"/>
  <c r="BY7" i="8"/>
  <c r="BW7" i="8"/>
  <c r="BV7" i="8"/>
  <c r="BU7" i="8"/>
  <c r="BT7" i="8"/>
  <c r="BR7" i="8"/>
  <c r="BQ7" i="8"/>
  <c r="BP7" i="8"/>
  <c r="BO7" i="8"/>
  <c r="BM7" i="8"/>
  <c r="BL7" i="8"/>
  <c r="BK7" i="8"/>
  <c r="BJ7" i="8"/>
  <c r="DW6" i="8"/>
  <c r="DU6" i="8"/>
  <c r="DT6" i="8"/>
  <c r="DS6" i="8"/>
  <c r="DR6" i="8"/>
  <c r="DP6" i="8"/>
  <c r="DO6" i="8"/>
  <c r="DN6" i="8"/>
  <c r="DM6" i="8"/>
  <c r="DK6" i="8"/>
  <c r="DJ6" i="8"/>
  <c r="DI6" i="8"/>
  <c r="DH6" i="8"/>
  <c r="DF6" i="8"/>
  <c r="DE6" i="8"/>
  <c r="DD6" i="8"/>
  <c r="DC6" i="8"/>
  <c r="DA6" i="8"/>
  <c r="CZ6" i="8"/>
  <c r="CY6" i="8"/>
  <c r="CX6" i="8"/>
  <c r="CV6" i="8"/>
  <c r="CU6" i="8"/>
  <c r="CT6" i="8"/>
  <c r="CS6" i="8"/>
  <c r="CQ6" i="8"/>
  <c r="CP6" i="8"/>
  <c r="CO6" i="8"/>
  <c r="CN6" i="8"/>
  <c r="CL6" i="8"/>
  <c r="CK6" i="8"/>
  <c r="CJ6" i="8"/>
  <c r="CI6" i="8"/>
  <c r="CG6" i="8"/>
  <c r="CF6" i="8"/>
  <c r="CE6" i="8"/>
  <c r="CD6" i="8"/>
  <c r="CB6" i="8"/>
  <c r="CA6" i="8"/>
  <c r="BZ6" i="8"/>
  <c r="BY6" i="8"/>
  <c r="BW6" i="8"/>
  <c r="BV6" i="8"/>
  <c r="BU6" i="8"/>
  <c r="BT6" i="8"/>
  <c r="BR6" i="8"/>
  <c r="BQ6" i="8"/>
  <c r="BP6" i="8"/>
  <c r="BO6" i="8"/>
  <c r="BM6" i="8"/>
  <c r="BL6" i="8"/>
  <c r="BK6" i="8"/>
  <c r="BJ6" i="8"/>
  <c r="DW5" i="8"/>
  <c r="DU5" i="8"/>
  <c r="DT5" i="8"/>
  <c r="DS5" i="8"/>
  <c r="DR5" i="8"/>
  <c r="DO5" i="8"/>
  <c r="DN5" i="8"/>
  <c r="DM5" i="8"/>
  <c r="DK5" i="8"/>
  <c r="DJ5" i="8"/>
  <c r="DI5" i="8"/>
  <c r="DH5" i="8"/>
  <c r="DF5" i="8"/>
  <c r="DE5" i="8"/>
  <c r="DD5" i="8"/>
  <c r="DC5" i="8"/>
  <c r="DA5" i="8"/>
  <c r="CZ5" i="8"/>
  <c r="CY5" i="8"/>
  <c r="CX5" i="8"/>
  <c r="CV5" i="8"/>
  <c r="CU5" i="8"/>
  <c r="CT5" i="8"/>
  <c r="CS5" i="8"/>
  <c r="CQ5" i="8"/>
  <c r="CP5" i="8"/>
  <c r="CO5" i="8"/>
  <c r="CN5" i="8"/>
  <c r="CL5" i="8"/>
  <c r="CJ5" i="8"/>
  <c r="CI5" i="8"/>
  <c r="CG5" i="8"/>
  <c r="CF5" i="8"/>
  <c r="CE5" i="8"/>
  <c r="CD5" i="8"/>
  <c r="CB5" i="8"/>
  <c r="CA5" i="8"/>
  <c r="BZ5" i="8"/>
  <c r="BY5" i="8"/>
  <c r="BW5" i="8"/>
  <c r="BV5" i="8"/>
  <c r="BU5" i="8"/>
  <c r="BT5" i="8"/>
  <c r="BR5" i="8"/>
  <c r="BQ5" i="8"/>
  <c r="BP5" i="8"/>
  <c r="BO5" i="8"/>
  <c r="BM5" i="8"/>
  <c r="BL5" i="8"/>
  <c r="BK5" i="8"/>
  <c r="BJ5" i="8"/>
  <c r="DW4" i="8"/>
  <c r="DU4" i="8"/>
  <c r="DT4" i="8"/>
  <c r="DS4" i="8"/>
  <c r="DR4" i="8"/>
  <c r="DP4" i="8"/>
  <c r="DO4" i="8"/>
  <c r="DN4" i="8"/>
  <c r="DM4" i="8"/>
  <c r="DK4" i="8"/>
  <c r="DJ4" i="8"/>
  <c r="DI4" i="8"/>
  <c r="DH4" i="8"/>
  <c r="DF4" i="8"/>
  <c r="DE4" i="8"/>
  <c r="DD4" i="8"/>
  <c r="DC4" i="8"/>
  <c r="DA4" i="8"/>
  <c r="CZ4" i="8"/>
  <c r="CY4" i="8"/>
  <c r="CX4" i="8"/>
  <c r="CV4" i="8"/>
  <c r="CU4" i="8"/>
  <c r="CT4" i="8"/>
  <c r="CS4" i="8"/>
  <c r="CQ4" i="8"/>
  <c r="CP4" i="8"/>
  <c r="CO4" i="8"/>
  <c r="CN4" i="8"/>
  <c r="CL4" i="8"/>
  <c r="CK4" i="8"/>
  <c r="CJ4" i="8"/>
  <c r="CI4" i="8"/>
  <c r="CG4" i="8"/>
  <c r="CF4" i="8"/>
  <c r="CE4" i="8"/>
  <c r="CD4" i="8"/>
  <c r="CB4" i="8"/>
  <c r="CA4" i="8"/>
  <c r="BZ4" i="8"/>
  <c r="BY4" i="8"/>
  <c r="BW4" i="8"/>
  <c r="BV4" i="8"/>
  <c r="BU4" i="8"/>
  <c r="BT4" i="8"/>
  <c r="BQ4" i="8"/>
  <c r="BP4" i="8"/>
  <c r="BO4" i="8"/>
  <c r="BM4" i="8"/>
  <c r="BL4" i="8"/>
  <c r="BK4" i="8"/>
  <c r="BJ4" i="8"/>
  <c r="DW3" i="8"/>
  <c r="DU3" i="8"/>
  <c r="DT3" i="8"/>
  <c r="DS3" i="8"/>
  <c r="DR3" i="8"/>
  <c r="DP3" i="8"/>
  <c r="DO3" i="8"/>
  <c r="DN3" i="8"/>
  <c r="DM3" i="8"/>
  <c r="DK3" i="8"/>
  <c r="DJ3" i="8"/>
  <c r="DI3" i="8"/>
  <c r="DH3" i="8"/>
  <c r="DF3" i="8"/>
  <c r="DE3" i="8"/>
  <c r="DD3" i="8"/>
  <c r="DC3" i="8"/>
  <c r="DA3" i="8"/>
  <c r="CZ3" i="8"/>
  <c r="CY3" i="8"/>
  <c r="CX3" i="8"/>
  <c r="CV3" i="8"/>
  <c r="CU3" i="8"/>
  <c r="CT3" i="8"/>
  <c r="CS3" i="8"/>
  <c r="CQ3" i="8"/>
  <c r="CP3" i="8"/>
  <c r="CO3" i="8"/>
  <c r="CN3" i="8"/>
  <c r="CL3" i="8"/>
  <c r="CK3" i="8"/>
  <c r="CJ3" i="8"/>
  <c r="CI3" i="8"/>
  <c r="CG3" i="8"/>
  <c r="CF3" i="8"/>
  <c r="CE3" i="8"/>
  <c r="CD3" i="8"/>
  <c r="CB3" i="8"/>
  <c r="CA3" i="8"/>
  <c r="BZ3" i="8"/>
  <c r="BY3" i="8"/>
  <c r="BW3" i="8"/>
  <c r="BV3" i="8"/>
  <c r="BU3" i="8"/>
  <c r="BT3" i="8"/>
  <c r="BR3" i="8"/>
  <c r="BQ3" i="8"/>
  <c r="BP3" i="8"/>
  <c r="BO3" i="8"/>
  <c r="BM3" i="8"/>
  <c r="BL3" i="8"/>
  <c r="BK3" i="8"/>
  <c r="BJ3" i="8"/>
  <c r="DX5" i="8"/>
  <c r="DX14" i="8"/>
  <c r="DX13" i="8"/>
  <c r="DX12" i="8"/>
  <c r="DX11" i="8"/>
  <c r="DX9" i="8"/>
  <c r="DX10" i="8"/>
  <c r="DX8" i="8"/>
  <c r="DX7" i="8"/>
  <c r="DX4" i="8"/>
  <c r="DX24" i="8"/>
  <c r="DX23" i="8"/>
  <c r="DX22" i="8"/>
  <c r="DX21" i="8"/>
  <c r="DX20" i="8"/>
  <c r="DX19" i="8"/>
  <c r="DX18" i="8"/>
  <c r="DX17" i="8"/>
  <c r="DX6" i="8"/>
  <c r="DX3" i="8"/>
  <c r="BH25" i="8"/>
  <c r="BG25" i="8"/>
  <c r="BF25" i="8"/>
  <c r="BE25" i="8"/>
  <c r="BC25" i="8"/>
  <c r="BB25" i="8"/>
  <c r="BA25" i="8"/>
  <c r="AZ25" i="8"/>
  <c r="AX25" i="8"/>
  <c r="AW25" i="8"/>
  <c r="AV25" i="8"/>
  <c r="AU25" i="8"/>
  <c r="AS25" i="8"/>
  <c r="AR25" i="8"/>
  <c r="AQ25" i="8"/>
  <c r="AP25" i="8"/>
  <c r="AN25" i="8"/>
  <c r="AM25" i="8"/>
  <c r="AL25" i="8"/>
  <c r="AK25" i="8"/>
  <c r="AI25" i="8"/>
  <c r="AH25" i="8"/>
  <c r="AG25" i="8"/>
  <c r="AF25" i="8"/>
  <c r="AD25" i="8"/>
  <c r="AC25" i="8"/>
  <c r="AB25" i="8"/>
  <c r="AA25" i="8"/>
  <c r="Y25" i="8"/>
  <c r="X25" i="8"/>
  <c r="W25" i="8"/>
  <c r="V25" i="8"/>
  <c r="T25" i="8"/>
  <c r="S25" i="8"/>
  <c r="R25" i="8"/>
  <c r="Q25" i="8"/>
  <c r="O25" i="8"/>
  <c r="N25" i="8"/>
  <c r="M25" i="8"/>
  <c r="L25" i="8"/>
  <c r="J25" i="8"/>
  <c r="I25" i="8"/>
  <c r="H25" i="8"/>
  <c r="G25" i="8"/>
  <c r="E25" i="8"/>
  <c r="D25" i="8"/>
  <c r="C25" i="8"/>
  <c r="B25" i="8"/>
  <c r="BI24" i="8"/>
  <c r="BD24" i="8"/>
  <c r="AY24" i="8"/>
  <c r="AT24" i="8"/>
  <c r="AO24" i="8"/>
  <c r="AJ24" i="8"/>
  <c r="AE24" i="8"/>
  <c r="Z24" i="8"/>
  <c r="U24" i="8"/>
  <c r="P24" i="8"/>
  <c r="K24" i="8"/>
  <c r="F24" i="8"/>
  <c r="BI23" i="8"/>
  <c r="BD23" i="8"/>
  <c r="AY23" i="8"/>
  <c r="AT23" i="8"/>
  <c r="AO23" i="8"/>
  <c r="AJ23" i="8"/>
  <c r="AE23" i="8"/>
  <c r="Z23" i="8"/>
  <c r="U23" i="8"/>
  <c r="P23" i="8"/>
  <c r="K23" i="8"/>
  <c r="F23" i="8"/>
  <c r="BI22" i="8"/>
  <c r="BD22" i="8"/>
  <c r="AY22" i="8"/>
  <c r="AT22" i="8"/>
  <c r="AO22" i="8"/>
  <c r="AJ22" i="8"/>
  <c r="AE22" i="8"/>
  <c r="Z22" i="8"/>
  <c r="U22" i="8"/>
  <c r="P22" i="8"/>
  <c r="K22" i="8"/>
  <c r="F22" i="8"/>
  <c r="BI21" i="8"/>
  <c r="BD21" i="8"/>
  <c r="AY21" i="8"/>
  <c r="AT21" i="8"/>
  <c r="AO21" i="8"/>
  <c r="AJ21" i="8"/>
  <c r="AE21" i="8"/>
  <c r="Z21" i="8"/>
  <c r="U21" i="8"/>
  <c r="P21" i="8"/>
  <c r="K21" i="8"/>
  <c r="F21" i="8"/>
  <c r="BI20" i="8"/>
  <c r="BD20" i="8"/>
  <c r="AY20" i="8"/>
  <c r="AT20" i="8"/>
  <c r="AO20" i="8"/>
  <c r="AJ20" i="8"/>
  <c r="AE20" i="8"/>
  <c r="Z20" i="8"/>
  <c r="U20" i="8"/>
  <c r="P20" i="8"/>
  <c r="K20" i="8"/>
  <c r="F20" i="8"/>
  <c r="BI19" i="8"/>
  <c r="BD19" i="8"/>
  <c r="AY19" i="8"/>
  <c r="AT19" i="8"/>
  <c r="AO19" i="8"/>
  <c r="AJ19" i="8"/>
  <c r="AE19" i="8"/>
  <c r="Z19" i="8"/>
  <c r="U19" i="8"/>
  <c r="P19" i="8"/>
  <c r="K19" i="8"/>
  <c r="F19" i="8"/>
  <c r="BI18" i="8"/>
  <c r="BD18" i="8"/>
  <c r="AY18" i="8"/>
  <c r="AT18" i="8"/>
  <c r="AO18" i="8"/>
  <c r="AJ18" i="8"/>
  <c r="AE18" i="8"/>
  <c r="Z18" i="8"/>
  <c r="U18" i="8"/>
  <c r="P18" i="8"/>
  <c r="K18" i="8"/>
  <c r="F18" i="8"/>
  <c r="BI17" i="8"/>
  <c r="BD17" i="8"/>
  <c r="AY17" i="8"/>
  <c r="AT17" i="8"/>
  <c r="AO17" i="8"/>
  <c r="AJ17" i="8"/>
  <c r="AE17" i="8"/>
  <c r="Z17" i="8"/>
  <c r="U17" i="8"/>
  <c r="P17" i="8"/>
  <c r="K17" i="8"/>
  <c r="F17" i="8"/>
  <c r="BI14" i="8"/>
  <c r="BD14" i="8"/>
  <c r="AY14" i="8"/>
  <c r="AT14" i="8"/>
  <c r="AO14" i="8"/>
  <c r="AJ14" i="8"/>
  <c r="AE14" i="8"/>
  <c r="Z14" i="8"/>
  <c r="U14" i="8"/>
  <c r="P14" i="8"/>
  <c r="K14" i="8"/>
  <c r="F14" i="8"/>
  <c r="BI13" i="8"/>
  <c r="BD13" i="8"/>
  <c r="AY13" i="8"/>
  <c r="AT13" i="8"/>
  <c r="AO13" i="8"/>
  <c r="AJ13" i="8"/>
  <c r="AE13" i="8"/>
  <c r="Z13" i="8"/>
  <c r="U13" i="8"/>
  <c r="P13" i="8"/>
  <c r="K13" i="8"/>
  <c r="F13" i="8"/>
  <c r="BI12" i="8"/>
  <c r="BD12" i="8"/>
  <c r="AY12" i="8"/>
  <c r="AT12" i="8"/>
  <c r="AO12" i="8"/>
  <c r="AJ12" i="8"/>
  <c r="AE12" i="8"/>
  <c r="Z12" i="8"/>
  <c r="U12" i="8"/>
  <c r="P12" i="8"/>
  <c r="K12" i="8"/>
  <c r="F12" i="8"/>
  <c r="BI11" i="8"/>
  <c r="BD11" i="8"/>
  <c r="AY11" i="8"/>
  <c r="AT11" i="8"/>
  <c r="AO11" i="8"/>
  <c r="AJ11" i="8"/>
  <c r="AE11" i="8"/>
  <c r="Z11" i="8"/>
  <c r="U11" i="8"/>
  <c r="P11" i="8"/>
  <c r="K11" i="8"/>
  <c r="F11" i="8"/>
  <c r="BI10" i="8"/>
  <c r="BD10" i="8"/>
  <c r="AY10" i="8"/>
  <c r="AT10" i="8"/>
  <c r="AO10" i="8"/>
  <c r="AJ10" i="8"/>
  <c r="AE10" i="8"/>
  <c r="Z10" i="8"/>
  <c r="U10" i="8"/>
  <c r="P10" i="8"/>
  <c r="K10" i="8"/>
  <c r="F10" i="8"/>
  <c r="BI9" i="8"/>
  <c r="BD9" i="8"/>
  <c r="AY9" i="8"/>
  <c r="AT9" i="8"/>
  <c r="AO9" i="8"/>
  <c r="AJ9" i="8"/>
  <c r="AE9" i="8"/>
  <c r="Z9" i="8"/>
  <c r="U9" i="8"/>
  <c r="P9" i="8"/>
  <c r="K9" i="8"/>
  <c r="F9" i="8"/>
  <c r="BI8" i="8"/>
  <c r="BD8" i="8"/>
  <c r="AY8" i="8"/>
  <c r="AT8" i="8"/>
  <c r="AO8" i="8"/>
  <c r="AJ8" i="8"/>
  <c r="AE8" i="8"/>
  <c r="Z8" i="8"/>
  <c r="U8" i="8"/>
  <c r="P8" i="8"/>
  <c r="K8" i="8"/>
  <c r="F8" i="8"/>
  <c r="BI7" i="8"/>
  <c r="BD7" i="8"/>
  <c r="AY7" i="8"/>
  <c r="AT7" i="8"/>
  <c r="AO7" i="8"/>
  <c r="AJ7" i="8"/>
  <c r="AE7" i="8"/>
  <c r="Z7" i="8"/>
  <c r="U7" i="8"/>
  <c r="P7" i="8"/>
  <c r="K7" i="8"/>
  <c r="F7" i="8"/>
  <c r="BI6" i="8"/>
  <c r="BD6" i="8"/>
  <c r="AY6" i="8"/>
  <c r="AT6" i="8"/>
  <c r="AO6" i="8"/>
  <c r="AJ6" i="8"/>
  <c r="AE6" i="8"/>
  <c r="Z6" i="8"/>
  <c r="U6" i="8"/>
  <c r="P6" i="8"/>
  <c r="K6" i="8"/>
  <c r="F6" i="8"/>
  <c r="BI5" i="8"/>
  <c r="BD5" i="8"/>
  <c r="AY5" i="8"/>
  <c r="AT5" i="8"/>
  <c r="AO5" i="8"/>
  <c r="AJ5" i="8"/>
  <c r="AE5" i="8"/>
  <c r="Z5" i="8"/>
  <c r="U5" i="8"/>
  <c r="P5" i="8"/>
  <c r="K5" i="8"/>
  <c r="F5" i="8"/>
  <c r="BI4" i="8"/>
  <c r="BD4" i="8"/>
  <c r="AY4" i="8"/>
  <c r="AT4" i="8"/>
  <c r="AO4" i="8"/>
  <c r="AJ4" i="8"/>
  <c r="AE4" i="8"/>
  <c r="Z4" i="8"/>
  <c r="U4" i="8"/>
  <c r="P4" i="8"/>
  <c r="K4" i="8"/>
  <c r="F4" i="8"/>
  <c r="BI3" i="8"/>
  <c r="BD3" i="8"/>
  <c r="AY3" i="8"/>
  <c r="AT3" i="8"/>
  <c r="AO3" i="8"/>
  <c r="AJ3" i="8"/>
  <c r="AE3" i="8"/>
  <c r="Z3" i="8"/>
  <c r="U3" i="8"/>
  <c r="P3" i="8"/>
  <c r="K3" i="8"/>
  <c r="F3" i="8"/>
  <c r="BQ25" i="8" l="1"/>
  <c r="BO25" i="8"/>
  <c r="EA73" i="2"/>
  <c r="CI25" i="8"/>
  <c r="CU25" i="8"/>
  <c r="BU25" i="8"/>
  <c r="CE25" i="8"/>
  <c r="CA25" i="8"/>
  <c r="CQ25" i="8"/>
  <c r="CL25" i="8"/>
  <c r="CG25" i="8"/>
  <c r="CD25" i="8"/>
  <c r="BM25" i="8"/>
  <c r="CS25" i="8"/>
  <c r="BK25" i="8"/>
  <c r="CJ25" i="8"/>
  <c r="BV25" i="8"/>
  <c r="CN25" i="8"/>
  <c r="BY25" i="8"/>
  <c r="CO25" i="8"/>
  <c r="BL25" i="8"/>
  <c r="BT25" i="8"/>
  <c r="CB25" i="8"/>
  <c r="CZ25" i="8"/>
  <c r="BZ25" i="8"/>
  <c r="CP25" i="8"/>
  <c r="BP25" i="8"/>
  <c r="CF25" i="8"/>
  <c r="DX25" i="8"/>
  <c r="BY39" i="2"/>
  <c r="BZ39" i="2" s="1"/>
  <c r="BY36" i="2"/>
  <c r="BZ35" i="2"/>
  <c r="CA38" i="2"/>
  <c r="CB38" i="2" s="1"/>
  <c r="CC38" i="2" s="1"/>
  <c r="BX48" i="2"/>
  <c r="CA37" i="2"/>
  <c r="BW48" i="2"/>
  <c r="BJ25" i="8"/>
  <c r="AE25" i="8"/>
  <c r="K25" i="8"/>
  <c r="AY25" i="8"/>
  <c r="AO25" i="8"/>
  <c r="AJ25" i="8"/>
  <c r="AT25" i="8"/>
  <c r="F25" i="8"/>
  <c r="P25" i="8"/>
  <c r="BD25" i="8"/>
  <c r="U25" i="8"/>
  <c r="BI25" i="8"/>
  <c r="Z25" i="8"/>
  <c r="BZ36" i="2" l="1"/>
  <c r="BZ48" i="2" s="1"/>
  <c r="CA35" i="2"/>
  <c r="CB37" i="2"/>
  <c r="CC37" i="2" s="1"/>
  <c r="CD38" i="2"/>
  <c r="CE38" i="2" s="1"/>
  <c r="CA39" i="2"/>
  <c r="BY48" i="2"/>
  <c r="CB39" i="2" l="1"/>
  <c r="CC39" i="2" s="1"/>
  <c r="CF38" i="2"/>
  <c r="CD37" i="2"/>
  <c r="CA36" i="2"/>
  <c r="CB35" i="2"/>
  <c r="CD39" i="2" l="1"/>
  <c r="CE39" i="2" s="1"/>
  <c r="CF39" i="2" s="1"/>
  <c r="CG39" i="2" s="1"/>
  <c r="CB36" i="2"/>
  <c r="CC35" i="2"/>
  <c r="CG38" i="2"/>
  <c r="CH38" i="2" s="1"/>
  <c r="CA48" i="2"/>
  <c r="CE37" i="2"/>
  <c r="CH39" i="2" l="1"/>
  <c r="CI39" i="2" s="1"/>
  <c r="CI38" i="2"/>
  <c r="CF37" i="2"/>
  <c r="CB48" i="2"/>
  <c r="CC36" i="2"/>
  <c r="CD35" i="2"/>
  <c r="DX81" i="8"/>
  <c r="DX71" i="8"/>
  <c r="DX52" i="8"/>
  <c r="CJ39" i="2" l="1"/>
  <c r="CJ38" i="2"/>
  <c r="CC48" i="2"/>
  <c r="CE35" i="2"/>
  <c r="CD36" i="2"/>
  <c r="CD48" i="2" s="1"/>
  <c r="CG37" i="2"/>
  <c r="CH37" i="2" s="1"/>
  <c r="DX108" i="7"/>
  <c r="DX107" i="7"/>
  <c r="DX106" i="7"/>
  <c r="DX105" i="7"/>
  <c r="DX104" i="7"/>
  <c r="DX103" i="7"/>
  <c r="DX102" i="7"/>
  <c r="DX101" i="7"/>
  <c r="DX100" i="7"/>
  <c r="DX54" i="7"/>
  <c r="DX138" i="6"/>
  <c r="DX110" i="6"/>
  <c r="DX18" i="6" s="1"/>
  <c r="DX82" i="6"/>
  <c r="DX212" i="5"/>
  <c r="DX98" i="7" s="1"/>
  <c r="DX211" i="5"/>
  <c r="DX97" i="7" s="1"/>
  <c r="DX210" i="5"/>
  <c r="DX96" i="7" s="1"/>
  <c r="DX209" i="5"/>
  <c r="DX95" i="7" s="1"/>
  <c r="DX208" i="5"/>
  <c r="DX94" i="7" s="1"/>
  <c r="DX207" i="5"/>
  <c r="DX93" i="7" s="1"/>
  <c r="DX206" i="5"/>
  <c r="DX92" i="7" s="1"/>
  <c r="DX205" i="5"/>
  <c r="DX91" i="7" s="1"/>
  <c r="DX204" i="5"/>
  <c r="DX90" i="7" s="1"/>
  <c r="DX203" i="5"/>
  <c r="DX89" i="7" s="1"/>
  <c r="DX202" i="5"/>
  <c r="DX88" i="7" s="1"/>
  <c r="DX201" i="5"/>
  <c r="DX87" i="7" s="1"/>
  <c r="DX200" i="5"/>
  <c r="DX194" i="5"/>
  <c r="DX193" i="5"/>
  <c r="DX192" i="5"/>
  <c r="DX191" i="5"/>
  <c r="DX190" i="5"/>
  <c r="DX189" i="5"/>
  <c r="DX188" i="5"/>
  <c r="DX187" i="5"/>
  <c r="DX186" i="5"/>
  <c r="DX184" i="5"/>
  <c r="DX183" i="5"/>
  <c r="DX182" i="5"/>
  <c r="DX181" i="5"/>
  <c r="DX180" i="5"/>
  <c r="DX179" i="5"/>
  <c r="DX178" i="5"/>
  <c r="DX177" i="5"/>
  <c r="DX176" i="5"/>
  <c r="DX175" i="5"/>
  <c r="DX174" i="5"/>
  <c r="DX173" i="5"/>
  <c r="DX172" i="5"/>
  <c r="DX166" i="5"/>
  <c r="DX165" i="5"/>
  <c r="DX164" i="5"/>
  <c r="DX163" i="5"/>
  <c r="DX162" i="5"/>
  <c r="DX161" i="5"/>
  <c r="DX160" i="5"/>
  <c r="DX159" i="5"/>
  <c r="DX158" i="5"/>
  <c r="DX156" i="5"/>
  <c r="DX155" i="5"/>
  <c r="DX154" i="5"/>
  <c r="DX153" i="5"/>
  <c r="DX152" i="5"/>
  <c r="DX151" i="5"/>
  <c r="DX150" i="5"/>
  <c r="DX149" i="5"/>
  <c r="DX148" i="5"/>
  <c r="DX147" i="5"/>
  <c r="DX146" i="5"/>
  <c r="DX145" i="5"/>
  <c r="DX144" i="5"/>
  <c r="DX138" i="5"/>
  <c r="DX25" i="7" s="1"/>
  <c r="DX137" i="5"/>
  <c r="DX24" i="7" s="1"/>
  <c r="DX136" i="5"/>
  <c r="DX23" i="7" s="1"/>
  <c r="DX135" i="5"/>
  <c r="DX22" i="7" s="1"/>
  <c r="DX134" i="5"/>
  <c r="DX21" i="7" s="1"/>
  <c r="DX133" i="5"/>
  <c r="DX20" i="7" s="1"/>
  <c r="DX132" i="5"/>
  <c r="DX19" i="7" s="1"/>
  <c r="DX131" i="5"/>
  <c r="DX18" i="7" s="1"/>
  <c r="DX130" i="5"/>
  <c r="DX17" i="7" s="1"/>
  <c r="DX128" i="5"/>
  <c r="DX15" i="7" s="1"/>
  <c r="DX127" i="5"/>
  <c r="DX14" i="7" s="1"/>
  <c r="DX126" i="5"/>
  <c r="DX13" i="7" s="1"/>
  <c r="DX125" i="5"/>
  <c r="DX12" i="7" s="1"/>
  <c r="DX124" i="5"/>
  <c r="DX11" i="7" s="1"/>
  <c r="DX123" i="5"/>
  <c r="DX10" i="7" s="1"/>
  <c r="DX122" i="5"/>
  <c r="DX9" i="7" s="1"/>
  <c r="DX121" i="5"/>
  <c r="DX8" i="7" s="1"/>
  <c r="DX120" i="5"/>
  <c r="DX7" i="7" s="1"/>
  <c r="DX119" i="5"/>
  <c r="DX6" i="7" s="1"/>
  <c r="DX118" i="5"/>
  <c r="DX5" i="7" s="1"/>
  <c r="DX117" i="5"/>
  <c r="DX4" i="7" s="1"/>
  <c r="DX116" i="5"/>
  <c r="DX110" i="5"/>
  <c r="DX109" i="5"/>
  <c r="DX108" i="5"/>
  <c r="DX107" i="5"/>
  <c r="DX106" i="5"/>
  <c r="DX105" i="5"/>
  <c r="DX104" i="5"/>
  <c r="DX103" i="5"/>
  <c r="DX102" i="5"/>
  <c r="DX100" i="5"/>
  <c r="DX99" i="5"/>
  <c r="DX98" i="5"/>
  <c r="DX97" i="5"/>
  <c r="DX96" i="5"/>
  <c r="DX95" i="5"/>
  <c r="DX94" i="5"/>
  <c r="DX93" i="5"/>
  <c r="DX92" i="5"/>
  <c r="DX91" i="5"/>
  <c r="DX90" i="5"/>
  <c r="DX89" i="5"/>
  <c r="DX88" i="5"/>
  <c r="DX82" i="5"/>
  <c r="DX81" i="5"/>
  <c r="DX80" i="5"/>
  <c r="DX79" i="5"/>
  <c r="DX78" i="5"/>
  <c r="DX77" i="5"/>
  <c r="DX76" i="5"/>
  <c r="DX75" i="5"/>
  <c r="DX74" i="5"/>
  <c r="DX72" i="5"/>
  <c r="DX71" i="5"/>
  <c r="DX70" i="5"/>
  <c r="DX69" i="5"/>
  <c r="DX68" i="5"/>
  <c r="DX67" i="5"/>
  <c r="DX66" i="5"/>
  <c r="DX65" i="5"/>
  <c r="DX64" i="5"/>
  <c r="DX63" i="5"/>
  <c r="DX62" i="5"/>
  <c r="DX61" i="5"/>
  <c r="DX60" i="5"/>
  <c r="DX54" i="5"/>
  <c r="DX53" i="5"/>
  <c r="DX52" i="5"/>
  <c r="DX51" i="5"/>
  <c r="DX50" i="5"/>
  <c r="DX49" i="5"/>
  <c r="DX48" i="5"/>
  <c r="DX47" i="5"/>
  <c r="DX46" i="5"/>
  <c r="DX44" i="5"/>
  <c r="DX43" i="5"/>
  <c r="DX42" i="5"/>
  <c r="DX41" i="5"/>
  <c r="DX40" i="5"/>
  <c r="DX39" i="5"/>
  <c r="DX38" i="5"/>
  <c r="DX37" i="5"/>
  <c r="DX36" i="5"/>
  <c r="DX35" i="5"/>
  <c r="DX34" i="5"/>
  <c r="DX33" i="5"/>
  <c r="DX32" i="5"/>
  <c r="DX25" i="5"/>
  <c r="DX24" i="5"/>
  <c r="DX23" i="5"/>
  <c r="DX22" i="5"/>
  <c r="DX20" i="5"/>
  <c r="DX19" i="5"/>
  <c r="DX18" i="5"/>
  <c r="DX17" i="5"/>
  <c r="DX15" i="5"/>
  <c r="DX14" i="5"/>
  <c r="DX13" i="5"/>
  <c r="DX12" i="5"/>
  <c r="DX11" i="5"/>
  <c r="DX10" i="5"/>
  <c r="DX9" i="5"/>
  <c r="DX8" i="5"/>
  <c r="DX7" i="5"/>
  <c r="DX6" i="5"/>
  <c r="DX4" i="5"/>
  <c r="DX3" i="5"/>
  <c r="DX195" i="3"/>
  <c r="DX83" i="3"/>
  <c r="DX26" i="3"/>
  <c r="DX167" i="3"/>
  <c r="DX139" i="3"/>
  <c r="DX55" i="3"/>
  <c r="DX231" i="4"/>
  <c r="DX145" i="7" l="1"/>
  <c r="DX153" i="7"/>
  <c r="DX162" i="7"/>
  <c r="DX148" i="7"/>
  <c r="DX157" i="7"/>
  <c r="DX167" i="5"/>
  <c r="DX142" i="7"/>
  <c r="DX150" i="7"/>
  <c r="DX159" i="7"/>
  <c r="DX111" i="5"/>
  <c r="DX139" i="5"/>
  <c r="CE36" i="2"/>
  <c r="CF36" i="2" s="1"/>
  <c r="CK39" i="2"/>
  <c r="DX231" i="5"/>
  <c r="EA231" i="4"/>
  <c r="EA231" i="5" s="1"/>
  <c r="DX143" i="7"/>
  <c r="DX160" i="7"/>
  <c r="DX151" i="7"/>
  <c r="DX144" i="7"/>
  <c r="DX152" i="7"/>
  <c r="DX161" i="7"/>
  <c r="DX3" i="7"/>
  <c r="DX26" i="7" s="1"/>
  <c r="DX146" i="7"/>
  <c r="DX155" i="7"/>
  <c r="DX163" i="7"/>
  <c r="DX214" i="5"/>
  <c r="DX147" i="7"/>
  <c r="DX156" i="7"/>
  <c r="DX83" i="5"/>
  <c r="DX195" i="5"/>
  <c r="DX141" i="7"/>
  <c r="DX149" i="7"/>
  <c r="DX158" i="7"/>
  <c r="DX86" i="7"/>
  <c r="DX109" i="7" s="1"/>
  <c r="DX55" i="5"/>
  <c r="CI37" i="2"/>
  <c r="CK38" i="2"/>
  <c r="CF35" i="2"/>
  <c r="CG35" i="2" s="1"/>
  <c r="DX111" i="3"/>
  <c r="CE48" i="2" l="1"/>
  <c r="CG36" i="2"/>
  <c r="CH36" i="2" s="1"/>
  <c r="DX164" i="7"/>
  <c r="CL39" i="2"/>
  <c r="CM39" i="2" s="1"/>
  <c r="CN39" i="2" s="1"/>
  <c r="CH35" i="2"/>
  <c r="CI35" i="2" s="1"/>
  <c r="CL38" i="2"/>
  <c r="CM38" i="2" s="1"/>
  <c r="CF48" i="2"/>
  <c r="CJ37" i="2"/>
  <c r="CK37" i="2" s="1"/>
  <c r="DX26" i="6"/>
  <c r="DX54" i="6" s="1"/>
  <c r="CI36" i="2" l="1"/>
  <c r="CI48" i="2" s="1"/>
  <c r="CG48" i="2"/>
  <c r="CH48" i="2"/>
  <c r="CJ35" i="2"/>
  <c r="CK35" i="2" s="1"/>
  <c r="CO39" i="2"/>
  <c r="CP39" i="2" s="1"/>
  <c r="CQ39" i="2" s="1"/>
  <c r="CL37" i="2"/>
  <c r="CM37" i="2" s="1"/>
  <c r="CN38" i="2"/>
  <c r="DX230" i="4"/>
  <c r="DX230" i="5" s="1"/>
  <c r="DX229" i="4"/>
  <c r="DX229" i="5" s="1"/>
  <c r="DX228" i="4"/>
  <c r="DX228" i="5" s="1"/>
  <c r="DX227" i="4"/>
  <c r="DX227" i="5" s="1"/>
  <c r="DX226" i="4"/>
  <c r="DX226" i="5" s="1"/>
  <c r="DX225" i="4"/>
  <c r="DX225" i="5" s="1"/>
  <c r="DX224" i="4"/>
  <c r="DX224" i="5" s="1"/>
  <c r="DX223" i="4"/>
  <c r="DX223" i="5" s="1"/>
  <c r="DX222" i="4"/>
  <c r="DX222" i="5" s="1"/>
  <c r="DX221" i="4"/>
  <c r="DX221" i="5" s="1"/>
  <c r="DX220" i="4"/>
  <c r="DX220" i="5" s="1"/>
  <c r="DX219" i="4"/>
  <c r="DX219" i="5" s="1"/>
  <c r="DX214" i="4"/>
  <c r="DX195" i="4"/>
  <c r="DX167" i="4"/>
  <c r="DX139" i="4"/>
  <c r="DX111" i="4"/>
  <c r="DX83" i="4"/>
  <c r="DX55" i="4"/>
  <c r="DX5" i="5" s="1"/>
  <c r="DX23" i="2"/>
  <c r="CJ36" i="2" l="1"/>
  <c r="CJ48" i="2" s="1"/>
  <c r="CK36" i="2"/>
  <c r="CK48" i="2" s="1"/>
  <c r="CR39" i="2"/>
  <c r="CS39" i="2" s="1"/>
  <c r="DX233" i="5"/>
  <c r="CL35" i="2"/>
  <c r="CM35" i="2" s="1"/>
  <c r="CN35" i="2" s="1"/>
  <c r="DX233" i="4"/>
  <c r="DX26" i="4"/>
  <c r="DX21" i="5" s="1"/>
  <c r="DX26" i="5" s="1"/>
  <c r="CL36" i="2"/>
  <c r="CO38" i="2"/>
  <c r="CN37" i="2"/>
  <c r="DX141" i="2"/>
  <c r="DX140" i="2"/>
  <c r="DX165" i="2" s="1"/>
  <c r="DX139" i="2"/>
  <c r="DX164" i="2" s="1"/>
  <c r="DX138" i="2"/>
  <c r="DX137" i="2"/>
  <c r="DX136" i="2"/>
  <c r="DX134" i="2"/>
  <c r="DX133" i="2"/>
  <c r="DX132" i="2"/>
  <c r="DX131" i="2"/>
  <c r="DX130" i="2"/>
  <c r="DX129" i="2"/>
  <c r="DX128" i="2"/>
  <c r="DX153" i="2" s="1"/>
  <c r="DX127" i="2"/>
  <c r="DX126" i="2"/>
  <c r="DX125" i="2"/>
  <c r="DX150" i="2" s="1"/>
  <c r="DX124" i="2"/>
  <c r="DX123" i="2"/>
  <c r="DX122" i="2"/>
  <c r="DX117" i="2"/>
  <c r="DX92" i="2"/>
  <c r="DX73" i="2"/>
  <c r="CT39" i="2" l="1"/>
  <c r="CU39" i="2" s="1"/>
  <c r="CV39" i="2" s="1"/>
  <c r="DX154" i="2"/>
  <c r="DX121" i="7" s="1"/>
  <c r="DX66" i="7"/>
  <c r="DX163" i="2"/>
  <c r="DX130" i="7" s="1"/>
  <c r="DX75" i="7"/>
  <c r="DX149" i="2"/>
  <c r="DX116" i="7" s="1"/>
  <c r="DX61" i="7"/>
  <c r="DX157" i="2"/>
  <c r="DX124" i="7" s="1"/>
  <c r="DX69" i="7"/>
  <c r="DX166" i="2"/>
  <c r="DX155" i="2"/>
  <c r="DX122" i="7" s="1"/>
  <c r="DX67" i="7"/>
  <c r="DX148" i="2"/>
  <c r="DX115" i="7" s="1"/>
  <c r="DX60" i="7"/>
  <c r="DX158" i="2"/>
  <c r="DX125" i="7" s="1"/>
  <c r="DX70" i="7"/>
  <c r="DX156" i="2"/>
  <c r="DX123" i="7" s="1"/>
  <c r="DX68" i="7"/>
  <c r="DX159" i="2"/>
  <c r="DX126" i="7" s="1"/>
  <c r="DX71" i="7"/>
  <c r="DX151" i="2"/>
  <c r="DX118" i="7" s="1"/>
  <c r="DX63" i="7"/>
  <c r="DX152" i="2"/>
  <c r="DX119" i="7" s="1"/>
  <c r="DX64" i="7"/>
  <c r="DX161" i="2"/>
  <c r="DX128" i="7" s="1"/>
  <c r="DX73" i="7"/>
  <c r="DX120" i="7"/>
  <c r="DX65" i="7"/>
  <c r="DX162" i="2"/>
  <c r="DX129" i="7" s="1"/>
  <c r="DX74" i="7"/>
  <c r="CP38" i="2"/>
  <c r="CQ38" i="2" s="1"/>
  <c r="CO37" i="2"/>
  <c r="CM36" i="2"/>
  <c r="CL48" i="2"/>
  <c r="CO35" i="2"/>
  <c r="DX142" i="2"/>
  <c r="DX81" i="7" s="1"/>
  <c r="DX147" i="2"/>
  <c r="DX83" i="1"/>
  <c r="DX55" i="1"/>
  <c r="DX36" i="1"/>
  <c r="DX167" i="2" l="1"/>
  <c r="DX136" i="7" s="1"/>
  <c r="CP35" i="2"/>
  <c r="CP37" i="2"/>
  <c r="CW39" i="2"/>
  <c r="CX39" i="2" s="1"/>
  <c r="CM48" i="2"/>
  <c r="CN36" i="2"/>
  <c r="CR38" i="2"/>
  <c r="GW68" i="1"/>
  <c r="GV68" i="1"/>
  <c r="GW67" i="1"/>
  <c r="GV67" i="1"/>
  <c r="GW60" i="1"/>
  <c r="GV60" i="1"/>
  <c r="GV69" i="1"/>
  <c r="GW69" i="1"/>
  <c r="GV61" i="1"/>
  <c r="GW61" i="1"/>
  <c r="GW70" i="1"/>
  <c r="GV70" i="1"/>
  <c r="GV64" i="1"/>
  <c r="GW64" i="1"/>
  <c r="GV65" i="1"/>
  <c r="GW65" i="1"/>
  <c r="GW63" i="1"/>
  <c r="GV63" i="1"/>
  <c r="GW71" i="1"/>
  <c r="GV71" i="1"/>
  <c r="GW72" i="1"/>
  <c r="GV72" i="1"/>
  <c r="GW66" i="1"/>
  <c r="GV66" i="1"/>
  <c r="GW62" i="1"/>
  <c r="GV62" i="1"/>
  <c r="GV74" i="1"/>
  <c r="CS38" i="2" l="1"/>
  <c r="CT38" i="2" s="1"/>
  <c r="CQ35" i="2"/>
  <c r="CY39" i="2"/>
  <c r="CN48" i="2"/>
  <c r="CO36" i="2"/>
  <c r="CQ37" i="2"/>
  <c r="CR37" i="2" s="1"/>
  <c r="GW74" i="1"/>
  <c r="CU38" i="2" l="1"/>
  <c r="CV38" i="2" s="1"/>
  <c r="CW38" i="2" s="1"/>
  <c r="CX38" i="2" s="1"/>
  <c r="CR35" i="2"/>
  <c r="CO48" i="2"/>
  <c r="CS37" i="2"/>
  <c r="CP36" i="2"/>
  <c r="CQ36" i="2" s="1"/>
  <c r="CZ39" i="2"/>
  <c r="DG79" i="6"/>
  <c r="DB79" i="6"/>
  <c r="DS23" i="3"/>
  <c r="DR23" i="3"/>
  <c r="DP23" i="3"/>
  <c r="DN23" i="3"/>
  <c r="DM23" i="3"/>
  <c r="DK23" i="3"/>
  <c r="DJ23" i="3"/>
  <c r="DI23" i="3"/>
  <c r="DH23" i="3"/>
  <c r="DF23" i="3"/>
  <c r="DE23" i="3"/>
  <c r="DD23" i="3"/>
  <c r="DC23" i="3"/>
  <c r="DG108" i="4"/>
  <c r="DG23" i="4"/>
  <c r="DB23" i="4"/>
  <c r="CY38" i="2" l="1"/>
  <c r="CZ38" i="2" s="1"/>
  <c r="CQ48" i="2"/>
  <c r="CP48" i="2"/>
  <c r="CR36" i="2"/>
  <c r="CS36" i="2" s="1"/>
  <c r="CS35" i="2"/>
  <c r="DA39" i="2"/>
  <c r="CT37" i="2"/>
  <c r="DE53" i="7"/>
  <c r="CR48" i="2" l="1"/>
  <c r="CS48" i="2"/>
  <c r="CT35" i="2"/>
  <c r="CU37" i="2"/>
  <c r="CV37" i="2" s="1"/>
  <c r="DB39" i="2"/>
  <c r="DC39" i="2" s="1"/>
  <c r="DA38" i="2"/>
  <c r="DB38" i="2" s="1"/>
  <c r="CT36" i="2"/>
  <c r="DB18" i="3"/>
  <c r="CT48" i="2" l="1"/>
  <c r="CU35" i="2"/>
  <c r="CU36" i="2"/>
  <c r="DC38" i="2"/>
  <c r="CW37" i="2"/>
  <c r="CX37" i="2" s="1"/>
  <c r="CY37" i="2" s="1"/>
  <c r="DD39" i="2"/>
  <c r="DH194" i="4"/>
  <c r="CZ110" i="4"/>
  <c r="CZ37" i="2" l="1"/>
  <c r="DA37" i="2" s="1"/>
  <c r="DB37" i="2" s="1"/>
  <c r="CU48" i="2"/>
  <c r="CV36" i="2"/>
  <c r="CW36" i="2" s="1"/>
  <c r="DE39" i="2"/>
  <c r="DF39" i="2" s="1"/>
  <c r="DG39" i="2" s="1"/>
  <c r="CV35" i="2"/>
  <c r="DD38" i="2"/>
  <c r="CY110" i="4"/>
  <c r="CV48" i="2" l="1"/>
  <c r="CW35" i="2"/>
  <c r="CX36" i="2"/>
  <c r="DH39" i="2"/>
  <c r="DI39" i="2" s="1"/>
  <c r="DE38" i="2"/>
  <c r="DF38" i="2" s="1"/>
  <c r="DC37" i="2"/>
  <c r="DD37" i="2" s="1"/>
  <c r="DI110" i="4"/>
  <c r="DJ39" i="2" l="1"/>
  <c r="DK39" i="2" s="1"/>
  <c r="DD48" i="2"/>
  <c r="DG38" i="2"/>
  <c r="CW48" i="2"/>
  <c r="DE37" i="2"/>
  <c r="DF37" i="2" s="1"/>
  <c r="CX35" i="2"/>
  <c r="CY36" i="2"/>
  <c r="DF194" i="4"/>
  <c r="CL194" i="4"/>
  <c r="DH110" i="4"/>
  <c r="DF110" i="4"/>
  <c r="DE110" i="4"/>
  <c r="BJ230" i="4"/>
  <c r="BJ229" i="4"/>
  <c r="BJ228" i="4"/>
  <c r="BJ227" i="4"/>
  <c r="BJ226" i="4"/>
  <c r="BJ225" i="4"/>
  <c r="BJ224" i="4"/>
  <c r="BJ223" i="4"/>
  <c r="BJ222" i="4"/>
  <c r="BJ221" i="4"/>
  <c r="BJ220" i="4"/>
  <c r="BJ219" i="4"/>
  <c r="BK230" i="4"/>
  <c r="BK229" i="4"/>
  <c r="BK228" i="4"/>
  <c r="BK227" i="4"/>
  <c r="BK226" i="4"/>
  <c r="BK225" i="4"/>
  <c r="BK224" i="4"/>
  <c r="BK223" i="4"/>
  <c r="BK222" i="4"/>
  <c r="BK221" i="4"/>
  <c r="BK220" i="4"/>
  <c r="BK219" i="4"/>
  <c r="BL230" i="4"/>
  <c r="BL229" i="4"/>
  <c r="BL228" i="4"/>
  <c r="BL227" i="4"/>
  <c r="BL226" i="4"/>
  <c r="BL225" i="4"/>
  <c r="BL224" i="4"/>
  <c r="BL223" i="4"/>
  <c r="BL222" i="4"/>
  <c r="BL221" i="4"/>
  <c r="BL220" i="4"/>
  <c r="BL219" i="4"/>
  <c r="BM230" i="4"/>
  <c r="BM229" i="4"/>
  <c r="BM228" i="4"/>
  <c r="BM227" i="4"/>
  <c r="BM226" i="4"/>
  <c r="BM225" i="4"/>
  <c r="BM224" i="4"/>
  <c r="BM223" i="4"/>
  <c r="BM222" i="4"/>
  <c r="BM221" i="4"/>
  <c r="BM220" i="4"/>
  <c r="BM219" i="4"/>
  <c r="BO230" i="4"/>
  <c r="BO229" i="4"/>
  <c r="BO228" i="4"/>
  <c r="BO227" i="4"/>
  <c r="BO226" i="4"/>
  <c r="BO225" i="4"/>
  <c r="BO224" i="4"/>
  <c r="BO223" i="4"/>
  <c r="BO222" i="4"/>
  <c r="BO221" i="4"/>
  <c r="BO220" i="4"/>
  <c r="BO219" i="4"/>
  <c r="BP230" i="4"/>
  <c r="BP229" i="4"/>
  <c r="BP228" i="4"/>
  <c r="BP227" i="4"/>
  <c r="BP226" i="4"/>
  <c r="BP225" i="4"/>
  <c r="BP224" i="4"/>
  <c r="BP223" i="4"/>
  <c r="BP222" i="4"/>
  <c r="BP221" i="4"/>
  <c r="BP220" i="4"/>
  <c r="BP219" i="4"/>
  <c r="BQ230" i="4"/>
  <c r="BQ229" i="4"/>
  <c r="BQ228" i="4"/>
  <c r="BQ227" i="4"/>
  <c r="BQ226" i="4"/>
  <c r="BQ225" i="4"/>
  <c r="BQ224" i="4"/>
  <c r="BQ223" i="4"/>
  <c r="BQ222" i="4"/>
  <c r="BQ221" i="4"/>
  <c r="BQ220" i="4"/>
  <c r="BQ219" i="4"/>
  <c r="BR230" i="4"/>
  <c r="BR229" i="4"/>
  <c r="BR228" i="4"/>
  <c r="BR227" i="4"/>
  <c r="BR226" i="4"/>
  <c r="BR225" i="4"/>
  <c r="BR224" i="4"/>
  <c r="BR223" i="4"/>
  <c r="BR222" i="4"/>
  <c r="BR221" i="4"/>
  <c r="BR220" i="4"/>
  <c r="BR219" i="4"/>
  <c r="BT230" i="4"/>
  <c r="BT229" i="4"/>
  <c r="BT228" i="4"/>
  <c r="BT227" i="4"/>
  <c r="BT226" i="4"/>
  <c r="BT225" i="4"/>
  <c r="BT224" i="4"/>
  <c r="BT223" i="4"/>
  <c r="BT222" i="4"/>
  <c r="BT221" i="4"/>
  <c r="BT220" i="4"/>
  <c r="BT219" i="4"/>
  <c r="BU230" i="4"/>
  <c r="BU229" i="4"/>
  <c r="BU228" i="4"/>
  <c r="BU227" i="4"/>
  <c r="BU226" i="4"/>
  <c r="BU225" i="4"/>
  <c r="BU224" i="4"/>
  <c r="BU223" i="4"/>
  <c r="BU222" i="4"/>
  <c r="BU221" i="4"/>
  <c r="BU220" i="4"/>
  <c r="BU219" i="4"/>
  <c r="BV230" i="4"/>
  <c r="BV229" i="4"/>
  <c r="BV228" i="4"/>
  <c r="BV227" i="4"/>
  <c r="BV226" i="4"/>
  <c r="BV225" i="4"/>
  <c r="BV224" i="4"/>
  <c r="BV223" i="4"/>
  <c r="BV222" i="4"/>
  <c r="BV221" i="4"/>
  <c r="BV220" i="4"/>
  <c r="BV219" i="4"/>
  <c r="BW230" i="4"/>
  <c r="BW229" i="4"/>
  <c r="BW228" i="4"/>
  <c r="BW227" i="4"/>
  <c r="BW226" i="4"/>
  <c r="BW225" i="4"/>
  <c r="BW224" i="4"/>
  <c r="BW223" i="4"/>
  <c r="BW222" i="4"/>
  <c r="BW221" i="4"/>
  <c r="BW220" i="4"/>
  <c r="BW219" i="4"/>
  <c r="BY230" i="4"/>
  <c r="BY229" i="4"/>
  <c r="BY228" i="4"/>
  <c r="BY227" i="4"/>
  <c r="BY226" i="4"/>
  <c r="BY225" i="4"/>
  <c r="BY224" i="4"/>
  <c r="BY223" i="4"/>
  <c r="BY222" i="4"/>
  <c r="BY221" i="4"/>
  <c r="BY220" i="4"/>
  <c r="BY219" i="4"/>
  <c r="BZ230" i="4"/>
  <c r="BZ229" i="4"/>
  <c r="BZ228" i="4"/>
  <c r="BZ227" i="4"/>
  <c r="BZ226" i="4"/>
  <c r="BZ225" i="4"/>
  <c r="BZ224" i="4"/>
  <c r="BZ223" i="4"/>
  <c r="BZ222" i="4"/>
  <c r="BZ221" i="4"/>
  <c r="BZ220" i="4"/>
  <c r="BZ219" i="4"/>
  <c r="CA230" i="4"/>
  <c r="CA229" i="4"/>
  <c r="CA228" i="4"/>
  <c r="CA227" i="4"/>
  <c r="CA226" i="4"/>
  <c r="CA225" i="4"/>
  <c r="CA224" i="4"/>
  <c r="CA223" i="4"/>
  <c r="CA222" i="4"/>
  <c r="CA221" i="4"/>
  <c r="CA220" i="4"/>
  <c r="CA219" i="4"/>
  <c r="CB230" i="4"/>
  <c r="CB229" i="4"/>
  <c r="CB228" i="4"/>
  <c r="CB227" i="4"/>
  <c r="CB226" i="4"/>
  <c r="CB225" i="4"/>
  <c r="CB224" i="4"/>
  <c r="CB223" i="4"/>
  <c r="CB222" i="4"/>
  <c r="CB221" i="4"/>
  <c r="CB220" i="4"/>
  <c r="CB219" i="4"/>
  <c r="CD230" i="4"/>
  <c r="CD229" i="4"/>
  <c r="CD228" i="4"/>
  <c r="CD227" i="4"/>
  <c r="CD226" i="4"/>
  <c r="CD225" i="4"/>
  <c r="CD224" i="4"/>
  <c r="CD223" i="4"/>
  <c r="CD222" i="4"/>
  <c r="CD221" i="4"/>
  <c r="CD220" i="4"/>
  <c r="CD219" i="4"/>
  <c r="CE230" i="4"/>
  <c r="CE229" i="4"/>
  <c r="CE228" i="4"/>
  <c r="CE227" i="4"/>
  <c r="CE226" i="4"/>
  <c r="CE225" i="4"/>
  <c r="CE224" i="4"/>
  <c r="CE223" i="4"/>
  <c r="CE222" i="4"/>
  <c r="CE221" i="4"/>
  <c r="CE220" i="4"/>
  <c r="CE219" i="4"/>
  <c r="CF230" i="4"/>
  <c r="CF229" i="4"/>
  <c r="CF228" i="4"/>
  <c r="CF227" i="4"/>
  <c r="CF226" i="4"/>
  <c r="CF225" i="4"/>
  <c r="CF224" i="4"/>
  <c r="CF223" i="4"/>
  <c r="CF222" i="4"/>
  <c r="CF221" i="4"/>
  <c r="CF220" i="4"/>
  <c r="CF219" i="4"/>
  <c r="CG230" i="4"/>
  <c r="CG229" i="4"/>
  <c r="CG228" i="4"/>
  <c r="CG227" i="4"/>
  <c r="CG226" i="4"/>
  <c r="CG225" i="4"/>
  <c r="CG224" i="4"/>
  <c r="CG223" i="4"/>
  <c r="CG222" i="4"/>
  <c r="CG221" i="4"/>
  <c r="CG220" i="4"/>
  <c r="CG219" i="4"/>
  <c r="CI230" i="4"/>
  <c r="CI229" i="4"/>
  <c r="CI228" i="4"/>
  <c r="CI227" i="4"/>
  <c r="CI226" i="4"/>
  <c r="CI225" i="4"/>
  <c r="CI224" i="4"/>
  <c r="CI223" i="4"/>
  <c r="CI222" i="4"/>
  <c r="CI221" i="4"/>
  <c r="CI220" i="4"/>
  <c r="CI219" i="4"/>
  <c r="CJ230" i="4"/>
  <c r="CJ229" i="4"/>
  <c r="CJ228" i="4"/>
  <c r="CJ227" i="4"/>
  <c r="CJ226" i="4"/>
  <c r="CJ225" i="4"/>
  <c r="CJ224" i="4"/>
  <c r="CJ223" i="4"/>
  <c r="CJ222" i="4"/>
  <c r="CJ221" i="4"/>
  <c r="CJ220" i="4"/>
  <c r="CJ219" i="4"/>
  <c r="CK230" i="4"/>
  <c r="CK229" i="4"/>
  <c r="CK228" i="4"/>
  <c r="CK227" i="4"/>
  <c r="CK226" i="4"/>
  <c r="CK225" i="4"/>
  <c r="CK224" i="4"/>
  <c r="CK223" i="4"/>
  <c r="CK222" i="4"/>
  <c r="CK221" i="4"/>
  <c r="CK220" i="4"/>
  <c r="CK219" i="4"/>
  <c r="CL230" i="4"/>
  <c r="CL229" i="4"/>
  <c r="CL228" i="4"/>
  <c r="CL227" i="4"/>
  <c r="CL226" i="4"/>
  <c r="CL225" i="4"/>
  <c r="CL224" i="4"/>
  <c r="CL223" i="4"/>
  <c r="CL222" i="4"/>
  <c r="CL221" i="4"/>
  <c r="CL220" i="4"/>
  <c r="CL219" i="4"/>
  <c r="CN230" i="4"/>
  <c r="CN229" i="4"/>
  <c r="CN228" i="4"/>
  <c r="CN227" i="4"/>
  <c r="CN226" i="4"/>
  <c r="CN225" i="4"/>
  <c r="CN224" i="4"/>
  <c r="CN223" i="4"/>
  <c r="CN222" i="4"/>
  <c r="CN221" i="4"/>
  <c r="CN220" i="4"/>
  <c r="CN219" i="4"/>
  <c r="CO230" i="4"/>
  <c r="CO229" i="4"/>
  <c r="CO228" i="4"/>
  <c r="CO227" i="4"/>
  <c r="CO226" i="4"/>
  <c r="CO225" i="4"/>
  <c r="CO224" i="4"/>
  <c r="CO223" i="4"/>
  <c r="CO222" i="4"/>
  <c r="CO221" i="4"/>
  <c r="CO220" i="4"/>
  <c r="CO219" i="4"/>
  <c r="CP230" i="4"/>
  <c r="CP229" i="4"/>
  <c r="CP228" i="4"/>
  <c r="CP227" i="4"/>
  <c r="CP226" i="4"/>
  <c r="CP225" i="4"/>
  <c r="CP224" i="4"/>
  <c r="CP223" i="4"/>
  <c r="CP222" i="4"/>
  <c r="CP221" i="4"/>
  <c r="CP220" i="4"/>
  <c r="CP219" i="4"/>
  <c r="CQ230" i="4"/>
  <c r="CQ229" i="4"/>
  <c r="CQ228" i="4"/>
  <c r="CQ227" i="4"/>
  <c r="CQ226" i="4"/>
  <c r="CQ225" i="4"/>
  <c r="CQ224" i="4"/>
  <c r="CQ223" i="4"/>
  <c r="CQ222" i="4"/>
  <c r="CQ221" i="4"/>
  <c r="CQ220" i="4"/>
  <c r="CQ219" i="4"/>
  <c r="CS230" i="4"/>
  <c r="CS229" i="4"/>
  <c r="CS228" i="4"/>
  <c r="CS227" i="4"/>
  <c r="CS226" i="4"/>
  <c r="CS225" i="4"/>
  <c r="CS224" i="4"/>
  <c r="CS223" i="4"/>
  <c r="CS222" i="4"/>
  <c r="CS221" i="4"/>
  <c r="CS220" i="4"/>
  <c r="CS219" i="4"/>
  <c r="CT230" i="4"/>
  <c r="CT229" i="4"/>
  <c r="CT228" i="4"/>
  <c r="CT227" i="4"/>
  <c r="CT226" i="4"/>
  <c r="CT225" i="4"/>
  <c r="CT224" i="4"/>
  <c r="CT223" i="4"/>
  <c r="CT222" i="4"/>
  <c r="CT221" i="4"/>
  <c r="CT220" i="4"/>
  <c r="CT219" i="4"/>
  <c r="CU230" i="4"/>
  <c r="CU229" i="4"/>
  <c r="CU228" i="4"/>
  <c r="CU227" i="4"/>
  <c r="CU226" i="4"/>
  <c r="CU225" i="4"/>
  <c r="CU224" i="4"/>
  <c r="CU223" i="4"/>
  <c r="CU222" i="4"/>
  <c r="CU221" i="4"/>
  <c r="CU220" i="4"/>
  <c r="CU219" i="4"/>
  <c r="CV230" i="4"/>
  <c r="CV229" i="4"/>
  <c r="CV228" i="4"/>
  <c r="CV227" i="4"/>
  <c r="CV226" i="4"/>
  <c r="CV225" i="4"/>
  <c r="CV224" i="4"/>
  <c r="CV223" i="4"/>
  <c r="CV222" i="4"/>
  <c r="CV221" i="4"/>
  <c r="CV220" i="4"/>
  <c r="CV219" i="4"/>
  <c r="CX230" i="4"/>
  <c r="CX229" i="4"/>
  <c r="CX228" i="4"/>
  <c r="CX227" i="4"/>
  <c r="CX226" i="4"/>
  <c r="CX225" i="4"/>
  <c r="CX224" i="4"/>
  <c r="CX223" i="4"/>
  <c r="CX222" i="4"/>
  <c r="CX221" i="4"/>
  <c r="CX220" i="4"/>
  <c r="CX219" i="4"/>
  <c r="CY230" i="4"/>
  <c r="CY229" i="4"/>
  <c r="CY228" i="4"/>
  <c r="CY227" i="4"/>
  <c r="CY226" i="4"/>
  <c r="CY225" i="4"/>
  <c r="CY224" i="4"/>
  <c r="CY223" i="4"/>
  <c r="CY222" i="4"/>
  <c r="CY221" i="4"/>
  <c r="CY220" i="4"/>
  <c r="CY219" i="4"/>
  <c r="CZ230" i="4"/>
  <c r="CZ229" i="4"/>
  <c r="CZ228" i="4"/>
  <c r="CZ227" i="4"/>
  <c r="CZ226" i="4"/>
  <c r="CZ225" i="4"/>
  <c r="CZ224" i="4"/>
  <c r="CZ223" i="4"/>
  <c r="CZ222" i="4"/>
  <c r="CZ221" i="4"/>
  <c r="CZ220" i="4"/>
  <c r="CZ219" i="4"/>
  <c r="DA230" i="4"/>
  <c r="DA229" i="4"/>
  <c r="DA228" i="4"/>
  <c r="DA227" i="4"/>
  <c r="DA226" i="4"/>
  <c r="DA225" i="4"/>
  <c r="DA224" i="4"/>
  <c r="DA223" i="4"/>
  <c r="DA222" i="4"/>
  <c r="DA221" i="4"/>
  <c r="DA220" i="4"/>
  <c r="DA219" i="4"/>
  <c r="DC230" i="4"/>
  <c r="DC229" i="4"/>
  <c r="DC228" i="4"/>
  <c r="DC227" i="4"/>
  <c r="DC226" i="4"/>
  <c r="DC225" i="4"/>
  <c r="DC224" i="4"/>
  <c r="DC223" i="4"/>
  <c r="DC222" i="4"/>
  <c r="DC221" i="4"/>
  <c r="DC220" i="4"/>
  <c r="DC219" i="4"/>
  <c r="DD230" i="4"/>
  <c r="DD229" i="4"/>
  <c r="DD228" i="4"/>
  <c r="DD227" i="4"/>
  <c r="DD226" i="4"/>
  <c r="DD225" i="4"/>
  <c r="DD224" i="4"/>
  <c r="DD223" i="4"/>
  <c r="DD222" i="4"/>
  <c r="DD221" i="4"/>
  <c r="DD220" i="4"/>
  <c r="DD219" i="4"/>
  <c r="DE230" i="4"/>
  <c r="DE229" i="4"/>
  <c r="DE228" i="4"/>
  <c r="DE227" i="4"/>
  <c r="DE226" i="4"/>
  <c r="DE225" i="4"/>
  <c r="DE224" i="4"/>
  <c r="DE223" i="4"/>
  <c r="DE222" i="4"/>
  <c r="DE221" i="4"/>
  <c r="DE220" i="4"/>
  <c r="DE219" i="4"/>
  <c r="DF230" i="4"/>
  <c r="DF229" i="4"/>
  <c r="DF228" i="4"/>
  <c r="DF227" i="4"/>
  <c r="DF226" i="4"/>
  <c r="DF225" i="4"/>
  <c r="DF224" i="4"/>
  <c r="DF223" i="4"/>
  <c r="DF222" i="4"/>
  <c r="DF221" i="4"/>
  <c r="DF220" i="4"/>
  <c r="DF219" i="4"/>
  <c r="DK230" i="4"/>
  <c r="DK229" i="4"/>
  <c r="DK228" i="4"/>
  <c r="DK227" i="4"/>
  <c r="DK226" i="4"/>
  <c r="DK225" i="4"/>
  <c r="DK224" i="4"/>
  <c r="DK223" i="4"/>
  <c r="DK222" i="4"/>
  <c r="DK221" i="4"/>
  <c r="DK220" i="4"/>
  <c r="DK219" i="4"/>
  <c r="DJ230" i="4"/>
  <c r="DJ229" i="4"/>
  <c r="DJ228" i="4"/>
  <c r="DJ227" i="4"/>
  <c r="DJ226" i="4"/>
  <c r="DJ225" i="4"/>
  <c r="DJ224" i="4"/>
  <c r="DJ223" i="4"/>
  <c r="DJ222" i="4"/>
  <c r="DJ221" i="4"/>
  <c r="DJ220" i="4"/>
  <c r="DJ219" i="4"/>
  <c r="DI230" i="4"/>
  <c r="DI229" i="4"/>
  <c r="DI228" i="4"/>
  <c r="DI227" i="4"/>
  <c r="DI226" i="4"/>
  <c r="DI225" i="4"/>
  <c r="DI224" i="4"/>
  <c r="DI223" i="4"/>
  <c r="DI222" i="4"/>
  <c r="DI221" i="4"/>
  <c r="DI220" i="4"/>
  <c r="DI219" i="4"/>
  <c r="DH230" i="4"/>
  <c r="DH229" i="4"/>
  <c r="DH228" i="4"/>
  <c r="DH227" i="4"/>
  <c r="DH226" i="4"/>
  <c r="DH225" i="4"/>
  <c r="DH224" i="4"/>
  <c r="DH223" i="4"/>
  <c r="DH222" i="4"/>
  <c r="DH221" i="4"/>
  <c r="DH220" i="4"/>
  <c r="DH219" i="4"/>
  <c r="DM230" i="4"/>
  <c r="DM229" i="4"/>
  <c r="DM228" i="4"/>
  <c r="DM227" i="4"/>
  <c r="DM226" i="4"/>
  <c r="DM225" i="4"/>
  <c r="DM224" i="4"/>
  <c r="DM223" i="4"/>
  <c r="DM222" i="4"/>
  <c r="DM221" i="4"/>
  <c r="DM220" i="4"/>
  <c r="DM219" i="4"/>
  <c r="DN230" i="4"/>
  <c r="DN229" i="4"/>
  <c r="DN228" i="4"/>
  <c r="DN227" i="4"/>
  <c r="DN226" i="4"/>
  <c r="DN225" i="4"/>
  <c r="DN224" i="4"/>
  <c r="DN223" i="4"/>
  <c r="DN222" i="4"/>
  <c r="DN221" i="4"/>
  <c r="DN220" i="4"/>
  <c r="DN219" i="4"/>
  <c r="DO230" i="4"/>
  <c r="DO229" i="4"/>
  <c r="DO228" i="4"/>
  <c r="DO227" i="4"/>
  <c r="DO226" i="4"/>
  <c r="DO225" i="4"/>
  <c r="DO224" i="4"/>
  <c r="DO223" i="4"/>
  <c r="DO222" i="4"/>
  <c r="DO221" i="4"/>
  <c r="DO220" i="4"/>
  <c r="DO219" i="4"/>
  <c r="DP230" i="4"/>
  <c r="DP229" i="4"/>
  <c r="DP228" i="4"/>
  <c r="DP227" i="4"/>
  <c r="DP226" i="4"/>
  <c r="DP225" i="4"/>
  <c r="DP224" i="4"/>
  <c r="DP223" i="4"/>
  <c r="DP222" i="4"/>
  <c r="DP221" i="4"/>
  <c r="DP220" i="4"/>
  <c r="DP219" i="4"/>
  <c r="DR230" i="4"/>
  <c r="DR229" i="4"/>
  <c r="DR228" i="4"/>
  <c r="DR227" i="4"/>
  <c r="DR226" i="4"/>
  <c r="DR225" i="4"/>
  <c r="DR224" i="4"/>
  <c r="DR223" i="4"/>
  <c r="DR222" i="4"/>
  <c r="DR221" i="4"/>
  <c r="DR220" i="4"/>
  <c r="DR219" i="4"/>
  <c r="DS230" i="4"/>
  <c r="DS229" i="4"/>
  <c r="DS228" i="4"/>
  <c r="DS227" i="4"/>
  <c r="DS226" i="4"/>
  <c r="DS225" i="4"/>
  <c r="DS224" i="4"/>
  <c r="DS223" i="4"/>
  <c r="DS222" i="4"/>
  <c r="DS221" i="4"/>
  <c r="DS220" i="4"/>
  <c r="DS219" i="4"/>
  <c r="DT230" i="4"/>
  <c r="DT229" i="4"/>
  <c r="DT228" i="4"/>
  <c r="DT227" i="4"/>
  <c r="DT226" i="4"/>
  <c r="DT225" i="4"/>
  <c r="DT224" i="4"/>
  <c r="DT223" i="4"/>
  <c r="DT222" i="4"/>
  <c r="DT221" i="4"/>
  <c r="DT220" i="4"/>
  <c r="DT219" i="4"/>
  <c r="DU230" i="4"/>
  <c r="DU229" i="4"/>
  <c r="DU228" i="4"/>
  <c r="DU227" i="4"/>
  <c r="DU226" i="4"/>
  <c r="DU225" i="4"/>
  <c r="DU224" i="4"/>
  <c r="DU223" i="4"/>
  <c r="DU222" i="4"/>
  <c r="DU221" i="4"/>
  <c r="DU220" i="4"/>
  <c r="DU219" i="4"/>
  <c r="DL222" i="4" l="1"/>
  <c r="DL230" i="4"/>
  <c r="DL39" i="2"/>
  <c r="DL224" i="4"/>
  <c r="DL220" i="4"/>
  <c r="DL228" i="4"/>
  <c r="DL221" i="4"/>
  <c r="DL229" i="4"/>
  <c r="DL223" i="4"/>
  <c r="DF48" i="2"/>
  <c r="DG37" i="2"/>
  <c r="CX48" i="2"/>
  <c r="DH38" i="2"/>
  <c r="DI38" i="2" s="1"/>
  <c r="DJ38" i="2" s="1"/>
  <c r="CZ36" i="2"/>
  <c r="DA36" i="2" s="1"/>
  <c r="CY35" i="2"/>
  <c r="DE48" i="2"/>
  <c r="DL226" i="4"/>
  <c r="DL219" i="4"/>
  <c r="DL227" i="4"/>
  <c r="DL225" i="4"/>
  <c r="DK38" i="2" l="1"/>
  <c r="DK48" i="2" s="1"/>
  <c r="CY48" i="2"/>
  <c r="DH37" i="2"/>
  <c r="DB36" i="2"/>
  <c r="DC36" i="2" s="1"/>
  <c r="DG36" i="2" s="1"/>
  <c r="CZ35" i="2"/>
  <c r="CZ48" i="2" s="1"/>
  <c r="DI25" i="4"/>
  <c r="DH25" i="4"/>
  <c r="DF25" i="4"/>
  <c r="DE25" i="4"/>
  <c r="CL25" i="4"/>
  <c r="CJ25" i="4"/>
  <c r="BR25" i="4"/>
  <c r="BR54" i="4"/>
  <c r="DH48" i="2" l="1"/>
  <c r="DA35" i="2"/>
  <c r="DA48" i="2" s="1"/>
  <c r="DI37" i="2"/>
  <c r="DL38" i="2"/>
  <c r="DI48" i="2" l="1"/>
  <c r="DJ37" i="2"/>
  <c r="DJ48" i="2" s="1"/>
  <c r="DB35" i="2"/>
  <c r="BU141" i="2"/>
  <c r="DB48" i="2" l="1"/>
  <c r="DC35" i="2"/>
  <c r="DL37" i="2"/>
  <c r="DL48" i="2" s="1"/>
  <c r="CB113" i="2"/>
  <c r="DC48" i="2" l="1"/>
  <c r="DG35" i="2"/>
  <c r="DG48" i="2" s="1"/>
  <c r="CE82" i="4" l="1"/>
  <c r="CE54" i="4"/>
  <c r="CE25" i="4"/>
  <c r="CD54" i="4"/>
  <c r="CD194" i="4"/>
  <c r="CD166" i="4"/>
  <c r="CD138" i="4"/>
  <c r="CD110" i="4"/>
  <c r="CD25" i="4"/>
  <c r="CD22" i="5"/>
  <c r="CD23" i="5"/>
  <c r="CE22" i="5"/>
  <c r="CF22" i="5"/>
  <c r="CG22" i="5"/>
  <c r="CE23" i="5"/>
  <c r="CF23" i="5"/>
  <c r="CG23" i="5"/>
  <c r="CG72" i="2"/>
  <c r="CG22" i="2"/>
  <c r="CD72" i="2"/>
  <c r="CE22" i="2"/>
  <c r="CF22" i="2" l="1"/>
  <c r="CF72" i="2"/>
  <c r="CE72" i="2" l="1"/>
  <c r="CD22" i="2" l="1"/>
  <c r="CD141" i="2" s="1"/>
  <c r="DO110" i="3"/>
  <c r="CH114" i="2"/>
  <c r="CH115" i="2"/>
  <c r="BM110" i="4" l="1"/>
  <c r="BN82" i="4"/>
  <c r="BN81" i="4"/>
  <c r="BN80" i="4"/>
  <c r="BN79" i="4"/>
  <c r="BN76" i="4"/>
  <c r="BN74" i="4"/>
  <c r="BN66" i="4"/>
  <c r="BN65" i="4"/>
  <c r="BN64" i="4"/>
  <c r="BN63" i="4"/>
  <c r="BN62" i="4"/>
  <c r="BN61" i="4"/>
  <c r="BN60" i="4"/>
  <c r="BS82" i="4"/>
  <c r="BS81" i="4"/>
  <c r="BS80" i="4"/>
  <c r="BS79" i="4"/>
  <c r="BS76" i="4"/>
  <c r="BS74" i="4"/>
  <c r="BS66" i="4"/>
  <c r="BS65" i="4"/>
  <c r="BS64" i="4"/>
  <c r="BS63" i="4"/>
  <c r="BS62" i="4"/>
  <c r="BS61" i="4"/>
  <c r="BS60" i="4"/>
  <c r="BX82" i="4"/>
  <c r="BX81" i="4"/>
  <c r="BX76" i="4"/>
  <c r="BX74" i="4"/>
  <c r="BX66" i="4"/>
  <c r="BX65" i="4"/>
  <c r="BX64" i="4"/>
  <c r="BX63" i="4"/>
  <c r="BX62" i="4"/>
  <c r="BX61" i="4"/>
  <c r="BX60" i="4"/>
  <c r="CC82" i="4"/>
  <c r="CC81" i="4"/>
  <c r="CC76" i="4"/>
  <c r="CC74" i="4"/>
  <c r="CC66" i="4"/>
  <c r="CC65" i="4"/>
  <c r="CC64" i="4"/>
  <c r="CC63" i="4"/>
  <c r="CC62" i="4"/>
  <c r="CC61" i="4"/>
  <c r="CC60" i="4"/>
  <c r="CH82" i="4"/>
  <c r="CH81" i="4"/>
  <c r="CH76" i="4"/>
  <c r="CH74" i="4"/>
  <c r="CH66" i="4"/>
  <c r="CH65" i="4"/>
  <c r="CH64" i="4"/>
  <c r="CH63" i="4"/>
  <c r="CH62" i="4"/>
  <c r="CH61" i="4"/>
  <c r="CH60" i="4"/>
  <c r="CM82" i="4"/>
  <c r="CM81" i="4"/>
  <c r="CM76" i="4"/>
  <c r="CM74" i="4"/>
  <c r="CM66" i="4"/>
  <c r="CM65" i="4"/>
  <c r="CM64" i="4"/>
  <c r="CM63" i="4"/>
  <c r="CM62" i="4"/>
  <c r="CM61" i="4"/>
  <c r="CM60" i="4"/>
  <c r="BN54" i="4"/>
  <c r="BN53" i="4"/>
  <c r="BN52" i="4"/>
  <c r="BN51" i="4"/>
  <c r="BN50" i="4"/>
  <c r="BN49" i="4"/>
  <c r="BN48" i="4"/>
  <c r="BN47" i="4"/>
  <c r="BN46" i="4"/>
  <c r="BN44" i="4"/>
  <c r="BN43" i="4"/>
  <c r="BN42" i="4"/>
  <c r="BN41" i="4"/>
  <c r="BN40" i="4"/>
  <c r="BN39" i="4"/>
  <c r="BN38" i="4"/>
  <c r="BN37" i="4"/>
  <c r="BN36" i="4"/>
  <c r="BN35" i="4"/>
  <c r="BN34" i="4"/>
  <c r="BN33" i="4"/>
  <c r="BM25" i="4"/>
  <c r="BL22" i="2"/>
  <c r="BL141" i="2" s="1"/>
  <c r="CM83" i="4" l="1"/>
  <c r="CH83" i="4"/>
  <c r="CC83" i="4"/>
  <c r="BX83" i="4"/>
  <c r="BS83" i="4"/>
  <c r="BN83" i="4"/>
  <c r="DO40" i="8"/>
  <c r="DO13" i="8" s="1"/>
  <c r="DP32" i="8"/>
  <c r="DP5" i="8" s="1"/>
  <c r="BR50" i="8" l="1"/>
  <c r="BR23" i="8" s="1"/>
  <c r="BR49" i="8"/>
  <c r="BR22" i="8" s="1"/>
  <c r="BR48" i="8"/>
  <c r="BR21" i="8" s="1"/>
  <c r="BR31" i="8"/>
  <c r="BR4" i="8" s="1"/>
  <c r="BW44" i="8"/>
  <c r="BW17" i="8" s="1"/>
  <c r="BW25" i="8" s="1"/>
  <c r="BR25" i="8" l="1"/>
  <c r="CK32" i="8"/>
  <c r="CK5" i="8" s="1"/>
  <c r="CK25" i="8" s="1"/>
  <c r="CL71" i="8"/>
  <c r="CL52" i="8"/>
  <c r="BN63" i="8" l="1"/>
  <c r="BN61" i="8"/>
  <c r="BN60" i="8"/>
  <c r="BN59" i="8"/>
  <c r="BN58" i="8"/>
  <c r="BN57" i="8"/>
  <c r="BS63" i="8"/>
  <c r="BS61" i="8"/>
  <c r="BS60" i="8"/>
  <c r="BS59" i="8"/>
  <c r="BS58" i="8"/>
  <c r="BS57" i="8"/>
  <c r="BX63" i="8"/>
  <c r="BX61" i="8"/>
  <c r="BX60" i="8"/>
  <c r="BX59" i="8"/>
  <c r="BX58" i="8"/>
  <c r="BX57" i="8"/>
  <c r="CC63" i="8"/>
  <c r="CC61" i="8"/>
  <c r="CC60" i="8"/>
  <c r="CC59" i="8"/>
  <c r="CC58" i="8"/>
  <c r="CC57" i="8"/>
  <c r="CH61" i="8"/>
  <c r="CH60" i="8"/>
  <c r="CH59" i="8"/>
  <c r="CH58" i="8"/>
  <c r="CH57" i="8"/>
  <c r="CM63" i="8"/>
  <c r="CM61" i="8"/>
  <c r="CM60" i="8"/>
  <c r="CM59" i="8"/>
  <c r="CM58" i="8"/>
  <c r="CM57" i="8"/>
  <c r="CR63" i="8"/>
  <c r="CR61" i="8"/>
  <c r="CR60" i="8"/>
  <c r="CR59" i="8"/>
  <c r="CR58" i="8"/>
  <c r="CR57" i="8"/>
  <c r="CT50" i="8" l="1"/>
  <c r="CT23" i="8" s="1"/>
  <c r="CT25" i="8" s="1"/>
  <c r="CV63" i="8" l="1"/>
  <c r="CV9" i="8" s="1"/>
  <c r="CV25" i="8" s="1"/>
  <c r="DA50" i="8" l="1"/>
  <c r="DA23" i="8" s="1"/>
  <c r="DA25" i="8" s="1"/>
  <c r="CY50" i="8" l="1"/>
  <c r="CY23" i="8" s="1"/>
  <c r="CY25" i="8" s="1"/>
  <c r="CX50" i="8" l="1"/>
  <c r="CX23" i="8" s="1"/>
  <c r="CX25" i="8" s="1"/>
  <c r="DD46" i="8" l="1"/>
  <c r="DD19" i="8" s="1"/>
  <c r="DF45" i="8"/>
  <c r="DF18" i="8" s="1"/>
  <c r="DE44" i="8" l="1"/>
  <c r="DF44" i="8" l="1"/>
  <c r="DF17" i="8" s="1"/>
  <c r="DE17" i="8"/>
  <c r="DE46" i="8"/>
  <c r="DE19" i="8" s="1"/>
  <c r="DD50" i="8"/>
  <c r="DD23" i="8" s="1"/>
  <c r="DD25" i="8" s="1"/>
  <c r="DF46" i="8" l="1"/>
  <c r="DF19" i="8" s="1"/>
  <c r="DE50" i="8"/>
  <c r="DE23" i="8" s="1"/>
  <c r="DE25" i="8" s="1"/>
  <c r="DC50" i="8"/>
  <c r="DF50" i="8" l="1"/>
  <c r="DF23" i="8" s="1"/>
  <c r="DF25" i="8" s="1"/>
  <c r="DC23" i="8"/>
  <c r="DC25" i="8" s="1"/>
  <c r="DI45" i="8"/>
  <c r="DI46" i="8"/>
  <c r="DI44" i="8" l="1"/>
  <c r="DI17" i="8" s="1"/>
  <c r="DI18" i="8"/>
  <c r="DJ45" i="8"/>
  <c r="DI50" i="8"/>
  <c r="DI23" i="8" s="1"/>
  <c r="DI19" i="8"/>
  <c r="DJ46" i="8"/>
  <c r="DK46" i="8" s="1"/>
  <c r="DK45" i="8"/>
  <c r="DL69" i="8"/>
  <c r="DL15" i="8" s="1"/>
  <c r="DH50" i="8"/>
  <c r="DH23" i="8" s="1"/>
  <c r="DH44" i="8"/>
  <c r="DH17" i="8" s="1"/>
  <c r="DH25" i="8" l="1"/>
  <c r="DK50" i="8"/>
  <c r="DK23" i="8" s="1"/>
  <c r="DK19" i="8"/>
  <c r="DJ44" i="8"/>
  <c r="DJ17" i="8" s="1"/>
  <c r="DJ18" i="8"/>
  <c r="DK44" i="8"/>
  <c r="DK17" i="8" s="1"/>
  <c r="DK18" i="8"/>
  <c r="DJ50" i="8"/>
  <c r="DJ23" i="8" s="1"/>
  <c r="DJ19" i="8"/>
  <c r="DI25" i="8"/>
  <c r="DK25" i="8" l="1"/>
  <c r="DJ25" i="8"/>
  <c r="BN49" i="7"/>
  <c r="BN48" i="7"/>
  <c r="BN46" i="7"/>
  <c r="BN45" i="7"/>
  <c r="BN43" i="7"/>
  <c r="BN42" i="7"/>
  <c r="BN41" i="7"/>
  <c r="BN40" i="7"/>
  <c r="BN39" i="7"/>
  <c r="BN38" i="7"/>
  <c r="BN37" i="7"/>
  <c r="BN36" i="7"/>
  <c r="BK50" i="7"/>
  <c r="BL50" i="7" s="1"/>
  <c r="BK35" i="7"/>
  <c r="BL35" i="7" s="1"/>
  <c r="BK34" i="7"/>
  <c r="BL34" i="7" s="1"/>
  <c r="BM34" i="7" s="1"/>
  <c r="BN34" i="7" s="1"/>
  <c r="BK33" i="7"/>
  <c r="BL33" i="7" s="1"/>
  <c r="BK32" i="7"/>
  <c r="BK31" i="7"/>
  <c r="BK47" i="7"/>
  <c r="BK52" i="7"/>
  <c r="BK51" i="7"/>
  <c r="BK53" i="7"/>
  <c r="BS49" i="7"/>
  <c r="BS48" i="7"/>
  <c r="BS46" i="7"/>
  <c r="BS45" i="7"/>
  <c r="BS43" i="7"/>
  <c r="BS42" i="7"/>
  <c r="BS41" i="7"/>
  <c r="BS40" i="7"/>
  <c r="BS39" i="7"/>
  <c r="BS38" i="7"/>
  <c r="BS37" i="7"/>
  <c r="BS36" i="7"/>
  <c r="BP53" i="7"/>
  <c r="BQ53" i="7" s="1"/>
  <c r="BP52" i="7"/>
  <c r="BQ52" i="7" s="1"/>
  <c r="BP51" i="7"/>
  <c r="BP34" i="7"/>
  <c r="BP33" i="7"/>
  <c r="BQ33" i="7" s="1"/>
  <c r="BP32" i="7"/>
  <c r="BQ32" i="7" s="1"/>
  <c r="BP31" i="7"/>
  <c r="BP35" i="7"/>
  <c r="BP47" i="7"/>
  <c r="BQ47" i="7" s="1"/>
  <c r="BP50" i="7"/>
  <c r="BM33" i="7" l="1"/>
  <c r="BN33" i="7" s="1"/>
  <c r="BL47" i="7"/>
  <c r="BM47" i="7" s="1"/>
  <c r="BR32" i="7"/>
  <c r="BS32" i="7" s="1"/>
  <c r="BR33" i="7"/>
  <c r="BS33" i="7" s="1"/>
  <c r="BQ31" i="7"/>
  <c r="BM50" i="7"/>
  <c r="BN50" i="7" s="1"/>
  <c r="BR53" i="7"/>
  <c r="BS53" i="7" s="1"/>
  <c r="BL51" i="7"/>
  <c r="BM51" i="7" s="1"/>
  <c r="BN51" i="7" s="1"/>
  <c r="BQ34" i="7"/>
  <c r="BR34" i="7" s="1"/>
  <c r="BS34" i="7" s="1"/>
  <c r="BL31" i="7"/>
  <c r="BM31" i="7" s="1"/>
  <c r="BL52" i="7"/>
  <c r="BM52" i="7" s="1"/>
  <c r="BM35" i="7"/>
  <c r="BN35" i="7" s="1"/>
  <c r="BR52" i="7"/>
  <c r="BS52" i="7" s="1"/>
  <c r="BQ50" i="7"/>
  <c r="BQ35" i="7"/>
  <c r="BL32" i="7"/>
  <c r="BM32" i="7" s="1"/>
  <c r="BQ51" i="7"/>
  <c r="BL53" i="7"/>
  <c r="BM53" i="7" s="1"/>
  <c r="BR47" i="7"/>
  <c r="BS47" i="7" s="1"/>
  <c r="BR31" i="7" l="1"/>
  <c r="BS31" i="7" s="1"/>
  <c r="BN53" i="7"/>
  <c r="BR50" i="7"/>
  <c r="BS50" i="7" s="1"/>
  <c r="BN47" i="7"/>
  <c r="BN52" i="7"/>
  <c r="BR51" i="7"/>
  <c r="BS51" i="7" s="1"/>
  <c r="BN32" i="7"/>
  <c r="BR35" i="7"/>
  <c r="BS35" i="7" s="1"/>
  <c r="BU45" i="7" l="1"/>
  <c r="BV45" i="7" s="1"/>
  <c r="BX53" i="7" l="1"/>
  <c r="BX51" i="7"/>
  <c r="BX50" i="7"/>
  <c r="BX49" i="7"/>
  <c r="BX48" i="7"/>
  <c r="BX46" i="7"/>
  <c r="BX43" i="7"/>
  <c r="BX42" i="7"/>
  <c r="BX41" i="7"/>
  <c r="BX40" i="7"/>
  <c r="BX39" i="7"/>
  <c r="BX38" i="7"/>
  <c r="BX37" i="7"/>
  <c r="BV36" i="7" l="1"/>
  <c r="BW36" i="7" s="1"/>
  <c r="BX36" i="7" s="1"/>
  <c r="BX45" i="7" l="1"/>
  <c r="BU52" i="7"/>
  <c r="BU35" i="7"/>
  <c r="BU34" i="7"/>
  <c r="BU33" i="7"/>
  <c r="BU32" i="7"/>
  <c r="BV34" i="7" l="1"/>
  <c r="BW34" i="7" s="1"/>
  <c r="BV33" i="7"/>
  <c r="BW33" i="7" s="1"/>
  <c r="BV52" i="7"/>
  <c r="BW52" i="7" s="1"/>
  <c r="BX52" i="7" s="1"/>
  <c r="BV32" i="7"/>
  <c r="BW32" i="7" s="1"/>
  <c r="BV35" i="7"/>
  <c r="BW35" i="7" s="1"/>
  <c r="CC53" i="7"/>
  <c r="BT31" i="7"/>
  <c r="BT47" i="7"/>
  <c r="DN81" i="8"/>
  <c r="DM81" i="8"/>
  <c r="DK81" i="8"/>
  <c r="DJ81" i="8"/>
  <c r="DI81" i="8"/>
  <c r="DH81" i="8"/>
  <c r="DF81" i="8"/>
  <c r="DE81" i="8"/>
  <c r="DD81" i="8"/>
  <c r="DC81" i="8"/>
  <c r="DA81" i="8"/>
  <c r="CZ81" i="8"/>
  <c r="CY81" i="8"/>
  <c r="CX81" i="8"/>
  <c r="CV81" i="8"/>
  <c r="CU81" i="8"/>
  <c r="CT81" i="8"/>
  <c r="CS81" i="8"/>
  <c r="CQ81" i="8"/>
  <c r="CP81" i="8"/>
  <c r="CO81" i="8"/>
  <c r="CN81" i="8"/>
  <c r="CL81" i="8"/>
  <c r="CK81" i="8"/>
  <c r="CJ81" i="8"/>
  <c r="CI81" i="8"/>
  <c r="CG81" i="8"/>
  <c r="CF81" i="8"/>
  <c r="CE81" i="8"/>
  <c r="CD81" i="8"/>
  <c r="CB81" i="8"/>
  <c r="CA81" i="8"/>
  <c r="BZ81" i="8"/>
  <c r="BY81" i="8"/>
  <c r="BW81" i="8"/>
  <c r="BV81" i="8"/>
  <c r="BU81" i="8"/>
  <c r="BT81" i="8"/>
  <c r="BR81" i="8"/>
  <c r="BQ81" i="8"/>
  <c r="BP81" i="8"/>
  <c r="BO81" i="8"/>
  <c r="BM81" i="8"/>
  <c r="BL81" i="8"/>
  <c r="BK81" i="8"/>
  <c r="BJ81" i="8"/>
  <c r="DW81" i="8"/>
  <c r="DU81" i="8"/>
  <c r="DT81" i="8"/>
  <c r="DS81" i="8"/>
  <c r="DR81" i="8"/>
  <c r="DP81" i="8"/>
  <c r="DO81" i="8"/>
  <c r="BU47" i="7" l="1"/>
  <c r="BV47" i="7" s="1"/>
  <c r="BU31" i="7"/>
  <c r="BV31" i="7" s="1"/>
  <c r="DQ69" i="8"/>
  <c r="DQ15" i="8" s="1"/>
  <c r="BW31" i="7" l="1"/>
  <c r="BW47" i="7"/>
  <c r="BX47" i="7" s="1"/>
  <c r="DN46" i="8"/>
  <c r="DN19" i="8" s="1"/>
  <c r="DN45" i="8"/>
  <c r="DN18" i="8" s="1"/>
  <c r="DN44" i="8" l="1"/>
  <c r="DN17" i="8" s="1"/>
  <c r="DO45" i="8"/>
  <c r="DO18" i="8" s="1"/>
  <c r="DN50" i="8"/>
  <c r="DN23" i="8" s="1"/>
  <c r="DO46" i="8"/>
  <c r="DO19" i="8" s="1"/>
  <c r="DM50" i="8"/>
  <c r="DM23" i="8" s="1"/>
  <c r="DM44" i="8"/>
  <c r="DM17" i="8" s="1"/>
  <c r="DM25" i="8" s="1"/>
  <c r="DN25" i="8" l="1"/>
  <c r="DO50" i="8"/>
  <c r="DO23" i="8" s="1"/>
  <c r="DP46" i="8"/>
  <c r="DO44" i="8"/>
  <c r="DO17" i="8" s="1"/>
  <c r="DO25" i="8" s="1"/>
  <c r="DP45" i="8"/>
  <c r="DP44" i="8" l="1"/>
  <c r="DP17" i="8" s="1"/>
  <c r="DP18" i="8"/>
  <c r="DP50" i="8"/>
  <c r="DP23" i="8" s="1"/>
  <c r="DP19" i="8"/>
  <c r="DS46" i="8"/>
  <c r="DS45" i="8"/>
  <c r="DP25" i="8" l="1"/>
  <c r="DT45" i="8"/>
  <c r="DT18" i="8" s="1"/>
  <c r="DS18" i="8"/>
  <c r="DT46" i="8"/>
  <c r="DT19" i="8" s="1"/>
  <c r="DS19" i="8"/>
  <c r="DT44" i="8"/>
  <c r="DT17" i="8" s="1"/>
  <c r="DU45" i="8"/>
  <c r="DU46" i="8"/>
  <c r="DU19" i="8" s="1"/>
  <c r="DS44" i="8"/>
  <c r="DS17" i="8" s="1"/>
  <c r="DU44" i="8" l="1"/>
  <c r="DU17" i="8" s="1"/>
  <c r="DU18" i="8"/>
  <c r="DV69" i="8"/>
  <c r="DV15" i="8" s="1"/>
  <c r="DR50" i="8"/>
  <c r="DR23" i="8" s="1"/>
  <c r="DW44" i="8"/>
  <c r="DR44" i="8"/>
  <c r="DR17" i="8" s="1"/>
  <c r="DR25" i="8" l="1"/>
  <c r="EA44" i="8"/>
  <c r="DW17" i="8"/>
  <c r="CC51" i="7"/>
  <c r="CC50" i="7"/>
  <c r="CC49" i="7"/>
  <c r="CC48" i="7"/>
  <c r="CC46" i="7"/>
  <c r="CC43" i="7"/>
  <c r="CC42" i="7"/>
  <c r="CC41" i="7"/>
  <c r="CC40" i="7"/>
  <c r="CC39" i="7"/>
  <c r="CC38" i="7"/>
  <c r="CC37" i="7"/>
  <c r="EA17" i="8" l="1"/>
  <c r="BZ36" i="7"/>
  <c r="BZ35" i="7"/>
  <c r="BZ34" i="7"/>
  <c r="BZ33" i="7"/>
  <c r="BZ32" i="7"/>
  <c r="BZ31" i="7"/>
  <c r="BZ52" i="7"/>
  <c r="BZ45" i="7"/>
  <c r="CA52" i="7" l="1"/>
  <c r="CB52" i="7" s="1"/>
  <c r="CA32" i="7"/>
  <c r="CB32" i="7" s="1"/>
  <c r="CC32" i="7" s="1"/>
  <c r="CA35" i="7"/>
  <c r="CB35" i="7" s="1"/>
  <c r="CA45" i="7"/>
  <c r="CB45" i="7" s="1"/>
  <c r="CA31" i="7"/>
  <c r="CB31" i="7" s="1"/>
  <c r="CA33" i="7"/>
  <c r="CA34" i="7"/>
  <c r="CB34" i="7" s="1"/>
  <c r="CA36" i="7"/>
  <c r="CB36" i="7" s="1"/>
  <c r="CC36" i="7" s="1"/>
  <c r="BY47" i="7"/>
  <c r="CC35" i="7" l="1"/>
  <c r="BZ47" i="7"/>
  <c r="CB33" i="7"/>
  <c r="CC33" i="7" s="1"/>
  <c r="CC45" i="7"/>
  <c r="CC34" i="7"/>
  <c r="CC52" i="7"/>
  <c r="CH53" i="7"/>
  <c r="CH51" i="7"/>
  <c r="CH50" i="7"/>
  <c r="CH49" i="7"/>
  <c r="CH48" i="7"/>
  <c r="CH46" i="7"/>
  <c r="CH43" i="7"/>
  <c r="CH42" i="7"/>
  <c r="CH41" i="7"/>
  <c r="CH40" i="7"/>
  <c r="CH39" i="7"/>
  <c r="CH38" i="7"/>
  <c r="CH37" i="7"/>
  <c r="CA47" i="7" l="1"/>
  <c r="CB47" i="7" l="1"/>
  <c r="CC47" i="7" s="1"/>
  <c r="CE36" i="7"/>
  <c r="CH36" i="7" s="1"/>
  <c r="CE35" i="7"/>
  <c r="CE34" i="7"/>
  <c r="CE33" i="7"/>
  <c r="CE32" i="7"/>
  <c r="CE31" i="7"/>
  <c r="CG31" i="7" s="1"/>
  <c r="CE52" i="7"/>
  <c r="CE45" i="7"/>
  <c r="CF45" i="7" l="1"/>
  <c r="CG45" i="7" s="1"/>
  <c r="CH45" i="7" s="1"/>
  <c r="CF52" i="7"/>
  <c r="CG52" i="7" s="1"/>
  <c r="CH52" i="7" s="1"/>
  <c r="CD47" i="7"/>
  <c r="CL51" i="7"/>
  <c r="CE47" i="7" l="1"/>
  <c r="CM53" i="7"/>
  <c r="CM51" i="7"/>
  <c r="CM50" i="7"/>
  <c r="CM49" i="7"/>
  <c r="CM48" i="7"/>
  <c r="CM46" i="7"/>
  <c r="CM43" i="7"/>
  <c r="CM42" i="7"/>
  <c r="CM41" i="7"/>
  <c r="CM40" i="7"/>
  <c r="CM39" i="7"/>
  <c r="CM38" i="7"/>
  <c r="DF138" i="4"/>
  <c r="CF47" i="7" l="1"/>
  <c r="CG47" i="7" s="1"/>
  <c r="CW51" i="8"/>
  <c r="CW24" i="8" s="1"/>
  <c r="CW50" i="8"/>
  <c r="CW23" i="8" s="1"/>
  <c r="CW49" i="8"/>
  <c r="CW22" i="8" s="1"/>
  <c r="CW48" i="8"/>
  <c r="CW21" i="8" s="1"/>
  <c r="CW46" i="8"/>
  <c r="CW19" i="8" s="1"/>
  <c r="CW45" i="8"/>
  <c r="CW18" i="8" s="1"/>
  <c r="CW44" i="8"/>
  <c r="CW17" i="8" s="1"/>
  <c r="CW36" i="8"/>
  <c r="CW35" i="8"/>
  <c r="CW8" i="8" s="1"/>
  <c r="CW34" i="8"/>
  <c r="CW33" i="8"/>
  <c r="CW32" i="8"/>
  <c r="CW31" i="8"/>
  <c r="CW30" i="8"/>
  <c r="DB51" i="8"/>
  <c r="DB24" i="8" s="1"/>
  <c r="DB50" i="8"/>
  <c r="DB23" i="8" s="1"/>
  <c r="DB49" i="8"/>
  <c r="DB22" i="8" s="1"/>
  <c r="DB48" i="8"/>
  <c r="DB21" i="8" s="1"/>
  <c r="DB46" i="8"/>
  <c r="DB19" i="8" s="1"/>
  <c r="DB45" i="8"/>
  <c r="DB18" i="8" s="1"/>
  <c r="DB44" i="8"/>
  <c r="DB17" i="8" s="1"/>
  <c r="DB38" i="8"/>
  <c r="DB36" i="8"/>
  <c r="DB35" i="8"/>
  <c r="DB8" i="8" s="1"/>
  <c r="DB34" i="8"/>
  <c r="DB33" i="8"/>
  <c r="DB32" i="8"/>
  <c r="DB31" i="8"/>
  <c r="DB30" i="8"/>
  <c r="DG51" i="8"/>
  <c r="DG24" i="8" s="1"/>
  <c r="DG50" i="8"/>
  <c r="DG23" i="8" s="1"/>
  <c r="DG49" i="8"/>
  <c r="DG22" i="8" s="1"/>
  <c r="DG48" i="8"/>
  <c r="DG21" i="8" s="1"/>
  <c r="DG46" i="8"/>
  <c r="DG19" i="8" s="1"/>
  <c r="DG45" i="8"/>
  <c r="DG18" i="8" s="1"/>
  <c r="DG44" i="8"/>
  <c r="DG17" i="8" s="1"/>
  <c r="DG39" i="8"/>
  <c r="DG12" i="8" s="1"/>
  <c r="DG38" i="8"/>
  <c r="DG37" i="8"/>
  <c r="DG36" i="8"/>
  <c r="DG35" i="8"/>
  <c r="DG8" i="8" s="1"/>
  <c r="DG34" i="8"/>
  <c r="DG33" i="8"/>
  <c r="DG32" i="8"/>
  <c r="DG31" i="8"/>
  <c r="DG30" i="8"/>
  <c r="DL51" i="8"/>
  <c r="DL24" i="8" s="1"/>
  <c r="DL50" i="8"/>
  <c r="DL23" i="8" s="1"/>
  <c r="DL49" i="8"/>
  <c r="DL22" i="8" s="1"/>
  <c r="DL48" i="8"/>
  <c r="DL21" i="8" s="1"/>
  <c r="DL46" i="8"/>
  <c r="DL19" i="8" s="1"/>
  <c r="DL45" i="8"/>
  <c r="DL18" i="8" s="1"/>
  <c r="DL44" i="8"/>
  <c r="DL17" i="8" s="1"/>
  <c r="DL39" i="8"/>
  <c r="DL38" i="8"/>
  <c r="DL37" i="8"/>
  <c r="DL36" i="8"/>
  <c r="DL35" i="8"/>
  <c r="DL34" i="8"/>
  <c r="DL33" i="8"/>
  <c r="DL32" i="8"/>
  <c r="DL31" i="8"/>
  <c r="DL30" i="8"/>
  <c r="DQ51" i="8"/>
  <c r="DQ24" i="8" s="1"/>
  <c r="DQ50" i="8"/>
  <c r="DQ23" i="8" s="1"/>
  <c r="DQ49" i="8"/>
  <c r="DQ22" i="8" s="1"/>
  <c r="DQ48" i="8"/>
  <c r="DQ21" i="8" s="1"/>
  <c r="DQ47" i="8"/>
  <c r="DQ20" i="8" s="1"/>
  <c r="DQ46" i="8"/>
  <c r="DQ19" i="8" s="1"/>
  <c r="DQ45" i="8"/>
  <c r="DQ18" i="8" s="1"/>
  <c r="DQ44" i="8"/>
  <c r="DQ17" i="8" s="1"/>
  <c r="DQ41" i="8"/>
  <c r="DQ40" i="8"/>
  <c r="DQ39" i="8"/>
  <c r="DQ38" i="8"/>
  <c r="DQ37" i="8"/>
  <c r="DQ36" i="8"/>
  <c r="DQ35" i="8"/>
  <c r="DQ34" i="8"/>
  <c r="DQ33" i="8"/>
  <c r="DQ32" i="8"/>
  <c r="DQ31" i="8"/>
  <c r="DQ30" i="8"/>
  <c r="DW231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DE231" i="5"/>
  <c r="DD231" i="5"/>
  <c r="DC231" i="5"/>
  <c r="DB231" i="5"/>
  <c r="DA231" i="5"/>
  <c r="CZ231" i="5"/>
  <c r="CY231" i="5"/>
  <c r="CX231" i="5"/>
  <c r="CW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C231" i="5"/>
  <c r="CB231" i="5"/>
  <c r="CA231" i="5"/>
  <c r="BZ231" i="5"/>
  <c r="BY231" i="5"/>
  <c r="BX231" i="5"/>
  <c r="BW231" i="5"/>
  <c r="BV231" i="5"/>
  <c r="BU231" i="5"/>
  <c r="BT231" i="5"/>
  <c r="BS231" i="5"/>
  <c r="BR231" i="5"/>
  <c r="BQ231" i="5"/>
  <c r="BP231" i="5"/>
  <c r="BO231" i="5"/>
  <c r="BN231" i="5"/>
  <c r="BM231" i="5"/>
  <c r="BL231" i="5"/>
  <c r="BK231" i="5"/>
  <c r="BJ231" i="5"/>
  <c r="DW212" i="5"/>
  <c r="DW98" i="7" s="1"/>
  <c r="EA98" i="7" s="1"/>
  <c r="EA126" i="7" s="1"/>
  <c r="DV212" i="5"/>
  <c r="DU212" i="5"/>
  <c r="DU98" i="7" s="1"/>
  <c r="DT212" i="5"/>
  <c r="DT98" i="7" s="1"/>
  <c r="DS212" i="5"/>
  <c r="DS98" i="7" s="1"/>
  <c r="DR212" i="5"/>
  <c r="DR98" i="7" s="1"/>
  <c r="DQ212" i="5"/>
  <c r="DP212" i="5"/>
  <c r="DP98" i="7" s="1"/>
  <c r="DO212" i="5"/>
  <c r="DO98" i="7" s="1"/>
  <c r="DN212" i="5"/>
  <c r="DN98" i="7" s="1"/>
  <c r="DM212" i="5"/>
  <c r="DM98" i="7" s="1"/>
  <c r="DL212" i="5"/>
  <c r="DK212" i="5"/>
  <c r="DK98" i="7" s="1"/>
  <c r="DJ212" i="5"/>
  <c r="DJ98" i="7" s="1"/>
  <c r="DI212" i="5"/>
  <c r="DI98" i="7" s="1"/>
  <c r="DH212" i="5"/>
  <c r="DH98" i="7" s="1"/>
  <c r="DG212" i="5"/>
  <c r="DF212" i="5"/>
  <c r="DF98" i="7" s="1"/>
  <c r="DE212" i="5"/>
  <c r="DE98" i="7" s="1"/>
  <c r="DD212" i="5"/>
  <c r="DD98" i="7" s="1"/>
  <c r="DC212" i="5"/>
  <c r="DC98" i="7" s="1"/>
  <c r="DB212" i="5"/>
  <c r="DA212" i="5"/>
  <c r="DA98" i="7" s="1"/>
  <c r="CZ212" i="5"/>
  <c r="CZ98" i="7" s="1"/>
  <c r="CY212" i="5"/>
  <c r="CY98" i="7" s="1"/>
  <c r="CX212" i="5"/>
  <c r="CX98" i="7" s="1"/>
  <c r="CW212" i="5"/>
  <c r="CV212" i="5"/>
  <c r="CV98" i="7" s="1"/>
  <c r="CU212" i="5"/>
  <c r="CU98" i="7" s="1"/>
  <c r="CT212" i="5"/>
  <c r="CT98" i="7" s="1"/>
  <c r="CS212" i="5"/>
  <c r="CS98" i="7" s="1"/>
  <c r="CR212" i="5"/>
  <c r="CQ212" i="5"/>
  <c r="CQ98" i="7" s="1"/>
  <c r="CP212" i="5"/>
  <c r="CP98" i="7" s="1"/>
  <c r="CO212" i="5"/>
  <c r="CO98" i="7" s="1"/>
  <c r="CN212" i="5"/>
  <c r="CN98" i="7" s="1"/>
  <c r="CM212" i="5"/>
  <c r="CL212" i="5"/>
  <c r="CL98" i="7" s="1"/>
  <c r="CK212" i="5"/>
  <c r="CK98" i="7" s="1"/>
  <c r="CJ212" i="5"/>
  <c r="CJ98" i="7" s="1"/>
  <c r="CI212" i="5"/>
  <c r="CI98" i="7" s="1"/>
  <c r="CH212" i="5"/>
  <c r="CG212" i="5"/>
  <c r="CG98" i="7" s="1"/>
  <c r="CF212" i="5"/>
  <c r="CF98" i="7" s="1"/>
  <c r="CE212" i="5"/>
  <c r="CE98" i="7" s="1"/>
  <c r="CD212" i="5"/>
  <c r="CD98" i="7" s="1"/>
  <c r="CC212" i="5"/>
  <c r="CB212" i="5"/>
  <c r="CB98" i="7" s="1"/>
  <c r="CA212" i="5"/>
  <c r="CA98" i="7" s="1"/>
  <c r="BZ212" i="5"/>
  <c r="BZ98" i="7" s="1"/>
  <c r="BY212" i="5"/>
  <c r="BY98" i="7" s="1"/>
  <c r="BX212" i="5"/>
  <c r="BW212" i="5"/>
  <c r="BW98" i="7" s="1"/>
  <c r="BV212" i="5"/>
  <c r="BV98" i="7" s="1"/>
  <c r="BU212" i="5"/>
  <c r="BU98" i="7" s="1"/>
  <c r="BT212" i="5"/>
  <c r="BT98" i="7" s="1"/>
  <c r="BS212" i="5"/>
  <c r="BR212" i="5"/>
  <c r="BR98" i="7" s="1"/>
  <c r="BQ212" i="5"/>
  <c r="BQ98" i="7" s="1"/>
  <c r="BP212" i="5"/>
  <c r="BP98" i="7" s="1"/>
  <c r="BO212" i="5"/>
  <c r="BO98" i="7" s="1"/>
  <c r="BN212" i="5"/>
  <c r="BM212" i="5"/>
  <c r="BM98" i="7" s="1"/>
  <c r="BL212" i="5"/>
  <c r="BL98" i="7" s="1"/>
  <c r="BK212" i="5"/>
  <c r="BK98" i="7" s="1"/>
  <c r="BJ212" i="5"/>
  <c r="BJ98" i="7" s="1"/>
  <c r="DW184" i="5"/>
  <c r="DV184" i="5"/>
  <c r="DU184" i="5"/>
  <c r="DT184" i="5"/>
  <c r="DS184" i="5"/>
  <c r="DR184" i="5"/>
  <c r="DQ184" i="5"/>
  <c r="DP184" i="5"/>
  <c r="DO184" i="5"/>
  <c r="DN184" i="5"/>
  <c r="DM184" i="5"/>
  <c r="DL184" i="5"/>
  <c r="DK184" i="5"/>
  <c r="DJ184" i="5"/>
  <c r="DI184" i="5"/>
  <c r="DH184" i="5"/>
  <c r="DG184" i="5"/>
  <c r="DF184" i="5"/>
  <c r="DE184" i="5"/>
  <c r="DD184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DW156" i="5"/>
  <c r="DV156" i="5"/>
  <c r="DU156" i="5"/>
  <c r="DT156" i="5"/>
  <c r="DS156" i="5"/>
  <c r="DR156" i="5"/>
  <c r="DQ156" i="5"/>
  <c r="DP156" i="5"/>
  <c r="DO156" i="5"/>
  <c r="DN156" i="5"/>
  <c r="DM156" i="5"/>
  <c r="DL156" i="5"/>
  <c r="DK156" i="5"/>
  <c r="DJ156" i="5"/>
  <c r="DI156" i="5"/>
  <c r="DH156" i="5"/>
  <c r="DG156" i="5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DW128" i="5"/>
  <c r="DW15" i="7" s="1"/>
  <c r="EA15" i="7" s="1"/>
  <c r="DV128" i="5"/>
  <c r="DU128" i="5"/>
  <c r="DU15" i="7" s="1"/>
  <c r="DT128" i="5"/>
  <c r="DT15" i="7" s="1"/>
  <c r="DS128" i="5"/>
  <c r="DS15" i="7" s="1"/>
  <c r="DR128" i="5"/>
  <c r="DR15" i="7" s="1"/>
  <c r="DQ128" i="5"/>
  <c r="DP128" i="5"/>
  <c r="DP15" i="7" s="1"/>
  <c r="DO128" i="5"/>
  <c r="DO15" i="7" s="1"/>
  <c r="DN128" i="5"/>
  <c r="DN15" i="7" s="1"/>
  <c r="DM128" i="5"/>
  <c r="DM15" i="7" s="1"/>
  <c r="DL128" i="5"/>
  <c r="DK128" i="5"/>
  <c r="DK15" i="7" s="1"/>
  <c r="DJ128" i="5"/>
  <c r="DJ15" i="7" s="1"/>
  <c r="DI128" i="5"/>
  <c r="DI15" i="7" s="1"/>
  <c r="DH128" i="5"/>
  <c r="DH15" i="7" s="1"/>
  <c r="DG128" i="5"/>
  <c r="DF128" i="5"/>
  <c r="DF15" i="7" s="1"/>
  <c r="DE128" i="5"/>
  <c r="DE15" i="7" s="1"/>
  <c r="DD128" i="5"/>
  <c r="DD15" i="7" s="1"/>
  <c r="DC128" i="5"/>
  <c r="DC15" i="7" s="1"/>
  <c r="DB128" i="5"/>
  <c r="DA128" i="5"/>
  <c r="DA15" i="7" s="1"/>
  <c r="CZ128" i="5"/>
  <c r="CZ15" i="7" s="1"/>
  <c r="CY128" i="5"/>
  <c r="CY15" i="7" s="1"/>
  <c r="CX128" i="5"/>
  <c r="CX15" i="7" s="1"/>
  <c r="CW128" i="5"/>
  <c r="CV128" i="5"/>
  <c r="CV15" i="7" s="1"/>
  <c r="CU128" i="5"/>
  <c r="CU15" i="7" s="1"/>
  <c r="CT128" i="5"/>
  <c r="CT15" i="7" s="1"/>
  <c r="CS128" i="5"/>
  <c r="CS15" i="7" s="1"/>
  <c r="CR128" i="5"/>
  <c r="CQ128" i="5"/>
  <c r="CQ15" i="7" s="1"/>
  <c r="CP128" i="5"/>
  <c r="CP15" i="7" s="1"/>
  <c r="CO128" i="5"/>
  <c r="CO15" i="7" s="1"/>
  <c r="CN128" i="5"/>
  <c r="CN15" i="7" s="1"/>
  <c r="CM128" i="5"/>
  <c r="CL128" i="5"/>
  <c r="CL15" i="7" s="1"/>
  <c r="CK128" i="5"/>
  <c r="CK15" i="7" s="1"/>
  <c r="CJ128" i="5"/>
  <c r="CJ15" i="7" s="1"/>
  <c r="CI128" i="5"/>
  <c r="CI15" i="7" s="1"/>
  <c r="CH128" i="5"/>
  <c r="CG128" i="5"/>
  <c r="CG15" i="7" s="1"/>
  <c r="CF128" i="5"/>
  <c r="CF15" i="7" s="1"/>
  <c r="CE128" i="5"/>
  <c r="CE15" i="7" s="1"/>
  <c r="CD128" i="5"/>
  <c r="CD15" i="7" s="1"/>
  <c r="CC128" i="5"/>
  <c r="CB128" i="5"/>
  <c r="CB15" i="7" s="1"/>
  <c r="CA128" i="5"/>
  <c r="CA15" i="7" s="1"/>
  <c r="BZ128" i="5"/>
  <c r="BZ15" i="7" s="1"/>
  <c r="BY128" i="5"/>
  <c r="BY15" i="7" s="1"/>
  <c r="BX128" i="5"/>
  <c r="BW128" i="5"/>
  <c r="BW15" i="7" s="1"/>
  <c r="BV128" i="5"/>
  <c r="BV15" i="7" s="1"/>
  <c r="BU128" i="5"/>
  <c r="BU15" i="7" s="1"/>
  <c r="BT128" i="5"/>
  <c r="BT15" i="7" s="1"/>
  <c r="BS128" i="5"/>
  <c r="BR128" i="5"/>
  <c r="BR15" i="7" s="1"/>
  <c r="BQ128" i="5"/>
  <c r="BQ15" i="7" s="1"/>
  <c r="BP128" i="5"/>
  <c r="BP15" i="7" s="1"/>
  <c r="BO128" i="5"/>
  <c r="BO15" i="7" s="1"/>
  <c r="BN128" i="5"/>
  <c r="BM128" i="5"/>
  <c r="BM15" i="7" s="1"/>
  <c r="BL128" i="5"/>
  <c r="BL15" i="7" s="1"/>
  <c r="BK128" i="5"/>
  <c r="BK15" i="7" s="1"/>
  <c r="BJ128" i="5"/>
  <c r="BJ15" i="7" s="1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DD100" i="5"/>
  <c r="DC100" i="5"/>
  <c r="DB100" i="5"/>
  <c r="DA100" i="5"/>
  <c r="CZ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D72" i="5"/>
  <c r="DC72" i="5"/>
  <c r="DB72" i="5"/>
  <c r="DA72" i="5"/>
  <c r="CZ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DW44" i="5"/>
  <c r="DT44" i="5"/>
  <c r="DS44" i="5"/>
  <c r="DR44" i="5"/>
  <c r="DP44" i="5"/>
  <c r="DO44" i="5"/>
  <c r="DN44" i="5"/>
  <c r="DM44" i="5"/>
  <c r="DK44" i="5"/>
  <c r="DJ44" i="5"/>
  <c r="DI44" i="5"/>
  <c r="DH44" i="5"/>
  <c r="DF44" i="5"/>
  <c r="DE44" i="5"/>
  <c r="DD44" i="5"/>
  <c r="DC44" i="5"/>
  <c r="DA44" i="5"/>
  <c r="CZ44" i="5"/>
  <c r="CY44" i="5"/>
  <c r="CX44" i="5"/>
  <c r="CV44" i="5"/>
  <c r="CU44" i="5"/>
  <c r="CT44" i="5"/>
  <c r="CS44" i="5"/>
  <c r="CP44" i="5"/>
  <c r="CO44" i="5"/>
  <c r="CN44" i="5"/>
  <c r="CL44" i="5"/>
  <c r="CK44" i="5"/>
  <c r="CJ44" i="5"/>
  <c r="CI44" i="5"/>
  <c r="CG44" i="5"/>
  <c r="CF44" i="5"/>
  <c r="CE44" i="5"/>
  <c r="CD44" i="5"/>
  <c r="CB44" i="5"/>
  <c r="CA44" i="5"/>
  <c r="BZ44" i="5"/>
  <c r="BY44" i="5"/>
  <c r="BW44" i="5"/>
  <c r="BV44" i="5"/>
  <c r="BU44" i="5"/>
  <c r="BT44" i="5"/>
  <c r="BR44" i="5"/>
  <c r="BQ44" i="5"/>
  <c r="BP44" i="5"/>
  <c r="BO44" i="5"/>
  <c r="BN44" i="5"/>
  <c r="BM44" i="5"/>
  <c r="BL44" i="5"/>
  <c r="BK44" i="5"/>
  <c r="BJ44" i="5"/>
  <c r="DW15" i="5"/>
  <c r="DU15" i="5"/>
  <c r="DT15" i="5"/>
  <c r="DS15" i="5"/>
  <c r="DR15" i="5"/>
  <c r="DP15" i="5"/>
  <c r="DO15" i="5"/>
  <c r="DN15" i="5"/>
  <c r="DM15" i="5"/>
  <c r="DK15" i="5"/>
  <c r="DJ15" i="5"/>
  <c r="DI15" i="5"/>
  <c r="DH15" i="5"/>
  <c r="DF15" i="5"/>
  <c r="DE15" i="5"/>
  <c r="DD15" i="5"/>
  <c r="DC15" i="5"/>
  <c r="DA15" i="5"/>
  <c r="CZ15" i="5"/>
  <c r="CY15" i="5"/>
  <c r="CX15" i="5"/>
  <c r="CV15" i="5"/>
  <c r="CU15" i="5"/>
  <c r="CT15" i="5"/>
  <c r="CS15" i="5"/>
  <c r="CP15" i="5"/>
  <c r="CO15" i="5"/>
  <c r="CN15" i="5"/>
  <c r="CL15" i="5"/>
  <c r="CK15" i="5"/>
  <c r="CJ15" i="5"/>
  <c r="CI15" i="5"/>
  <c r="CG15" i="5"/>
  <c r="CF15" i="5"/>
  <c r="CE15" i="5"/>
  <c r="CD15" i="5"/>
  <c r="CB15" i="5"/>
  <c r="CA15" i="5"/>
  <c r="BZ15" i="5"/>
  <c r="BY15" i="5"/>
  <c r="BW15" i="5"/>
  <c r="BV15" i="5"/>
  <c r="BU15" i="5"/>
  <c r="BT15" i="5"/>
  <c r="BR15" i="5"/>
  <c r="BQ15" i="5"/>
  <c r="BP15" i="5"/>
  <c r="BO15" i="5"/>
  <c r="BN15" i="5"/>
  <c r="BM15" i="5"/>
  <c r="BL15" i="5"/>
  <c r="BK15" i="5"/>
  <c r="BJ15" i="5"/>
  <c r="DW214" i="4"/>
  <c r="DU214" i="4"/>
  <c r="DT214" i="4"/>
  <c r="DS214" i="4"/>
  <c r="DR214" i="4"/>
  <c r="DP214" i="4"/>
  <c r="DO214" i="4"/>
  <c r="DN214" i="4"/>
  <c r="DM214" i="4"/>
  <c r="DK214" i="4"/>
  <c r="DJ214" i="4"/>
  <c r="DI214" i="4"/>
  <c r="DH214" i="4"/>
  <c r="CV214" i="4"/>
  <c r="CU214" i="4"/>
  <c r="CT214" i="4"/>
  <c r="CS214" i="4"/>
  <c r="CP214" i="4"/>
  <c r="CO214" i="4"/>
  <c r="CN214" i="4"/>
  <c r="CL214" i="4"/>
  <c r="CK214" i="4"/>
  <c r="CJ214" i="4"/>
  <c r="CI214" i="4"/>
  <c r="CG214" i="4"/>
  <c r="CF214" i="4"/>
  <c r="CE214" i="4"/>
  <c r="CD214" i="4"/>
  <c r="CB214" i="4"/>
  <c r="CA214" i="4"/>
  <c r="BZ214" i="4"/>
  <c r="BY214" i="4"/>
  <c r="BW214" i="4"/>
  <c r="BV214" i="4"/>
  <c r="BU214" i="4"/>
  <c r="BT214" i="4"/>
  <c r="BR214" i="4"/>
  <c r="BQ214" i="4"/>
  <c r="BP214" i="4"/>
  <c r="BO214" i="4"/>
  <c r="BM214" i="4"/>
  <c r="BL214" i="4"/>
  <c r="BK214" i="4"/>
  <c r="BJ214" i="4"/>
  <c r="DP233" i="4"/>
  <c r="DO233" i="4"/>
  <c r="DN233" i="4"/>
  <c r="DM233" i="4"/>
  <c r="DK233" i="4"/>
  <c r="DJ233" i="4"/>
  <c r="DI233" i="4"/>
  <c r="DH233" i="4"/>
  <c r="CV233" i="4"/>
  <c r="CU233" i="4"/>
  <c r="CT233" i="4"/>
  <c r="CS233" i="4"/>
  <c r="CP233" i="4"/>
  <c r="CO233" i="4"/>
  <c r="CN233" i="4"/>
  <c r="CL233" i="4"/>
  <c r="CK233" i="4"/>
  <c r="CJ233" i="4"/>
  <c r="CI233" i="4"/>
  <c r="CG233" i="4"/>
  <c r="CF233" i="4"/>
  <c r="CE233" i="4"/>
  <c r="CD233" i="4"/>
  <c r="CB233" i="4"/>
  <c r="CA233" i="4"/>
  <c r="BZ233" i="4"/>
  <c r="BY233" i="4"/>
  <c r="BW233" i="4"/>
  <c r="BV233" i="4"/>
  <c r="BU233" i="4"/>
  <c r="BT233" i="4"/>
  <c r="BR233" i="4"/>
  <c r="BQ233" i="4"/>
  <c r="BP233" i="4"/>
  <c r="BO233" i="4"/>
  <c r="BM233" i="4"/>
  <c r="BL233" i="4"/>
  <c r="BK233" i="4"/>
  <c r="BJ233" i="4"/>
  <c r="DV134" i="2"/>
  <c r="DV159" i="2" s="1"/>
  <c r="DU134" i="2"/>
  <c r="DU159" i="2" s="1"/>
  <c r="DT134" i="2"/>
  <c r="DT159" i="2" s="1"/>
  <c r="DS134" i="2"/>
  <c r="DS159" i="2" s="1"/>
  <c r="DR134" i="2"/>
  <c r="DR159" i="2" s="1"/>
  <c r="DQ134" i="2"/>
  <c r="DQ159" i="2" s="1"/>
  <c r="DP134" i="2"/>
  <c r="DP159" i="2" s="1"/>
  <c r="DO134" i="2"/>
  <c r="DO159" i="2" s="1"/>
  <c r="DN134" i="2"/>
  <c r="DN159" i="2" s="1"/>
  <c r="DM134" i="2"/>
  <c r="DM159" i="2" s="1"/>
  <c r="DL134" i="2"/>
  <c r="DL159" i="2" s="1"/>
  <c r="DK134" i="2"/>
  <c r="DK159" i="2" s="1"/>
  <c r="DJ134" i="2"/>
  <c r="DJ159" i="2" s="1"/>
  <c r="DI134" i="2"/>
  <c r="DI159" i="2" s="1"/>
  <c r="DH134" i="2"/>
  <c r="DH159" i="2" s="1"/>
  <c r="DG134" i="2"/>
  <c r="DG159" i="2" s="1"/>
  <c r="DF134" i="2"/>
  <c r="DF159" i="2" s="1"/>
  <c r="DE134" i="2"/>
  <c r="DE159" i="2" s="1"/>
  <c r="DD134" i="2"/>
  <c r="DD159" i="2" s="1"/>
  <c r="DC134" i="2"/>
  <c r="DC159" i="2" s="1"/>
  <c r="DB134" i="2"/>
  <c r="DB159" i="2" s="1"/>
  <c r="DA134" i="2"/>
  <c r="DA159" i="2" s="1"/>
  <c r="CZ134" i="2"/>
  <c r="CZ159" i="2" s="1"/>
  <c r="CY134" i="2"/>
  <c r="CY159" i="2" s="1"/>
  <c r="CX134" i="2"/>
  <c r="CX159" i="2" s="1"/>
  <c r="CW134" i="2"/>
  <c r="CW159" i="2" s="1"/>
  <c r="CV134" i="2"/>
  <c r="CV159" i="2" s="1"/>
  <c r="CU134" i="2"/>
  <c r="CU159" i="2" s="1"/>
  <c r="CT134" i="2"/>
  <c r="CT159" i="2" s="1"/>
  <c r="CS134" i="2"/>
  <c r="CS159" i="2" s="1"/>
  <c r="CR134" i="2"/>
  <c r="CR159" i="2" s="1"/>
  <c r="CQ134" i="2"/>
  <c r="CQ159" i="2" s="1"/>
  <c r="CP134" i="2"/>
  <c r="CP159" i="2" s="1"/>
  <c r="CO134" i="2"/>
  <c r="CO159" i="2" s="1"/>
  <c r="CN134" i="2"/>
  <c r="CN159" i="2" s="1"/>
  <c r="CM134" i="2"/>
  <c r="CM159" i="2" s="1"/>
  <c r="CL134" i="2"/>
  <c r="CL159" i="2" s="1"/>
  <c r="CK134" i="2"/>
  <c r="CK159" i="2" s="1"/>
  <c r="CJ134" i="2"/>
  <c r="CJ159" i="2" s="1"/>
  <c r="CI134" i="2"/>
  <c r="CI159" i="2" s="1"/>
  <c r="CH134" i="2"/>
  <c r="CH159" i="2" s="1"/>
  <c r="CG134" i="2"/>
  <c r="CG159" i="2" s="1"/>
  <c r="CF134" i="2"/>
  <c r="CF159" i="2" s="1"/>
  <c r="CE134" i="2"/>
  <c r="CE159" i="2" s="1"/>
  <c r="CD134" i="2"/>
  <c r="CD159" i="2" s="1"/>
  <c r="CC134" i="2"/>
  <c r="CC159" i="2" s="1"/>
  <c r="CB134" i="2"/>
  <c r="CB159" i="2" s="1"/>
  <c r="CA134" i="2"/>
  <c r="CA159" i="2" s="1"/>
  <c r="BZ134" i="2"/>
  <c r="BZ159" i="2" s="1"/>
  <c r="BY134" i="2"/>
  <c r="BY159" i="2" s="1"/>
  <c r="BX134" i="2"/>
  <c r="BX159" i="2" s="1"/>
  <c r="BW134" i="2"/>
  <c r="BW159" i="2" s="1"/>
  <c r="BV134" i="2"/>
  <c r="BV159" i="2" s="1"/>
  <c r="BU134" i="2"/>
  <c r="BU159" i="2" s="1"/>
  <c r="BT134" i="2"/>
  <c r="BT159" i="2" s="1"/>
  <c r="BS134" i="2"/>
  <c r="BS159" i="2" s="1"/>
  <c r="BR134" i="2"/>
  <c r="BR159" i="2" s="1"/>
  <c r="BQ134" i="2"/>
  <c r="BQ159" i="2" s="1"/>
  <c r="BP134" i="2"/>
  <c r="BP159" i="2" s="1"/>
  <c r="BO134" i="2"/>
  <c r="BO159" i="2" s="1"/>
  <c r="BN134" i="2"/>
  <c r="BN159" i="2" s="1"/>
  <c r="BM134" i="2"/>
  <c r="BM159" i="2" s="1"/>
  <c r="BL134" i="2"/>
  <c r="BL159" i="2" s="1"/>
  <c r="BK134" i="2"/>
  <c r="BK159" i="2" s="1"/>
  <c r="BJ134" i="2"/>
  <c r="BJ159" i="2" s="1"/>
  <c r="DW134" i="2"/>
  <c r="DW159" i="2" s="1"/>
  <c r="DU92" i="2"/>
  <c r="DT92" i="2"/>
  <c r="DS92" i="2"/>
  <c r="DR92" i="2"/>
  <c r="DP92" i="2"/>
  <c r="DO92" i="2"/>
  <c r="DN92" i="2"/>
  <c r="DM92" i="2"/>
  <c r="DK92" i="2"/>
  <c r="DJ92" i="2"/>
  <c r="DI92" i="2"/>
  <c r="DH92" i="2"/>
  <c r="DF92" i="2"/>
  <c r="DE92" i="2"/>
  <c r="DD92" i="2"/>
  <c r="DC92" i="2"/>
  <c r="DA92" i="2"/>
  <c r="CZ92" i="2"/>
  <c r="CY92" i="2"/>
  <c r="CX92" i="2"/>
  <c r="CV92" i="2"/>
  <c r="CU92" i="2"/>
  <c r="CT92" i="2"/>
  <c r="CS92" i="2"/>
  <c r="CQ92" i="2"/>
  <c r="CP92" i="2"/>
  <c r="CO92" i="2"/>
  <c r="CN92" i="2"/>
  <c r="CL92" i="2"/>
  <c r="CK92" i="2"/>
  <c r="CJ92" i="2"/>
  <c r="CI92" i="2"/>
  <c r="CG92" i="2"/>
  <c r="CF92" i="2"/>
  <c r="CE92" i="2"/>
  <c r="CD92" i="2"/>
  <c r="CB92" i="2"/>
  <c r="CA92" i="2"/>
  <c r="BZ92" i="2"/>
  <c r="BY92" i="2"/>
  <c r="BW92" i="2"/>
  <c r="BV92" i="2"/>
  <c r="BU92" i="2"/>
  <c r="BT92" i="2"/>
  <c r="BR92" i="2"/>
  <c r="BQ92" i="2"/>
  <c r="BP92" i="2"/>
  <c r="BO92" i="2"/>
  <c r="BM92" i="2"/>
  <c r="BL92" i="2"/>
  <c r="BK92" i="2"/>
  <c r="BJ92" i="2"/>
  <c r="DW92" i="2"/>
  <c r="CH47" i="7" l="1"/>
  <c r="DQ98" i="7"/>
  <c r="DB98" i="7"/>
  <c r="CM98" i="7"/>
  <c r="DL98" i="7"/>
  <c r="DV98" i="7"/>
  <c r="DG98" i="7"/>
  <c r="BQ153" i="7"/>
  <c r="BY153" i="7"/>
  <c r="CG153" i="7"/>
  <c r="CO153" i="7"/>
  <c r="DE153" i="7"/>
  <c r="DM153" i="7"/>
  <c r="BV153" i="7"/>
  <c r="CD153" i="7"/>
  <c r="CL153" i="7"/>
  <c r="CT153" i="7"/>
  <c r="DJ153" i="7"/>
  <c r="DR153" i="7"/>
  <c r="BL153" i="7"/>
  <c r="BT153" i="7"/>
  <c r="CB153" i="7"/>
  <c r="CJ153" i="7"/>
  <c r="CZ153" i="7"/>
  <c r="DH153" i="7"/>
  <c r="DP153" i="7"/>
  <c r="BK153" i="7"/>
  <c r="CA153" i="7"/>
  <c r="CI153" i="7"/>
  <c r="CY153" i="7"/>
  <c r="DO153" i="7"/>
  <c r="DW153" i="7"/>
  <c r="BM153" i="7"/>
  <c r="BU153" i="7"/>
  <c r="CK153" i="7"/>
  <c r="CS153" i="7"/>
  <c r="DA153" i="7"/>
  <c r="DI153" i="7"/>
  <c r="BN153" i="7"/>
  <c r="DL52" i="8"/>
  <c r="CW52" i="8"/>
  <c r="DB52" i="8"/>
  <c r="DQ52" i="8"/>
  <c r="DG52" i="8"/>
  <c r="CR15" i="7"/>
  <c r="BN98" i="7"/>
  <c r="BO153" i="7"/>
  <c r="BW153" i="7"/>
  <c r="CE153" i="7"/>
  <c r="CU153" i="7"/>
  <c r="DC153" i="7"/>
  <c r="DK153" i="7"/>
  <c r="DS153" i="7"/>
  <c r="CW98" i="7"/>
  <c r="BJ153" i="7"/>
  <c r="BR153" i="7"/>
  <c r="BZ153" i="7"/>
  <c r="CP153" i="7"/>
  <c r="CX153" i="7"/>
  <c r="DF153" i="7"/>
  <c r="DN153" i="7"/>
  <c r="BP153" i="7"/>
  <c r="CF153" i="7"/>
  <c r="CN153" i="7"/>
  <c r="CV153" i="7"/>
  <c r="DD153" i="7"/>
  <c r="DT153" i="7"/>
  <c r="BS98" i="7"/>
  <c r="CH98" i="7"/>
  <c r="DB15" i="7"/>
  <c r="BX98" i="7"/>
  <c r="BN15" i="7"/>
  <c r="CH15" i="7"/>
  <c r="CW15" i="7"/>
  <c r="DV15" i="7"/>
  <c r="CR98" i="7"/>
  <c r="CC98" i="7"/>
  <c r="BS15" i="7"/>
  <c r="CM15" i="7"/>
  <c r="DL15" i="7"/>
  <c r="CC15" i="7"/>
  <c r="BX15" i="7"/>
  <c r="DG15" i="7"/>
  <c r="DQ15" i="7"/>
  <c r="CQ178" i="3" l="1"/>
  <c r="CQ177" i="3"/>
  <c r="CQ175" i="3"/>
  <c r="CQ176" i="3"/>
  <c r="CQ174" i="3"/>
  <c r="CQ173" i="3"/>
  <c r="CQ172" i="3"/>
  <c r="CQ186" i="3"/>
  <c r="CQ188" i="3"/>
  <c r="CQ193" i="3"/>
  <c r="CQ166" i="3"/>
  <c r="CQ150" i="3"/>
  <c r="CQ149" i="3"/>
  <c r="CQ148" i="3"/>
  <c r="CQ147" i="3"/>
  <c r="CQ146" i="3"/>
  <c r="CQ145" i="3"/>
  <c r="CQ144" i="3"/>
  <c r="CQ158" i="3"/>
  <c r="CQ160" i="3"/>
  <c r="CQ165" i="3"/>
  <c r="CQ121" i="3"/>
  <c r="CQ120" i="3"/>
  <c r="CQ119" i="3"/>
  <c r="CQ118" i="3"/>
  <c r="CQ117" i="3"/>
  <c r="CQ116" i="3"/>
  <c r="CQ130" i="3"/>
  <c r="CQ137" i="3"/>
  <c r="CQ94" i="3"/>
  <c r="CQ108" i="3"/>
  <c r="CQ93" i="3"/>
  <c r="CQ92" i="3"/>
  <c r="CQ91" i="3"/>
  <c r="CQ90" i="3"/>
  <c r="CQ89" i="3"/>
  <c r="CQ88" i="3"/>
  <c r="CQ102" i="3"/>
  <c r="CQ104" i="3"/>
  <c r="CQ109" i="3"/>
  <c r="CQ110" i="3"/>
  <c r="CQ66" i="3"/>
  <c r="CQ65" i="3"/>
  <c r="CQ64" i="3"/>
  <c r="CQ63" i="3"/>
  <c r="CQ62" i="3"/>
  <c r="CQ61" i="3"/>
  <c r="CQ60" i="3"/>
  <c r="CQ76" i="3"/>
  <c r="CQ74" i="3"/>
  <c r="CQ81" i="3"/>
  <c r="CQ38" i="3"/>
  <c r="CQ37" i="3"/>
  <c r="CQ36" i="3"/>
  <c r="CQ35" i="3"/>
  <c r="CQ34" i="3"/>
  <c r="CQ33" i="3"/>
  <c r="CQ32" i="3"/>
  <c r="CQ48" i="3"/>
  <c r="CQ46" i="3"/>
  <c r="CQ53" i="3"/>
  <c r="CQ25" i="3"/>
  <c r="CQ23" i="3"/>
  <c r="CQ9" i="3"/>
  <c r="CQ8" i="3"/>
  <c r="CQ7" i="3"/>
  <c r="CQ6" i="3"/>
  <c r="CQ5" i="3"/>
  <c r="CQ4" i="3"/>
  <c r="CQ3" i="3"/>
  <c r="CQ19" i="3"/>
  <c r="CQ17" i="3"/>
  <c r="CQ24" i="3"/>
  <c r="CP25" i="4"/>
  <c r="CO25" i="4"/>
  <c r="CQ138" i="4"/>
  <c r="CQ205" i="4"/>
  <c r="CQ204" i="4"/>
  <c r="CQ203" i="4"/>
  <c r="CQ202" i="4"/>
  <c r="CQ201" i="4"/>
  <c r="CQ200" i="4"/>
  <c r="CQ172" i="4"/>
  <c r="CQ178" i="4"/>
  <c r="CQ177" i="4"/>
  <c r="CQ176" i="4"/>
  <c r="CQ175" i="4"/>
  <c r="CQ174" i="4"/>
  <c r="CQ173" i="4"/>
  <c r="CQ188" i="4"/>
  <c r="CQ186" i="4"/>
  <c r="CQ145" i="4"/>
  <c r="CQ166" i="4"/>
  <c r="CQ150" i="4"/>
  <c r="CQ149" i="4"/>
  <c r="CQ148" i="4"/>
  <c r="CQ147" i="4"/>
  <c r="CQ146" i="4"/>
  <c r="CQ144" i="4"/>
  <c r="CQ160" i="4"/>
  <c r="CQ158" i="4"/>
  <c r="CQ122" i="4"/>
  <c r="CQ121" i="4"/>
  <c r="CQ120" i="4"/>
  <c r="CQ119" i="4"/>
  <c r="CQ118" i="4"/>
  <c r="CQ117" i="4"/>
  <c r="CQ116" i="4"/>
  <c r="CQ132" i="4"/>
  <c r="CQ130" i="4"/>
  <c r="CQ94" i="4"/>
  <c r="CQ93" i="4"/>
  <c r="CQ92" i="4"/>
  <c r="CQ91" i="4"/>
  <c r="CQ90" i="4"/>
  <c r="CQ89" i="4"/>
  <c r="CQ88" i="4"/>
  <c r="CQ104" i="4"/>
  <c r="CQ102" i="4"/>
  <c r="CQ110" i="4"/>
  <c r="CR82" i="4"/>
  <c r="CR81" i="4"/>
  <c r="CR76" i="4"/>
  <c r="CR74" i="4"/>
  <c r="CR66" i="4"/>
  <c r="CR65" i="4"/>
  <c r="CR64" i="4"/>
  <c r="CR63" i="4"/>
  <c r="CR62" i="4"/>
  <c r="CR61" i="4"/>
  <c r="CR60" i="4"/>
  <c r="CQ38" i="4"/>
  <c r="CQ37" i="4"/>
  <c r="CQ36" i="4"/>
  <c r="CQ35" i="4"/>
  <c r="CQ44" i="5" s="1"/>
  <c r="CQ153" i="7" s="1"/>
  <c r="CQ34" i="4"/>
  <c r="CQ33" i="4"/>
  <c r="CQ15" i="5" s="1"/>
  <c r="CQ32" i="4"/>
  <c r="CQ48" i="4"/>
  <c r="CQ46" i="4"/>
  <c r="CQ19" i="4"/>
  <c r="CQ17" i="4"/>
  <c r="CQ9" i="4"/>
  <c r="CQ8" i="4"/>
  <c r="CQ7" i="4"/>
  <c r="CQ6" i="4"/>
  <c r="CQ5" i="4"/>
  <c r="CQ4" i="4"/>
  <c r="CQ3" i="4"/>
  <c r="CT136" i="3"/>
  <c r="CU136" i="3" s="1"/>
  <c r="CT186" i="3"/>
  <c r="CT192" i="3"/>
  <c r="CU192" i="3" s="1"/>
  <c r="CV192" i="3" s="1"/>
  <c r="CT150" i="3"/>
  <c r="CU150" i="3" s="1"/>
  <c r="CV150" i="3" s="1"/>
  <c r="CT149" i="3"/>
  <c r="CT148" i="3"/>
  <c r="CU148" i="3" s="1"/>
  <c r="CV148" i="3" s="1"/>
  <c r="CT147" i="3"/>
  <c r="CT146" i="3"/>
  <c r="CU146" i="3" s="1"/>
  <c r="CT145" i="3"/>
  <c r="CU145" i="3" s="1"/>
  <c r="CV145" i="3" s="1"/>
  <c r="CT144" i="3"/>
  <c r="CT160" i="3"/>
  <c r="CU160" i="3" s="1"/>
  <c r="CV160" i="3" s="1"/>
  <c r="CT166" i="3"/>
  <c r="CU166" i="3" s="1"/>
  <c r="CT165" i="3"/>
  <c r="CT158" i="3"/>
  <c r="CT130" i="3"/>
  <c r="CT108" i="3"/>
  <c r="CU108" i="3" s="1"/>
  <c r="CT104" i="3"/>
  <c r="CT102" i="3"/>
  <c r="CU102" i="3" s="1"/>
  <c r="CV102" i="3" s="1"/>
  <c r="CT80" i="3"/>
  <c r="CU80" i="3" s="1"/>
  <c r="CV80" i="3" s="1"/>
  <c r="CT74" i="3"/>
  <c r="CU74" i="3" s="1"/>
  <c r="CV74" i="3" s="1"/>
  <c r="CT46" i="3"/>
  <c r="CU46" i="3" s="1"/>
  <c r="CT53" i="3"/>
  <c r="CT52" i="3"/>
  <c r="CU52" i="3" s="1"/>
  <c r="CV52" i="3" s="1"/>
  <c r="CT9" i="3"/>
  <c r="CT8" i="3"/>
  <c r="CT7" i="3"/>
  <c r="CU7" i="3" s="1"/>
  <c r="CV7" i="3" s="1"/>
  <c r="CT6" i="3"/>
  <c r="CU6" i="3" s="1"/>
  <c r="CT5" i="3"/>
  <c r="CU5" i="3" s="1"/>
  <c r="CT4" i="3"/>
  <c r="CU4" i="3" s="1"/>
  <c r="CT3" i="3"/>
  <c r="CU3" i="3" s="1"/>
  <c r="CT19" i="3"/>
  <c r="CU19" i="3" s="1"/>
  <c r="CV19" i="3" s="1"/>
  <c r="CT23" i="3"/>
  <c r="CU23" i="3" s="1"/>
  <c r="CV23" i="3" s="1"/>
  <c r="CT25" i="3"/>
  <c r="CT24" i="3"/>
  <c r="CT17" i="3"/>
  <c r="CU17" i="3" s="1"/>
  <c r="CT9" i="4"/>
  <c r="CS186" i="4"/>
  <c r="CT186" i="4" s="1"/>
  <c r="CS158" i="4"/>
  <c r="CT158" i="4" s="1"/>
  <c r="CS130" i="4"/>
  <c r="CT130" i="4" s="1"/>
  <c r="CS102" i="4"/>
  <c r="CT102" i="4" s="1"/>
  <c r="CU102" i="4" s="1"/>
  <c r="CV102" i="4" s="1"/>
  <c r="CS74" i="4"/>
  <c r="CT74" i="4" s="1"/>
  <c r="CS46" i="4"/>
  <c r="CT46" i="4" s="1"/>
  <c r="CU46" i="4" s="1"/>
  <c r="CS17" i="4"/>
  <c r="CT17" i="4" s="1"/>
  <c r="CU17" i="4" s="1"/>
  <c r="CS111" i="2"/>
  <c r="CT111" i="2" s="1"/>
  <c r="CV9" i="2"/>
  <c r="CV8" i="2"/>
  <c r="CV7" i="2"/>
  <c r="CV6" i="2"/>
  <c r="CV5" i="2"/>
  <c r="CV4" i="2"/>
  <c r="CV3" i="2"/>
  <c r="CV72" i="2"/>
  <c r="CU113" i="2"/>
  <c r="CV113" i="2" s="1"/>
  <c r="CU22" i="2"/>
  <c r="CV22" i="2" s="1"/>
  <c r="CU19" i="2"/>
  <c r="CV19" i="2" s="1"/>
  <c r="CT21" i="2"/>
  <c r="CT17" i="2"/>
  <c r="CT67" i="2" s="1"/>
  <c r="CQ25" i="4" l="1"/>
  <c r="CV6" i="3"/>
  <c r="CV3" i="3"/>
  <c r="CV136" i="3"/>
  <c r="CU158" i="4"/>
  <c r="CV158" i="4" s="1"/>
  <c r="CU186" i="4"/>
  <c r="CV186" i="4" s="1"/>
  <c r="CQ233" i="4"/>
  <c r="CU144" i="3"/>
  <c r="CV144" i="3" s="1"/>
  <c r="CV146" i="3"/>
  <c r="CU158" i="3"/>
  <c r="CV158" i="3" s="1"/>
  <c r="CU130" i="3"/>
  <c r="CV130" i="3" s="1"/>
  <c r="CU25" i="3"/>
  <c r="CV25" i="3" s="1"/>
  <c r="CU8" i="3"/>
  <c r="CV8" i="3" s="1"/>
  <c r="CV4" i="3"/>
  <c r="CU24" i="3"/>
  <c r="CV24" i="3" s="1"/>
  <c r="CU9" i="3"/>
  <c r="CV9" i="3" s="1"/>
  <c r="CV5" i="3"/>
  <c r="CV17" i="3"/>
  <c r="CQ214" i="4"/>
  <c r="CU130" i="4"/>
  <c r="CV130" i="4" s="1"/>
  <c r="CU74" i="4"/>
  <c r="CV46" i="4"/>
  <c r="CU21" i="2"/>
  <c r="CV21" i="2" s="1"/>
  <c r="CU111" i="2"/>
  <c r="CV111" i="2" s="1"/>
  <c r="CU17" i="2"/>
  <c r="CV17" i="4"/>
  <c r="CU186" i="3"/>
  <c r="CV186" i="3" s="1"/>
  <c r="CU147" i="3"/>
  <c r="CV147" i="3" s="1"/>
  <c r="CU149" i="3"/>
  <c r="CV149" i="3" s="1"/>
  <c r="CU165" i="3"/>
  <c r="CV165" i="3" s="1"/>
  <c r="CV108" i="3"/>
  <c r="CV46" i="3"/>
  <c r="CV17" i="2" l="1"/>
  <c r="CV67" i="2" s="1"/>
  <c r="CU67" i="2"/>
  <c r="CV74" i="4"/>
  <c r="CW74" i="4" s="1"/>
  <c r="CK37" i="7"/>
  <c r="CM37" i="7" s="1"/>
  <c r="CJ52" i="7" l="1"/>
  <c r="CJ35" i="7"/>
  <c r="CK35" i="7" s="1"/>
  <c r="CJ34" i="7"/>
  <c r="CK34" i="7" s="1"/>
  <c r="CJ33" i="7"/>
  <c r="CK33" i="7" s="1"/>
  <c r="CJ32" i="7"/>
  <c r="CK32" i="7" s="1"/>
  <c r="CJ31" i="7"/>
  <c r="CK31" i="7" s="1"/>
  <c r="CJ47" i="7"/>
  <c r="CJ45" i="7"/>
  <c r="CJ36" i="7"/>
  <c r="CK36" i="7" s="1"/>
  <c r="CK45" i="7" l="1"/>
  <c r="CL45" i="7"/>
  <c r="CK47" i="7"/>
  <c r="CL47" i="7" s="1"/>
  <c r="CK52" i="7"/>
  <c r="CL52" i="7" s="1"/>
  <c r="CO46" i="7"/>
  <c r="CO50" i="7"/>
  <c r="CO37" i="7"/>
  <c r="CO36" i="7"/>
  <c r="CP36" i="7" s="1"/>
  <c r="CO35" i="7"/>
  <c r="CO34" i="7"/>
  <c r="CP34" i="7" s="1"/>
  <c r="CO33" i="7"/>
  <c r="CO32" i="7"/>
  <c r="CO31" i="7"/>
  <c r="CP31" i="7" s="1"/>
  <c r="CO47" i="7"/>
  <c r="CP47" i="7" s="1"/>
  <c r="CQ47" i="7" s="1"/>
  <c r="CO45" i="7"/>
  <c r="CP45" i="7" s="1"/>
  <c r="CQ45" i="7" s="1"/>
  <c r="CO51" i="7"/>
  <c r="CO52" i="7"/>
  <c r="CM45" i="7" l="1"/>
  <c r="CM47" i="7"/>
  <c r="CM52" i="7"/>
  <c r="CQ31" i="7"/>
  <c r="CP52" i="7"/>
  <c r="CQ52" i="7" s="1"/>
  <c r="CP33" i="7"/>
  <c r="CQ33" i="7" s="1"/>
  <c r="CP32" i="7"/>
  <c r="CQ32" i="7" s="1"/>
  <c r="CP37" i="7"/>
  <c r="CQ37" i="7" s="1"/>
  <c r="CQ36" i="7"/>
  <c r="CP35" i="7"/>
  <c r="CQ35" i="7" s="1"/>
  <c r="CP51" i="7"/>
  <c r="CQ51" i="7" s="1"/>
  <c r="CQ34" i="7"/>
  <c r="DE46" i="7"/>
  <c r="CY52" i="7" l="1"/>
  <c r="BN108" i="7" l="1"/>
  <c r="BM108" i="7"/>
  <c r="BL108" i="7"/>
  <c r="BK108" i="7"/>
  <c r="BJ108" i="7"/>
  <c r="BN107" i="7"/>
  <c r="BM107" i="7"/>
  <c r="BL107" i="7"/>
  <c r="BK107" i="7"/>
  <c r="BJ107" i="7"/>
  <c r="BN106" i="7"/>
  <c r="BM106" i="7"/>
  <c r="BL106" i="7"/>
  <c r="BK106" i="7"/>
  <c r="BJ106" i="7"/>
  <c r="BN105" i="7"/>
  <c r="BM105" i="7"/>
  <c r="BL105" i="7"/>
  <c r="BK105" i="7"/>
  <c r="BJ105" i="7"/>
  <c r="BN104" i="7"/>
  <c r="BM104" i="7"/>
  <c r="BL104" i="7"/>
  <c r="BK104" i="7"/>
  <c r="BJ104" i="7"/>
  <c r="BN103" i="7"/>
  <c r="BM103" i="7"/>
  <c r="BL103" i="7"/>
  <c r="BK103" i="7"/>
  <c r="BJ103" i="7"/>
  <c r="BN102" i="7"/>
  <c r="BM102" i="7"/>
  <c r="BL102" i="7"/>
  <c r="BK102" i="7"/>
  <c r="BJ102" i="7"/>
  <c r="BN101" i="7"/>
  <c r="BM101" i="7"/>
  <c r="BL101" i="7"/>
  <c r="BK101" i="7"/>
  <c r="BJ101" i="7"/>
  <c r="BN100" i="7"/>
  <c r="BM100" i="7"/>
  <c r="BL100" i="7"/>
  <c r="BK100" i="7"/>
  <c r="BJ100" i="7"/>
  <c r="BS108" i="7"/>
  <c r="BR108" i="7"/>
  <c r="BQ108" i="7"/>
  <c r="BP108" i="7"/>
  <c r="BO108" i="7"/>
  <c r="BS107" i="7"/>
  <c r="BR107" i="7"/>
  <c r="BQ107" i="7"/>
  <c r="BP107" i="7"/>
  <c r="BO107" i="7"/>
  <c r="BS106" i="7"/>
  <c r="BR106" i="7"/>
  <c r="BQ106" i="7"/>
  <c r="BP106" i="7"/>
  <c r="BO106" i="7"/>
  <c r="BS105" i="7"/>
  <c r="BR105" i="7"/>
  <c r="BQ105" i="7"/>
  <c r="BP105" i="7"/>
  <c r="BO105" i="7"/>
  <c r="BS104" i="7"/>
  <c r="BR104" i="7"/>
  <c r="BQ104" i="7"/>
  <c r="BP104" i="7"/>
  <c r="BO104" i="7"/>
  <c r="BS103" i="7"/>
  <c r="BR103" i="7"/>
  <c r="BQ103" i="7"/>
  <c r="BP103" i="7"/>
  <c r="BO103" i="7"/>
  <c r="BS102" i="7"/>
  <c r="BR102" i="7"/>
  <c r="BQ102" i="7"/>
  <c r="BP102" i="7"/>
  <c r="BO102" i="7"/>
  <c r="BS101" i="7"/>
  <c r="BR101" i="7"/>
  <c r="BQ101" i="7"/>
  <c r="BP101" i="7"/>
  <c r="BO101" i="7"/>
  <c r="BS100" i="7"/>
  <c r="BR100" i="7"/>
  <c r="BQ100" i="7"/>
  <c r="BP100" i="7"/>
  <c r="BO100" i="7"/>
  <c r="BX108" i="7"/>
  <c r="BW108" i="7"/>
  <c r="BV108" i="7"/>
  <c r="BU108" i="7"/>
  <c r="BT108" i="7"/>
  <c r="BX107" i="7"/>
  <c r="BW107" i="7"/>
  <c r="BV107" i="7"/>
  <c r="BU107" i="7"/>
  <c r="BT107" i="7"/>
  <c r="BX106" i="7"/>
  <c r="BW106" i="7"/>
  <c r="BV106" i="7"/>
  <c r="BU106" i="7"/>
  <c r="BT106" i="7"/>
  <c r="BX105" i="7"/>
  <c r="BW105" i="7"/>
  <c r="BV105" i="7"/>
  <c r="BU105" i="7"/>
  <c r="BT105" i="7"/>
  <c r="BX104" i="7"/>
  <c r="BW104" i="7"/>
  <c r="BV104" i="7"/>
  <c r="BU104" i="7"/>
  <c r="BT104" i="7"/>
  <c r="BX103" i="7"/>
  <c r="BW103" i="7"/>
  <c r="BV103" i="7"/>
  <c r="BU103" i="7"/>
  <c r="BT103" i="7"/>
  <c r="BX102" i="7"/>
  <c r="BW102" i="7"/>
  <c r="BV102" i="7"/>
  <c r="BU102" i="7"/>
  <c r="BT102" i="7"/>
  <c r="BX101" i="7"/>
  <c r="BW101" i="7"/>
  <c r="BV101" i="7"/>
  <c r="BU101" i="7"/>
  <c r="BT101" i="7"/>
  <c r="BX100" i="7"/>
  <c r="BW100" i="7"/>
  <c r="BV100" i="7"/>
  <c r="BU100" i="7"/>
  <c r="BT100" i="7"/>
  <c r="CC108" i="7"/>
  <c r="CB108" i="7"/>
  <c r="CA108" i="7"/>
  <c r="BZ108" i="7"/>
  <c r="BY108" i="7"/>
  <c r="CC107" i="7"/>
  <c r="CB107" i="7"/>
  <c r="CA107" i="7"/>
  <c r="BZ107" i="7"/>
  <c r="BY107" i="7"/>
  <c r="CC106" i="7"/>
  <c r="CB106" i="7"/>
  <c r="CA106" i="7"/>
  <c r="BZ106" i="7"/>
  <c r="BY106" i="7"/>
  <c r="CC105" i="7"/>
  <c r="CB105" i="7"/>
  <c r="CA105" i="7"/>
  <c r="BZ105" i="7"/>
  <c r="BY105" i="7"/>
  <c r="CC104" i="7"/>
  <c r="CB104" i="7"/>
  <c r="CA104" i="7"/>
  <c r="BZ104" i="7"/>
  <c r="BY104" i="7"/>
  <c r="CC103" i="7"/>
  <c r="CB103" i="7"/>
  <c r="CA103" i="7"/>
  <c r="BZ103" i="7"/>
  <c r="BY103" i="7"/>
  <c r="CC102" i="7"/>
  <c r="CB102" i="7"/>
  <c r="CA102" i="7"/>
  <c r="BZ102" i="7"/>
  <c r="BY102" i="7"/>
  <c r="CC101" i="7"/>
  <c r="CB101" i="7"/>
  <c r="CA101" i="7"/>
  <c r="BZ101" i="7"/>
  <c r="BY101" i="7"/>
  <c r="CC100" i="7"/>
  <c r="CB100" i="7"/>
  <c r="CA100" i="7"/>
  <c r="BZ100" i="7"/>
  <c r="BY100" i="7"/>
  <c r="CH108" i="7"/>
  <c r="CG108" i="7"/>
  <c r="CF108" i="7"/>
  <c r="CE108" i="7"/>
  <c r="CD108" i="7"/>
  <c r="CH107" i="7"/>
  <c r="CG107" i="7"/>
  <c r="CF107" i="7"/>
  <c r="CE107" i="7"/>
  <c r="CH106" i="7"/>
  <c r="CG106" i="7"/>
  <c r="CF106" i="7"/>
  <c r="CE106" i="7"/>
  <c r="CD106" i="7"/>
  <c r="CH105" i="7"/>
  <c r="CG105" i="7"/>
  <c r="CF105" i="7"/>
  <c r="CE105" i="7"/>
  <c r="CD105" i="7"/>
  <c r="CH104" i="7"/>
  <c r="CG104" i="7"/>
  <c r="CF104" i="7"/>
  <c r="CE104" i="7"/>
  <c r="CD104" i="7"/>
  <c r="CH103" i="7"/>
  <c r="CG103" i="7"/>
  <c r="CF103" i="7"/>
  <c r="CE103" i="7"/>
  <c r="CD103" i="7"/>
  <c r="CH102" i="7"/>
  <c r="CG102" i="7"/>
  <c r="CF102" i="7"/>
  <c r="CE102" i="7"/>
  <c r="CD102" i="7"/>
  <c r="CH101" i="7"/>
  <c r="CG101" i="7"/>
  <c r="CF101" i="7"/>
  <c r="CE101" i="7"/>
  <c r="CD101" i="7"/>
  <c r="CH100" i="7"/>
  <c r="CG100" i="7"/>
  <c r="CF100" i="7"/>
  <c r="CE100" i="7"/>
  <c r="CD100" i="7"/>
  <c r="CL108" i="7"/>
  <c r="CK108" i="7"/>
  <c r="CJ108" i="7"/>
  <c r="CI108" i="7"/>
  <c r="CM108" i="7" s="1"/>
  <c r="CK107" i="7"/>
  <c r="CJ107" i="7"/>
  <c r="CI107" i="7"/>
  <c r="CL106" i="7"/>
  <c r="CK106" i="7"/>
  <c r="CJ106" i="7"/>
  <c r="CI106" i="7"/>
  <c r="CL105" i="7"/>
  <c r="CK105" i="7"/>
  <c r="CJ105" i="7"/>
  <c r="CI105" i="7"/>
  <c r="CM105" i="7" s="1"/>
  <c r="CL104" i="7"/>
  <c r="CK104" i="7"/>
  <c r="CJ104" i="7"/>
  <c r="CI104" i="7"/>
  <c r="CL103" i="7"/>
  <c r="CK103" i="7"/>
  <c r="CJ103" i="7"/>
  <c r="CI103" i="7"/>
  <c r="CL102" i="7"/>
  <c r="CK102" i="7"/>
  <c r="CJ102" i="7"/>
  <c r="CI102" i="7"/>
  <c r="CL101" i="7"/>
  <c r="CK101" i="7"/>
  <c r="CJ101" i="7"/>
  <c r="CI101" i="7"/>
  <c r="CL100" i="7"/>
  <c r="CK100" i="7"/>
  <c r="CJ100" i="7"/>
  <c r="CI100" i="7"/>
  <c r="CQ108" i="7"/>
  <c r="CP108" i="7"/>
  <c r="CO108" i="7"/>
  <c r="CN108" i="7"/>
  <c r="CQ107" i="7"/>
  <c r="CP107" i="7"/>
  <c r="CN107" i="7"/>
  <c r="CQ106" i="7"/>
  <c r="CP106" i="7"/>
  <c r="CO106" i="7"/>
  <c r="CN106" i="7"/>
  <c r="CQ105" i="7"/>
  <c r="CP105" i="7"/>
  <c r="CN105" i="7"/>
  <c r="CQ104" i="7"/>
  <c r="CP104" i="7"/>
  <c r="CO104" i="7"/>
  <c r="CN104" i="7"/>
  <c r="CQ103" i="7"/>
  <c r="CP103" i="7"/>
  <c r="CO103" i="7"/>
  <c r="CN103" i="7"/>
  <c r="CQ102" i="7"/>
  <c r="CP102" i="7"/>
  <c r="CO102" i="7"/>
  <c r="CN102" i="7"/>
  <c r="CQ101" i="7"/>
  <c r="CP101" i="7"/>
  <c r="CO101" i="7"/>
  <c r="CN101" i="7"/>
  <c r="CQ100" i="7"/>
  <c r="CP100" i="7"/>
  <c r="CO100" i="7"/>
  <c r="CN100" i="7"/>
  <c r="CV108" i="7"/>
  <c r="CU108" i="7"/>
  <c r="CT108" i="7"/>
  <c r="CS108" i="7"/>
  <c r="CV107" i="7"/>
  <c r="CU107" i="7"/>
  <c r="CT107" i="7"/>
  <c r="CS107" i="7"/>
  <c r="CV106" i="7"/>
  <c r="CU106" i="7"/>
  <c r="CT106" i="7"/>
  <c r="CS106" i="7"/>
  <c r="CV105" i="7"/>
  <c r="CU105" i="7"/>
  <c r="CT105" i="7"/>
  <c r="CS105" i="7"/>
  <c r="CV104" i="7"/>
  <c r="CU104" i="7"/>
  <c r="CT104" i="7"/>
  <c r="CS104" i="7"/>
  <c r="CV103" i="7"/>
  <c r="CU103" i="7"/>
  <c r="CT103" i="7"/>
  <c r="CS103" i="7"/>
  <c r="CV102" i="7"/>
  <c r="CU102" i="7"/>
  <c r="CT102" i="7"/>
  <c r="CS102" i="7"/>
  <c r="CV101" i="7"/>
  <c r="CU101" i="7"/>
  <c r="CT101" i="7"/>
  <c r="CS101" i="7"/>
  <c r="CV100" i="7"/>
  <c r="CU100" i="7"/>
  <c r="CT100" i="7"/>
  <c r="CS100" i="7"/>
  <c r="DA108" i="7"/>
  <c r="CZ108" i="7"/>
  <c r="CY108" i="7"/>
  <c r="CX108" i="7"/>
  <c r="DA107" i="7"/>
  <c r="CZ107" i="7"/>
  <c r="CY107" i="7"/>
  <c r="CX107" i="7"/>
  <c r="DA106" i="7"/>
  <c r="CZ106" i="7"/>
  <c r="CY106" i="7"/>
  <c r="CX106" i="7"/>
  <c r="DA105" i="7"/>
  <c r="CZ105" i="7"/>
  <c r="CY105" i="7"/>
  <c r="CX105" i="7"/>
  <c r="DA104" i="7"/>
  <c r="CZ104" i="7"/>
  <c r="CY104" i="7"/>
  <c r="CX104" i="7"/>
  <c r="DA103" i="7"/>
  <c r="CZ103" i="7"/>
  <c r="CY103" i="7"/>
  <c r="CX103" i="7"/>
  <c r="DA102" i="7"/>
  <c r="CZ102" i="7"/>
  <c r="CY102" i="7"/>
  <c r="CX102" i="7"/>
  <c r="DA101" i="7"/>
  <c r="CZ101" i="7"/>
  <c r="CY101" i="7"/>
  <c r="CX101" i="7"/>
  <c r="DA100" i="7"/>
  <c r="CZ100" i="7"/>
  <c r="CY100" i="7"/>
  <c r="CX100" i="7"/>
  <c r="DE108" i="7"/>
  <c r="DD108" i="7"/>
  <c r="DC108" i="7"/>
  <c r="DD107" i="7"/>
  <c r="DC107" i="7"/>
  <c r="DE106" i="7"/>
  <c r="DD106" i="7"/>
  <c r="DC106" i="7"/>
  <c r="DF105" i="7"/>
  <c r="DE105" i="7"/>
  <c r="DD105" i="7"/>
  <c r="DC105" i="7"/>
  <c r="DF104" i="7"/>
  <c r="DE104" i="7"/>
  <c r="DD104" i="7"/>
  <c r="DC104" i="7"/>
  <c r="DF103" i="7"/>
  <c r="DE103" i="7"/>
  <c r="DD103" i="7"/>
  <c r="DC103" i="7"/>
  <c r="DD102" i="7"/>
  <c r="DC102" i="7"/>
  <c r="DF101" i="7"/>
  <c r="DE101" i="7"/>
  <c r="DD101" i="7"/>
  <c r="DC101" i="7"/>
  <c r="DE100" i="7"/>
  <c r="DD100" i="7"/>
  <c r="DC100" i="7"/>
  <c r="DK108" i="7"/>
  <c r="DJ108" i="7"/>
  <c r="DI108" i="7"/>
  <c r="DH108" i="7"/>
  <c r="DH107" i="7"/>
  <c r="DL107" i="7" s="1"/>
  <c r="DK106" i="7"/>
  <c r="DJ106" i="7"/>
  <c r="DI106" i="7"/>
  <c r="DH106" i="7"/>
  <c r="DK105" i="7"/>
  <c r="DJ105" i="7"/>
  <c r="DI105" i="7"/>
  <c r="DH105" i="7"/>
  <c r="DL105" i="7" s="1"/>
  <c r="DK104" i="7"/>
  <c r="DJ104" i="7"/>
  <c r="DI104" i="7"/>
  <c r="DH104" i="7"/>
  <c r="DK103" i="7"/>
  <c r="DJ103" i="7"/>
  <c r="DI103" i="7"/>
  <c r="DH103" i="7"/>
  <c r="DK102" i="7"/>
  <c r="DJ102" i="7"/>
  <c r="DI102" i="7"/>
  <c r="DH102" i="7"/>
  <c r="DK101" i="7"/>
  <c r="DJ101" i="7"/>
  <c r="DI101" i="7"/>
  <c r="DH101" i="7"/>
  <c r="DJ100" i="7"/>
  <c r="DI100" i="7"/>
  <c r="DH100" i="7"/>
  <c r="DP108" i="7"/>
  <c r="DO108" i="7"/>
  <c r="DN108" i="7"/>
  <c r="DM108" i="7"/>
  <c r="DN107" i="7"/>
  <c r="DM107" i="7"/>
  <c r="DP106" i="7"/>
  <c r="DO106" i="7"/>
  <c r="DN106" i="7"/>
  <c r="DM106" i="7"/>
  <c r="DP105" i="7"/>
  <c r="DO105" i="7"/>
  <c r="DN105" i="7"/>
  <c r="DM105" i="7"/>
  <c r="DP104" i="7"/>
  <c r="DO104" i="7"/>
  <c r="DN104" i="7"/>
  <c r="DM104" i="7"/>
  <c r="DP103" i="7"/>
  <c r="DO103" i="7"/>
  <c r="DN103" i="7"/>
  <c r="DM103" i="7"/>
  <c r="DP102" i="7"/>
  <c r="DO102" i="7"/>
  <c r="DN102" i="7"/>
  <c r="DM102" i="7"/>
  <c r="DP101" i="7"/>
  <c r="DO101" i="7"/>
  <c r="DN101" i="7"/>
  <c r="DM101" i="7"/>
  <c r="DQ101" i="7" s="1"/>
  <c r="DP100" i="7"/>
  <c r="DO100" i="7"/>
  <c r="DN100" i="7"/>
  <c r="DM100" i="7"/>
  <c r="DR108" i="7"/>
  <c r="DR106" i="7"/>
  <c r="DR105" i="7"/>
  <c r="DR104" i="7"/>
  <c r="DR103" i="7"/>
  <c r="DR102" i="7"/>
  <c r="DR101" i="7"/>
  <c r="DR100" i="7"/>
  <c r="DS108" i="7"/>
  <c r="DS107" i="7"/>
  <c r="DS106" i="7"/>
  <c r="DS105" i="7"/>
  <c r="DS104" i="7"/>
  <c r="DS103" i="7"/>
  <c r="DS102" i="7"/>
  <c r="DS101" i="7"/>
  <c r="DS100" i="7"/>
  <c r="DT108" i="7"/>
  <c r="DT107" i="7"/>
  <c r="DT106" i="7"/>
  <c r="DT105" i="7"/>
  <c r="DT104" i="7"/>
  <c r="DT103" i="7"/>
  <c r="DT102" i="7"/>
  <c r="DT101" i="7"/>
  <c r="DT100" i="7"/>
  <c r="DW108" i="7"/>
  <c r="EA108" i="7" s="1"/>
  <c r="DW107" i="7"/>
  <c r="EA107" i="7" s="1"/>
  <c r="DW106" i="7"/>
  <c r="EA106" i="7" s="1"/>
  <c r="DW105" i="7"/>
  <c r="EA105" i="7" s="1"/>
  <c r="DW104" i="7"/>
  <c r="EA104" i="7" s="1"/>
  <c r="DW103" i="7"/>
  <c r="EA103" i="7" s="1"/>
  <c r="DW102" i="7"/>
  <c r="EA102" i="7" s="1"/>
  <c r="EA130" i="7" s="1"/>
  <c r="DW101" i="7"/>
  <c r="EA101" i="7" s="1"/>
  <c r="EA129" i="7" s="1"/>
  <c r="DW100" i="7"/>
  <c r="EA100" i="7" s="1"/>
  <c r="EA128" i="7" s="1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DL103" i="7" l="1"/>
  <c r="CM103" i="7"/>
  <c r="DL101" i="7"/>
  <c r="CM101" i="7"/>
  <c r="CM107" i="7"/>
  <c r="DQ103" i="7"/>
  <c r="DQ105" i="7"/>
  <c r="DG108" i="7"/>
  <c r="DG104" i="7"/>
  <c r="DG106" i="7"/>
  <c r="DB100" i="7"/>
  <c r="DB102" i="7"/>
  <c r="DB104" i="7"/>
  <c r="DB106" i="7"/>
  <c r="DB108" i="7"/>
  <c r="DG101" i="7"/>
  <c r="DQ108" i="7"/>
  <c r="DL108" i="7"/>
  <c r="DV107" i="7"/>
  <c r="DQ100" i="7"/>
  <c r="DQ102" i="7"/>
  <c r="DQ104" i="7"/>
  <c r="DQ106" i="7"/>
  <c r="DV106" i="7"/>
  <c r="DL102" i="7"/>
  <c r="DL104" i="7"/>
  <c r="DL106" i="7"/>
  <c r="DG102" i="7"/>
  <c r="CM100" i="7"/>
  <c r="CM102" i="7"/>
  <c r="CM104" i="7"/>
  <c r="CM106" i="7"/>
  <c r="DL100" i="7"/>
  <c r="DG100" i="7"/>
  <c r="DG107" i="7"/>
  <c r="DG103" i="7"/>
  <c r="DG105" i="7"/>
  <c r="DB101" i="7"/>
  <c r="DB103" i="7"/>
  <c r="DB105" i="7"/>
  <c r="DB107" i="7"/>
  <c r="DU175" i="4"/>
  <c r="DU172" i="4"/>
  <c r="DU147" i="4"/>
  <c r="DU144" i="4"/>
  <c r="DU119" i="4"/>
  <c r="DU116" i="4"/>
  <c r="DU91" i="4"/>
  <c r="DU88" i="4"/>
  <c r="DU63" i="4"/>
  <c r="DU60" i="4"/>
  <c r="DU35" i="4"/>
  <c r="DU44" i="5" s="1"/>
  <c r="DU153" i="7" s="1"/>
  <c r="DU32" i="4"/>
  <c r="DU6" i="4"/>
  <c r="DU3" i="4"/>
  <c r="DU111" i="4" l="1"/>
  <c r="DV53" i="1"/>
  <c r="DV15" i="1" s="1"/>
  <c r="DV52" i="1"/>
  <c r="DW50" i="8" l="1"/>
  <c r="EA50" i="8" l="1"/>
  <c r="DW23" i="8"/>
  <c r="DW25" i="8" s="1"/>
  <c r="F78" i="8"/>
  <c r="F77" i="8"/>
  <c r="F76" i="8"/>
  <c r="K78" i="8"/>
  <c r="K77" i="8"/>
  <c r="K76" i="8"/>
  <c r="P78" i="8"/>
  <c r="P77" i="8"/>
  <c r="P76" i="8"/>
  <c r="U78" i="8"/>
  <c r="U77" i="8"/>
  <c r="U76" i="8"/>
  <c r="Z78" i="8"/>
  <c r="Z77" i="8"/>
  <c r="Z76" i="8"/>
  <c r="AE78" i="8"/>
  <c r="AE77" i="8"/>
  <c r="AE76" i="8"/>
  <c r="AJ78" i="8"/>
  <c r="AJ77" i="8"/>
  <c r="AJ76" i="8"/>
  <c r="AO78" i="8"/>
  <c r="AO77" i="8"/>
  <c r="AO76" i="8"/>
  <c r="AT78" i="8"/>
  <c r="AT77" i="8"/>
  <c r="AT76" i="8"/>
  <c r="AY78" i="8"/>
  <c r="AY77" i="8"/>
  <c r="AY76" i="8"/>
  <c r="BD78" i="8"/>
  <c r="BD77" i="8"/>
  <c r="BD76" i="8"/>
  <c r="BI78" i="8"/>
  <c r="BI77" i="8"/>
  <c r="BI76" i="8"/>
  <c r="BN78" i="8"/>
  <c r="BN13" i="8" s="1"/>
  <c r="BN77" i="8"/>
  <c r="BN11" i="8" s="1"/>
  <c r="BN76" i="8"/>
  <c r="BS78" i="8"/>
  <c r="BS13" i="8" s="1"/>
  <c r="BS77" i="8"/>
  <c r="BS11" i="8" s="1"/>
  <c r="BS76" i="8"/>
  <c r="BX78" i="8"/>
  <c r="BX13" i="8" s="1"/>
  <c r="BX77" i="8"/>
  <c r="BX11" i="8" s="1"/>
  <c r="BX76" i="8"/>
  <c r="CC78" i="8"/>
  <c r="CC13" i="8" s="1"/>
  <c r="CC77" i="8"/>
  <c r="CC11" i="8" s="1"/>
  <c r="CC76" i="8"/>
  <c r="CH78" i="8"/>
  <c r="CH13" i="8" s="1"/>
  <c r="CH77" i="8"/>
  <c r="CH11" i="8" s="1"/>
  <c r="CH76" i="8"/>
  <c r="CM78" i="8"/>
  <c r="CM13" i="8" s="1"/>
  <c r="CM77" i="8"/>
  <c r="CM11" i="8" s="1"/>
  <c r="CM76" i="8"/>
  <c r="CR78" i="8"/>
  <c r="CR13" i="8" s="1"/>
  <c r="CR77" i="8"/>
  <c r="CR11" i="8" s="1"/>
  <c r="CR76" i="8"/>
  <c r="CW78" i="8"/>
  <c r="CW13" i="8" s="1"/>
  <c r="CW77" i="8"/>
  <c r="CW11" i="8" s="1"/>
  <c r="CW76" i="8"/>
  <c r="DB78" i="8"/>
  <c r="DB13" i="8" s="1"/>
  <c r="DB77" i="8"/>
  <c r="DB11" i="8" s="1"/>
  <c r="DB76" i="8"/>
  <c r="DG78" i="8"/>
  <c r="DG13" i="8" s="1"/>
  <c r="DG77" i="8"/>
  <c r="DG76" i="8"/>
  <c r="DL78" i="8"/>
  <c r="DL77" i="8"/>
  <c r="DL76" i="8"/>
  <c r="DQ78" i="8"/>
  <c r="DQ77" i="8"/>
  <c r="DQ76" i="8"/>
  <c r="F68" i="8"/>
  <c r="F67" i="8"/>
  <c r="F66" i="8"/>
  <c r="F65" i="8"/>
  <c r="F64" i="8"/>
  <c r="F63" i="8"/>
  <c r="F62" i="8"/>
  <c r="F61" i="8"/>
  <c r="F60" i="8"/>
  <c r="F59" i="8"/>
  <c r="F58" i="8"/>
  <c r="F57" i="8"/>
  <c r="K68" i="8"/>
  <c r="K67" i="8"/>
  <c r="K66" i="8"/>
  <c r="K65" i="8"/>
  <c r="K64" i="8"/>
  <c r="K63" i="8"/>
  <c r="K62" i="8"/>
  <c r="K61" i="8"/>
  <c r="K60" i="8"/>
  <c r="K59" i="8"/>
  <c r="K58" i="8"/>
  <c r="K57" i="8"/>
  <c r="P68" i="8"/>
  <c r="P67" i="8"/>
  <c r="P66" i="8"/>
  <c r="P65" i="8"/>
  <c r="P64" i="8"/>
  <c r="P63" i="8"/>
  <c r="P62" i="8"/>
  <c r="P61" i="8"/>
  <c r="P60" i="8"/>
  <c r="P59" i="8"/>
  <c r="P58" i="8"/>
  <c r="P57" i="8"/>
  <c r="U68" i="8"/>
  <c r="U67" i="8"/>
  <c r="U66" i="8"/>
  <c r="U65" i="8"/>
  <c r="U64" i="8"/>
  <c r="U63" i="8"/>
  <c r="U62" i="8"/>
  <c r="U61" i="8"/>
  <c r="U60" i="8"/>
  <c r="U59" i="8"/>
  <c r="U58" i="8"/>
  <c r="U57" i="8"/>
  <c r="Z68" i="8"/>
  <c r="Z67" i="8"/>
  <c r="Z66" i="8"/>
  <c r="Z65" i="8"/>
  <c r="Z64" i="8"/>
  <c r="Z63" i="8"/>
  <c r="Z62" i="8"/>
  <c r="Z61" i="8"/>
  <c r="Z60" i="8"/>
  <c r="Z59" i="8"/>
  <c r="Z58" i="8"/>
  <c r="Z57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J68" i="8"/>
  <c r="AJ67" i="8"/>
  <c r="AJ66" i="8"/>
  <c r="AJ65" i="8"/>
  <c r="AJ64" i="8"/>
  <c r="AJ63" i="8"/>
  <c r="AJ62" i="8"/>
  <c r="AJ61" i="8"/>
  <c r="AJ60" i="8"/>
  <c r="AJ59" i="8"/>
  <c r="AJ58" i="8"/>
  <c r="AJ57" i="8"/>
  <c r="AO68" i="8"/>
  <c r="AO67" i="8"/>
  <c r="AO66" i="8"/>
  <c r="AO65" i="8"/>
  <c r="AO64" i="8"/>
  <c r="AO63" i="8"/>
  <c r="AO62" i="8"/>
  <c r="AO61" i="8"/>
  <c r="AO60" i="8"/>
  <c r="AO59" i="8"/>
  <c r="AO58" i="8"/>
  <c r="AO57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Y68" i="8"/>
  <c r="AY67" i="8"/>
  <c r="AY66" i="8"/>
  <c r="AY65" i="8"/>
  <c r="AY64" i="8"/>
  <c r="AY63" i="8"/>
  <c r="AY62" i="8"/>
  <c r="AY61" i="8"/>
  <c r="AY60" i="8"/>
  <c r="AY59" i="8"/>
  <c r="AY58" i="8"/>
  <c r="AY57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CW63" i="8"/>
  <c r="CW9" i="8" s="1"/>
  <c r="CW61" i="8"/>
  <c r="CW7" i="8" s="1"/>
  <c r="CW60" i="8"/>
  <c r="CW6" i="8" s="1"/>
  <c r="CW59" i="8"/>
  <c r="CW5" i="8" s="1"/>
  <c r="CW58" i="8"/>
  <c r="CW4" i="8" s="1"/>
  <c r="CW57" i="8"/>
  <c r="CW3" i="8" s="1"/>
  <c r="DB63" i="8"/>
  <c r="DB9" i="8" s="1"/>
  <c r="DB61" i="8"/>
  <c r="DB7" i="8" s="1"/>
  <c r="DB60" i="8"/>
  <c r="DB6" i="8" s="1"/>
  <c r="DB59" i="8"/>
  <c r="DB5" i="8" s="1"/>
  <c r="DB58" i="8"/>
  <c r="DB4" i="8" s="1"/>
  <c r="DB57" i="8"/>
  <c r="DB3" i="8" s="1"/>
  <c r="DG65" i="8"/>
  <c r="DG11" i="8" s="1"/>
  <c r="DG64" i="8"/>
  <c r="DG10" i="8" s="1"/>
  <c r="DG63" i="8"/>
  <c r="DG9" i="8" s="1"/>
  <c r="DG61" i="8"/>
  <c r="DG7" i="8" s="1"/>
  <c r="DG60" i="8"/>
  <c r="DG6" i="8" s="1"/>
  <c r="DG59" i="8"/>
  <c r="DG58" i="8"/>
  <c r="DG4" i="8" s="1"/>
  <c r="DG57" i="8"/>
  <c r="DG3" i="8" s="1"/>
  <c r="DL68" i="8"/>
  <c r="DL14" i="8" s="1"/>
  <c r="DL67" i="8"/>
  <c r="DL13" i="8" s="1"/>
  <c r="DL66" i="8"/>
  <c r="DL12" i="8" s="1"/>
  <c r="DL65" i="8"/>
  <c r="DL64" i="8"/>
  <c r="DL10" i="8" s="1"/>
  <c r="DL63" i="8"/>
  <c r="DL9" i="8" s="1"/>
  <c r="DL62" i="8"/>
  <c r="DL8" i="8" s="1"/>
  <c r="DL61" i="8"/>
  <c r="DL7" i="8" s="1"/>
  <c r="DL60" i="8"/>
  <c r="DL6" i="8" s="1"/>
  <c r="DL59" i="8"/>
  <c r="DL5" i="8" s="1"/>
  <c r="DL58" i="8"/>
  <c r="DL4" i="8" s="1"/>
  <c r="DL57" i="8"/>
  <c r="DL3" i="8" s="1"/>
  <c r="DQ68" i="8"/>
  <c r="DQ14" i="8" s="1"/>
  <c r="DQ67" i="8"/>
  <c r="DQ66" i="8"/>
  <c r="DQ12" i="8" s="1"/>
  <c r="DQ65" i="8"/>
  <c r="DQ11" i="8" s="1"/>
  <c r="DQ64" i="8"/>
  <c r="DQ10" i="8" s="1"/>
  <c r="DQ63" i="8"/>
  <c r="DQ9" i="8" s="1"/>
  <c r="DQ62" i="8"/>
  <c r="DQ8" i="8" s="1"/>
  <c r="DQ61" i="8"/>
  <c r="DQ7" i="8" s="1"/>
  <c r="DQ60" i="8"/>
  <c r="DQ6" i="8" s="1"/>
  <c r="DQ59" i="8"/>
  <c r="DQ5" i="8" s="1"/>
  <c r="DQ58" i="8"/>
  <c r="DQ4" i="8" s="1"/>
  <c r="DQ57" i="8"/>
  <c r="DQ3" i="8" s="1"/>
  <c r="K51" i="8"/>
  <c r="K50" i="8"/>
  <c r="K49" i="8"/>
  <c r="K48" i="8"/>
  <c r="K47" i="8"/>
  <c r="K46" i="8"/>
  <c r="K45" i="8"/>
  <c r="K44" i="8"/>
  <c r="K41" i="8"/>
  <c r="K40" i="8"/>
  <c r="K39" i="8"/>
  <c r="K38" i="8"/>
  <c r="K37" i="8"/>
  <c r="K36" i="8"/>
  <c r="K35" i="8"/>
  <c r="K34" i="8"/>
  <c r="K33" i="8"/>
  <c r="K32" i="8"/>
  <c r="K31" i="8"/>
  <c r="K30" i="8"/>
  <c r="M52" i="8"/>
  <c r="P47" i="8"/>
  <c r="P45" i="8"/>
  <c r="P39" i="8"/>
  <c r="P38" i="8"/>
  <c r="P36" i="8"/>
  <c r="P31" i="8"/>
  <c r="F51" i="8"/>
  <c r="F50" i="8"/>
  <c r="F49" i="8"/>
  <c r="F48" i="8"/>
  <c r="F47" i="8"/>
  <c r="F46" i="8"/>
  <c r="F45" i="8"/>
  <c r="F44" i="8"/>
  <c r="F41" i="8"/>
  <c r="F40" i="8"/>
  <c r="F39" i="8"/>
  <c r="F38" i="8"/>
  <c r="F37" i="8"/>
  <c r="F36" i="8"/>
  <c r="F35" i="8"/>
  <c r="F34" i="8"/>
  <c r="F33" i="8"/>
  <c r="F32" i="8"/>
  <c r="F31" i="8"/>
  <c r="F30" i="8"/>
  <c r="P51" i="8"/>
  <c r="P50" i="8"/>
  <c r="P49" i="8"/>
  <c r="P48" i="8"/>
  <c r="P46" i="8"/>
  <c r="P44" i="8"/>
  <c r="P41" i="8"/>
  <c r="P40" i="8"/>
  <c r="P37" i="8"/>
  <c r="P35" i="8"/>
  <c r="P34" i="8"/>
  <c r="P33" i="8"/>
  <c r="P32" i="8"/>
  <c r="U51" i="8"/>
  <c r="U50" i="8"/>
  <c r="U49" i="8"/>
  <c r="U48" i="8"/>
  <c r="U47" i="8"/>
  <c r="U46" i="8"/>
  <c r="U45" i="8"/>
  <c r="U44" i="8"/>
  <c r="U41" i="8"/>
  <c r="U40" i="8"/>
  <c r="U39" i="8"/>
  <c r="U38" i="8"/>
  <c r="U37" i="8"/>
  <c r="U36" i="8"/>
  <c r="U35" i="8"/>
  <c r="U34" i="8"/>
  <c r="U33" i="8"/>
  <c r="U32" i="8"/>
  <c r="U31" i="8"/>
  <c r="U30" i="8"/>
  <c r="Z51" i="8"/>
  <c r="Z50" i="8"/>
  <c r="Z49" i="8"/>
  <c r="Z48" i="8"/>
  <c r="Z47" i="8"/>
  <c r="Z46" i="8"/>
  <c r="Z45" i="8"/>
  <c r="Z44" i="8"/>
  <c r="Z41" i="8"/>
  <c r="Z40" i="8"/>
  <c r="Z39" i="8"/>
  <c r="Z38" i="8"/>
  <c r="Z37" i="8"/>
  <c r="Z36" i="8"/>
  <c r="Z35" i="8"/>
  <c r="Z34" i="8"/>
  <c r="Z33" i="8"/>
  <c r="Z32" i="8"/>
  <c r="Z31" i="8"/>
  <c r="Z30" i="8"/>
  <c r="AE51" i="8"/>
  <c r="AE50" i="8"/>
  <c r="AE49" i="8"/>
  <c r="AE48" i="8"/>
  <c r="AE47" i="8"/>
  <c r="AE46" i="8"/>
  <c r="AE45" i="8"/>
  <c r="AE44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J51" i="8"/>
  <c r="AJ50" i="8"/>
  <c r="AJ49" i="8"/>
  <c r="AJ48" i="8"/>
  <c r="AJ47" i="8"/>
  <c r="AJ46" i="8"/>
  <c r="AJ45" i="8"/>
  <c r="AJ44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O51" i="8"/>
  <c r="AO50" i="8"/>
  <c r="AO49" i="8"/>
  <c r="AO48" i="8"/>
  <c r="AO47" i="8"/>
  <c r="AO46" i="8"/>
  <c r="AO45" i="8"/>
  <c r="AO44" i="8"/>
  <c r="AO41" i="8"/>
  <c r="AO40" i="8"/>
  <c r="AO39" i="8"/>
  <c r="AO38" i="8"/>
  <c r="AO37" i="8"/>
  <c r="AO36" i="8"/>
  <c r="AO35" i="8"/>
  <c r="AO34" i="8"/>
  <c r="AO33" i="8"/>
  <c r="AO32" i="8"/>
  <c r="AO31" i="8"/>
  <c r="AO30" i="8"/>
  <c r="AT51" i="8"/>
  <c r="AT50" i="8"/>
  <c r="AT49" i="8"/>
  <c r="AT48" i="8"/>
  <c r="AT47" i="8"/>
  <c r="AT46" i="8"/>
  <c r="AT45" i="8"/>
  <c r="AT44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Y51" i="8"/>
  <c r="AY50" i="8"/>
  <c r="AY49" i="8"/>
  <c r="AY48" i="8"/>
  <c r="AY47" i="8"/>
  <c r="AY46" i="8"/>
  <c r="AY45" i="8"/>
  <c r="AY44" i="8"/>
  <c r="AY41" i="8"/>
  <c r="AY40" i="8"/>
  <c r="AY39" i="8"/>
  <c r="AY38" i="8"/>
  <c r="AY37" i="8"/>
  <c r="AY36" i="8"/>
  <c r="AY35" i="8"/>
  <c r="AY34" i="8"/>
  <c r="AY33" i="8"/>
  <c r="AY32" i="8"/>
  <c r="AY31" i="8"/>
  <c r="AY30" i="8"/>
  <c r="BD51" i="8"/>
  <c r="BD50" i="8"/>
  <c r="BD49" i="8"/>
  <c r="BD48" i="8"/>
  <c r="BD47" i="8"/>
  <c r="BD46" i="8"/>
  <c r="BD45" i="8"/>
  <c r="BD44" i="8"/>
  <c r="BD41" i="8"/>
  <c r="BD40" i="8"/>
  <c r="BD39" i="8"/>
  <c r="BD38" i="8"/>
  <c r="BD37" i="8"/>
  <c r="BD36" i="8"/>
  <c r="BD35" i="8"/>
  <c r="BD34" i="8"/>
  <c r="BD33" i="8"/>
  <c r="BD32" i="8"/>
  <c r="BD31" i="8"/>
  <c r="BD30" i="8"/>
  <c r="BI51" i="8"/>
  <c r="BI50" i="8"/>
  <c r="BI49" i="8"/>
  <c r="BI48" i="8"/>
  <c r="BI47" i="8"/>
  <c r="BI46" i="8"/>
  <c r="BI45" i="8"/>
  <c r="BI44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N51" i="8"/>
  <c r="BN24" i="8" s="1"/>
  <c r="BN50" i="8"/>
  <c r="BN23" i="8" s="1"/>
  <c r="BN49" i="8"/>
  <c r="BN22" i="8" s="1"/>
  <c r="BN48" i="8"/>
  <c r="BN21" i="8" s="1"/>
  <c r="BN46" i="8"/>
  <c r="BN19" i="8" s="1"/>
  <c r="BN44" i="8"/>
  <c r="BN17" i="8" s="1"/>
  <c r="BN36" i="8"/>
  <c r="BN9" i="8" s="1"/>
  <c r="BN35" i="8"/>
  <c r="BN8" i="8" s="1"/>
  <c r="BN34" i="8"/>
  <c r="BN7" i="8" s="1"/>
  <c r="BN33" i="8"/>
  <c r="BN6" i="8" s="1"/>
  <c r="BN32" i="8"/>
  <c r="BN5" i="8" s="1"/>
  <c r="BN31" i="8"/>
  <c r="BN4" i="8" s="1"/>
  <c r="BN30" i="8"/>
  <c r="BN3" i="8" s="1"/>
  <c r="BS51" i="8"/>
  <c r="BS24" i="8" s="1"/>
  <c r="BS50" i="8"/>
  <c r="BS23" i="8" s="1"/>
  <c r="BS49" i="8"/>
  <c r="BS22" i="8" s="1"/>
  <c r="BS48" i="8"/>
  <c r="BS21" i="8" s="1"/>
  <c r="BS46" i="8"/>
  <c r="BS19" i="8" s="1"/>
  <c r="BS44" i="8"/>
  <c r="BS17" i="8" s="1"/>
  <c r="BS36" i="8"/>
  <c r="BS9" i="8" s="1"/>
  <c r="BS35" i="8"/>
  <c r="BS8" i="8" s="1"/>
  <c r="BS34" i="8"/>
  <c r="BS7" i="8" s="1"/>
  <c r="BS33" i="8"/>
  <c r="BS6" i="8" s="1"/>
  <c r="BS32" i="8"/>
  <c r="BS5" i="8" s="1"/>
  <c r="BS31" i="8"/>
  <c r="BS4" i="8" s="1"/>
  <c r="BS30" i="8"/>
  <c r="BS3" i="8" s="1"/>
  <c r="BX51" i="8"/>
  <c r="BX24" i="8" s="1"/>
  <c r="BX50" i="8"/>
  <c r="BX23" i="8" s="1"/>
  <c r="BX49" i="8"/>
  <c r="BX22" i="8" s="1"/>
  <c r="BX48" i="8"/>
  <c r="BX21" i="8" s="1"/>
  <c r="BX46" i="8"/>
  <c r="BX19" i="8" s="1"/>
  <c r="BX44" i="8"/>
  <c r="BX17" i="8" s="1"/>
  <c r="BX36" i="8"/>
  <c r="BX9" i="8" s="1"/>
  <c r="BX35" i="8"/>
  <c r="BX8" i="8" s="1"/>
  <c r="BX34" i="8"/>
  <c r="BX7" i="8" s="1"/>
  <c r="BX33" i="8"/>
  <c r="BX6" i="8" s="1"/>
  <c r="BX32" i="8"/>
  <c r="BX31" i="8"/>
  <c r="BX4" i="8" s="1"/>
  <c r="BX30" i="8"/>
  <c r="BX3" i="8" s="1"/>
  <c r="CC51" i="8"/>
  <c r="CC24" i="8" s="1"/>
  <c r="CC50" i="8"/>
  <c r="CC23" i="8" s="1"/>
  <c r="CC49" i="8"/>
  <c r="CC22" i="8" s="1"/>
  <c r="CC48" i="8"/>
  <c r="CC21" i="8" s="1"/>
  <c r="CC46" i="8"/>
  <c r="CC19" i="8" s="1"/>
  <c r="CC44" i="8"/>
  <c r="CC17" i="8" s="1"/>
  <c r="CC36" i="8"/>
  <c r="CC9" i="8" s="1"/>
  <c r="CC35" i="8"/>
  <c r="CC8" i="8" s="1"/>
  <c r="CC34" i="8"/>
  <c r="CC7" i="8" s="1"/>
  <c r="CC33" i="8"/>
  <c r="CC6" i="8" s="1"/>
  <c r="CC32" i="8"/>
  <c r="CC5" i="8" s="1"/>
  <c r="CC31" i="8"/>
  <c r="CC4" i="8" s="1"/>
  <c r="CC30" i="8"/>
  <c r="CC3" i="8" s="1"/>
  <c r="CH51" i="8"/>
  <c r="CH24" i="8" s="1"/>
  <c r="CH50" i="8"/>
  <c r="CH23" i="8" s="1"/>
  <c r="CH49" i="8"/>
  <c r="CH22" i="8" s="1"/>
  <c r="CH48" i="8"/>
  <c r="CH21" i="8" s="1"/>
  <c r="CH46" i="8"/>
  <c r="CH19" i="8" s="1"/>
  <c r="CH44" i="8"/>
  <c r="CH17" i="8" s="1"/>
  <c r="CH36" i="8"/>
  <c r="CH9" i="8" s="1"/>
  <c r="CH35" i="8"/>
  <c r="CH8" i="8" s="1"/>
  <c r="CH34" i="8"/>
  <c r="CH7" i="8" s="1"/>
  <c r="CH33" i="8"/>
  <c r="CH6" i="8" s="1"/>
  <c r="CH32" i="8"/>
  <c r="CH5" i="8" s="1"/>
  <c r="CH31" i="8"/>
  <c r="CH4" i="8" s="1"/>
  <c r="CH30" i="8"/>
  <c r="CH3" i="8" s="1"/>
  <c r="CM51" i="8"/>
  <c r="CM24" i="8" s="1"/>
  <c r="CM50" i="8"/>
  <c r="CM23" i="8" s="1"/>
  <c r="CM49" i="8"/>
  <c r="CM22" i="8" s="1"/>
  <c r="CM48" i="8"/>
  <c r="CM21" i="8" s="1"/>
  <c r="CM46" i="8"/>
  <c r="CM19" i="8" s="1"/>
  <c r="CM44" i="8"/>
  <c r="CM17" i="8" s="1"/>
  <c r="CM36" i="8"/>
  <c r="CM9" i="8" s="1"/>
  <c r="CM35" i="8"/>
  <c r="CM8" i="8" s="1"/>
  <c r="CM34" i="8"/>
  <c r="CM7" i="8" s="1"/>
  <c r="CM33" i="8"/>
  <c r="CM6" i="8" s="1"/>
  <c r="CM32" i="8"/>
  <c r="CM31" i="8"/>
  <c r="CM4" i="8" s="1"/>
  <c r="CM30" i="8"/>
  <c r="CM3" i="8" s="1"/>
  <c r="CR51" i="8"/>
  <c r="CR24" i="8" s="1"/>
  <c r="CR50" i="8"/>
  <c r="CR23" i="8" s="1"/>
  <c r="CR49" i="8"/>
  <c r="CR22" i="8" s="1"/>
  <c r="CR48" i="8"/>
  <c r="CR21" i="8" s="1"/>
  <c r="CR46" i="8"/>
  <c r="CR19" i="8" s="1"/>
  <c r="CR44" i="8"/>
  <c r="CR17" i="8" s="1"/>
  <c r="CR36" i="8"/>
  <c r="CR9" i="8" s="1"/>
  <c r="CR35" i="8"/>
  <c r="CR8" i="8" s="1"/>
  <c r="CR34" i="8"/>
  <c r="CR7" i="8" s="1"/>
  <c r="CR33" i="8"/>
  <c r="CR6" i="8" s="1"/>
  <c r="CR32" i="8"/>
  <c r="CR5" i="8" s="1"/>
  <c r="CR31" i="8"/>
  <c r="CR4" i="8" s="1"/>
  <c r="CR30" i="8"/>
  <c r="CR3" i="8" s="1"/>
  <c r="DS47" i="8"/>
  <c r="DS20" i="8" s="1"/>
  <c r="DG5" i="8" l="1"/>
  <c r="BX5" i="8"/>
  <c r="DL11" i="8"/>
  <c r="BS25" i="8"/>
  <c r="CW25" i="8"/>
  <c r="DG25" i="8"/>
  <c r="DB25" i="8"/>
  <c r="BX25" i="8"/>
  <c r="DQ13" i="8"/>
  <c r="DQ25" i="8" s="1"/>
  <c r="CH25" i="8"/>
  <c r="BN25" i="8"/>
  <c r="CM5" i="8"/>
  <c r="CM25" i="8" s="1"/>
  <c r="CC25" i="8"/>
  <c r="DL25" i="8"/>
  <c r="CR25" i="8"/>
  <c r="EA23" i="8"/>
  <c r="EA25" i="8" s="1"/>
  <c r="EA52" i="8"/>
  <c r="DB81" i="8"/>
  <c r="CH81" i="8"/>
  <c r="BS81" i="8"/>
  <c r="BN81" i="8"/>
  <c r="CM81" i="8"/>
  <c r="DT47" i="8"/>
  <c r="DT20" i="8" s="1"/>
  <c r="DS50" i="8"/>
  <c r="DS23" i="8" s="1"/>
  <c r="DS25" i="8" s="1"/>
  <c r="DL81" i="8"/>
  <c r="BX81" i="8"/>
  <c r="CW81" i="8"/>
  <c r="U81" i="8"/>
  <c r="DG81" i="8"/>
  <c r="CR81" i="8"/>
  <c r="CC81" i="8"/>
  <c r="DQ81" i="8"/>
  <c r="AT81" i="8"/>
  <c r="CR52" i="8"/>
  <c r="DB71" i="8"/>
  <c r="CH52" i="8"/>
  <c r="BN52" i="8"/>
  <c r="CM52" i="8"/>
  <c r="F52" i="8"/>
  <c r="BD71" i="8"/>
  <c r="AJ71" i="8"/>
  <c r="K52" i="8"/>
  <c r="CM71" i="8"/>
  <c r="AY71" i="8"/>
  <c r="AT71" i="8"/>
  <c r="BI81" i="8"/>
  <c r="AY81" i="8"/>
  <c r="AJ81" i="8"/>
  <c r="K81" i="8"/>
  <c r="CR71" i="8"/>
  <c r="BX71" i="8"/>
  <c r="U71" i="8"/>
  <c r="K71" i="8"/>
  <c r="CC52" i="8"/>
  <c r="AE52" i="8"/>
  <c r="DQ71" i="8"/>
  <c r="DL71" i="8"/>
  <c r="DG71" i="8"/>
  <c r="BS71" i="8"/>
  <c r="AE71" i="8"/>
  <c r="AE81" i="8"/>
  <c r="F81" i="8"/>
  <c r="BS52" i="8"/>
  <c r="BI52" i="8"/>
  <c r="U52" i="8"/>
  <c r="AY52" i="8"/>
  <c r="BN71" i="8"/>
  <c r="AO71" i="8"/>
  <c r="P71" i="8"/>
  <c r="BD81" i="8"/>
  <c r="AO81" i="8"/>
  <c r="P81" i="8"/>
  <c r="CH71" i="8"/>
  <c r="CC71" i="8"/>
  <c r="BI71" i="8"/>
  <c r="BX52" i="8"/>
  <c r="BD52" i="8"/>
  <c r="AT52" i="8"/>
  <c r="AO52" i="8"/>
  <c r="AJ52" i="8"/>
  <c r="Z52" i="8"/>
  <c r="CW71" i="8"/>
  <c r="Z71" i="8"/>
  <c r="F71" i="8"/>
  <c r="Z81" i="8"/>
  <c r="P30" i="8"/>
  <c r="P52" i="8" s="1"/>
  <c r="DW138" i="6"/>
  <c r="DW110" i="6"/>
  <c r="DW18" i="6" s="1"/>
  <c r="DW82" i="6"/>
  <c r="DU138" i="6"/>
  <c r="DV137" i="6"/>
  <c r="DV136" i="6"/>
  <c r="DV135" i="6"/>
  <c r="DV134" i="6"/>
  <c r="DV133" i="6"/>
  <c r="DV132" i="6"/>
  <c r="DV131" i="6"/>
  <c r="DV130" i="6"/>
  <c r="DV129" i="6"/>
  <c r="DV126" i="6"/>
  <c r="DV125" i="6"/>
  <c r="DV124" i="6"/>
  <c r="DV123" i="6"/>
  <c r="DV122" i="6"/>
  <c r="DV121" i="6"/>
  <c r="DV120" i="6"/>
  <c r="DV119" i="6"/>
  <c r="DV118" i="6"/>
  <c r="DV117" i="6"/>
  <c r="DV116" i="6"/>
  <c r="DV115" i="6"/>
  <c r="DU110" i="6"/>
  <c r="DU18" i="6" s="1"/>
  <c r="DV109" i="6"/>
  <c r="DV108" i="6"/>
  <c r="DV107" i="6"/>
  <c r="DV106" i="6"/>
  <c r="DV105" i="6"/>
  <c r="DV104" i="6"/>
  <c r="DV103" i="6"/>
  <c r="DV102" i="6"/>
  <c r="DV15" i="6" s="1"/>
  <c r="DV101" i="6"/>
  <c r="DV98" i="6"/>
  <c r="DV97" i="6"/>
  <c r="DV96" i="6"/>
  <c r="DV95" i="6"/>
  <c r="DV94" i="6"/>
  <c r="DV93" i="6"/>
  <c r="DV92" i="6"/>
  <c r="DV91" i="6"/>
  <c r="DV90" i="6"/>
  <c r="DV89" i="6"/>
  <c r="DV88" i="6"/>
  <c r="DV87" i="6"/>
  <c r="DU82" i="6"/>
  <c r="DV81" i="6"/>
  <c r="DV80" i="6"/>
  <c r="DV79" i="6"/>
  <c r="DV78" i="6"/>
  <c r="DV77" i="6"/>
  <c r="DV76" i="6"/>
  <c r="DV75" i="6"/>
  <c r="DV74" i="6"/>
  <c r="DV73" i="6"/>
  <c r="DV67" i="6"/>
  <c r="DV66" i="6"/>
  <c r="DV65" i="6"/>
  <c r="DV64" i="6"/>
  <c r="DV63" i="6"/>
  <c r="DV62" i="6"/>
  <c r="DV61" i="6"/>
  <c r="DV60" i="6"/>
  <c r="DV59" i="6"/>
  <c r="DW211" i="5"/>
  <c r="DW97" i="7" s="1"/>
  <c r="EA97" i="7" s="1"/>
  <c r="EA125" i="7" s="1"/>
  <c r="DU211" i="5"/>
  <c r="DU97" i="7" s="1"/>
  <c r="DW210" i="5"/>
  <c r="DW96" i="7" s="1"/>
  <c r="EA96" i="7" s="1"/>
  <c r="EA124" i="7" s="1"/>
  <c r="DU210" i="5"/>
  <c r="DU96" i="7" s="1"/>
  <c r="DW209" i="5"/>
  <c r="DW95" i="7" s="1"/>
  <c r="EA95" i="7" s="1"/>
  <c r="EA123" i="7" s="1"/>
  <c r="DU209" i="5"/>
  <c r="DU95" i="7" s="1"/>
  <c r="DW208" i="5"/>
  <c r="DW94" i="7" s="1"/>
  <c r="EA94" i="7" s="1"/>
  <c r="EA122" i="7" s="1"/>
  <c r="DU208" i="5"/>
  <c r="DU94" i="7" s="1"/>
  <c r="DW207" i="5"/>
  <c r="DW93" i="7" s="1"/>
  <c r="EA93" i="7" s="1"/>
  <c r="EA121" i="7" s="1"/>
  <c r="DU207" i="5"/>
  <c r="DU93" i="7" s="1"/>
  <c r="DW206" i="5"/>
  <c r="DW92" i="7" s="1"/>
  <c r="EA92" i="7" s="1"/>
  <c r="EA120" i="7" s="1"/>
  <c r="DU206" i="5"/>
  <c r="DU92" i="7" s="1"/>
  <c r="DW205" i="5"/>
  <c r="DW91" i="7" s="1"/>
  <c r="EA91" i="7" s="1"/>
  <c r="EA119" i="7" s="1"/>
  <c r="DU205" i="5"/>
  <c r="DU91" i="7" s="1"/>
  <c r="DW204" i="5"/>
  <c r="DU204" i="5"/>
  <c r="DU90" i="7" s="1"/>
  <c r="DW203" i="5"/>
  <c r="DW89" i="7" s="1"/>
  <c r="EA89" i="7" s="1"/>
  <c r="DU203" i="5"/>
  <c r="DU89" i="7" s="1"/>
  <c r="DW202" i="5"/>
  <c r="DW88" i="7" s="1"/>
  <c r="EA88" i="7" s="1"/>
  <c r="EA116" i="7" s="1"/>
  <c r="DU202" i="5"/>
  <c r="DU88" i="7" s="1"/>
  <c r="DW201" i="5"/>
  <c r="DW87" i="7" s="1"/>
  <c r="EA87" i="7" s="1"/>
  <c r="EA115" i="7" s="1"/>
  <c r="DU201" i="5"/>
  <c r="DW200" i="5"/>
  <c r="DU200" i="5"/>
  <c r="DW194" i="5"/>
  <c r="DU194" i="5"/>
  <c r="DW193" i="5"/>
  <c r="DU193" i="5"/>
  <c r="DW192" i="5"/>
  <c r="DU192" i="5"/>
  <c r="DW191" i="5"/>
  <c r="DU191" i="5"/>
  <c r="DW190" i="5"/>
  <c r="DU190" i="5"/>
  <c r="DW189" i="5"/>
  <c r="DU189" i="5"/>
  <c r="DW188" i="5"/>
  <c r="DU188" i="5"/>
  <c r="DW187" i="5"/>
  <c r="DU187" i="5"/>
  <c r="DW186" i="5"/>
  <c r="DU186" i="5"/>
  <c r="DW183" i="5"/>
  <c r="DU183" i="5"/>
  <c r="DW182" i="5"/>
  <c r="DU182" i="5"/>
  <c r="DW181" i="5"/>
  <c r="DU181" i="5"/>
  <c r="DW180" i="5"/>
  <c r="DU180" i="5"/>
  <c r="DW179" i="5"/>
  <c r="DU179" i="5"/>
  <c r="DW178" i="5"/>
  <c r="DU178" i="5"/>
  <c r="DW177" i="5"/>
  <c r="DU177" i="5"/>
  <c r="DW176" i="5"/>
  <c r="DU176" i="5"/>
  <c r="DW175" i="5"/>
  <c r="DU175" i="5"/>
  <c r="DW174" i="5"/>
  <c r="DU174" i="5"/>
  <c r="DW173" i="5"/>
  <c r="DU173" i="5"/>
  <c r="DW172" i="5"/>
  <c r="DU172" i="5"/>
  <c r="DW166" i="5"/>
  <c r="DU166" i="5"/>
  <c r="DW165" i="5"/>
  <c r="DU165" i="5"/>
  <c r="DW164" i="5"/>
  <c r="DU164" i="5"/>
  <c r="DW163" i="5"/>
  <c r="DU163" i="5"/>
  <c r="DW162" i="5"/>
  <c r="DU162" i="5"/>
  <c r="DW161" i="5"/>
  <c r="DU161" i="5"/>
  <c r="DW160" i="5"/>
  <c r="DU160" i="5"/>
  <c r="DW159" i="5"/>
  <c r="DU159" i="5"/>
  <c r="DW158" i="5"/>
  <c r="DU158" i="5"/>
  <c r="DW155" i="5"/>
  <c r="DU155" i="5"/>
  <c r="DW154" i="5"/>
  <c r="DU154" i="5"/>
  <c r="DW153" i="5"/>
  <c r="DU153" i="5"/>
  <c r="DW152" i="5"/>
  <c r="DU152" i="5"/>
  <c r="DW151" i="5"/>
  <c r="DU151" i="5"/>
  <c r="DW150" i="5"/>
  <c r="DU150" i="5"/>
  <c r="DW149" i="5"/>
  <c r="DU149" i="5"/>
  <c r="DW148" i="5"/>
  <c r="DU148" i="5"/>
  <c r="DW147" i="5"/>
  <c r="DU147" i="5"/>
  <c r="DW146" i="5"/>
  <c r="DU146" i="5"/>
  <c r="DW145" i="5"/>
  <c r="DU145" i="5"/>
  <c r="DW144" i="5"/>
  <c r="DU144" i="5"/>
  <c r="DW138" i="5"/>
  <c r="DW25" i="7" s="1"/>
  <c r="EA25" i="7" s="1"/>
  <c r="DU138" i="5"/>
  <c r="DU25" i="7" s="1"/>
  <c r="DW137" i="5"/>
  <c r="DW24" i="7" s="1"/>
  <c r="EA24" i="7" s="1"/>
  <c r="DU137" i="5"/>
  <c r="DU24" i="7" s="1"/>
  <c r="DW136" i="5"/>
  <c r="DW23" i="7" s="1"/>
  <c r="EA23" i="7" s="1"/>
  <c r="DU136" i="5"/>
  <c r="DU23" i="7" s="1"/>
  <c r="DW135" i="5"/>
  <c r="DW22" i="7" s="1"/>
  <c r="EA22" i="7" s="1"/>
  <c r="DU135" i="5"/>
  <c r="DU22" i="7" s="1"/>
  <c r="DW134" i="5"/>
  <c r="DW21" i="7" s="1"/>
  <c r="EA21" i="7" s="1"/>
  <c r="DU134" i="5"/>
  <c r="DU21" i="7" s="1"/>
  <c r="DW133" i="5"/>
  <c r="DW20" i="7" s="1"/>
  <c r="EA20" i="7" s="1"/>
  <c r="DU133" i="5"/>
  <c r="DU20" i="7" s="1"/>
  <c r="DW132" i="5"/>
  <c r="DW19" i="7" s="1"/>
  <c r="EA19" i="7" s="1"/>
  <c r="DU132" i="5"/>
  <c r="DU19" i="7" s="1"/>
  <c r="DW131" i="5"/>
  <c r="DW18" i="7" s="1"/>
  <c r="EA18" i="7" s="1"/>
  <c r="DU131" i="5"/>
  <c r="DU18" i="7" s="1"/>
  <c r="DW130" i="5"/>
  <c r="DW17" i="7" s="1"/>
  <c r="EA17" i="7" s="1"/>
  <c r="DU130" i="5"/>
  <c r="DU17" i="7" s="1"/>
  <c r="DW127" i="5"/>
  <c r="DW14" i="7" s="1"/>
  <c r="EA14" i="7" s="1"/>
  <c r="DU127" i="5"/>
  <c r="DU14" i="7" s="1"/>
  <c r="DW126" i="5"/>
  <c r="DW13" i="7" s="1"/>
  <c r="EA13" i="7" s="1"/>
  <c r="DU126" i="5"/>
  <c r="DU13" i="7" s="1"/>
  <c r="DW125" i="5"/>
  <c r="DW12" i="7" s="1"/>
  <c r="EA12" i="7" s="1"/>
  <c r="DU125" i="5"/>
  <c r="DU12" i="7" s="1"/>
  <c r="DW124" i="5"/>
  <c r="DW11" i="7" s="1"/>
  <c r="EA11" i="7" s="1"/>
  <c r="DU124" i="5"/>
  <c r="DU11" i="7" s="1"/>
  <c r="DW123" i="5"/>
  <c r="DW10" i="7" s="1"/>
  <c r="EA10" i="7" s="1"/>
  <c r="DU123" i="5"/>
  <c r="DU10" i="7" s="1"/>
  <c r="DW122" i="5"/>
  <c r="DW9" i="7" s="1"/>
  <c r="EA9" i="7" s="1"/>
  <c r="DU122" i="5"/>
  <c r="DU9" i="7" s="1"/>
  <c r="DW121" i="5"/>
  <c r="DW8" i="7" s="1"/>
  <c r="EA8" i="7" s="1"/>
  <c r="DU121" i="5"/>
  <c r="DU8" i="7" s="1"/>
  <c r="DW120" i="5"/>
  <c r="DW7" i="7" s="1"/>
  <c r="EA7" i="7" s="1"/>
  <c r="DU120" i="5"/>
  <c r="DU7" i="7" s="1"/>
  <c r="DW119" i="5"/>
  <c r="DW6" i="7" s="1"/>
  <c r="EA6" i="7" s="1"/>
  <c r="DU119" i="5"/>
  <c r="DU6" i="7" s="1"/>
  <c r="DW118" i="5"/>
  <c r="DU118" i="5"/>
  <c r="DU5" i="7" s="1"/>
  <c r="DW117" i="5"/>
  <c r="DW4" i="7" s="1"/>
  <c r="EA4" i="7" s="1"/>
  <c r="DU117" i="5"/>
  <c r="DU4" i="7" s="1"/>
  <c r="DW116" i="5"/>
  <c r="DW3" i="7" s="1"/>
  <c r="EA3" i="7" s="1"/>
  <c r="DU116" i="5"/>
  <c r="DU3" i="7" s="1"/>
  <c r="DW110" i="5"/>
  <c r="DU110" i="5"/>
  <c r="DW109" i="5"/>
  <c r="DU109" i="5"/>
  <c r="DW108" i="5"/>
  <c r="DU108" i="5"/>
  <c r="DW107" i="5"/>
  <c r="DU107" i="5"/>
  <c r="DW106" i="5"/>
  <c r="DU106" i="5"/>
  <c r="DW105" i="5"/>
  <c r="DU105" i="5"/>
  <c r="DW104" i="5"/>
  <c r="DU104" i="5"/>
  <c r="DW103" i="5"/>
  <c r="DU103" i="5"/>
  <c r="DW102" i="5"/>
  <c r="DU102" i="5"/>
  <c r="DW99" i="5"/>
  <c r="DU99" i="5"/>
  <c r="DW98" i="5"/>
  <c r="DU98" i="5"/>
  <c r="DW97" i="5"/>
  <c r="DU97" i="5"/>
  <c r="DW96" i="5"/>
  <c r="DU96" i="5"/>
  <c r="DW95" i="5"/>
  <c r="DU95" i="5"/>
  <c r="DW94" i="5"/>
  <c r="DU94" i="5"/>
  <c r="DW93" i="5"/>
  <c r="DU93" i="5"/>
  <c r="DW92" i="5"/>
  <c r="DU92" i="5"/>
  <c r="DW91" i="5"/>
  <c r="DU91" i="5"/>
  <c r="DW90" i="5"/>
  <c r="DU90" i="5"/>
  <c r="DW89" i="5"/>
  <c r="DU89" i="5"/>
  <c r="DW88" i="5"/>
  <c r="DU88" i="5"/>
  <c r="DW82" i="5"/>
  <c r="DU82" i="5"/>
  <c r="DW81" i="5"/>
  <c r="DU81" i="5"/>
  <c r="DW80" i="5"/>
  <c r="DU80" i="5"/>
  <c r="DW79" i="5"/>
  <c r="DU79" i="5"/>
  <c r="DW78" i="5"/>
  <c r="DU78" i="5"/>
  <c r="DW77" i="5"/>
  <c r="DU77" i="5"/>
  <c r="DW76" i="5"/>
  <c r="DU76" i="5"/>
  <c r="DW75" i="5"/>
  <c r="DU75" i="5"/>
  <c r="DW74" i="5"/>
  <c r="DU74" i="5"/>
  <c r="DW71" i="5"/>
  <c r="DU71" i="5"/>
  <c r="DW70" i="5"/>
  <c r="DU70" i="5"/>
  <c r="DW69" i="5"/>
  <c r="DU69" i="5"/>
  <c r="DW68" i="5"/>
  <c r="DU68" i="5"/>
  <c r="DW67" i="5"/>
  <c r="DU67" i="5"/>
  <c r="DW66" i="5"/>
  <c r="DU66" i="5"/>
  <c r="DW65" i="5"/>
  <c r="DU65" i="5"/>
  <c r="DW64" i="5"/>
  <c r="DU64" i="5"/>
  <c r="DW63" i="5"/>
  <c r="DU63" i="5"/>
  <c r="DW62" i="5"/>
  <c r="DU62" i="5"/>
  <c r="DW61" i="5"/>
  <c r="DU61" i="5"/>
  <c r="DW60" i="5"/>
  <c r="DU60" i="5"/>
  <c r="DW54" i="5"/>
  <c r="DU54" i="5"/>
  <c r="DW53" i="5"/>
  <c r="DU53" i="5"/>
  <c r="DW52" i="5"/>
  <c r="DU52" i="5"/>
  <c r="DW51" i="5"/>
  <c r="DU51" i="5"/>
  <c r="DW50" i="5"/>
  <c r="DU50" i="5"/>
  <c r="DW49" i="5"/>
  <c r="DU49" i="5"/>
  <c r="DW48" i="5"/>
  <c r="DU48" i="5"/>
  <c r="DW47" i="5"/>
  <c r="DU47" i="5"/>
  <c r="DW46" i="5"/>
  <c r="DU46" i="5"/>
  <c r="DW43" i="5"/>
  <c r="DU43" i="5"/>
  <c r="DW42" i="5"/>
  <c r="DU42" i="5"/>
  <c r="DW41" i="5"/>
  <c r="DU41" i="5"/>
  <c r="DW40" i="5"/>
  <c r="DU40" i="5"/>
  <c r="DW39" i="5"/>
  <c r="DU39" i="5"/>
  <c r="DW38" i="5"/>
  <c r="DU38" i="5"/>
  <c r="DW37" i="5"/>
  <c r="DU37" i="5"/>
  <c r="DW36" i="5"/>
  <c r="DU36" i="5"/>
  <c r="DW35" i="5"/>
  <c r="DU35" i="5"/>
  <c r="DW34" i="5"/>
  <c r="DU34" i="5"/>
  <c r="DW33" i="5"/>
  <c r="DU33" i="5"/>
  <c r="DW32" i="5"/>
  <c r="DU32" i="5"/>
  <c r="DW25" i="5"/>
  <c r="DU25" i="5"/>
  <c r="DW24" i="5"/>
  <c r="DU24" i="5"/>
  <c r="DW23" i="5"/>
  <c r="DU23" i="5"/>
  <c r="DW22" i="5"/>
  <c r="DU22" i="5"/>
  <c r="DW20" i="5"/>
  <c r="DU20" i="5"/>
  <c r="DW19" i="5"/>
  <c r="DU19" i="5"/>
  <c r="DW18" i="5"/>
  <c r="DU18" i="5"/>
  <c r="DW17" i="5"/>
  <c r="DU17" i="5"/>
  <c r="DW14" i="5"/>
  <c r="DU14" i="5"/>
  <c r="DW13" i="5"/>
  <c r="DU13" i="5"/>
  <c r="DW12" i="5"/>
  <c r="DU12" i="5"/>
  <c r="DW11" i="5"/>
  <c r="DU11" i="5"/>
  <c r="DW10" i="5"/>
  <c r="DU10" i="5"/>
  <c r="DW9" i="5"/>
  <c r="DU9" i="5"/>
  <c r="DW8" i="5"/>
  <c r="DU8" i="5"/>
  <c r="DW7" i="5"/>
  <c r="DU7" i="5"/>
  <c r="DW6" i="5"/>
  <c r="DU6" i="5"/>
  <c r="DW4" i="5"/>
  <c r="DU4" i="5"/>
  <c r="DW3" i="5"/>
  <c r="DU3" i="5"/>
  <c r="DW26" i="3"/>
  <c r="DU230" i="5"/>
  <c r="DU229" i="5"/>
  <c r="DU228" i="5"/>
  <c r="DU227" i="5"/>
  <c r="DU226" i="5"/>
  <c r="DU224" i="5"/>
  <c r="DU222" i="5"/>
  <c r="DU221" i="5"/>
  <c r="DU167" i="3"/>
  <c r="DW195" i="3"/>
  <c r="DU195" i="3"/>
  <c r="DV194" i="3"/>
  <c r="DV193" i="3"/>
  <c r="DV192" i="3"/>
  <c r="DV191" i="3"/>
  <c r="DV190" i="3"/>
  <c r="DV189" i="3"/>
  <c r="DV188" i="3"/>
  <c r="DV187" i="3"/>
  <c r="DV186" i="3"/>
  <c r="DV183" i="3"/>
  <c r="DV182" i="3"/>
  <c r="DV181" i="3"/>
  <c r="DV180" i="3"/>
  <c r="DV179" i="3"/>
  <c r="DV178" i="3"/>
  <c r="DV177" i="3"/>
  <c r="DV176" i="3"/>
  <c r="DV175" i="3"/>
  <c r="DV174" i="3"/>
  <c r="DV173" i="3"/>
  <c r="DV172" i="3"/>
  <c r="DW167" i="3"/>
  <c r="DV166" i="3"/>
  <c r="DV165" i="3"/>
  <c r="DV164" i="3"/>
  <c r="DV163" i="3"/>
  <c r="DV162" i="3"/>
  <c r="DV161" i="3"/>
  <c r="DV160" i="3"/>
  <c r="DV159" i="3"/>
  <c r="DV158" i="3"/>
  <c r="DV155" i="3"/>
  <c r="DV154" i="3"/>
  <c r="DV153" i="3"/>
  <c r="DV152" i="3"/>
  <c r="DV151" i="3"/>
  <c r="DV150" i="3"/>
  <c r="DV149" i="3"/>
  <c r="DV148" i="3"/>
  <c r="DV147" i="3"/>
  <c r="DV146" i="3"/>
  <c r="DV145" i="3"/>
  <c r="DV144" i="3"/>
  <c r="DW139" i="3"/>
  <c r="DU139" i="3"/>
  <c r="DV138" i="3"/>
  <c r="DV137" i="3"/>
  <c r="DV136" i="3"/>
  <c r="DV135" i="3"/>
  <c r="DV134" i="3"/>
  <c r="DV133" i="3"/>
  <c r="DV132" i="3"/>
  <c r="DV131" i="3"/>
  <c r="DV130" i="3"/>
  <c r="DV127" i="3"/>
  <c r="DV126" i="3"/>
  <c r="DV125" i="3"/>
  <c r="DV124" i="3"/>
  <c r="DV123" i="3"/>
  <c r="DV122" i="3"/>
  <c r="DV121" i="3"/>
  <c r="DV120" i="3"/>
  <c r="DV119" i="3"/>
  <c r="DV118" i="3"/>
  <c r="DV117" i="3"/>
  <c r="DV116" i="3"/>
  <c r="DW111" i="3"/>
  <c r="DU111" i="3"/>
  <c r="DV110" i="3"/>
  <c r="DV109" i="3"/>
  <c r="DV108" i="3"/>
  <c r="DV107" i="3"/>
  <c r="DV106" i="3"/>
  <c r="DV105" i="3"/>
  <c r="DV104" i="3"/>
  <c r="DV103" i="3"/>
  <c r="DV102" i="3"/>
  <c r="DV99" i="3"/>
  <c r="DV98" i="3"/>
  <c r="DV97" i="3"/>
  <c r="DV96" i="3"/>
  <c r="DV95" i="3"/>
  <c r="DV94" i="3"/>
  <c r="DV93" i="3"/>
  <c r="DV92" i="3"/>
  <c r="DV91" i="3"/>
  <c r="DV90" i="3"/>
  <c r="DV89" i="3"/>
  <c r="DV88" i="3"/>
  <c r="DW83" i="3"/>
  <c r="DU83" i="3"/>
  <c r="DV82" i="3"/>
  <c r="DV81" i="3"/>
  <c r="DV80" i="3"/>
  <c r="DV79" i="3"/>
  <c r="DV78" i="3"/>
  <c r="DV77" i="3"/>
  <c r="DV76" i="3"/>
  <c r="DV75" i="3"/>
  <c r="DV74" i="3"/>
  <c r="DV71" i="3"/>
  <c r="DV70" i="3"/>
  <c r="DV69" i="3"/>
  <c r="DV68" i="3"/>
  <c r="DV67" i="3"/>
  <c r="DV66" i="3"/>
  <c r="DV65" i="3"/>
  <c r="DV64" i="3"/>
  <c r="DV63" i="3"/>
  <c r="DV62" i="3"/>
  <c r="DV61" i="3"/>
  <c r="DV60" i="3"/>
  <c r="DW55" i="3"/>
  <c r="DU55" i="3"/>
  <c r="DV54" i="3"/>
  <c r="DV53" i="3"/>
  <c r="DV52" i="3"/>
  <c r="DV51" i="3"/>
  <c r="DV48" i="3"/>
  <c r="DV47" i="3"/>
  <c r="DV46" i="3"/>
  <c r="DV43" i="3"/>
  <c r="DV42" i="3"/>
  <c r="DV41" i="3"/>
  <c r="DV40" i="3"/>
  <c r="DV39" i="3"/>
  <c r="DV38" i="3"/>
  <c r="DV37" i="3"/>
  <c r="DV36" i="3"/>
  <c r="DV35" i="3"/>
  <c r="DV34" i="3"/>
  <c r="DV33" i="3"/>
  <c r="DV32" i="3"/>
  <c r="DV25" i="3"/>
  <c r="DV24" i="3"/>
  <c r="DV23" i="3"/>
  <c r="DU26" i="3"/>
  <c r="DV21" i="3"/>
  <c r="DV20" i="3"/>
  <c r="DV19" i="3"/>
  <c r="DV18" i="3"/>
  <c r="DV17" i="3"/>
  <c r="DV14" i="3"/>
  <c r="DV13" i="3"/>
  <c r="DV12" i="3"/>
  <c r="DV11" i="3"/>
  <c r="DV10" i="3"/>
  <c r="DV9" i="3"/>
  <c r="DV8" i="3"/>
  <c r="DV7" i="3"/>
  <c r="DV6" i="3"/>
  <c r="DV5" i="3"/>
  <c r="DV4" i="3"/>
  <c r="DV3" i="3"/>
  <c r="DW230" i="4"/>
  <c r="DW229" i="4"/>
  <c r="DW228" i="4"/>
  <c r="DW227" i="4"/>
  <c r="DW226" i="4"/>
  <c r="DW225" i="4"/>
  <c r="DW224" i="4"/>
  <c r="DW223" i="4"/>
  <c r="DW222" i="4"/>
  <c r="DW221" i="4"/>
  <c r="DW220" i="4"/>
  <c r="DW219" i="4"/>
  <c r="EA219" i="4" s="1"/>
  <c r="DW55" i="4"/>
  <c r="DW5" i="5" s="1"/>
  <c r="DW83" i="4"/>
  <c r="DW111" i="4"/>
  <c r="DW139" i="4"/>
  <c r="DW195" i="4"/>
  <c r="DV211" i="4"/>
  <c r="DV211" i="5" s="1"/>
  <c r="DV210" i="4"/>
  <c r="DV210" i="5" s="1"/>
  <c r="DV209" i="4"/>
  <c r="DV209" i="5" s="1"/>
  <c r="DV208" i="4"/>
  <c r="DV208" i="5" s="1"/>
  <c r="DV207" i="4"/>
  <c r="DV207" i="5" s="1"/>
  <c r="DV206" i="4"/>
  <c r="DV206" i="5" s="1"/>
  <c r="DV205" i="4"/>
  <c r="DV205" i="5" s="1"/>
  <c r="DV204" i="4"/>
  <c r="DV204" i="5" s="1"/>
  <c r="DV203" i="4"/>
  <c r="DV203" i="5" s="1"/>
  <c r="DV202" i="4"/>
  <c r="DV202" i="5" s="1"/>
  <c r="DV201" i="4"/>
  <c r="DV201" i="5" s="1"/>
  <c r="DV200" i="4"/>
  <c r="DV200" i="5" s="1"/>
  <c r="DU195" i="4"/>
  <c r="DV194" i="4"/>
  <c r="DV193" i="4"/>
  <c r="DV192" i="4"/>
  <c r="DV191" i="4"/>
  <c r="DV190" i="4"/>
  <c r="DV189" i="4"/>
  <c r="DV188" i="4"/>
  <c r="DV187" i="4"/>
  <c r="DV187" i="5" s="1"/>
  <c r="DV186" i="4"/>
  <c r="DV183" i="4"/>
  <c r="DV182" i="4"/>
  <c r="DV181" i="4"/>
  <c r="DV180" i="4"/>
  <c r="DV179" i="4"/>
  <c r="DV178" i="4"/>
  <c r="DV177" i="4"/>
  <c r="DV176" i="4"/>
  <c r="DV175" i="4"/>
  <c r="DV174" i="4"/>
  <c r="DV173" i="4"/>
  <c r="DV172" i="4"/>
  <c r="DW167" i="4"/>
  <c r="DU167" i="4"/>
  <c r="DV166" i="4"/>
  <c r="DV165" i="4"/>
  <c r="DV164" i="4"/>
  <c r="DV163" i="4"/>
  <c r="DV162" i="4"/>
  <c r="DV161" i="4"/>
  <c r="DV160" i="4"/>
  <c r="DV159" i="4"/>
  <c r="DV158" i="4"/>
  <c r="DV155" i="4"/>
  <c r="DV154" i="4"/>
  <c r="DV154" i="5" s="1"/>
  <c r="DV153" i="4"/>
  <c r="DV152" i="4"/>
  <c r="DV151" i="4"/>
  <c r="DV150" i="4"/>
  <c r="DV149" i="4"/>
  <c r="DV148" i="4"/>
  <c r="DV147" i="4"/>
  <c r="DV146" i="4"/>
  <c r="DV145" i="4"/>
  <c r="DV144" i="4"/>
  <c r="DU139" i="4"/>
  <c r="DV138" i="4"/>
  <c r="DV137" i="4"/>
  <c r="DV136" i="4"/>
  <c r="DV135" i="4"/>
  <c r="DV134" i="4"/>
  <c r="DV133" i="4"/>
  <c r="DV132" i="4"/>
  <c r="DV131" i="4"/>
  <c r="DV130" i="4"/>
  <c r="DV127" i="4"/>
  <c r="DV126" i="4"/>
  <c r="DV125" i="4"/>
  <c r="DV125" i="5" s="1"/>
  <c r="DV124" i="4"/>
  <c r="DV124" i="5" s="1"/>
  <c r="DV123" i="4"/>
  <c r="DV122" i="4"/>
  <c r="DV121" i="4"/>
  <c r="DV120" i="4"/>
  <c r="DV119" i="4"/>
  <c r="DV118" i="4"/>
  <c r="DV117" i="4"/>
  <c r="DV116" i="4"/>
  <c r="DV116" i="5" s="1"/>
  <c r="DV110" i="4"/>
  <c r="DV109" i="4"/>
  <c r="DV108" i="4"/>
  <c r="DV107" i="4"/>
  <c r="DV106" i="4"/>
  <c r="DV105" i="4"/>
  <c r="DV104" i="4"/>
  <c r="DV103" i="4"/>
  <c r="DV102" i="4"/>
  <c r="DV99" i="4"/>
  <c r="DV98" i="4"/>
  <c r="DV97" i="4"/>
  <c r="DV96" i="4"/>
  <c r="DV95" i="4"/>
  <c r="DV94" i="4"/>
  <c r="DV93" i="4"/>
  <c r="DV92" i="4"/>
  <c r="DV91" i="4"/>
  <c r="DV90" i="4"/>
  <c r="DV89" i="4"/>
  <c r="DV88" i="4"/>
  <c r="DU83" i="4"/>
  <c r="DV82" i="4"/>
  <c r="DV81" i="4"/>
  <c r="DV80" i="4"/>
  <c r="DV79" i="4"/>
  <c r="DV78" i="4"/>
  <c r="DV77" i="4"/>
  <c r="DV76" i="4"/>
  <c r="DV75" i="4"/>
  <c r="DV74" i="4"/>
  <c r="DV71" i="4"/>
  <c r="DV70" i="4"/>
  <c r="DV69" i="4"/>
  <c r="DV68" i="4"/>
  <c r="DV67" i="4"/>
  <c r="DV66" i="4"/>
  <c r="DV65" i="4"/>
  <c r="DV64" i="4"/>
  <c r="DV63" i="4"/>
  <c r="DV62" i="4"/>
  <c r="DV61" i="4"/>
  <c r="DV60" i="4"/>
  <c r="DU55" i="4"/>
  <c r="DU5" i="5" s="1"/>
  <c r="DV54" i="4"/>
  <c r="DV53" i="4"/>
  <c r="DV52" i="4"/>
  <c r="DV51" i="4"/>
  <c r="DV50" i="4"/>
  <c r="DV50" i="5" s="1"/>
  <c r="DV49" i="4"/>
  <c r="DV49" i="5" s="1"/>
  <c r="DV48" i="4"/>
  <c r="DV47" i="4"/>
  <c r="DV46" i="4"/>
  <c r="DV43" i="4"/>
  <c r="DV42" i="4"/>
  <c r="DV41" i="4"/>
  <c r="DV40" i="4"/>
  <c r="DV39" i="4"/>
  <c r="DV38" i="4"/>
  <c r="DV37" i="4"/>
  <c r="DV36" i="4"/>
  <c r="DV35" i="4"/>
  <c r="DV34" i="4"/>
  <c r="DV33" i="4"/>
  <c r="DV15" i="5" s="1"/>
  <c r="DV32" i="4"/>
  <c r="DU26" i="4"/>
  <c r="DU21" i="5" s="1"/>
  <c r="DV25" i="4"/>
  <c r="DV24" i="4"/>
  <c r="DV23" i="4"/>
  <c r="DV22" i="4"/>
  <c r="DV21" i="4"/>
  <c r="DV20" i="4"/>
  <c r="DV19" i="4"/>
  <c r="DV18" i="4"/>
  <c r="DV17" i="4"/>
  <c r="DV14" i="4"/>
  <c r="DV13" i="4"/>
  <c r="DV12" i="4"/>
  <c r="DV11" i="4"/>
  <c r="DV10" i="4"/>
  <c r="DV9" i="4"/>
  <c r="DV8" i="4"/>
  <c r="DV7" i="4"/>
  <c r="DV6" i="4"/>
  <c r="DV5" i="4"/>
  <c r="DV4" i="4"/>
  <c r="DV3" i="4"/>
  <c r="DV122" i="5" l="1"/>
  <c r="DV12" i="5"/>
  <c r="DV76" i="5"/>
  <c r="DV11" i="5"/>
  <c r="DV4" i="5"/>
  <c r="DV97" i="5"/>
  <c r="DV91" i="5"/>
  <c r="DV99" i="5"/>
  <c r="DV9" i="6"/>
  <c r="DV175" i="5"/>
  <c r="DV127" i="5"/>
  <c r="DV188" i="5"/>
  <c r="DV176" i="5"/>
  <c r="DV177" i="5"/>
  <c r="DV178" i="5"/>
  <c r="DV164" i="5"/>
  <c r="DV46" i="5"/>
  <c r="DV117" i="5"/>
  <c r="DV132" i="5"/>
  <c r="DV119" i="5"/>
  <c r="DV89" i="5"/>
  <c r="DV48" i="5"/>
  <c r="DV90" i="5"/>
  <c r="DV98" i="5"/>
  <c r="DV148" i="5"/>
  <c r="DV24" i="6"/>
  <c r="DV6" i="6"/>
  <c r="DW222" i="5"/>
  <c r="EA222" i="4"/>
  <c r="EA222" i="5" s="1"/>
  <c r="DW230" i="5"/>
  <c r="EA230" i="4"/>
  <c r="EA230" i="5" s="1"/>
  <c r="DW223" i="5"/>
  <c r="EA223" i="4"/>
  <c r="EA223" i="5" s="1"/>
  <c r="DW224" i="5"/>
  <c r="EA224" i="4"/>
  <c r="EA224" i="5" s="1"/>
  <c r="DW225" i="5"/>
  <c r="EA225" i="4"/>
  <c r="EA225" i="5" s="1"/>
  <c r="DW226" i="5"/>
  <c r="EA226" i="4"/>
  <c r="EA226" i="5" s="1"/>
  <c r="EA219" i="5"/>
  <c r="DW227" i="5"/>
  <c r="EA227" i="4"/>
  <c r="EA227" i="5" s="1"/>
  <c r="DW220" i="5"/>
  <c r="EA220" i="4"/>
  <c r="EA220" i="5" s="1"/>
  <c r="DW228" i="5"/>
  <c r="EA228" i="4"/>
  <c r="EA228" i="5" s="1"/>
  <c r="DW221" i="5"/>
  <c r="EA221" i="4"/>
  <c r="EA221" i="5" s="1"/>
  <c r="DW229" i="5"/>
  <c r="EA229" i="4"/>
  <c r="EA229" i="5" s="1"/>
  <c r="DV41" i="5"/>
  <c r="DV34" i="5"/>
  <c r="DV35" i="5"/>
  <c r="DV44" i="5"/>
  <c r="DV153" i="7" s="1"/>
  <c r="DV43" i="5"/>
  <c r="DV36" i="5"/>
  <c r="DV37" i="5"/>
  <c r="DV47" i="5"/>
  <c r="DV38" i="5"/>
  <c r="DW26" i="4"/>
  <c r="DW21" i="5" s="1"/>
  <c r="DW26" i="5" s="1"/>
  <c r="DV3" i="6"/>
  <c r="DV11" i="6"/>
  <c r="DV25" i="6"/>
  <c r="DV19" i="6" s="1"/>
  <c r="DV7" i="6"/>
  <c r="DV20" i="6"/>
  <c r="DV8" i="6"/>
  <c r="DV21" i="6"/>
  <c r="DV4" i="6"/>
  <c r="DV5" i="6"/>
  <c r="DV22" i="6"/>
  <c r="DV123" i="5"/>
  <c r="DV172" i="5"/>
  <c r="DU47" i="8"/>
  <c r="DT50" i="8"/>
  <c r="DT23" i="8" s="1"/>
  <c r="DT25" i="8" s="1"/>
  <c r="DU219" i="5"/>
  <c r="DU233" i="4"/>
  <c r="DS233" i="4"/>
  <c r="DW219" i="5"/>
  <c r="DW233" i="4"/>
  <c r="DT233" i="4"/>
  <c r="DR233" i="4"/>
  <c r="DV214" i="5"/>
  <c r="DW86" i="7"/>
  <c r="EA86" i="7" s="1"/>
  <c r="DW214" i="5"/>
  <c r="DU86" i="7"/>
  <c r="DU214" i="5"/>
  <c r="DV182" i="5"/>
  <c r="DV192" i="5"/>
  <c r="DV149" i="5"/>
  <c r="DV159" i="5"/>
  <c r="DV70" i="5"/>
  <c r="DV7" i="5"/>
  <c r="DV17" i="5"/>
  <c r="DV25" i="5"/>
  <c r="DV120" i="5"/>
  <c r="DV138" i="5"/>
  <c r="DV147" i="5"/>
  <c r="DV155" i="5"/>
  <c r="DV13" i="5"/>
  <c r="DV23" i="5"/>
  <c r="DV118" i="5"/>
  <c r="DV150" i="5"/>
  <c r="DV151" i="5"/>
  <c r="DV161" i="5"/>
  <c r="DV20" i="5"/>
  <c r="DV52" i="5"/>
  <c r="DV71" i="5"/>
  <c r="DV64" i="5"/>
  <c r="DV54" i="5"/>
  <c r="DV63" i="5"/>
  <c r="DV6" i="5"/>
  <c r="DV14" i="5"/>
  <c r="DV18" i="5"/>
  <c r="DV214" i="4"/>
  <c r="DV189" i="5"/>
  <c r="DV193" i="5"/>
  <c r="DV81" i="5"/>
  <c r="DV180" i="5"/>
  <c r="DV190" i="5"/>
  <c r="DV181" i="5"/>
  <c r="DV191" i="5"/>
  <c r="DV133" i="5"/>
  <c r="DV162" i="5"/>
  <c r="DV153" i="5"/>
  <c r="DV186" i="5"/>
  <c r="DV194" i="5"/>
  <c r="DV163" i="5"/>
  <c r="DV165" i="5"/>
  <c r="DV158" i="5"/>
  <c r="DV166" i="5"/>
  <c r="DV135" i="5"/>
  <c r="DV126" i="5"/>
  <c r="DV136" i="5"/>
  <c r="DV137" i="5"/>
  <c r="DV134" i="5"/>
  <c r="DV94" i="5"/>
  <c r="DV105" i="5"/>
  <c r="DV106" i="5"/>
  <c r="DV107" i="5"/>
  <c r="DV108" i="5"/>
  <c r="DV109" i="5"/>
  <c r="DV65" i="5"/>
  <c r="DV77" i="5"/>
  <c r="DV78" i="5"/>
  <c r="DV82" i="5"/>
  <c r="DV79" i="5"/>
  <c r="DV62" i="5"/>
  <c r="DV80" i="5"/>
  <c r="DU26" i="7"/>
  <c r="DW55" i="5"/>
  <c r="DW83" i="5"/>
  <c r="DW195" i="5"/>
  <c r="DV224" i="4"/>
  <c r="DV224" i="5" s="1"/>
  <c r="DW90" i="7"/>
  <c r="EA90" i="7" s="1"/>
  <c r="EA118" i="7" s="1"/>
  <c r="DV51" i="5"/>
  <c r="DV33" i="5"/>
  <c r="DV53" i="5"/>
  <c r="DV223" i="4"/>
  <c r="DV223" i="5" s="1"/>
  <c r="DV225" i="4"/>
  <c r="DV225" i="5" s="1"/>
  <c r="DV221" i="4"/>
  <c r="DV221" i="5" s="1"/>
  <c r="DV222" i="4"/>
  <c r="DV222" i="5" s="1"/>
  <c r="DV24" i="5"/>
  <c r="DV10" i="5"/>
  <c r="DV179" i="5"/>
  <c r="DW167" i="5"/>
  <c r="DV144" i="5"/>
  <c r="DV152" i="5"/>
  <c r="DV145" i="5"/>
  <c r="DV121" i="5"/>
  <c r="DW139" i="5"/>
  <c r="DW5" i="7"/>
  <c r="EA5" i="7" s="1"/>
  <c r="EA26" i="7" s="1"/>
  <c r="DV92" i="5"/>
  <c r="DV102" i="5"/>
  <c r="DW111" i="5"/>
  <c r="DV60" i="5"/>
  <c r="DV174" i="5"/>
  <c r="DV173" i="5"/>
  <c r="DV183" i="5"/>
  <c r="DV146" i="5"/>
  <c r="DV160" i="5"/>
  <c r="DV131" i="5"/>
  <c r="DV130" i="5"/>
  <c r="DV110" i="5"/>
  <c r="DV96" i="5"/>
  <c r="DV93" i="5"/>
  <c r="DV88" i="5"/>
  <c r="DV103" i="5"/>
  <c r="DV104" i="5"/>
  <c r="DV95" i="5"/>
  <c r="DV67" i="5"/>
  <c r="DV68" i="5"/>
  <c r="DV61" i="5"/>
  <c r="DV69" i="5"/>
  <c r="DV66" i="5"/>
  <c r="DV75" i="5"/>
  <c r="DV74" i="5"/>
  <c r="DV42" i="5"/>
  <c r="DV40" i="5"/>
  <c r="DV39" i="5"/>
  <c r="DV32" i="5"/>
  <c r="DV8" i="5"/>
  <c r="DV9" i="5"/>
  <c r="DV3" i="5"/>
  <c r="DV19" i="5"/>
  <c r="DU195" i="5"/>
  <c r="DU139" i="5"/>
  <c r="DU111" i="5"/>
  <c r="DU83" i="5"/>
  <c r="DU167" i="5"/>
  <c r="DU55" i="5"/>
  <c r="DU26" i="5"/>
  <c r="DV230" i="4"/>
  <c r="DV230" i="5" s="1"/>
  <c r="DU225" i="5"/>
  <c r="DU223" i="5"/>
  <c r="DU220" i="5"/>
  <c r="DV138" i="6"/>
  <c r="DU26" i="6"/>
  <c r="DU54" i="6" s="1"/>
  <c r="DV219" i="4"/>
  <c r="DV229" i="4"/>
  <c r="DV229" i="5" s="1"/>
  <c r="DV226" i="4"/>
  <c r="DV226" i="5" s="1"/>
  <c r="DV227" i="4"/>
  <c r="DV227" i="5" s="1"/>
  <c r="DV228" i="4"/>
  <c r="DV228" i="5" s="1"/>
  <c r="DV220" i="4"/>
  <c r="DV220" i="5" s="1"/>
  <c r="DV195" i="3"/>
  <c r="DV167" i="3"/>
  <c r="DV139" i="3"/>
  <c r="DV111" i="3"/>
  <c r="DV83" i="3"/>
  <c r="DV55" i="3"/>
  <c r="DV22" i="3"/>
  <c r="DV26" i="3" s="1"/>
  <c r="DV26" i="4"/>
  <c r="DV21" i="5" s="1"/>
  <c r="DV55" i="4"/>
  <c r="DV5" i="5" s="1"/>
  <c r="DV83" i="4"/>
  <c r="DV111" i="4"/>
  <c r="DV139" i="4"/>
  <c r="DV167" i="4"/>
  <c r="DV195" i="4"/>
  <c r="DU50" i="8" l="1"/>
  <c r="DU23" i="8" s="1"/>
  <c r="DU20" i="8"/>
  <c r="EA109" i="7"/>
  <c r="EA136" i="7" s="1"/>
  <c r="DW233" i="5"/>
  <c r="EA233" i="5"/>
  <c r="EA233" i="4"/>
  <c r="DU233" i="5"/>
  <c r="DV22" i="5"/>
  <c r="DV26" i="5" s="1"/>
  <c r="DV219" i="5"/>
  <c r="DV233" i="5" s="1"/>
  <c r="DV233" i="4"/>
  <c r="DV167" i="5"/>
  <c r="DV195" i="5"/>
  <c r="DV139" i="5"/>
  <c r="DV55" i="5"/>
  <c r="DV111" i="5"/>
  <c r="DV83" i="5"/>
  <c r="DU25" i="8" l="1"/>
  <c r="DW141" i="2"/>
  <c r="DU141" i="2"/>
  <c r="DW140" i="2"/>
  <c r="DW165" i="2" s="1"/>
  <c r="DU140" i="2"/>
  <c r="DU165" i="2" s="1"/>
  <c r="DW139" i="2"/>
  <c r="DW164" i="2" s="1"/>
  <c r="DU139" i="2"/>
  <c r="DW138" i="2"/>
  <c r="DU138" i="2"/>
  <c r="DW137" i="2"/>
  <c r="DU137" i="2"/>
  <c r="DW136" i="2"/>
  <c r="DU136" i="2"/>
  <c r="DW133" i="2"/>
  <c r="DU133" i="2"/>
  <c r="DW132" i="2"/>
  <c r="DU132" i="2"/>
  <c r="DW131" i="2"/>
  <c r="DU131" i="2"/>
  <c r="DW130" i="2"/>
  <c r="DU130" i="2"/>
  <c r="DW129" i="2"/>
  <c r="DU129" i="2"/>
  <c r="DW128" i="2"/>
  <c r="DU128" i="2"/>
  <c r="DW127" i="2"/>
  <c r="DU127" i="2"/>
  <c r="DU126" i="2"/>
  <c r="DW125" i="2"/>
  <c r="DW150" i="2" s="1"/>
  <c r="DU125" i="2"/>
  <c r="DW124" i="2"/>
  <c r="DU124" i="2"/>
  <c r="DW123" i="2"/>
  <c r="DU123" i="2"/>
  <c r="DW122" i="2"/>
  <c r="DU122" i="2"/>
  <c r="DU147" i="2" s="1"/>
  <c r="DW117" i="2"/>
  <c r="DU117" i="2"/>
  <c r="DV116" i="2"/>
  <c r="DV115" i="2"/>
  <c r="DV114" i="2"/>
  <c r="DV113" i="2"/>
  <c r="DV112" i="2"/>
  <c r="DV111" i="2"/>
  <c r="DV108" i="2"/>
  <c r="DV107" i="2"/>
  <c r="DV106" i="2"/>
  <c r="DV105" i="2"/>
  <c r="DV104" i="2"/>
  <c r="DV103" i="2"/>
  <c r="DV102" i="2"/>
  <c r="DV101" i="2"/>
  <c r="DV100" i="2"/>
  <c r="DV99" i="2"/>
  <c r="DV98" i="2"/>
  <c r="DV97" i="2"/>
  <c r="DV89" i="2"/>
  <c r="DV88" i="2"/>
  <c r="DV87" i="2"/>
  <c r="DV86" i="2"/>
  <c r="DV85" i="2"/>
  <c r="DV84" i="2"/>
  <c r="DV83" i="2"/>
  <c r="DV82" i="2"/>
  <c r="DV81" i="2"/>
  <c r="DV80" i="2"/>
  <c r="DV79" i="2"/>
  <c r="DV78" i="2"/>
  <c r="DW73" i="2"/>
  <c r="DU73" i="2"/>
  <c r="DV72" i="2"/>
  <c r="DV71" i="2"/>
  <c r="DV70" i="2"/>
  <c r="DV69" i="2"/>
  <c r="DV64" i="2"/>
  <c r="DV63" i="2"/>
  <c r="DV62" i="2"/>
  <c r="DV61" i="2"/>
  <c r="DV60" i="2"/>
  <c r="DV59" i="2"/>
  <c r="DV58" i="2"/>
  <c r="DV57" i="2"/>
  <c r="DV56" i="2"/>
  <c r="DV55" i="2"/>
  <c r="DV54" i="2"/>
  <c r="DV53" i="2"/>
  <c r="DW23" i="2"/>
  <c r="DU23" i="2"/>
  <c r="DV22" i="2"/>
  <c r="DV21" i="2"/>
  <c r="DV20" i="2"/>
  <c r="DV19" i="2"/>
  <c r="DV18" i="2"/>
  <c r="DV68" i="2" s="1"/>
  <c r="DV17" i="2"/>
  <c r="DV67" i="2" s="1"/>
  <c r="DV14" i="2"/>
  <c r="DV13" i="2"/>
  <c r="DV12" i="2"/>
  <c r="DV11" i="2"/>
  <c r="DV10" i="2"/>
  <c r="DV9" i="2"/>
  <c r="DV8" i="2"/>
  <c r="DV7" i="2"/>
  <c r="DV6" i="2"/>
  <c r="DV5" i="2"/>
  <c r="DV4" i="2"/>
  <c r="DV3" i="2"/>
  <c r="DU83" i="1"/>
  <c r="DT83" i="1"/>
  <c r="DS83" i="1"/>
  <c r="DR83" i="1"/>
  <c r="DP83" i="1"/>
  <c r="DO83" i="1"/>
  <c r="DN83" i="1"/>
  <c r="DM83" i="1"/>
  <c r="DK83" i="1"/>
  <c r="DJ83" i="1"/>
  <c r="DI83" i="1"/>
  <c r="DH83" i="1"/>
  <c r="DF83" i="1"/>
  <c r="DE83" i="1"/>
  <c r="DD83" i="1"/>
  <c r="DC83" i="1"/>
  <c r="DA83" i="1"/>
  <c r="CZ83" i="1"/>
  <c r="CY83" i="1"/>
  <c r="CV83" i="1"/>
  <c r="CU83" i="1"/>
  <c r="CT83" i="1"/>
  <c r="CS83" i="1"/>
  <c r="CQ83" i="1"/>
  <c r="CP83" i="1"/>
  <c r="CO83" i="1"/>
  <c r="CN83" i="1"/>
  <c r="CL83" i="1"/>
  <c r="CK83" i="1"/>
  <c r="CJ83" i="1"/>
  <c r="CI83" i="1"/>
  <c r="CG83" i="1"/>
  <c r="CF83" i="1"/>
  <c r="CE83" i="1"/>
  <c r="CD83" i="1"/>
  <c r="CB83" i="1"/>
  <c r="CA83" i="1"/>
  <c r="BZ83" i="1"/>
  <c r="BY83" i="1"/>
  <c r="BW83" i="1"/>
  <c r="BV83" i="1"/>
  <c r="BU83" i="1"/>
  <c r="BT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DW83" i="1"/>
  <c r="GR72" i="1"/>
  <c r="DX72" i="1"/>
  <c r="DV82" i="1"/>
  <c r="DV81" i="1"/>
  <c r="DV80" i="1"/>
  <c r="DV79" i="1"/>
  <c r="GT72" i="1"/>
  <c r="DU55" i="1"/>
  <c r="DV50" i="1"/>
  <c r="DV49" i="1"/>
  <c r="DV48" i="1"/>
  <c r="DV47" i="1"/>
  <c r="DV46" i="1"/>
  <c r="DV45" i="1"/>
  <c r="DV44" i="1"/>
  <c r="DV43" i="1"/>
  <c r="DV42" i="1"/>
  <c r="DV41" i="1"/>
  <c r="GU72" i="1"/>
  <c r="DV33" i="1"/>
  <c r="DV14" i="1" s="1"/>
  <c r="DV31" i="1"/>
  <c r="DV30" i="1"/>
  <c r="DV29" i="1"/>
  <c r="DV28" i="1"/>
  <c r="DV27" i="1"/>
  <c r="DV26" i="1"/>
  <c r="DV25" i="1"/>
  <c r="DV24" i="1"/>
  <c r="DV23" i="1"/>
  <c r="DV4" i="1" s="1"/>
  <c r="DV22" i="1"/>
  <c r="GR71" i="1"/>
  <c r="GU69" i="1"/>
  <c r="GS69" i="1"/>
  <c r="GU68" i="1"/>
  <c r="GR68" i="1"/>
  <c r="GT67" i="1"/>
  <c r="GS67" i="1"/>
  <c r="GU66" i="1"/>
  <c r="GS66" i="1"/>
  <c r="GU65" i="1"/>
  <c r="GR65" i="1"/>
  <c r="GU64" i="1"/>
  <c r="GS64" i="1"/>
  <c r="GU63" i="1"/>
  <c r="GS63" i="1"/>
  <c r="GT62" i="1"/>
  <c r="GS62" i="1"/>
  <c r="GU61" i="1"/>
  <c r="GS61" i="1"/>
  <c r="GT60" i="1"/>
  <c r="GR60" i="1"/>
  <c r="P3" i="9"/>
  <c r="O3" i="9"/>
  <c r="DV10" i="1" l="1"/>
  <c r="DV11" i="1"/>
  <c r="DV6" i="1"/>
  <c r="DV7" i="1"/>
  <c r="DV3" i="1"/>
  <c r="DV12" i="1"/>
  <c r="DV5" i="1"/>
  <c r="DV8" i="1"/>
  <c r="DV9" i="1"/>
  <c r="GU60" i="1"/>
  <c r="GS72" i="1"/>
  <c r="GS60" i="1"/>
  <c r="DV92" i="2"/>
  <c r="DV137" i="2"/>
  <c r="DV162" i="2" s="1"/>
  <c r="DV125" i="2"/>
  <c r="DV150" i="2" s="1"/>
  <c r="DV139" i="2"/>
  <c r="DV164" i="2" s="1"/>
  <c r="DV128" i="2"/>
  <c r="DV153" i="2" s="1"/>
  <c r="DV140" i="2"/>
  <c r="DV165" i="2" s="1"/>
  <c r="DV124" i="2"/>
  <c r="DV132" i="2"/>
  <c r="DU158" i="2"/>
  <c r="DU125" i="7" s="1"/>
  <c r="DU70" i="7"/>
  <c r="DU151" i="2"/>
  <c r="DU118" i="7" s="1"/>
  <c r="DU63" i="7"/>
  <c r="DW151" i="2"/>
  <c r="DW118" i="7" s="1"/>
  <c r="DW63" i="7"/>
  <c r="DW155" i="2"/>
  <c r="DW122" i="7" s="1"/>
  <c r="DW67" i="7"/>
  <c r="DW161" i="2"/>
  <c r="DW128" i="7" s="1"/>
  <c r="DW73" i="7"/>
  <c r="DU154" i="2"/>
  <c r="DU121" i="7" s="1"/>
  <c r="DU66" i="7"/>
  <c r="DU155" i="2"/>
  <c r="DU122" i="7" s="1"/>
  <c r="DU67" i="7"/>
  <c r="DU148" i="2"/>
  <c r="DU115" i="7" s="1"/>
  <c r="DU60" i="7"/>
  <c r="DU152" i="2"/>
  <c r="DU119" i="7" s="1"/>
  <c r="DU64" i="7"/>
  <c r="DU156" i="2"/>
  <c r="DU123" i="7" s="1"/>
  <c r="DU68" i="7"/>
  <c r="DU162" i="2"/>
  <c r="DU74" i="7"/>
  <c r="DU166" i="2"/>
  <c r="DW154" i="2"/>
  <c r="DW121" i="7" s="1"/>
  <c r="DW66" i="7"/>
  <c r="DW148" i="2"/>
  <c r="DW115" i="7" s="1"/>
  <c r="DW60" i="7"/>
  <c r="DW152" i="2"/>
  <c r="DW119" i="7" s="1"/>
  <c r="DW64" i="7"/>
  <c r="DW156" i="2"/>
  <c r="DW123" i="7" s="1"/>
  <c r="DW68" i="7"/>
  <c r="DW162" i="2"/>
  <c r="DW129" i="7" s="1"/>
  <c r="DW74" i="7"/>
  <c r="DW166" i="2"/>
  <c r="DW158" i="2"/>
  <c r="DW125" i="7" s="1"/>
  <c r="DW70" i="7"/>
  <c r="DU161" i="2"/>
  <c r="DU73" i="7"/>
  <c r="DU149" i="2"/>
  <c r="DU116" i="7" s="1"/>
  <c r="DU61" i="7"/>
  <c r="DU153" i="2"/>
  <c r="DU120" i="7" s="1"/>
  <c r="DU65" i="7"/>
  <c r="DU157" i="2"/>
  <c r="DU124" i="7" s="1"/>
  <c r="DU69" i="7"/>
  <c r="DU163" i="2"/>
  <c r="DU75" i="7"/>
  <c r="DU164" i="2"/>
  <c r="DW149" i="2"/>
  <c r="DW116" i="7" s="1"/>
  <c r="DW61" i="7"/>
  <c r="DW153" i="2"/>
  <c r="DW120" i="7" s="1"/>
  <c r="DW65" i="7"/>
  <c r="DW157" i="2"/>
  <c r="DW124" i="7" s="1"/>
  <c r="DW69" i="7"/>
  <c r="DW163" i="2"/>
  <c r="DW130" i="7" s="1"/>
  <c r="DW75" i="7"/>
  <c r="DV126" i="2"/>
  <c r="DV133" i="2"/>
  <c r="DV136" i="2"/>
  <c r="DV130" i="2"/>
  <c r="DV83" i="1"/>
  <c r="GR64" i="1"/>
  <c r="DV138" i="2"/>
  <c r="DV129" i="2"/>
  <c r="DV127" i="2"/>
  <c r="DV122" i="2"/>
  <c r="DV147" i="2" s="1"/>
  <c r="DV117" i="2"/>
  <c r="DV73" i="2"/>
  <c r="DW142" i="2"/>
  <c r="DV141" i="2"/>
  <c r="DV131" i="2"/>
  <c r="DU142" i="2"/>
  <c r="DV23" i="2"/>
  <c r="DU150" i="2"/>
  <c r="DW147" i="2"/>
  <c r="DV123" i="2"/>
  <c r="GT63" i="1"/>
  <c r="GT68" i="1"/>
  <c r="GT66" i="1"/>
  <c r="GT69" i="1"/>
  <c r="GU67" i="1"/>
  <c r="GT65" i="1"/>
  <c r="GT64" i="1"/>
  <c r="GU62" i="1"/>
  <c r="GT61" i="1"/>
  <c r="GR69" i="1"/>
  <c r="GR63" i="1"/>
  <c r="GS71" i="1"/>
  <c r="GS68" i="1"/>
  <c r="GR67" i="1"/>
  <c r="GR66" i="1"/>
  <c r="GS65" i="1"/>
  <c r="GR62" i="1"/>
  <c r="GR61" i="1"/>
  <c r="DU36" i="1"/>
  <c r="DV32" i="1"/>
  <c r="DV51" i="1"/>
  <c r="DW163" i="7"/>
  <c r="DV163" i="7"/>
  <c r="DU163" i="7"/>
  <c r="DW162" i="7"/>
  <c r="DV162" i="7"/>
  <c r="DU162" i="7"/>
  <c r="DW161" i="7"/>
  <c r="DV161" i="7"/>
  <c r="DU161" i="7"/>
  <c r="DW160" i="7"/>
  <c r="DV160" i="7"/>
  <c r="DU160" i="7"/>
  <c r="DW159" i="7"/>
  <c r="DV159" i="7"/>
  <c r="DU159" i="7"/>
  <c r="DW158" i="7"/>
  <c r="DV158" i="7"/>
  <c r="DU158" i="7"/>
  <c r="DW157" i="7"/>
  <c r="DV157" i="7"/>
  <c r="DU157" i="7"/>
  <c r="DW156" i="7"/>
  <c r="DV156" i="7"/>
  <c r="DU156" i="7"/>
  <c r="DW155" i="7"/>
  <c r="DV155" i="7"/>
  <c r="DU155" i="7"/>
  <c r="DW152" i="7"/>
  <c r="DV152" i="7"/>
  <c r="DU152" i="7"/>
  <c r="DW151" i="7"/>
  <c r="DV151" i="7"/>
  <c r="DU151" i="7"/>
  <c r="DW150" i="7"/>
  <c r="DV150" i="7"/>
  <c r="DU150" i="7"/>
  <c r="DW149" i="7"/>
  <c r="DV149" i="7"/>
  <c r="DU149" i="7"/>
  <c r="DW148" i="7"/>
  <c r="DV148" i="7"/>
  <c r="DU148" i="7"/>
  <c r="DW147" i="7"/>
  <c r="DV147" i="7"/>
  <c r="DU147" i="7"/>
  <c r="DW146" i="7"/>
  <c r="DV146" i="7"/>
  <c r="DU146" i="7"/>
  <c r="DW145" i="7"/>
  <c r="DV145" i="7"/>
  <c r="DU145" i="7"/>
  <c r="DW144" i="7"/>
  <c r="DV144" i="7"/>
  <c r="DU144" i="7"/>
  <c r="DW143" i="7"/>
  <c r="DV143" i="7"/>
  <c r="DU143" i="7"/>
  <c r="DW142" i="7"/>
  <c r="DV142" i="7"/>
  <c r="DU142" i="7"/>
  <c r="DW141" i="7"/>
  <c r="DV141" i="7"/>
  <c r="DU141" i="7"/>
  <c r="DU108" i="7"/>
  <c r="DV108" i="7" s="1"/>
  <c r="DU105" i="7"/>
  <c r="DV105" i="7" s="1"/>
  <c r="DU104" i="7"/>
  <c r="DV104" i="7" s="1"/>
  <c r="DU103" i="7"/>
  <c r="DV103" i="7" s="1"/>
  <c r="DU102" i="7"/>
  <c r="DV102" i="7" s="1"/>
  <c r="DU101" i="7"/>
  <c r="DV101" i="7" s="1"/>
  <c r="DU100" i="7"/>
  <c r="DV100" i="7" s="1"/>
  <c r="DW54" i="7"/>
  <c r="DU54" i="7"/>
  <c r="DV53" i="7"/>
  <c r="DV52" i="7"/>
  <c r="DV51" i="7"/>
  <c r="DV50" i="7"/>
  <c r="DV49" i="7"/>
  <c r="DV48" i="7"/>
  <c r="DV47" i="7"/>
  <c r="DV46" i="7"/>
  <c r="DV45" i="7"/>
  <c r="DV42" i="7"/>
  <c r="DV41" i="7"/>
  <c r="DV40" i="7"/>
  <c r="DV39" i="7"/>
  <c r="DV38" i="7"/>
  <c r="DV37" i="7"/>
  <c r="DV36" i="7"/>
  <c r="DV35" i="7"/>
  <c r="DV34" i="7"/>
  <c r="DV33" i="7"/>
  <c r="DV32" i="7"/>
  <c r="DV31" i="7"/>
  <c r="DW26" i="7"/>
  <c r="DV129" i="7" l="1"/>
  <c r="DV13" i="1"/>
  <c r="DV17" i="1" s="1"/>
  <c r="DU130" i="7"/>
  <c r="DU128" i="7"/>
  <c r="DU129" i="7"/>
  <c r="DW81" i="7"/>
  <c r="DU81" i="7"/>
  <c r="DV69" i="7"/>
  <c r="DV61" i="7"/>
  <c r="DV63" i="7"/>
  <c r="DV74" i="7"/>
  <c r="DV149" i="2"/>
  <c r="DV157" i="2"/>
  <c r="DV65" i="7"/>
  <c r="DV151" i="2"/>
  <c r="DW167" i="2"/>
  <c r="DV155" i="2"/>
  <c r="DV67" i="7"/>
  <c r="DV156" i="2"/>
  <c r="DV68" i="7"/>
  <c r="DV148" i="2"/>
  <c r="DV60" i="7"/>
  <c r="DV154" i="2"/>
  <c r="DV66" i="7"/>
  <c r="DV161" i="2"/>
  <c r="DV128" i="7" s="1"/>
  <c r="DV73" i="7"/>
  <c r="DV166" i="2"/>
  <c r="DV163" i="2"/>
  <c r="DV130" i="7" s="1"/>
  <c r="DV75" i="7"/>
  <c r="DV158" i="2"/>
  <c r="DV70" i="7"/>
  <c r="DU167" i="2"/>
  <c r="DV152" i="2"/>
  <c r="DV64" i="7"/>
  <c r="DU109" i="7"/>
  <c r="DV164" i="7"/>
  <c r="DW164" i="7"/>
  <c r="DU164" i="7"/>
  <c r="DV142" i="2"/>
  <c r="DV55" i="1"/>
  <c r="GT71" i="1"/>
  <c r="GS70" i="1"/>
  <c r="GR70" i="1"/>
  <c r="GR74" i="1"/>
  <c r="DV36" i="1"/>
  <c r="DW55" i="1"/>
  <c r="DW109" i="7"/>
  <c r="DV54" i="7"/>
  <c r="DU136" i="7" l="1"/>
  <c r="DW136" i="7"/>
  <c r="DV81" i="7"/>
  <c r="DV167" i="2"/>
  <c r="GU71" i="1"/>
  <c r="GS74" i="1"/>
  <c r="DW36" i="1"/>
  <c r="BH81" i="8"/>
  <c r="BG81" i="8"/>
  <c r="BF81" i="8"/>
  <c r="BE81" i="8"/>
  <c r="BC81" i="8"/>
  <c r="BB81" i="8"/>
  <c r="BA81" i="8"/>
  <c r="AZ81" i="8"/>
  <c r="AX81" i="8"/>
  <c r="AW81" i="8"/>
  <c r="AV81" i="8"/>
  <c r="AU81" i="8"/>
  <c r="AS81" i="8"/>
  <c r="AR81" i="8"/>
  <c r="AQ81" i="8"/>
  <c r="AP81" i="8"/>
  <c r="AN81" i="8"/>
  <c r="AM81" i="8"/>
  <c r="AL81" i="8"/>
  <c r="AK81" i="8"/>
  <c r="AI81" i="8"/>
  <c r="AH81" i="8"/>
  <c r="AG81" i="8"/>
  <c r="AF81" i="8"/>
  <c r="AD81" i="8"/>
  <c r="AC81" i="8"/>
  <c r="AB81" i="8"/>
  <c r="AA81" i="8"/>
  <c r="Y81" i="8"/>
  <c r="X81" i="8"/>
  <c r="W81" i="8"/>
  <c r="V81" i="8"/>
  <c r="T81" i="8"/>
  <c r="S81" i="8"/>
  <c r="R81" i="8"/>
  <c r="Q81" i="8"/>
  <c r="O81" i="8"/>
  <c r="N81" i="8"/>
  <c r="M81" i="8"/>
  <c r="L81" i="8"/>
  <c r="J81" i="8"/>
  <c r="I81" i="8"/>
  <c r="H81" i="8"/>
  <c r="G81" i="8"/>
  <c r="E81" i="8"/>
  <c r="D81" i="8"/>
  <c r="C81" i="8"/>
  <c r="B81" i="8"/>
  <c r="DU71" i="8"/>
  <c r="DT71" i="8"/>
  <c r="DS71" i="8"/>
  <c r="DR71" i="8"/>
  <c r="DP71" i="8"/>
  <c r="DO71" i="8"/>
  <c r="DN71" i="8"/>
  <c r="DM71" i="8"/>
  <c r="DK71" i="8"/>
  <c r="DJ71" i="8"/>
  <c r="DI71" i="8"/>
  <c r="DH71" i="8"/>
  <c r="DF71" i="8"/>
  <c r="DE71" i="8"/>
  <c r="DD71" i="8"/>
  <c r="DC71" i="8"/>
  <c r="DA71" i="8"/>
  <c r="CZ71" i="8"/>
  <c r="CY71" i="8"/>
  <c r="CX71" i="8"/>
  <c r="CV71" i="8"/>
  <c r="CU71" i="8"/>
  <c r="CT71" i="8"/>
  <c r="CS71" i="8"/>
  <c r="CQ71" i="8"/>
  <c r="CP71" i="8"/>
  <c r="CO71" i="8"/>
  <c r="CN71" i="8"/>
  <c r="CK71" i="8"/>
  <c r="CJ71" i="8"/>
  <c r="CI71" i="8"/>
  <c r="CG71" i="8"/>
  <c r="CF71" i="8"/>
  <c r="CE71" i="8"/>
  <c r="CD71" i="8"/>
  <c r="CB71" i="8"/>
  <c r="CA71" i="8"/>
  <c r="BZ71" i="8"/>
  <c r="BY71" i="8"/>
  <c r="BW71" i="8"/>
  <c r="BV71" i="8"/>
  <c r="BU71" i="8"/>
  <c r="BT71" i="8"/>
  <c r="BR71" i="8"/>
  <c r="BQ71" i="8"/>
  <c r="BP71" i="8"/>
  <c r="BO71" i="8"/>
  <c r="BM71" i="8"/>
  <c r="BL71" i="8"/>
  <c r="BK71" i="8"/>
  <c r="BJ71" i="8"/>
  <c r="BH71" i="8"/>
  <c r="BG71" i="8"/>
  <c r="BF71" i="8"/>
  <c r="BE71" i="8"/>
  <c r="BC71" i="8"/>
  <c r="BB71" i="8"/>
  <c r="BA71" i="8"/>
  <c r="AZ71" i="8"/>
  <c r="AX71" i="8"/>
  <c r="AW71" i="8"/>
  <c r="AV71" i="8"/>
  <c r="AU71" i="8"/>
  <c r="AS71" i="8"/>
  <c r="AR71" i="8"/>
  <c r="AQ71" i="8"/>
  <c r="AP71" i="8"/>
  <c r="AN71" i="8"/>
  <c r="AM71" i="8"/>
  <c r="AL71" i="8"/>
  <c r="AK71" i="8"/>
  <c r="AI71" i="8"/>
  <c r="AH71" i="8"/>
  <c r="AG71" i="8"/>
  <c r="AF71" i="8"/>
  <c r="AD71" i="8"/>
  <c r="AC71" i="8"/>
  <c r="AB71" i="8"/>
  <c r="AA71" i="8"/>
  <c r="Y71" i="8"/>
  <c r="X71" i="8"/>
  <c r="W71" i="8"/>
  <c r="V71" i="8"/>
  <c r="T71" i="8"/>
  <c r="S71" i="8"/>
  <c r="R71" i="8"/>
  <c r="Q71" i="8"/>
  <c r="O71" i="8"/>
  <c r="N71" i="8"/>
  <c r="M71" i="8"/>
  <c r="L71" i="8"/>
  <c r="J71" i="8"/>
  <c r="I71" i="8"/>
  <c r="H71" i="8"/>
  <c r="G71" i="8"/>
  <c r="E71" i="8"/>
  <c r="D71" i="8"/>
  <c r="C71" i="8"/>
  <c r="B71" i="8"/>
  <c r="DW71" i="8"/>
  <c r="DU52" i="8"/>
  <c r="DT52" i="8"/>
  <c r="DS52" i="8"/>
  <c r="DR52" i="8"/>
  <c r="DP52" i="8"/>
  <c r="DO52" i="8"/>
  <c r="DN52" i="8"/>
  <c r="DM52" i="8"/>
  <c r="DK52" i="8"/>
  <c r="DJ52" i="8"/>
  <c r="DI52" i="8"/>
  <c r="DH52" i="8"/>
  <c r="DF52" i="8"/>
  <c r="DE52" i="8"/>
  <c r="DD52" i="8"/>
  <c r="DC52" i="8"/>
  <c r="DA52" i="8"/>
  <c r="CZ52" i="8"/>
  <c r="CY52" i="8"/>
  <c r="CX52" i="8"/>
  <c r="CV52" i="8"/>
  <c r="CU52" i="8"/>
  <c r="CT52" i="8"/>
  <c r="CS52" i="8"/>
  <c r="CQ52" i="8"/>
  <c r="CP52" i="8"/>
  <c r="CO52" i="8"/>
  <c r="CN52" i="8"/>
  <c r="CK52" i="8"/>
  <c r="CJ52" i="8"/>
  <c r="CI52" i="8"/>
  <c r="CG52" i="8"/>
  <c r="CF52" i="8"/>
  <c r="CE52" i="8"/>
  <c r="CD52" i="8"/>
  <c r="CB52" i="8"/>
  <c r="CA52" i="8"/>
  <c r="BZ52" i="8"/>
  <c r="BY52" i="8"/>
  <c r="BW52" i="8"/>
  <c r="BV52" i="8"/>
  <c r="BU52" i="8"/>
  <c r="BT52" i="8"/>
  <c r="BR52" i="8"/>
  <c r="BQ52" i="8"/>
  <c r="BP52" i="8"/>
  <c r="BO52" i="8"/>
  <c r="BM52" i="8"/>
  <c r="BL52" i="8"/>
  <c r="BK52" i="8"/>
  <c r="BJ52" i="8"/>
  <c r="BH52" i="8"/>
  <c r="BG52" i="8"/>
  <c r="BF52" i="8"/>
  <c r="BE52" i="8"/>
  <c r="BC52" i="8"/>
  <c r="BB52" i="8"/>
  <c r="BA52" i="8"/>
  <c r="AZ52" i="8"/>
  <c r="AX52" i="8"/>
  <c r="AW52" i="8"/>
  <c r="AV52" i="8"/>
  <c r="AU52" i="8"/>
  <c r="AS52" i="8"/>
  <c r="AR52" i="8"/>
  <c r="AQ52" i="8"/>
  <c r="AP52" i="8"/>
  <c r="AN52" i="8"/>
  <c r="AM52" i="8"/>
  <c r="AL52" i="8"/>
  <c r="AK52" i="8"/>
  <c r="AI52" i="8"/>
  <c r="AH52" i="8"/>
  <c r="AG52" i="8"/>
  <c r="AF52" i="8"/>
  <c r="AD52" i="8"/>
  <c r="AC52" i="8"/>
  <c r="AB52" i="8"/>
  <c r="AA52" i="8"/>
  <c r="Y52" i="8"/>
  <c r="X52" i="8"/>
  <c r="W52" i="8"/>
  <c r="V52" i="8"/>
  <c r="T52" i="8"/>
  <c r="S52" i="8"/>
  <c r="R52" i="8"/>
  <c r="Q52" i="8"/>
  <c r="O52" i="8"/>
  <c r="N52" i="8"/>
  <c r="L52" i="8"/>
  <c r="J52" i="8"/>
  <c r="I52" i="8"/>
  <c r="H52" i="8"/>
  <c r="G52" i="8"/>
  <c r="E52" i="8"/>
  <c r="D52" i="8"/>
  <c r="C52" i="8"/>
  <c r="B52" i="8"/>
  <c r="DW52" i="8"/>
  <c r="DV78" i="8"/>
  <c r="DV77" i="8"/>
  <c r="DV76" i="8"/>
  <c r="DV68" i="8"/>
  <c r="DV67" i="8"/>
  <c r="DV66" i="8"/>
  <c r="DV65" i="8"/>
  <c r="DV64" i="8"/>
  <c r="DV63" i="8"/>
  <c r="DV62" i="8"/>
  <c r="DV61" i="8"/>
  <c r="DV60" i="8"/>
  <c r="DV59" i="8"/>
  <c r="DV58" i="8"/>
  <c r="DV57" i="8"/>
  <c r="DV51" i="8"/>
  <c r="DV24" i="8" s="1"/>
  <c r="DV50" i="8"/>
  <c r="DV23" i="8" s="1"/>
  <c r="DV49" i="8"/>
  <c r="DV22" i="8" s="1"/>
  <c r="DV48" i="8"/>
  <c r="DV21" i="8" s="1"/>
  <c r="DV47" i="8"/>
  <c r="DV20" i="8" s="1"/>
  <c r="DV46" i="8"/>
  <c r="DV19" i="8" s="1"/>
  <c r="DV45" i="8"/>
  <c r="DV18" i="8" s="1"/>
  <c r="DV44" i="8"/>
  <c r="DV17" i="8" s="1"/>
  <c r="DV41" i="8"/>
  <c r="DV40" i="8"/>
  <c r="DV39" i="8"/>
  <c r="DV38" i="8"/>
  <c r="DV37" i="8"/>
  <c r="DV36" i="8"/>
  <c r="DV9" i="8" s="1"/>
  <c r="DV35" i="8"/>
  <c r="DV8" i="8" s="1"/>
  <c r="DV34" i="8"/>
  <c r="DV7" i="8" s="1"/>
  <c r="DV33" i="8"/>
  <c r="DV6" i="8" s="1"/>
  <c r="DV32" i="8"/>
  <c r="DV31" i="8"/>
  <c r="DV30" i="8"/>
  <c r="DV14" i="8" l="1"/>
  <c r="DV11" i="8"/>
  <c r="DV3" i="8"/>
  <c r="DV12" i="8"/>
  <c r="DV4" i="8"/>
  <c r="DV5" i="8"/>
  <c r="DV13" i="8"/>
  <c r="DV10" i="8"/>
  <c r="DV81" i="8"/>
  <c r="DV71" i="8"/>
  <c r="DV52" i="8"/>
  <c r="GT74" i="1"/>
  <c r="GT70" i="1"/>
  <c r="GU70" i="1"/>
  <c r="DV25" i="8" l="1"/>
  <c r="GU74" i="1"/>
  <c r="DQ53" i="7" l="1"/>
  <c r="DQ52" i="7"/>
  <c r="DQ51" i="7"/>
  <c r="DQ50" i="7"/>
  <c r="DQ49" i="7"/>
  <c r="DQ48" i="7"/>
  <c r="DQ47" i="7"/>
  <c r="DQ46" i="7"/>
  <c r="DQ45" i="7"/>
  <c r="DQ42" i="7"/>
  <c r="DQ41" i="7"/>
  <c r="DQ40" i="7"/>
  <c r="DQ39" i="7"/>
  <c r="DQ38" i="7"/>
  <c r="DQ37" i="7"/>
  <c r="DQ36" i="7"/>
  <c r="DQ35" i="7"/>
  <c r="DQ34" i="7"/>
  <c r="DQ33" i="7"/>
  <c r="DQ32" i="7"/>
  <c r="DQ31" i="7"/>
  <c r="DL53" i="7"/>
  <c r="DL52" i="7"/>
  <c r="DL51" i="7"/>
  <c r="DL50" i="7"/>
  <c r="DL49" i="7"/>
  <c r="DL48" i="7"/>
  <c r="DL47" i="7"/>
  <c r="DL46" i="7"/>
  <c r="DL45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G53" i="7" l="1"/>
  <c r="DG52" i="7"/>
  <c r="DG51" i="7"/>
  <c r="DG50" i="7"/>
  <c r="DG49" i="7"/>
  <c r="DG48" i="7"/>
  <c r="DG47" i="7"/>
  <c r="DG46" i="7"/>
  <c r="DG45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B53" i="7"/>
  <c r="DB52" i="7"/>
  <c r="DB51" i="7"/>
  <c r="DB50" i="7"/>
  <c r="DB49" i="7"/>
  <c r="DB48" i="7"/>
  <c r="DB47" i="7"/>
  <c r="DB46" i="7"/>
  <c r="DB45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CR53" i="7"/>
  <c r="CR108" i="7" s="1"/>
  <c r="CR52" i="7"/>
  <c r="CR107" i="7" s="1"/>
  <c r="CR51" i="7"/>
  <c r="CR106" i="7" s="1"/>
  <c r="CR50" i="7"/>
  <c r="CR49" i="7"/>
  <c r="CR104" i="7" s="1"/>
  <c r="CR48" i="7"/>
  <c r="CR103" i="7" s="1"/>
  <c r="CR47" i="7"/>
  <c r="CR46" i="7"/>
  <c r="CR45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W53" i="7"/>
  <c r="CW108" i="7" s="1"/>
  <c r="CW52" i="7"/>
  <c r="CW107" i="7" s="1"/>
  <c r="CW51" i="7"/>
  <c r="CW106" i="7" s="1"/>
  <c r="CW50" i="7"/>
  <c r="CW105" i="7" s="1"/>
  <c r="CW49" i="7"/>
  <c r="CW104" i="7" s="1"/>
  <c r="CW48" i="7"/>
  <c r="CW103" i="7" s="1"/>
  <c r="CW47" i="7"/>
  <c r="CW46" i="7"/>
  <c r="CW101" i="7" s="1"/>
  <c r="CW45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M36" i="7"/>
  <c r="CM35" i="7"/>
  <c r="CM34" i="7"/>
  <c r="CM33" i="7"/>
  <c r="CM32" i="7"/>
  <c r="CM31" i="7"/>
  <c r="CH35" i="7"/>
  <c r="CH34" i="7"/>
  <c r="CH33" i="7"/>
  <c r="CH32" i="7"/>
  <c r="CH31" i="7"/>
  <c r="CC31" i="7"/>
  <c r="BX35" i="7"/>
  <c r="BX34" i="7"/>
  <c r="BX33" i="7"/>
  <c r="BX32" i="7"/>
  <c r="BX31" i="7"/>
  <c r="CR105" i="7" l="1"/>
  <c r="CR101" i="7"/>
  <c r="CR102" i="7"/>
  <c r="CR100" i="7"/>
  <c r="CW102" i="7"/>
  <c r="CW100" i="7"/>
  <c r="BN31" i="7" l="1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M54" i="7"/>
  <c r="BL54" i="7"/>
  <c r="BK54" i="7"/>
  <c r="BJ54" i="7"/>
  <c r="BN54" i="7" l="1"/>
  <c r="CX82" i="6" l="1"/>
  <c r="DQ137" i="6" l="1"/>
  <c r="DQ136" i="6"/>
  <c r="DQ135" i="6"/>
  <c r="DQ134" i="6"/>
  <c r="DQ133" i="6"/>
  <c r="DQ132" i="6"/>
  <c r="DQ131" i="6"/>
  <c r="DQ130" i="6"/>
  <c r="DQ129" i="6"/>
  <c r="DQ126" i="6"/>
  <c r="DQ125" i="6"/>
  <c r="DQ124" i="6"/>
  <c r="DQ123" i="6"/>
  <c r="DQ122" i="6"/>
  <c r="DQ121" i="6"/>
  <c r="DQ120" i="6"/>
  <c r="DQ119" i="6"/>
  <c r="DQ118" i="6"/>
  <c r="DQ117" i="6"/>
  <c r="DQ116" i="6"/>
  <c r="DQ115" i="6"/>
  <c r="DL137" i="6"/>
  <c r="DL136" i="6"/>
  <c r="DL135" i="6"/>
  <c r="DL134" i="6"/>
  <c r="DL133" i="6"/>
  <c r="DL132" i="6"/>
  <c r="DL131" i="6"/>
  <c r="DL130" i="6"/>
  <c r="DL129" i="6"/>
  <c r="DL126" i="6"/>
  <c r="DL125" i="6"/>
  <c r="DL124" i="6"/>
  <c r="DL123" i="6"/>
  <c r="DL122" i="6"/>
  <c r="DL121" i="6"/>
  <c r="DL120" i="6"/>
  <c r="DL119" i="6"/>
  <c r="DL118" i="6"/>
  <c r="DL117" i="6"/>
  <c r="DL116" i="6"/>
  <c r="DL115" i="6"/>
  <c r="DG137" i="6"/>
  <c r="DG136" i="6"/>
  <c r="DG135" i="6"/>
  <c r="DG134" i="6"/>
  <c r="DG133" i="6"/>
  <c r="DG132" i="6"/>
  <c r="DG131" i="6"/>
  <c r="DG130" i="6"/>
  <c r="DG129" i="6"/>
  <c r="DG126" i="6"/>
  <c r="DG125" i="6"/>
  <c r="DG124" i="6"/>
  <c r="DG123" i="6"/>
  <c r="DG122" i="6"/>
  <c r="DG121" i="6"/>
  <c r="DG120" i="6"/>
  <c r="DG119" i="6"/>
  <c r="DG118" i="6"/>
  <c r="DG117" i="6"/>
  <c r="DG116" i="6"/>
  <c r="DG115" i="6"/>
  <c r="DB137" i="6"/>
  <c r="DB136" i="6"/>
  <c r="DB135" i="6"/>
  <c r="DB134" i="6"/>
  <c r="DB133" i="6"/>
  <c r="DB132" i="6"/>
  <c r="DB131" i="6"/>
  <c r="DB129" i="6"/>
  <c r="DB126" i="6"/>
  <c r="DB125" i="6"/>
  <c r="DB124" i="6"/>
  <c r="DB123" i="6"/>
  <c r="DB122" i="6"/>
  <c r="DB121" i="6"/>
  <c r="DB120" i="6"/>
  <c r="DB119" i="6"/>
  <c r="DB118" i="6"/>
  <c r="DB117" i="6"/>
  <c r="DB116" i="6"/>
  <c r="DB115" i="6"/>
  <c r="CW137" i="6"/>
  <c r="CW136" i="6"/>
  <c r="CW135" i="6"/>
  <c r="CW134" i="6"/>
  <c r="CW131" i="6"/>
  <c r="CW129" i="6"/>
  <c r="CW126" i="6"/>
  <c r="CW125" i="6"/>
  <c r="CW124" i="6"/>
  <c r="CW123" i="6"/>
  <c r="CW122" i="6"/>
  <c r="CW121" i="6"/>
  <c r="CW120" i="6"/>
  <c r="CW119" i="6"/>
  <c r="CW118" i="6"/>
  <c r="CW117" i="6"/>
  <c r="CW116" i="6"/>
  <c r="CW115" i="6"/>
  <c r="CR137" i="6"/>
  <c r="CR136" i="6"/>
  <c r="CR135" i="6"/>
  <c r="CR134" i="6"/>
  <c r="CR131" i="6"/>
  <c r="CR129" i="6"/>
  <c r="CR121" i="6"/>
  <c r="CR120" i="6"/>
  <c r="CR119" i="6"/>
  <c r="CR118" i="6"/>
  <c r="CR117" i="6"/>
  <c r="CR116" i="6"/>
  <c r="CR115" i="6"/>
  <c r="CM137" i="6"/>
  <c r="CM136" i="6"/>
  <c r="CM135" i="6"/>
  <c r="CM134" i="6"/>
  <c r="CM131" i="6"/>
  <c r="CM129" i="6"/>
  <c r="CM121" i="6"/>
  <c r="CM120" i="6"/>
  <c r="CM119" i="6"/>
  <c r="CM118" i="6"/>
  <c r="CM117" i="6"/>
  <c r="CM116" i="6"/>
  <c r="CM115" i="6"/>
  <c r="CH137" i="6"/>
  <c r="CH136" i="6"/>
  <c r="CH135" i="6"/>
  <c r="CH134" i="6"/>
  <c r="CH131" i="6"/>
  <c r="CH129" i="6"/>
  <c r="CH121" i="6"/>
  <c r="CH120" i="6"/>
  <c r="CH119" i="6"/>
  <c r="CH118" i="6"/>
  <c r="CH117" i="6"/>
  <c r="CH116" i="6"/>
  <c r="CH115" i="6"/>
  <c r="CC137" i="6"/>
  <c r="CC136" i="6"/>
  <c r="CC135" i="6"/>
  <c r="CC134" i="6"/>
  <c r="CC131" i="6"/>
  <c r="CC129" i="6"/>
  <c r="CC121" i="6"/>
  <c r="CC120" i="6"/>
  <c r="CC119" i="6"/>
  <c r="CC118" i="6"/>
  <c r="CC117" i="6"/>
  <c r="CC116" i="6"/>
  <c r="CC115" i="6"/>
  <c r="BX137" i="6"/>
  <c r="BX136" i="6"/>
  <c r="BX135" i="6"/>
  <c r="BX134" i="6"/>
  <c r="BX131" i="6"/>
  <c r="BX129" i="6"/>
  <c r="BX121" i="6"/>
  <c r="BX120" i="6"/>
  <c r="BX119" i="6"/>
  <c r="BX118" i="6"/>
  <c r="BX117" i="6"/>
  <c r="BX116" i="6"/>
  <c r="BX115" i="6"/>
  <c r="BS137" i="6"/>
  <c r="BS136" i="6"/>
  <c r="BS135" i="6"/>
  <c r="BS134" i="6"/>
  <c r="BS131" i="6"/>
  <c r="BS129" i="6"/>
  <c r="BS121" i="6"/>
  <c r="BS120" i="6"/>
  <c r="BS119" i="6"/>
  <c r="BS118" i="6"/>
  <c r="BS117" i="6"/>
  <c r="BS116" i="6"/>
  <c r="BS115" i="6"/>
  <c r="BN137" i="6"/>
  <c r="BN136" i="6"/>
  <c r="BN135" i="6"/>
  <c r="BN134" i="6"/>
  <c r="BN131" i="6"/>
  <c r="BN129" i="6"/>
  <c r="BN121" i="6"/>
  <c r="BN120" i="6"/>
  <c r="BN119" i="6"/>
  <c r="BN118" i="6"/>
  <c r="BN117" i="6"/>
  <c r="BN116" i="6"/>
  <c r="BN115" i="6"/>
  <c r="DQ109" i="6"/>
  <c r="DQ108" i="6"/>
  <c r="DQ107" i="6"/>
  <c r="DQ106" i="6"/>
  <c r="DQ105" i="6"/>
  <c r="DQ104" i="6"/>
  <c r="DQ103" i="6"/>
  <c r="DQ102" i="6"/>
  <c r="DQ101" i="6"/>
  <c r="DQ98" i="6"/>
  <c r="DQ97" i="6"/>
  <c r="DQ96" i="6"/>
  <c r="DQ95" i="6"/>
  <c r="DQ94" i="6"/>
  <c r="DQ93" i="6"/>
  <c r="DQ92" i="6"/>
  <c r="DQ91" i="6"/>
  <c r="DQ90" i="6"/>
  <c r="DQ89" i="6"/>
  <c r="DQ88" i="6"/>
  <c r="DQ87" i="6"/>
  <c r="DL109" i="6"/>
  <c r="DL108" i="6"/>
  <c r="DL107" i="6"/>
  <c r="DL106" i="6"/>
  <c r="DL105" i="6"/>
  <c r="DL104" i="6"/>
  <c r="DL103" i="6"/>
  <c r="DL102" i="6"/>
  <c r="DL15" i="6" s="1"/>
  <c r="DL101" i="6"/>
  <c r="DL98" i="6"/>
  <c r="DL97" i="6"/>
  <c r="DL96" i="6"/>
  <c r="DL95" i="6"/>
  <c r="DL94" i="6"/>
  <c r="DL93" i="6"/>
  <c r="DL92" i="6"/>
  <c r="DL91" i="6"/>
  <c r="DL90" i="6"/>
  <c r="DL89" i="6"/>
  <c r="DL88" i="6"/>
  <c r="DL87" i="6"/>
  <c r="DG109" i="6"/>
  <c r="DG108" i="6"/>
  <c r="DG107" i="6"/>
  <c r="DG106" i="6"/>
  <c r="DG105" i="6"/>
  <c r="DG104" i="6"/>
  <c r="DG103" i="6"/>
  <c r="DG102" i="6"/>
  <c r="DG15" i="6" s="1"/>
  <c r="DG101" i="6"/>
  <c r="DG98" i="6"/>
  <c r="DG97" i="6"/>
  <c r="DG96" i="6"/>
  <c r="DG95" i="6"/>
  <c r="DG94" i="6"/>
  <c r="DG93" i="6"/>
  <c r="DG92" i="6"/>
  <c r="DG91" i="6"/>
  <c r="DG90" i="6"/>
  <c r="DG89" i="6"/>
  <c r="DG88" i="6"/>
  <c r="DG87" i="6"/>
  <c r="DB109" i="6"/>
  <c r="DB108" i="6"/>
  <c r="DB107" i="6"/>
  <c r="DB106" i="6"/>
  <c r="DB105" i="6"/>
  <c r="DB104" i="6"/>
  <c r="DB103" i="6"/>
  <c r="DB102" i="6"/>
  <c r="DB101" i="6"/>
  <c r="DB93" i="6"/>
  <c r="DB92" i="6"/>
  <c r="DB91" i="6"/>
  <c r="DB90" i="6"/>
  <c r="DB89" i="6"/>
  <c r="DB88" i="6"/>
  <c r="DB87" i="6"/>
  <c r="CW109" i="6"/>
  <c r="CW108" i="6"/>
  <c r="CW107" i="6"/>
  <c r="CW106" i="6"/>
  <c r="CW105" i="6"/>
  <c r="CW104" i="6"/>
  <c r="CW20" i="6" s="1"/>
  <c r="CW103" i="6"/>
  <c r="CW102" i="6"/>
  <c r="CW101" i="6"/>
  <c r="CW93" i="6"/>
  <c r="CW92" i="6"/>
  <c r="CW91" i="6"/>
  <c r="CW90" i="6"/>
  <c r="CW89" i="6"/>
  <c r="CW88" i="6"/>
  <c r="CW87" i="6"/>
  <c r="CR109" i="6"/>
  <c r="CR108" i="6"/>
  <c r="CR107" i="6"/>
  <c r="CR106" i="6"/>
  <c r="CR103" i="6"/>
  <c r="CR102" i="6"/>
  <c r="CR101" i="6"/>
  <c r="CR10" i="6" s="1"/>
  <c r="CR93" i="6"/>
  <c r="CR92" i="6"/>
  <c r="CR91" i="6"/>
  <c r="CR90" i="6"/>
  <c r="CR89" i="6"/>
  <c r="CR88" i="6"/>
  <c r="CR87" i="6"/>
  <c r="CM109" i="6"/>
  <c r="CM108" i="6"/>
  <c r="CM107" i="6"/>
  <c r="CM106" i="6"/>
  <c r="CM103" i="6"/>
  <c r="CM102" i="6"/>
  <c r="CM101" i="6"/>
  <c r="CM10" i="6" s="1"/>
  <c r="CM93" i="6"/>
  <c r="CM92" i="6"/>
  <c r="CM91" i="6"/>
  <c r="CM90" i="6"/>
  <c r="CM89" i="6"/>
  <c r="CM88" i="6"/>
  <c r="CM87" i="6"/>
  <c r="CH109" i="6"/>
  <c r="CH108" i="6"/>
  <c r="CH107" i="6"/>
  <c r="CH106" i="6"/>
  <c r="CH103" i="6"/>
  <c r="CH102" i="6"/>
  <c r="CH101" i="6"/>
  <c r="CH10" i="6" s="1"/>
  <c r="CH93" i="6"/>
  <c r="CH92" i="6"/>
  <c r="CH91" i="6"/>
  <c r="CH90" i="6"/>
  <c r="CH89" i="6"/>
  <c r="CH88" i="6"/>
  <c r="CH87" i="6"/>
  <c r="CC109" i="6"/>
  <c r="CC108" i="6"/>
  <c r="CC107" i="6"/>
  <c r="CC106" i="6"/>
  <c r="CC103" i="6"/>
  <c r="CC102" i="6"/>
  <c r="CC101" i="6"/>
  <c r="CC10" i="6" s="1"/>
  <c r="CC93" i="6"/>
  <c r="CC92" i="6"/>
  <c r="CC91" i="6"/>
  <c r="CC90" i="6"/>
  <c r="CC89" i="6"/>
  <c r="CC88" i="6"/>
  <c r="CC87" i="6"/>
  <c r="BX109" i="6"/>
  <c r="BX108" i="6"/>
  <c r="BX107" i="6"/>
  <c r="BX106" i="6"/>
  <c r="BX103" i="6"/>
  <c r="BX102" i="6"/>
  <c r="BX101" i="6"/>
  <c r="BX10" i="6" s="1"/>
  <c r="BX93" i="6"/>
  <c r="BX92" i="6"/>
  <c r="BX91" i="6"/>
  <c r="BX90" i="6"/>
  <c r="BX89" i="6"/>
  <c r="BX88" i="6"/>
  <c r="BX87" i="6"/>
  <c r="BS109" i="6"/>
  <c r="BS108" i="6"/>
  <c r="BS107" i="6"/>
  <c r="BS106" i="6"/>
  <c r="BS103" i="6"/>
  <c r="BS102" i="6"/>
  <c r="BS101" i="6"/>
  <c r="BS10" i="6" s="1"/>
  <c r="BS93" i="6"/>
  <c r="BS92" i="6"/>
  <c r="BS91" i="6"/>
  <c r="BS90" i="6"/>
  <c r="BS89" i="6"/>
  <c r="BS88" i="6"/>
  <c r="BS87" i="6"/>
  <c r="BN109" i="6"/>
  <c r="BN108" i="6"/>
  <c r="BN107" i="6"/>
  <c r="BN106" i="6"/>
  <c r="BN103" i="6"/>
  <c r="BN102" i="6"/>
  <c r="BN101" i="6"/>
  <c r="BN10" i="6" s="1"/>
  <c r="BN93" i="6"/>
  <c r="BN92" i="6"/>
  <c r="BN91" i="6"/>
  <c r="BN90" i="6"/>
  <c r="BN89" i="6"/>
  <c r="BN88" i="6"/>
  <c r="BN87" i="6"/>
  <c r="DQ81" i="6"/>
  <c r="DQ25" i="6" s="1"/>
  <c r="DQ80" i="6"/>
  <c r="DQ79" i="6"/>
  <c r="DQ78" i="6"/>
  <c r="DQ77" i="6"/>
  <c r="DQ21" i="6" s="1"/>
  <c r="DQ76" i="6"/>
  <c r="DQ75" i="6"/>
  <c r="DQ74" i="6"/>
  <c r="DQ73" i="6"/>
  <c r="DQ70" i="6"/>
  <c r="DQ69" i="6"/>
  <c r="DQ68" i="6"/>
  <c r="DQ67" i="6"/>
  <c r="DQ11" i="6" s="1"/>
  <c r="DQ66" i="6"/>
  <c r="DQ65" i="6"/>
  <c r="DQ9" i="6" s="1"/>
  <c r="DQ64" i="6"/>
  <c r="DQ63" i="6"/>
  <c r="DQ7" i="6" s="1"/>
  <c r="DQ62" i="6"/>
  <c r="DQ61" i="6"/>
  <c r="DQ60" i="6"/>
  <c r="DQ59" i="6"/>
  <c r="DQ3" i="6" s="1"/>
  <c r="DL81" i="6"/>
  <c r="DL80" i="6"/>
  <c r="DL24" i="6" s="1"/>
  <c r="DL79" i="6"/>
  <c r="DL78" i="6"/>
  <c r="DL22" i="6" s="1"/>
  <c r="DL77" i="6"/>
  <c r="DL76" i="6"/>
  <c r="DL20" i="6" s="1"/>
  <c r="DL75" i="6"/>
  <c r="DL74" i="6"/>
  <c r="DL73" i="6"/>
  <c r="DL70" i="6"/>
  <c r="DL69" i="6"/>
  <c r="DL68" i="6"/>
  <c r="DL12" i="6" s="1"/>
  <c r="DL67" i="6"/>
  <c r="DL11" i="6" s="1"/>
  <c r="DL66" i="6"/>
  <c r="DL65" i="6"/>
  <c r="DL64" i="6"/>
  <c r="DL8" i="6" s="1"/>
  <c r="DL63" i="6"/>
  <c r="DL62" i="6"/>
  <c r="DL6" i="6" s="1"/>
  <c r="DL61" i="6"/>
  <c r="DL60" i="6"/>
  <c r="DL59" i="6"/>
  <c r="DG81" i="6"/>
  <c r="DG25" i="6" s="1"/>
  <c r="DG80" i="6"/>
  <c r="DG78" i="6"/>
  <c r="DG22" i="6" s="1"/>
  <c r="DG77" i="6"/>
  <c r="DG21" i="6" s="1"/>
  <c r="DG76" i="6"/>
  <c r="DG20" i="6" s="1"/>
  <c r="DG75" i="6"/>
  <c r="DG74" i="6"/>
  <c r="DG73" i="6"/>
  <c r="DG70" i="6"/>
  <c r="DG69" i="6"/>
  <c r="DG13" i="6" s="1"/>
  <c r="DG68" i="6"/>
  <c r="DG12" i="6" s="1"/>
  <c r="DG67" i="6"/>
  <c r="DG11" i="6" s="1"/>
  <c r="DG66" i="6"/>
  <c r="DG10" i="6" s="1"/>
  <c r="DG65" i="6"/>
  <c r="DG9" i="6" s="1"/>
  <c r="DG64" i="6"/>
  <c r="DG8" i="6" s="1"/>
  <c r="DG63" i="6"/>
  <c r="DG62" i="6"/>
  <c r="DG6" i="6" s="1"/>
  <c r="DG61" i="6"/>
  <c r="DG5" i="6" s="1"/>
  <c r="DG60" i="6"/>
  <c r="DG4" i="6" s="1"/>
  <c r="DG59" i="6"/>
  <c r="DB81" i="6"/>
  <c r="DB25" i="6" s="1"/>
  <c r="DB80" i="6"/>
  <c r="DB24" i="6" s="1"/>
  <c r="DB78" i="6"/>
  <c r="DB77" i="6"/>
  <c r="DB76" i="6"/>
  <c r="DB75" i="6"/>
  <c r="DB73" i="6"/>
  <c r="DB70" i="6"/>
  <c r="DB69" i="6"/>
  <c r="DB13" i="6" s="1"/>
  <c r="DB68" i="6"/>
  <c r="DB67" i="6"/>
  <c r="DB11" i="6" s="1"/>
  <c r="DB66" i="6"/>
  <c r="DB65" i="6"/>
  <c r="DB64" i="6"/>
  <c r="DB63" i="6"/>
  <c r="DB62" i="6"/>
  <c r="DB61" i="6"/>
  <c r="DB60" i="6"/>
  <c r="DB59" i="6"/>
  <c r="CW81" i="6"/>
  <c r="CW80" i="6"/>
  <c r="CW24" i="6" s="1"/>
  <c r="CW79" i="6"/>
  <c r="CW78" i="6"/>
  <c r="CW75" i="6"/>
  <c r="CW73" i="6"/>
  <c r="CW70" i="6"/>
  <c r="CW69" i="6"/>
  <c r="CW68" i="6"/>
  <c r="CW67" i="6"/>
  <c r="CW66" i="6"/>
  <c r="CW65" i="6"/>
  <c r="CW64" i="6"/>
  <c r="CW63" i="6"/>
  <c r="CW7" i="6" s="1"/>
  <c r="CW62" i="6"/>
  <c r="CW61" i="6"/>
  <c r="CW60" i="6"/>
  <c r="CW59" i="6"/>
  <c r="CR81" i="6"/>
  <c r="CR80" i="6"/>
  <c r="CR79" i="6"/>
  <c r="CR78" i="6"/>
  <c r="CR75" i="6"/>
  <c r="CR73" i="6"/>
  <c r="CR64" i="6"/>
  <c r="CR63" i="6"/>
  <c r="CR62" i="6"/>
  <c r="CR61" i="6"/>
  <c r="CR60" i="6"/>
  <c r="CR59" i="6"/>
  <c r="CM81" i="6"/>
  <c r="CM80" i="6"/>
  <c r="CM79" i="6"/>
  <c r="CM78" i="6"/>
  <c r="CM75" i="6"/>
  <c r="CM73" i="6"/>
  <c r="CM64" i="6"/>
  <c r="CM8" i="6" s="1"/>
  <c r="CM63" i="6"/>
  <c r="CM7" i="6" s="1"/>
  <c r="CM62" i="6"/>
  <c r="CM61" i="6"/>
  <c r="CM60" i="6"/>
  <c r="CM59" i="6"/>
  <c r="CH81" i="6"/>
  <c r="CH80" i="6"/>
  <c r="CH79" i="6"/>
  <c r="CH78" i="6"/>
  <c r="CH75" i="6"/>
  <c r="CH73" i="6"/>
  <c r="CH64" i="6"/>
  <c r="CH63" i="6"/>
  <c r="CH62" i="6"/>
  <c r="CH61" i="6"/>
  <c r="CH60" i="6"/>
  <c r="CH59" i="6"/>
  <c r="CC81" i="6"/>
  <c r="CC80" i="6"/>
  <c r="CC79" i="6"/>
  <c r="CC78" i="6"/>
  <c r="CC75" i="6"/>
  <c r="CC73" i="6"/>
  <c r="CC64" i="6"/>
  <c r="CC8" i="6" s="1"/>
  <c r="CC63" i="6"/>
  <c r="CC7" i="6" s="1"/>
  <c r="CC62" i="6"/>
  <c r="CC61" i="6"/>
  <c r="CC60" i="6"/>
  <c r="CC59" i="6"/>
  <c r="BX81" i="6"/>
  <c r="BX80" i="6"/>
  <c r="BX79" i="6"/>
  <c r="BX78" i="6"/>
  <c r="BX75" i="6"/>
  <c r="BX73" i="6"/>
  <c r="BX64" i="6"/>
  <c r="BX63" i="6"/>
  <c r="BX7" i="6" s="1"/>
  <c r="BX62" i="6"/>
  <c r="BX61" i="6"/>
  <c r="BX60" i="6"/>
  <c r="BX59" i="6"/>
  <c r="BS81" i="6"/>
  <c r="BS80" i="6"/>
  <c r="BS79" i="6"/>
  <c r="BS78" i="6"/>
  <c r="BS22" i="6" s="1"/>
  <c r="BS75" i="6"/>
  <c r="BS73" i="6"/>
  <c r="BS64" i="6"/>
  <c r="BS8" i="6" s="1"/>
  <c r="BS63" i="6"/>
  <c r="BS7" i="6" s="1"/>
  <c r="BS62" i="6"/>
  <c r="BS61" i="6"/>
  <c r="BS60" i="6"/>
  <c r="BS59" i="6"/>
  <c r="BN81" i="6"/>
  <c r="BN80" i="6"/>
  <c r="BN24" i="6" s="1"/>
  <c r="BN79" i="6"/>
  <c r="BN23" i="6" s="1"/>
  <c r="BN78" i="6"/>
  <c r="BN22" i="6" s="1"/>
  <c r="BN75" i="6"/>
  <c r="BN73" i="6"/>
  <c r="BN17" i="6" s="1"/>
  <c r="BN64" i="6"/>
  <c r="BN63" i="6"/>
  <c r="BN7" i="6" s="1"/>
  <c r="BN62" i="6"/>
  <c r="BN61" i="6"/>
  <c r="BN60" i="6"/>
  <c r="BN59" i="6"/>
  <c r="CR3" i="6" l="1"/>
  <c r="DQ5" i="6"/>
  <c r="BN3" i="6"/>
  <c r="CW3" i="6"/>
  <c r="CW19" i="6"/>
  <c r="CW5" i="6"/>
  <c r="CW17" i="6"/>
  <c r="DB9" i="6"/>
  <c r="CM5" i="6"/>
  <c r="DB12" i="6"/>
  <c r="CH22" i="6"/>
  <c r="DB20" i="6"/>
  <c r="CW12" i="6"/>
  <c r="CH24" i="6"/>
  <c r="CW13" i="6"/>
  <c r="DB5" i="6"/>
  <c r="CW11" i="6"/>
  <c r="CR22" i="6"/>
  <c r="BX22" i="6"/>
  <c r="DB22" i="6"/>
  <c r="CC25" i="6"/>
  <c r="CC21" i="6" s="1"/>
  <c r="BX24" i="6"/>
  <c r="BX6" i="6"/>
  <c r="BX3" i="6"/>
  <c r="BS4" i="6"/>
  <c r="CR4" i="6"/>
  <c r="BS3" i="6"/>
  <c r="BX5" i="6"/>
  <c r="BX4" i="6"/>
  <c r="BS5" i="6"/>
  <c r="BN25" i="6"/>
  <c r="BN21" i="6" s="1"/>
  <c r="DL9" i="6"/>
  <c r="DQ4" i="6"/>
  <c r="DQ22" i="6"/>
  <c r="CM22" i="6"/>
  <c r="CM4" i="6"/>
  <c r="CC24" i="6"/>
  <c r="CR7" i="6"/>
  <c r="CC6" i="6"/>
  <c r="CW6" i="6"/>
  <c r="DQ19" i="6"/>
  <c r="DG19" i="6"/>
  <c r="DB7" i="6"/>
  <c r="BN5" i="6"/>
  <c r="CW22" i="6"/>
  <c r="BN6" i="6"/>
  <c r="CC19" i="6"/>
  <c r="CH25" i="6"/>
  <c r="CH21" i="6" s="1"/>
  <c r="CR6" i="6"/>
  <c r="CR25" i="6"/>
  <c r="CR21" i="6" s="1"/>
  <c r="DB19" i="6"/>
  <c r="CH5" i="6"/>
  <c r="CW9" i="6"/>
  <c r="CC3" i="6"/>
  <c r="CC22" i="6"/>
  <c r="CH7" i="6"/>
  <c r="CM3" i="6"/>
  <c r="CR24" i="6"/>
  <c r="BS23" i="6"/>
  <c r="CC4" i="6"/>
  <c r="CC23" i="6"/>
  <c r="CM23" i="6"/>
  <c r="CW4" i="6"/>
  <c r="BX17" i="6"/>
  <c r="CC5" i="6"/>
  <c r="CR17" i="6"/>
  <c r="DB3" i="6"/>
  <c r="CC17" i="6"/>
  <c r="CR5" i="6"/>
  <c r="BS25" i="6"/>
  <c r="BS21" i="6" s="1"/>
  <c r="CM6" i="6"/>
  <c r="CM25" i="6"/>
  <c r="CM21" i="6" s="1"/>
  <c r="DB4" i="6"/>
  <c r="DQ10" i="6"/>
  <c r="DQ20" i="6"/>
  <c r="DL7" i="6"/>
  <c r="DL25" i="6"/>
  <c r="DL19" i="6" s="1"/>
  <c r="DQ6" i="6"/>
  <c r="DQ24" i="6"/>
  <c r="CM17" i="6"/>
  <c r="CH17" i="6"/>
  <c r="BS6" i="6"/>
  <c r="DQ15" i="6"/>
  <c r="DL17" i="6"/>
  <c r="DL4" i="6"/>
  <c r="BX23" i="6"/>
  <c r="CR23" i="6"/>
  <c r="CW8" i="6"/>
  <c r="DB14" i="6"/>
  <c r="DG3" i="6"/>
  <c r="BX9" i="6"/>
  <c r="BX20" i="6"/>
  <c r="CC15" i="6"/>
  <c r="CR9" i="6"/>
  <c r="CR20" i="6"/>
  <c r="CW15" i="6"/>
  <c r="DB15" i="6"/>
  <c r="CW10" i="6"/>
  <c r="CW23" i="6"/>
  <c r="DQ12" i="6"/>
  <c r="DQ23" i="6" s="1"/>
  <c r="DR68" i="6"/>
  <c r="BS9" i="6"/>
  <c r="BS20" i="6"/>
  <c r="BX15" i="6"/>
  <c r="CM9" i="6"/>
  <c r="CM20" i="6"/>
  <c r="CR15" i="6"/>
  <c r="DG23" i="6"/>
  <c r="DG14" i="6"/>
  <c r="DL10" i="6"/>
  <c r="DQ13" i="6"/>
  <c r="DQ14" i="6" s="1"/>
  <c r="DR69" i="6"/>
  <c r="DS69" i="6" s="1"/>
  <c r="BN8" i="6"/>
  <c r="CH8" i="6"/>
  <c r="CR8" i="6"/>
  <c r="DB10" i="6"/>
  <c r="DB21" i="6"/>
  <c r="DG7" i="6"/>
  <c r="DG17" i="6"/>
  <c r="DL3" i="6"/>
  <c r="DL21" i="6"/>
  <c r="DR70" i="6"/>
  <c r="DR10" i="6" s="1"/>
  <c r="BN9" i="6"/>
  <c r="BN20" i="6"/>
  <c r="BS15" i="6"/>
  <c r="CH9" i="6"/>
  <c r="CH20" i="6"/>
  <c r="CM15" i="6"/>
  <c r="BS24" i="6"/>
  <c r="CM24" i="6"/>
  <c r="DQ17" i="6"/>
  <c r="DB23" i="6"/>
  <c r="CW14" i="6"/>
  <c r="BN15" i="6"/>
  <c r="CC9" i="6"/>
  <c r="CC20" i="6"/>
  <c r="CH15" i="6"/>
  <c r="DQ8" i="6"/>
  <c r="DL5" i="6"/>
  <c r="DL13" i="6"/>
  <c r="DL14" i="6" s="1"/>
  <c r="DL23" i="6"/>
  <c r="DG24" i="6"/>
  <c r="DB6" i="6"/>
  <c r="DB17" i="6"/>
  <c r="DB8" i="6"/>
  <c r="CW25" i="6"/>
  <c r="CW21" i="6" s="1"/>
  <c r="CH4" i="6"/>
  <c r="CH23" i="6"/>
  <c r="CH6" i="6"/>
  <c r="CH3" i="6"/>
  <c r="BX25" i="6"/>
  <c r="BX21" i="6" s="1"/>
  <c r="BX8" i="6"/>
  <c r="BS17" i="6"/>
  <c r="BN4" i="6"/>
  <c r="BN19" i="6"/>
  <c r="CH19" i="6" l="1"/>
  <c r="CM19" i="6"/>
  <c r="CR19" i="6"/>
  <c r="BX19" i="6"/>
  <c r="BS19" i="6"/>
  <c r="DS68" i="6"/>
  <c r="DS17" i="6" s="1"/>
  <c r="DR17" i="6"/>
  <c r="DS70" i="6"/>
  <c r="DS13" i="6"/>
  <c r="DR13" i="6"/>
  <c r="DR110" i="6" s="1"/>
  <c r="DR18" i="6" s="1"/>
  <c r="DR12" i="6"/>
  <c r="DR23" i="6" s="1"/>
  <c r="DV69" i="6"/>
  <c r="DV13" i="6" s="1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CZ138" i="6"/>
  <c r="DA138" i="6"/>
  <c r="DB138" i="6"/>
  <c r="DC138" i="6"/>
  <c r="DD138" i="6"/>
  <c r="DE138" i="6"/>
  <c r="DF138" i="6"/>
  <c r="DG138" i="6"/>
  <c r="DH138" i="6"/>
  <c r="DI138" i="6"/>
  <c r="DJ138" i="6"/>
  <c r="DK138" i="6"/>
  <c r="DL138" i="6"/>
  <c r="DM138" i="6"/>
  <c r="DN138" i="6"/>
  <c r="DO138" i="6"/>
  <c r="DP138" i="6"/>
  <c r="DQ138" i="6"/>
  <c r="DR138" i="6"/>
  <c r="DS138" i="6"/>
  <c r="DT138" i="6"/>
  <c r="BJ138" i="6"/>
  <c r="DT110" i="6"/>
  <c r="DT18" i="6" s="1"/>
  <c r="DP110" i="6"/>
  <c r="DP18" i="6" s="1"/>
  <c r="DO110" i="6"/>
  <c r="DO18" i="6" s="1"/>
  <c r="DN110" i="6"/>
  <c r="DN18" i="6" s="1"/>
  <c r="DM110" i="6"/>
  <c r="DM18" i="6" s="1"/>
  <c r="DK110" i="6"/>
  <c r="DK18" i="6" s="1"/>
  <c r="DJ110" i="6"/>
  <c r="DJ18" i="6" s="1"/>
  <c r="DI110" i="6"/>
  <c r="DI18" i="6" s="1"/>
  <c r="DH110" i="6"/>
  <c r="DH18" i="6" s="1"/>
  <c r="DF110" i="6"/>
  <c r="DF18" i="6" s="1"/>
  <c r="DE110" i="6"/>
  <c r="DE18" i="6" s="1"/>
  <c r="DD110" i="6"/>
  <c r="DD18" i="6" s="1"/>
  <c r="DC110" i="6"/>
  <c r="DC18" i="6" s="1"/>
  <c r="DA110" i="6"/>
  <c r="DA18" i="6" s="1"/>
  <c r="CZ110" i="6"/>
  <c r="CZ18" i="6" s="1"/>
  <c r="CY110" i="6"/>
  <c r="CY18" i="6" s="1"/>
  <c r="CX110" i="6"/>
  <c r="CX18" i="6" s="1"/>
  <c r="CX26" i="6" s="1"/>
  <c r="CV110" i="6"/>
  <c r="CV18" i="6" s="1"/>
  <c r="CU110" i="6"/>
  <c r="CU18" i="6" s="1"/>
  <c r="CT110" i="6"/>
  <c r="CT18" i="6" s="1"/>
  <c r="CS110" i="6"/>
  <c r="CS18" i="6" s="1"/>
  <c r="CQ110" i="6"/>
  <c r="CQ18" i="6" s="1"/>
  <c r="CP110" i="6"/>
  <c r="CP18" i="6" s="1"/>
  <c r="CO110" i="6"/>
  <c r="CO18" i="6" s="1"/>
  <c r="CN110" i="6"/>
  <c r="CN18" i="6" s="1"/>
  <c r="CL110" i="6"/>
  <c r="CL18" i="6" s="1"/>
  <c r="CK110" i="6"/>
  <c r="CK18" i="6" s="1"/>
  <c r="CJ110" i="6"/>
  <c r="CJ18" i="6" s="1"/>
  <c r="CI110" i="6"/>
  <c r="CI18" i="6" s="1"/>
  <c r="CG110" i="6"/>
  <c r="CG18" i="6" s="1"/>
  <c r="CF110" i="6"/>
  <c r="CF18" i="6" s="1"/>
  <c r="CE110" i="6"/>
  <c r="CE18" i="6" s="1"/>
  <c r="CD110" i="6"/>
  <c r="CD18" i="6" s="1"/>
  <c r="CB110" i="6"/>
  <c r="CB18" i="6" s="1"/>
  <c r="CA110" i="6"/>
  <c r="CA18" i="6" s="1"/>
  <c r="BZ110" i="6"/>
  <c r="BZ18" i="6" s="1"/>
  <c r="BY110" i="6"/>
  <c r="BY18" i="6" s="1"/>
  <c r="BW110" i="6"/>
  <c r="BW18" i="6" s="1"/>
  <c r="BV110" i="6"/>
  <c r="BV18" i="6" s="1"/>
  <c r="BU110" i="6"/>
  <c r="BU18" i="6" s="1"/>
  <c r="BT110" i="6"/>
  <c r="BT18" i="6" s="1"/>
  <c r="BR110" i="6"/>
  <c r="BR18" i="6" s="1"/>
  <c r="BQ110" i="6"/>
  <c r="BQ18" i="6" s="1"/>
  <c r="BP110" i="6"/>
  <c r="BP18" i="6" s="1"/>
  <c r="BO110" i="6"/>
  <c r="BO18" i="6" s="1"/>
  <c r="BM110" i="6"/>
  <c r="BM18" i="6" s="1"/>
  <c r="BL110" i="6"/>
  <c r="BL18" i="6" s="1"/>
  <c r="BK110" i="6"/>
  <c r="BK18" i="6" s="1"/>
  <c r="BJ110" i="6"/>
  <c r="BJ18" i="6" s="1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DD82" i="6"/>
  <c r="DC82" i="6"/>
  <c r="DB82" i="6"/>
  <c r="DA82" i="6"/>
  <c r="DA26" i="6" s="1"/>
  <c r="DA54" i="6" s="1"/>
  <c r="CZ82" i="6"/>
  <c r="CY82" i="6"/>
  <c r="CW82" i="6"/>
  <c r="CV82" i="6"/>
  <c r="CU82" i="6"/>
  <c r="CT82" i="6"/>
  <c r="CS82" i="6"/>
  <c r="CR82" i="6"/>
  <c r="CQ82" i="6"/>
  <c r="CQ26" i="6" s="1"/>
  <c r="CQ54" i="6" s="1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DO54" i="6"/>
  <c r="DE54" i="6"/>
  <c r="CX54" i="6"/>
  <c r="CT54" i="6"/>
  <c r="CK54" i="6"/>
  <c r="CG54" i="6"/>
  <c r="CE54" i="6"/>
  <c r="BW54" i="6"/>
  <c r="BQ54" i="6"/>
  <c r="BK26" i="6" l="1"/>
  <c r="BK54" i="6" s="1"/>
  <c r="CE26" i="6"/>
  <c r="BW26" i="6"/>
  <c r="CI26" i="6"/>
  <c r="CI54" i="6" s="1"/>
  <c r="CG26" i="6"/>
  <c r="CJ26" i="6"/>
  <c r="CJ54" i="6" s="1"/>
  <c r="CK26" i="6"/>
  <c r="CL26" i="6"/>
  <c r="CL54" i="6" s="1"/>
  <c r="DS82" i="6"/>
  <c r="CU26" i="6"/>
  <c r="CU54" i="6" s="1"/>
  <c r="DE26" i="6"/>
  <c r="BQ26" i="6"/>
  <c r="DO26" i="6"/>
  <c r="CA26" i="6"/>
  <c r="CA54" i="6" s="1"/>
  <c r="CT26" i="6"/>
  <c r="CS26" i="6"/>
  <c r="CS54" i="6" s="1"/>
  <c r="DC26" i="6"/>
  <c r="DC54" i="6" s="1"/>
  <c r="DV68" i="6"/>
  <c r="DV12" i="6" s="1"/>
  <c r="CN26" i="6"/>
  <c r="CN54" i="6" s="1"/>
  <c r="CP26" i="6"/>
  <c r="CP54" i="6" s="1"/>
  <c r="DS14" i="6"/>
  <c r="BL26" i="6"/>
  <c r="BL54" i="6" s="1"/>
  <c r="CB26" i="6"/>
  <c r="CB54" i="6" s="1"/>
  <c r="DF26" i="6"/>
  <c r="DF54" i="6" s="1"/>
  <c r="DH26" i="6"/>
  <c r="DH54" i="6" s="1"/>
  <c r="DI26" i="6"/>
  <c r="DI54" i="6" s="1"/>
  <c r="DJ26" i="6"/>
  <c r="DJ54" i="6" s="1"/>
  <c r="DK26" i="6"/>
  <c r="DK54" i="6" s="1"/>
  <c r="CY26" i="6"/>
  <c r="CY54" i="6" s="1"/>
  <c r="CZ26" i="6"/>
  <c r="CZ54" i="6" s="1"/>
  <c r="CO26" i="6"/>
  <c r="CO54" i="6" s="1"/>
  <c r="CF26" i="6"/>
  <c r="CF54" i="6" s="1"/>
  <c r="CD26" i="6"/>
  <c r="CD54" i="6" s="1"/>
  <c r="BY26" i="6"/>
  <c r="BY54" i="6" s="1"/>
  <c r="BZ26" i="6"/>
  <c r="BZ54" i="6" s="1"/>
  <c r="BT26" i="6"/>
  <c r="BT54" i="6" s="1"/>
  <c r="BU26" i="6"/>
  <c r="BU54" i="6" s="1"/>
  <c r="BV26" i="6"/>
  <c r="BV54" i="6" s="1"/>
  <c r="BM26" i="6"/>
  <c r="BM54" i="6" s="1"/>
  <c r="BJ26" i="6"/>
  <c r="BJ54" i="6" s="1"/>
  <c r="DD26" i="6"/>
  <c r="DD54" i="6" s="1"/>
  <c r="DS12" i="6"/>
  <c r="DS23" i="6" s="1"/>
  <c r="BO26" i="6"/>
  <c r="BO54" i="6" s="1"/>
  <c r="BP26" i="6"/>
  <c r="BP54" i="6" s="1"/>
  <c r="BR26" i="6"/>
  <c r="BR54" i="6" s="1"/>
  <c r="CV26" i="6"/>
  <c r="CV54" i="6" s="1"/>
  <c r="DP26" i="6"/>
  <c r="DP54" i="6" s="1"/>
  <c r="DM26" i="6"/>
  <c r="DM54" i="6" s="1"/>
  <c r="DN26" i="6"/>
  <c r="DN54" i="6" s="1"/>
  <c r="DV17" i="6"/>
  <c r="DR14" i="6"/>
  <c r="DR26" i="6" s="1"/>
  <c r="DR54" i="6" s="1"/>
  <c r="DT70" i="6"/>
  <c r="DT82" i="6" s="1"/>
  <c r="DS10" i="6"/>
  <c r="DW26" i="6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BL219" i="5"/>
  <c r="BM219" i="5"/>
  <c r="BO219" i="5"/>
  <c r="BP219" i="5"/>
  <c r="BQ219" i="5"/>
  <c r="BR219" i="5"/>
  <c r="BT219" i="5"/>
  <c r="BU219" i="5"/>
  <c r="BV219" i="5"/>
  <c r="BW219" i="5"/>
  <c r="BY219" i="5"/>
  <c r="BZ219" i="5"/>
  <c r="CA219" i="5"/>
  <c r="CB219" i="5"/>
  <c r="CD219" i="5"/>
  <c r="CE219" i="5"/>
  <c r="CF219" i="5"/>
  <c r="CG219" i="5"/>
  <c r="CI219" i="5"/>
  <c r="CJ219" i="5"/>
  <c r="CK219" i="5"/>
  <c r="CL219" i="5"/>
  <c r="CN219" i="5"/>
  <c r="CO219" i="5"/>
  <c r="CP219" i="5"/>
  <c r="CQ219" i="5"/>
  <c r="CS219" i="5"/>
  <c r="CT219" i="5"/>
  <c r="CU219" i="5"/>
  <c r="CV219" i="5"/>
  <c r="CX219" i="5"/>
  <c r="CY219" i="5"/>
  <c r="CZ219" i="5"/>
  <c r="DA219" i="5"/>
  <c r="DC219" i="5"/>
  <c r="DD219" i="5"/>
  <c r="DE219" i="5"/>
  <c r="DF219" i="5"/>
  <c r="DH219" i="5"/>
  <c r="DI219" i="5"/>
  <c r="DJ219" i="5"/>
  <c r="DK219" i="5"/>
  <c r="DM219" i="5"/>
  <c r="DN219" i="5"/>
  <c r="DO219" i="5"/>
  <c r="DP219" i="5"/>
  <c r="DR219" i="5"/>
  <c r="DS219" i="5"/>
  <c r="DT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BL220" i="5"/>
  <c r="BM220" i="5"/>
  <c r="BO220" i="5"/>
  <c r="BP220" i="5"/>
  <c r="BQ220" i="5"/>
  <c r="BR220" i="5"/>
  <c r="BT220" i="5"/>
  <c r="BU220" i="5"/>
  <c r="BV220" i="5"/>
  <c r="BW220" i="5"/>
  <c r="BY220" i="5"/>
  <c r="BZ220" i="5"/>
  <c r="CA220" i="5"/>
  <c r="CB220" i="5"/>
  <c r="CD220" i="5"/>
  <c r="CE220" i="5"/>
  <c r="CF220" i="5"/>
  <c r="CG220" i="5"/>
  <c r="CI220" i="5"/>
  <c r="CJ220" i="5"/>
  <c r="CK220" i="5"/>
  <c r="CL220" i="5"/>
  <c r="CN220" i="5"/>
  <c r="CO220" i="5"/>
  <c r="CP220" i="5"/>
  <c r="CQ220" i="5"/>
  <c r="CS220" i="5"/>
  <c r="CT220" i="5"/>
  <c r="CU220" i="5"/>
  <c r="CV220" i="5"/>
  <c r="CX220" i="5"/>
  <c r="CY220" i="5"/>
  <c r="CZ220" i="5"/>
  <c r="DA220" i="5"/>
  <c r="DC220" i="5"/>
  <c r="DD220" i="5"/>
  <c r="DE220" i="5"/>
  <c r="DF220" i="5"/>
  <c r="DH220" i="5"/>
  <c r="DI220" i="5"/>
  <c r="DJ220" i="5"/>
  <c r="DK220" i="5"/>
  <c r="DM220" i="5"/>
  <c r="DN220" i="5"/>
  <c r="DO220" i="5"/>
  <c r="DP220" i="5"/>
  <c r="DR220" i="5"/>
  <c r="DS220" i="5"/>
  <c r="DT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BL221" i="5"/>
  <c r="BM221" i="5"/>
  <c r="BO221" i="5"/>
  <c r="BP221" i="5"/>
  <c r="BQ221" i="5"/>
  <c r="BR221" i="5"/>
  <c r="BT221" i="5"/>
  <c r="BU221" i="5"/>
  <c r="BV221" i="5"/>
  <c r="BW221" i="5"/>
  <c r="BY221" i="5"/>
  <c r="BZ221" i="5"/>
  <c r="CA221" i="5"/>
  <c r="CB221" i="5"/>
  <c r="CD221" i="5"/>
  <c r="CE221" i="5"/>
  <c r="CF221" i="5"/>
  <c r="CG221" i="5"/>
  <c r="CI221" i="5"/>
  <c r="CJ221" i="5"/>
  <c r="CK221" i="5"/>
  <c r="CL221" i="5"/>
  <c r="CN221" i="5"/>
  <c r="CO221" i="5"/>
  <c r="CP221" i="5"/>
  <c r="CQ221" i="5"/>
  <c r="CS221" i="5"/>
  <c r="CT221" i="5"/>
  <c r="CU221" i="5"/>
  <c r="CV221" i="5"/>
  <c r="CX221" i="5"/>
  <c r="CY221" i="5"/>
  <c r="CZ221" i="5"/>
  <c r="DA221" i="5"/>
  <c r="DC221" i="5"/>
  <c r="DD221" i="5"/>
  <c r="DE221" i="5"/>
  <c r="DF221" i="5"/>
  <c r="DH221" i="5"/>
  <c r="DI221" i="5"/>
  <c r="DJ221" i="5"/>
  <c r="DK221" i="5"/>
  <c r="DM221" i="5"/>
  <c r="DN221" i="5"/>
  <c r="DO221" i="5"/>
  <c r="DP221" i="5"/>
  <c r="DR221" i="5"/>
  <c r="DS221" i="5"/>
  <c r="DT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BL222" i="5"/>
  <c r="BM222" i="5"/>
  <c r="BO222" i="5"/>
  <c r="BP222" i="5"/>
  <c r="BQ222" i="5"/>
  <c r="BR222" i="5"/>
  <c r="BT222" i="5"/>
  <c r="BU222" i="5"/>
  <c r="BV222" i="5"/>
  <c r="BW222" i="5"/>
  <c r="BY222" i="5"/>
  <c r="BZ222" i="5"/>
  <c r="CA222" i="5"/>
  <c r="CB222" i="5"/>
  <c r="CD222" i="5"/>
  <c r="CE222" i="5"/>
  <c r="CF222" i="5"/>
  <c r="CG222" i="5"/>
  <c r="CI222" i="5"/>
  <c r="CJ222" i="5"/>
  <c r="CK222" i="5"/>
  <c r="CL222" i="5"/>
  <c r="CN222" i="5"/>
  <c r="CO222" i="5"/>
  <c r="CP222" i="5"/>
  <c r="CQ222" i="5"/>
  <c r="CS222" i="5"/>
  <c r="CT222" i="5"/>
  <c r="CU222" i="5"/>
  <c r="CV222" i="5"/>
  <c r="CX222" i="5"/>
  <c r="CY222" i="5"/>
  <c r="CZ222" i="5"/>
  <c r="DA222" i="5"/>
  <c r="DC222" i="5"/>
  <c r="DD222" i="5"/>
  <c r="DE222" i="5"/>
  <c r="DF222" i="5"/>
  <c r="DH222" i="5"/>
  <c r="DI222" i="5"/>
  <c r="DJ222" i="5"/>
  <c r="DK222" i="5"/>
  <c r="DM222" i="5"/>
  <c r="DN222" i="5"/>
  <c r="DO222" i="5"/>
  <c r="DP222" i="5"/>
  <c r="DR222" i="5"/>
  <c r="DS222" i="5"/>
  <c r="DT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BL223" i="5"/>
  <c r="BM223" i="5"/>
  <c r="BO223" i="5"/>
  <c r="BP223" i="5"/>
  <c r="BQ223" i="5"/>
  <c r="BR223" i="5"/>
  <c r="BT223" i="5"/>
  <c r="BU223" i="5"/>
  <c r="BV223" i="5"/>
  <c r="BW223" i="5"/>
  <c r="BY223" i="5"/>
  <c r="BZ223" i="5"/>
  <c r="CA223" i="5"/>
  <c r="CB223" i="5"/>
  <c r="CD223" i="5"/>
  <c r="CE223" i="5"/>
  <c r="CF223" i="5"/>
  <c r="CG223" i="5"/>
  <c r="CI223" i="5"/>
  <c r="CJ223" i="5"/>
  <c r="CK223" i="5"/>
  <c r="CL223" i="5"/>
  <c r="CN223" i="5"/>
  <c r="CO223" i="5"/>
  <c r="CP223" i="5"/>
  <c r="CQ223" i="5"/>
  <c r="CS223" i="5"/>
  <c r="CT223" i="5"/>
  <c r="CU223" i="5"/>
  <c r="CV223" i="5"/>
  <c r="CX223" i="5"/>
  <c r="CY223" i="5"/>
  <c r="CZ223" i="5"/>
  <c r="DA223" i="5"/>
  <c r="DC223" i="5"/>
  <c r="DD223" i="5"/>
  <c r="DE223" i="5"/>
  <c r="DF223" i="5"/>
  <c r="DH223" i="5"/>
  <c r="DI223" i="5"/>
  <c r="DJ223" i="5"/>
  <c r="DK223" i="5"/>
  <c r="DM223" i="5"/>
  <c r="DN223" i="5"/>
  <c r="DO223" i="5"/>
  <c r="DP223" i="5"/>
  <c r="DR223" i="5"/>
  <c r="DS223" i="5"/>
  <c r="DT223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BL224" i="5"/>
  <c r="BM224" i="5"/>
  <c r="BO224" i="5"/>
  <c r="BP224" i="5"/>
  <c r="BQ224" i="5"/>
  <c r="BR224" i="5"/>
  <c r="BT224" i="5"/>
  <c r="BU224" i="5"/>
  <c r="BV224" i="5"/>
  <c r="BW224" i="5"/>
  <c r="BY224" i="5"/>
  <c r="BZ224" i="5"/>
  <c r="CA224" i="5"/>
  <c r="CB224" i="5"/>
  <c r="CD224" i="5"/>
  <c r="CE224" i="5"/>
  <c r="CF224" i="5"/>
  <c r="CG224" i="5"/>
  <c r="CI224" i="5"/>
  <c r="CJ224" i="5"/>
  <c r="CK224" i="5"/>
  <c r="CL224" i="5"/>
  <c r="CN224" i="5"/>
  <c r="CO224" i="5"/>
  <c r="CP224" i="5"/>
  <c r="CQ224" i="5"/>
  <c r="CS224" i="5"/>
  <c r="CT224" i="5"/>
  <c r="CU224" i="5"/>
  <c r="CV224" i="5"/>
  <c r="CX224" i="5"/>
  <c r="CY224" i="5"/>
  <c r="CZ224" i="5"/>
  <c r="DA224" i="5"/>
  <c r="DC224" i="5"/>
  <c r="DD224" i="5"/>
  <c r="DE224" i="5"/>
  <c r="DF224" i="5"/>
  <c r="DH224" i="5"/>
  <c r="DI224" i="5"/>
  <c r="DJ224" i="5"/>
  <c r="DK224" i="5"/>
  <c r="DM224" i="5"/>
  <c r="DN224" i="5"/>
  <c r="DO224" i="5"/>
  <c r="DP224" i="5"/>
  <c r="DR224" i="5"/>
  <c r="DS224" i="5"/>
  <c r="DT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BL225" i="5"/>
  <c r="BM225" i="5"/>
  <c r="BO225" i="5"/>
  <c r="BP225" i="5"/>
  <c r="BQ225" i="5"/>
  <c r="BR225" i="5"/>
  <c r="BT225" i="5"/>
  <c r="BU225" i="5"/>
  <c r="BV225" i="5"/>
  <c r="BW225" i="5"/>
  <c r="BY225" i="5"/>
  <c r="BZ225" i="5"/>
  <c r="CA225" i="5"/>
  <c r="CB225" i="5"/>
  <c r="CD225" i="5"/>
  <c r="CE225" i="5"/>
  <c r="CF225" i="5"/>
  <c r="CG225" i="5"/>
  <c r="CI225" i="5"/>
  <c r="CJ225" i="5"/>
  <c r="CK225" i="5"/>
  <c r="CL225" i="5"/>
  <c r="CN225" i="5"/>
  <c r="CO225" i="5"/>
  <c r="CP225" i="5"/>
  <c r="CQ225" i="5"/>
  <c r="CS225" i="5"/>
  <c r="CT225" i="5"/>
  <c r="CU225" i="5"/>
  <c r="CV225" i="5"/>
  <c r="CX225" i="5"/>
  <c r="CY225" i="5"/>
  <c r="CZ225" i="5"/>
  <c r="DA225" i="5"/>
  <c r="DC225" i="5"/>
  <c r="DD225" i="5"/>
  <c r="DE225" i="5"/>
  <c r="DF225" i="5"/>
  <c r="DH225" i="5"/>
  <c r="DI225" i="5"/>
  <c r="DJ225" i="5"/>
  <c r="DK225" i="5"/>
  <c r="DM225" i="5"/>
  <c r="DN225" i="5"/>
  <c r="DO225" i="5"/>
  <c r="DP225" i="5"/>
  <c r="DR225" i="5"/>
  <c r="DS225" i="5"/>
  <c r="DT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BL226" i="5"/>
  <c r="BM226" i="5"/>
  <c r="BO226" i="5"/>
  <c r="BP226" i="5"/>
  <c r="BQ226" i="5"/>
  <c r="BR226" i="5"/>
  <c r="BT226" i="5"/>
  <c r="BU226" i="5"/>
  <c r="BV226" i="5"/>
  <c r="BW226" i="5"/>
  <c r="BY226" i="5"/>
  <c r="BZ226" i="5"/>
  <c r="CA226" i="5"/>
  <c r="CB226" i="5"/>
  <c r="CD226" i="5"/>
  <c r="CE226" i="5"/>
  <c r="CF226" i="5"/>
  <c r="CG226" i="5"/>
  <c r="CI226" i="5"/>
  <c r="CJ226" i="5"/>
  <c r="CK226" i="5"/>
  <c r="CL226" i="5"/>
  <c r="CN226" i="5"/>
  <c r="CO226" i="5"/>
  <c r="CP226" i="5"/>
  <c r="CQ226" i="5"/>
  <c r="CS226" i="5"/>
  <c r="CT226" i="5"/>
  <c r="CU226" i="5"/>
  <c r="CV226" i="5"/>
  <c r="DA226" i="5"/>
  <c r="DC226" i="5"/>
  <c r="DD226" i="5"/>
  <c r="DE226" i="5"/>
  <c r="DF226" i="5"/>
  <c r="DH226" i="5"/>
  <c r="DI226" i="5"/>
  <c r="DJ226" i="5"/>
  <c r="DK226" i="5"/>
  <c r="DM226" i="5"/>
  <c r="DN226" i="5"/>
  <c r="DO226" i="5"/>
  <c r="DP226" i="5"/>
  <c r="DR226" i="5"/>
  <c r="DS226" i="5"/>
  <c r="DT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BL227" i="5"/>
  <c r="BM227" i="5"/>
  <c r="BO227" i="5"/>
  <c r="BP227" i="5"/>
  <c r="BQ227" i="5"/>
  <c r="BR227" i="5"/>
  <c r="BT227" i="5"/>
  <c r="BU227" i="5"/>
  <c r="BV227" i="5"/>
  <c r="BW227" i="5"/>
  <c r="BY227" i="5"/>
  <c r="BZ227" i="5"/>
  <c r="CA227" i="5"/>
  <c r="CB227" i="5"/>
  <c r="CD227" i="5"/>
  <c r="CE227" i="5"/>
  <c r="CF227" i="5"/>
  <c r="CG227" i="5"/>
  <c r="CI227" i="5"/>
  <c r="CJ227" i="5"/>
  <c r="CK227" i="5"/>
  <c r="CL227" i="5"/>
  <c r="CN227" i="5"/>
  <c r="CO227" i="5"/>
  <c r="CP227" i="5"/>
  <c r="CQ227" i="5"/>
  <c r="CS227" i="5"/>
  <c r="CT227" i="5"/>
  <c r="CU227" i="5"/>
  <c r="CV227" i="5"/>
  <c r="DD227" i="5"/>
  <c r="DE227" i="5"/>
  <c r="DF227" i="5"/>
  <c r="DH227" i="5"/>
  <c r="DI227" i="5"/>
  <c r="DJ227" i="5"/>
  <c r="DK227" i="5"/>
  <c r="DM227" i="5"/>
  <c r="DN227" i="5"/>
  <c r="DO227" i="5"/>
  <c r="DP227" i="5"/>
  <c r="DR227" i="5"/>
  <c r="DS227" i="5"/>
  <c r="DT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BL228" i="5"/>
  <c r="BM228" i="5"/>
  <c r="BO228" i="5"/>
  <c r="BP228" i="5"/>
  <c r="BQ228" i="5"/>
  <c r="BR228" i="5"/>
  <c r="BT228" i="5"/>
  <c r="BU228" i="5"/>
  <c r="BV228" i="5"/>
  <c r="BW228" i="5"/>
  <c r="BY228" i="5"/>
  <c r="BZ228" i="5"/>
  <c r="CA228" i="5"/>
  <c r="CB228" i="5"/>
  <c r="CD228" i="5"/>
  <c r="CE228" i="5"/>
  <c r="CF228" i="5"/>
  <c r="CG228" i="5"/>
  <c r="CI228" i="5"/>
  <c r="CJ228" i="5"/>
  <c r="CK228" i="5"/>
  <c r="CL228" i="5"/>
  <c r="CN228" i="5"/>
  <c r="CO228" i="5"/>
  <c r="CP228" i="5"/>
  <c r="CQ228" i="5"/>
  <c r="CS228" i="5"/>
  <c r="CT228" i="5"/>
  <c r="CU228" i="5"/>
  <c r="CV228" i="5"/>
  <c r="DE228" i="5"/>
  <c r="DF228" i="5"/>
  <c r="DH228" i="5"/>
  <c r="DI228" i="5"/>
  <c r="DJ228" i="5"/>
  <c r="DK228" i="5"/>
  <c r="DM228" i="5"/>
  <c r="DN228" i="5"/>
  <c r="DO228" i="5"/>
  <c r="DP228" i="5"/>
  <c r="DR228" i="5"/>
  <c r="DS228" i="5"/>
  <c r="DT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BL229" i="5"/>
  <c r="BM229" i="5"/>
  <c r="BO229" i="5"/>
  <c r="BP229" i="5"/>
  <c r="BQ229" i="5"/>
  <c r="BR229" i="5"/>
  <c r="BT229" i="5"/>
  <c r="BU229" i="5"/>
  <c r="BV229" i="5"/>
  <c r="BW229" i="5"/>
  <c r="BY229" i="5"/>
  <c r="BZ229" i="5"/>
  <c r="CA229" i="5"/>
  <c r="CB229" i="5"/>
  <c r="CD229" i="5"/>
  <c r="CE229" i="5"/>
  <c r="CF229" i="5"/>
  <c r="CG229" i="5"/>
  <c r="CI229" i="5"/>
  <c r="CJ229" i="5"/>
  <c r="CK229" i="5"/>
  <c r="CL229" i="5"/>
  <c r="CN229" i="5"/>
  <c r="CO229" i="5"/>
  <c r="CP229" i="5"/>
  <c r="CQ229" i="5"/>
  <c r="CS229" i="5"/>
  <c r="CT229" i="5"/>
  <c r="CU229" i="5"/>
  <c r="CV229" i="5"/>
  <c r="DE229" i="5"/>
  <c r="DF229" i="5"/>
  <c r="DH229" i="5"/>
  <c r="DI229" i="5"/>
  <c r="DJ229" i="5"/>
  <c r="DK229" i="5"/>
  <c r="DM229" i="5"/>
  <c r="DN229" i="5"/>
  <c r="DO229" i="5"/>
  <c r="DP229" i="5"/>
  <c r="DR229" i="5"/>
  <c r="DS229" i="5"/>
  <c r="DT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BL230" i="5"/>
  <c r="BM230" i="5"/>
  <c r="BO230" i="5"/>
  <c r="BP230" i="5"/>
  <c r="BQ230" i="5"/>
  <c r="BR230" i="5"/>
  <c r="BT230" i="5"/>
  <c r="BU230" i="5"/>
  <c r="BV230" i="5"/>
  <c r="BW230" i="5"/>
  <c r="BY230" i="5"/>
  <c r="BZ230" i="5"/>
  <c r="CA230" i="5"/>
  <c r="CB230" i="5"/>
  <c r="CD230" i="5"/>
  <c r="CE230" i="5"/>
  <c r="CF230" i="5"/>
  <c r="CG230" i="5"/>
  <c r="CI230" i="5"/>
  <c r="CJ230" i="5"/>
  <c r="CK230" i="5"/>
  <c r="CL230" i="5"/>
  <c r="CN230" i="5"/>
  <c r="CO230" i="5"/>
  <c r="CP230" i="5"/>
  <c r="CQ230" i="5"/>
  <c r="CS230" i="5"/>
  <c r="CT230" i="5"/>
  <c r="CU230" i="5"/>
  <c r="CV230" i="5"/>
  <c r="DH230" i="5"/>
  <c r="DI230" i="5"/>
  <c r="DJ230" i="5"/>
  <c r="DK230" i="5"/>
  <c r="DM230" i="5"/>
  <c r="DN230" i="5"/>
  <c r="DO230" i="5"/>
  <c r="DP230" i="5"/>
  <c r="DR230" i="5"/>
  <c r="DS230" i="5"/>
  <c r="DT230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O200" i="5"/>
  <c r="BP200" i="5"/>
  <c r="BQ200" i="5"/>
  <c r="BR200" i="5"/>
  <c r="BT200" i="5"/>
  <c r="BU200" i="5"/>
  <c r="BV200" i="5"/>
  <c r="BW200" i="5"/>
  <c r="BY200" i="5"/>
  <c r="BZ200" i="5"/>
  <c r="CA200" i="5"/>
  <c r="CB200" i="5"/>
  <c r="CD200" i="5"/>
  <c r="CE200" i="5"/>
  <c r="CF200" i="5"/>
  <c r="CG200" i="5"/>
  <c r="CI200" i="5"/>
  <c r="CJ200" i="5"/>
  <c r="CK200" i="5"/>
  <c r="CL200" i="5"/>
  <c r="CN200" i="5"/>
  <c r="CO200" i="5"/>
  <c r="CP200" i="5"/>
  <c r="CQ200" i="5"/>
  <c r="CS200" i="5"/>
  <c r="CT200" i="5"/>
  <c r="CU200" i="5"/>
  <c r="CV200" i="5"/>
  <c r="CX200" i="5"/>
  <c r="CY200" i="5"/>
  <c r="CZ200" i="5"/>
  <c r="DA200" i="5"/>
  <c r="DC200" i="5"/>
  <c r="DD200" i="5"/>
  <c r="DE200" i="5"/>
  <c r="DF200" i="5"/>
  <c r="DF86" i="7" s="1"/>
  <c r="DH200" i="5"/>
  <c r="DI200" i="5"/>
  <c r="DJ200" i="5"/>
  <c r="DK200" i="5"/>
  <c r="DM200" i="5"/>
  <c r="DN200" i="5"/>
  <c r="DO200" i="5"/>
  <c r="DP200" i="5"/>
  <c r="DR200" i="5"/>
  <c r="DS200" i="5"/>
  <c r="DT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J87" i="7" s="1"/>
  <c r="BK201" i="5"/>
  <c r="BK87" i="7" s="1"/>
  <c r="BL201" i="5"/>
  <c r="BM201" i="5"/>
  <c r="BM87" i="7" s="1"/>
  <c r="BO201" i="5"/>
  <c r="BO87" i="7" s="1"/>
  <c r="BP201" i="5"/>
  <c r="BP87" i="7" s="1"/>
  <c r="BQ201" i="5"/>
  <c r="BQ87" i="7" s="1"/>
  <c r="BR201" i="5"/>
  <c r="BR87" i="7" s="1"/>
  <c r="BT201" i="5"/>
  <c r="BU201" i="5"/>
  <c r="BU87" i="7" s="1"/>
  <c r="BV201" i="5"/>
  <c r="BV87" i="7" s="1"/>
  <c r="BW201" i="5"/>
  <c r="BW87" i="7" s="1"/>
  <c r="BY201" i="5"/>
  <c r="BY87" i="7" s="1"/>
  <c r="BZ201" i="5"/>
  <c r="BZ87" i="7" s="1"/>
  <c r="CA201" i="5"/>
  <c r="CA87" i="7" s="1"/>
  <c r="CB201" i="5"/>
  <c r="CD201" i="5"/>
  <c r="CD87" i="7" s="1"/>
  <c r="CE201" i="5"/>
  <c r="CE87" i="7" s="1"/>
  <c r="CF201" i="5"/>
  <c r="CF87" i="7" s="1"/>
  <c r="CG201" i="5"/>
  <c r="CG87" i="7" s="1"/>
  <c r="CI201" i="5"/>
  <c r="CJ201" i="5"/>
  <c r="CK201" i="5"/>
  <c r="CK87" i="7" s="1"/>
  <c r="CL201" i="5"/>
  <c r="CL87" i="7" s="1"/>
  <c r="CN201" i="5"/>
  <c r="CN87" i="7" s="1"/>
  <c r="CO201" i="5"/>
  <c r="CO87" i="7" s="1"/>
  <c r="CP201" i="5"/>
  <c r="CP87" i="7" s="1"/>
  <c r="CQ201" i="5"/>
  <c r="CQ87" i="7" s="1"/>
  <c r="CS201" i="5"/>
  <c r="CS87" i="7" s="1"/>
  <c r="CT201" i="5"/>
  <c r="CT87" i="7" s="1"/>
  <c r="CU201" i="5"/>
  <c r="CU87" i="7" s="1"/>
  <c r="CV201" i="5"/>
  <c r="CV87" i="7" s="1"/>
  <c r="CX201" i="5"/>
  <c r="CX87" i="7" s="1"/>
  <c r="CY201" i="5"/>
  <c r="CY87" i="7" s="1"/>
  <c r="CZ201" i="5"/>
  <c r="DA201" i="5"/>
  <c r="DA87" i="7" s="1"/>
  <c r="DC201" i="5"/>
  <c r="DC87" i="7" s="1"/>
  <c r="DD201" i="5"/>
  <c r="DE201" i="5"/>
  <c r="DE87" i="7" s="1"/>
  <c r="DF201" i="5"/>
  <c r="DF87" i="7" s="1"/>
  <c r="DH201" i="5"/>
  <c r="DI201" i="5"/>
  <c r="DI87" i="7" s="1"/>
  <c r="DJ201" i="5"/>
  <c r="DK201" i="5"/>
  <c r="DK87" i="7" s="1"/>
  <c r="DM201" i="5"/>
  <c r="DM87" i="7" s="1"/>
  <c r="DN201" i="5"/>
  <c r="DN87" i="7" s="1"/>
  <c r="DO201" i="5"/>
  <c r="DO87" i="7" s="1"/>
  <c r="DP201" i="5"/>
  <c r="DR201" i="5"/>
  <c r="DR87" i="7" s="1"/>
  <c r="DS201" i="5"/>
  <c r="DS87" i="7" s="1"/>
  <c r="DT201" i="5"/>
  <c r="DT87" i="7" s="1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K88" i="7" s="1"/>
  <c r="BL202" i="5"/>
  <c r="BL88" i="7" s="1"/>
  <c r="BM202" i="5"/>
  <c r="BM88" i="7" s="1"/>
  <c r="BO202" i="5"/>
  <c r="BO88" i="7" s="1"/>
  <c r="BP202" i="5"/>
  <c r="BP88" i="7" s="1"/>
  <c r="BQ202" i="5"/>
  <c r="BQ88" i="7" s="1"/>
  <c r="BR202" i="5"/>
  <c r="BT202" i="5"/>
  <c r="BT88" i="7" s="1"/>
  <c r="BU202" i="5"/>
  <c r="BU88" i="7" s="1"/>
  <c r="BV202" i="5"/>
  <c r="BV88" i="7" s="1"/>
  <c r="BW202" i="5"/>
  <c r="BW88" i="7" s="1"/>
  <c r="BY202" i="5"/>
  <c r="BY88" i="7" s="1"/>
  <c r="BZ202" i="5"/>
  <c r="CA202" i="5"/>
  <c r="CA88" i="7" s="1"/>
  <c r="CB202" i="5"/>
  <c r="CB88" i="7" s="1"/>
  <c r="CD202" i="5"/>
  <c r="CD88" i="7" s="1"/>
  <c r="CE202" i="5"/>
  <c r="CE88" i="7" s="1"/>
  <c r="CF202" i="5"/>
  <c r="CF88" i="7" s="1"/>
  <c r="CG202" i="5"/>
  <c r="CG88" i="7" s="1"/>
  <c r="CI202" i="5"/>
  <c r="CI88" i="7" s="1"/>
  <c r="CJ202" i="5"/>
  <c r="CJ88" i="7" s="1"/>
  <c r="CK202" i="5"/>
  <c r="CK88" i="7" s="1"/>
  <c r="CL202" i="5"/>
  <c r="CL88" i="7" s="1"/>
  <c r="CN202" i="5"/>
  <c r="CN88" i="7" s="1"/>
  <c r="CO202" i="5"/>
  <c r="CO88" i="7" s="1"/>
  <c r="CP202" i="5"/>
  <c r="CQ202" i="5"/>
  <c r="CQ88" i="7" s="1"/>
  <c r="CS202" i="5"/>
  <c r="CS88" i="7" s="1"/>
  <c r="CT202" i="5"/>
  <c r="CT88" i="7" s="1"/>
  <c r="CU202" i="5"/>
  <c r="CU88" i="7" s="1"/>
  <c r="CV202" i="5"/>
  <c r="CV88" i="7" s="1"/>
  <c r="CX202" i="5"/>
  <c r="CY202" i="5"/>
  <c r="CY88" i="7" s="1"/>
  <c r="CZ202" i="5"/>
  <c r="CZ88" i="7" s="1"/>
  <c r="DA202" i="5"/>
  <c r="DA88" i="7" s="1"/>
  <c r="DC202" i="5"/>
  <c r="DC88" i="7" s="1"/>
  <c r="DD202" i="5"/>
  <c r="DD88" i="7" s="1"/>
  <c r="DE202" i="5"/>
  <c r="DE88" i="7" s="1"/>
  <c r="DF202" i="5"/>
  <c r="DH202" i="5"/>
  <c r="DH88" i="7" s="1"/>
  <c r="DI202" i="5"/>
  <c r="DI88" i="7" s="1"/>
  <c r="DJ202" i="5"/>
  <c r="DJ88" i="7" s="1"/>
  <c r="DK202" i="5"/>
  <c r="DK88" i="7" s="1"/>
  <c r="DM202" i="5"/>
  <c r="DM88" i="7" s="1"/>
  <c r="DN202" i="5"/>
  <c r="DO202" i="5"/>
  <c r="DO88" i="7" s="1"/>
  <c r="DP202" i="5"/>
  <c r="DP88" i="7" s="1"/>
  <c r="DR202" i="5"/>
  <c r="DR88" i="7" s="1"/>
  <c r="DS202" i="5"/>
  <c r="DS88" i="7" s="1"/>
  <c r="DT202" i="5"/>
  <c r="DT88" i="7" s="1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J89" i="7" s="1"/>
  <c r="BK203" i="5"/>
  <c r="BK89" i="7" s="1"/>
  <c r="BL203" i="5"/>
  <c r="BL89" i="7" s="1"/>
  <c r="BM203" i="5"/>
  <c r="BM89" i="7" s="1"/>
  <c r="BO203" i="5"/>
  <c r="BO89" i="7" s="1"/>
  <c r="BP203" i="5"/>
  <c r="BQ203" i="5"/>
  <c r="BQ89" i="7" s="1"/>
  <c r="BR203" i="5"/>
  <c r="BR89" i="7" s="1"/>
  <c r="BT203" i="5"/>
  <c r="BT89" i="7" s="1"/>
  <c r="BU203" i="5"/>
  <c r="BU89" i="7" s="1"/>
  <c r="BV203" i="5"/>
  <c r="BV89" i="7" s="1"/>
  <c r="BW203" i="5"/>
  <c r="BW89" i="7" s="1"/>
  <c r="BY203" i="5"/>
  <c r="BY89" i="7" s="1"/>
  <c r="BZ203" i="5"/>
  <c r="BZ89" i="7" s="1"/>
  <c r="CA203" i="5"/>
  <c r="CA89" i="7" s="1"/>
  <c r="CB203" i="5"/>
  <c r="CB89" i="7" s="1"/>
  <c r="CD203" i="5"/>
  <c r="CD89" i="7" s="1"/>
  <c r="CE203" i="5"/>
  <c r="CE89" i="7" s="1"/>
  <c r="CF203" i="5"/>
  <c r="CG203" i="5"/>
  <c r="CG89" i="7" s="1"/>
  <c r="CI203" i="5"/>
  <c r="CI89" i="7" s="1"/>
  <c r="CJ203" i="5"/>
  <c r="CJ89" i="7" s="1"/>
  <c r="CK203" i="5"/>
  <c r="CK89" i="7" s="1"/>
  <c r="CL203" i="5"/>
  <c r="CL89" i="7" s="1"/>
  <c r="CN203" i="5"/>
  <c r="CO203" i="5"/>
  <c r="CP203" i="5"/>
  <c r="CP89" i="7" s="1"/>
  <c r="CQ203" i="5"/>
  <c r="CQ89" i="7" s="1"/>
  <c r="CS203" i="5"/>
  <c r="CS89" i="7" s="1"/>
  <c r="CT203" i="5"/>
  <c r="CT89" i="7" s="1"/>
  <c r="CU203" i="5"/>
  <c r="CU89" i="7" s="1"/>
  <c r="CV203" i="5"/>
  <c r="CX203" i="5"/>
  <c r="CX89" i="7" s="1"/>
  <c r="CY203" i="5"/>
  <c r="CY89" i="7" s="1"/>
  <c r="CZ203" i="5"/>
  <c r="CZ89" i="7" s="1"/>
  <c r="DA203" i="5"/>
  <c r="DA89" i="7" s="1"/>
  <c r="DC203" i="5"/>
  <c r="DC89" i="7" s="1"/>
  <c r="DD203" i="5"/>
  <c r="DE203" i="5"/>
  <c r="DF203" i="5"/>
  <c r="DH203" i="5"/>
  <c r="DH89" i="7" s="1"/>
  <c r="DI203" i="5"/>
  <c r="DI89" i="7" s="1"/>
  <c r="DJ203" i="5"/>
  <c r="DJ89" i="7" s="1"/>
  <c r="DK203" i="5"/>
  <c r="DK89" i="7" s="1"/>
  <c r="DM203" i="5"/>
  <c r="DM89" i="7" s="1"/>
  <c r="DN203" i="5"/>
  <c r="DN89" i="7" s="1"/>
  <c r="DO203" i="5"/>
  <c r="DO89" i="7" s="1"/>
  <c r="DP203" i="5"/>
  <c r="DP89" i="7" s="1"/>
  <c r="DR203" i="5"/>
  <c r="DR89" i="7" s="1"/>
  <c r="DS203" i="5"/>
  <c r="DS89" i="7" s="1"/>
  <c r="DT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J90" i="7" s="1"/>
  <c r="BK204" i="5"/>
  <c r="BK90" i="7" s="1"/>
  <c r="BL204" i="5"/>
  <c r="BL90" i="7" s="1"/>
  <c r="BM204" i="5"/>
  <c r="BM90" i="7" s="1"/>
  <c r="BO204" i="5"/>
  <c r="BO90" i="7" s="1"/>
  <c r="BP204" i="5"/>
  <c r="BP90" i="7" s="1"/>
  <c r="BQ204" i="5"/>
  <c r="BQ90" i="7" s="1"/>
  <c r="BR204" i="5"/>
  <c r="BR90" i="7" s="1"/>
  <c r="BT204" i="5"/>
  <c r="BT90" i="7" s="1"/>
  <c r="BU204" i="5"/>
  <c r="BU90" i="7" s="1"/>
  <c r="BV204" i="5"/>
  <c r="BV90" i="7" s="1"/>
  <c r="BW204" i="5"/>
  <c r="BW90" i="7" s="1"/>
  <c r="BY204" i="5"/>
  <c r="BY90" i="7" s="1"/>
  <c r="BZ204" i="5"/>
  <c r="BZ90" i="7" s="1"/>
  <c r="CA204" i="5"/>
  <c r="CA90" i="7" s="1"/>
  <c r="CB204" i="5"/>
  <c r="CB90" i="7" s="1"/>
  <c r="CD204" i="5"/>
  <c r="CD90" i="7" s="1"/>
  <c r="CE204" i="5"/>
  <c r="CE90" i="7" s="1"/>
  <c r="CF204" i="5"/>
  <c r="CF90" i="7" s="1"/>
  <c r="CG204" i="5"/>
  <c r="CG90" i="7" s="1"/>
  <c r="CI204" i="5"/>
  <c r="CI90" i="7" s="1"/>
  <c r="CJ204" i="5"/>
  <c r="CJ90" i="7" s="1"/>
  <c r="CK204" i="5"/>
  <c r="CK90" i="7" s="1"/>
  <c r="CL204" i="5"/>
  <c r="CL90" i="7" s="1"/>
  <c r="CN204" i="5"/>
  <c r="CN90" i="7" s="1"/>
  <c r="CO204" i="5"/>
  <c r="CO90" i="7" s="1"/>
  <c r="CP204" i="5"/>
  <c r="CP90" i="7" s="1"/>
  <c r="CQ204" i="5"/>
  <c r="CQ90" i="7" s="1"/>
  <c r="CS204" i="5"/>
  <c r="CS90" i="7" s="1"/>
  <c r="CT204" i="5"/>
  <c r="CT90" i="7" s="1"/>
  <c r="CU204" i="5"/>
  <c r="CU90" i="7" s="1"/>
  <c r="CV204" i="5"/>
  <c r="CV90" i="7" s="1"/>
  <c r="CX204" i="5"/>
  <c r="CX90" i="7" s="1"/>
  <c r="CY204" i="5"/>
  <c r="CY90" i="7" s="1"/>
  <c r="CZ204" i="5"/>
  <c r="CZ90" i="7" s="1"/>
  <c r="DA204" i="5"/>
  <c r="DA90" i="7" s="1"/>
  <c r="DC204" i="5"/>
  <c r="DC90" i="7" s="1"/>
  <c r="DD204" i="5"/>
  <c r="DD90" i="7" s="1"/>
  <c r="DE204" i="5"/>
  <c r="DE90" i="7" s="1"/>
  <c r="DF204" i="5"/>
  <c r="DF90" i="7" s="1"/>
  <c r="DH204" i="5"/>
  <c r="DH90" i="7" s="1"/>
  <c r="DI204" i="5"/>
  <c r="DI90" i="7" s="1"/>
  <c r="DJ204" i="5"/>
  <c r="DJ90" i="7" s="1"/>
  <c r="DK204" i="5"/>
  <c r="DK90" i="7" s="1"/>
  <c r="DM204" i="5"/>
  <c r="DM90" i="7" s="1"/>
  <c r="DN204" i="5"/>
  <c r="DN90" i="7" s="1"/>
  <c r="DO204" i="5"/>
  <c r="DO90" i="7" s="1"/>
  <c r="DP204" i="5"/>
  <c r="DP90" i="7" s="1"/>
  <c r="DR204" i="5"/>
  <c r="DR90" i="7" s="1"/>
  <c r="DS204" i="5"/>
  <c r="DS90" i="7" s="1"/>
  <c r="DT204" i="5"/>
  <c r="DT90" i="7" s="1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J91" i="7" s="1"/>
  <c r="BK205" i="5"/>
  <c r="BK91" i="7" s="1"/>
  <c r="BL205" i="5"/>
  <c r="BL91" i="7" s="1"/>
  <c r="BM205" i="5"/>
  <c r="BM91" i="7" s="1"/>
  <c r="BO205" i="5"/>
  <c r="BP205" i="5"/>
  <c r="BP91" i="7" s="1"/>
  <c r="BQ205" i="5"/>
  <c r="BQ91" i="7" s="1"/>
  <c r="BR205" i="5"/>
  <c r="BR91" i="7" s="1"/>
  <c r="BT205" i="5"/>
  <c r="BT91" i="7" s="1"/>
  <c r="BU205" i="5"/>
  <c r="BU91" i="7" s="1"/>
  <c r="BV205" i="5"/>
  <c r="BV91" i="7" s="1"/>
  <c r="BW205" i="5"/>
  <c r="BW91" i="7" s="1"/>
  <c r="BY205" i="5"/>
  <c r="BY91" i="7" s="1"/>
  <c r="BZ205" i="5"/>
  <c r="BZ91" i="7" s="1"/>
  <c r="CA205" i="5"/>
  <c r="CA91" i="7" s="1"/>
  <c r="CB205" i="5"/>
  <c r="CB91" i="7" s="1"/>
  <c r="CD205" i="5"/>
  <c r="CD91" i="7" s="1"/>
  <c r="CE205" i="5"/>
  <c r="CE91" i="7" s="1"/>
  <c r="CF205" i="5"/>
  <c r="CF91" i="7" s="1"/>
  <c r="CG205" i="5"/>
  <c r="CG91" i="7" s="1"/>
  <c r="CI205" i="5"/>
  <c r="CI91" i="7" s="1"/>
  <c r="CJ205" i="5"/>
  <c r="CJ91" i="7" s="1"/>
  <c r="CK205" i="5"/>
  <c r="CK91" i="7" s="1"/>
  <c r="CL205" i="5"/>
  <c r="CL91" i="7" s="1"/>
  <c r="CN205" i="5"/>
  <c r="CN91" i="7" s="1"/>
  <c r="CO205" i="5"/>
  <c r="CO91" i="7" s="1"/>
  <c r="CP205" i="5"/>
  <c r="CP91" i="7" s="1"/>
  <c r="CQ205" i="5"/>
  <c r="CQ91" i="7" s="1"/>
  <c r="CS205" i="5"/>
  <c r="CS91" i="7" s="1"/>
  <c r="CT205" i="5"/>
  <c r="CT91" i="7" s="1"/>
  <c r="CU205" i="5"/>
  <c r="CU91" i="7" s="1"/>
  <c r="CV205" i="5"/>
  <c r="CV91" i="7" s="1"/>
  <c r="CX205" i="5"/>
  <c r="CX91" i="7" s="1"/>
  <c r="CY205" i="5"/>
  <c r="CY91" i="7" s="1"/>
  <c r="CZ205" i="5"/>
  <c r="CZ91" i="7" s="1"/>
  <c r="DA205" i="5"/>
  <c r="DA91" i="7" s="1"/>
  <c r="DC205" i="5"/>
  <c r="DC91" i="7" s="1"/>
  <c r="DD205" i="5"/>
  <c r="DD91" i="7" s="1"/>
  <c r="DE205" i="5"/>
  <c r="DE91" i="7" s="1"/>
  <c r="DF205" i="5"/>
  <c r="DH205" i="5"/>
  <c r="DH91" i="7" s="1"/>
  <c r="DI205" i="5"/>
  <c r="DI91" i="7" s="1"/>
  <c r="DJ205" i="5"/>
  <c r="DJ91" i="7" s="1"/>
  <c r="DK205" i="5"/>
  <c r="DM205" i="5"/>
  <c r="DM91" i="7" s="1"/>
  <c r="DN205" i="5"/>
  <c r="DN91" i="7" s="1"/>
  <c r="DO205" i="5"/>
  <c r="DO91" i="7" s="1"/>
  <c r="DP205" i="5"/>
  <c r="DP91" i="7" s="1"/>
  <c r="DR205" i="5"/>
  <c r="DR91" i="7" s="1"/>
  <c r="DS205" i="5"/>
  <c r="DS91" i="7" s="1"/>
  <c r="DT205" i="5"/>
  <c r="DT91" i="7" s="1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J92" i="7" s="1"/>
  <c r="BK206" i="5"/>
  <c r="BK92" i="7" s="1"/>
  <c r="BL206" i="5"/>
  <c r="BL92" i="7" s="1"/>
  <c r="BM206" i="5"/>
  <c r="BM92" i="7" s="1"/>
  <c r="BO206" i="5"/>
  <c r="BO92" i="7" s="1"/>
  <c r="BP206" i="5"/>
  <c r="BP92" i="7" s="1"/>
  <c r="BQ206" i="5"/>
  <c r="BQ92" i="7" s="1"/>
  <c r="BR206" i="5"/>
  <c r="BR92" i="7" s="1"/>
  <c r="BT206" i="5"/>
  <c r="BT92" i="7" s="1"/>
  <c r="BU206" i="5"/>
  <c r="BU92" i="7" s="1"/>
  <c r="BV206" i="5"/>
  <c r="BV92" i="7" s="1"/>
  <c r="BW206" i="5"/>
  <c r="BW92" i="7" s="1"/>
  <c r="BY206" i="5"/>
  <c r="BY92" i="7" s="1"/>
  <c r="BZ206" i="5"/>
  <c r="BZ92" i="7" s="1"/>
  <c r="CA206" i="5"/>
  <c r="CA92" i="7" s="1"/>
  <c r="CB206" i="5"/>
  <c r="CB92" i="7" s="1"/>
  <c r="CD206" i="5"/>
  <c r="CD92" i="7" s="1"/>
  <c r="CE206" i="5"/>
  <c r="CE92" i="7" s="1"/>
  <c r="CF206" i="5"/>
  <c r="CF92" i="7" s="1"/>
  <c r="CG206" i="5"/>
  <c r="CG92" i="7" s="1"/>
  <c r="CI206" i="5"/>
  <c r="CI92" i="7" s="1"/>
  <c r="CJ206" i="5"/>
  <c r="CJ92" i="7" s="1"/>
  <c r="CK206" i="5"/>
  <c r="CK92" i="7" s="1"/>
  <c r="CL206" i="5"/>
  <c r="CL92" i="7" s="1"/>
  <c r="CN206" i="5"/>
  <c r="CN92" i="7" s="1"/>
  <c r="CO206" i="5"/>
  <c r="CO92" i="7" s="1"/>
  <c r="CP206" i="5"/>
  <c r="CP92" i="7" s="1"/>
  <c r="CQ206" i="5"/>
  <c r="CQ92" i="7" s="1"/>
  <c r="CS206" i="5"/>
  <c r="CS92" i="7" s="1"/>
  <c r="CT206" i="5"/>
  <c r="CT92" i="7" s="1"/>
  <c r="CU206" i="5"/>
  <c r="CU92" i="7" s="1"/>
  <c r="CV206" i="5"/>
  <c r="CV92" i="7" s="1"/>
  <c r="CX206" i="5"/>
  <c r="CX92" i="7" s="1"/>
  <c r="CY206" i="5"/>
  <c r="CY92" i="7" s="1"/>
  <c r="CZ206" i="5"/>
  <c r="CZ92" i="7" s="1"/>
  <c r="DA206" i="5"/>
  <c r="DA92" i="7" s="1"/>
  <c r="DC206" i="5"/>
  <c r="DC92" i="7" s="1"/>
  <c r="DD206" i="5"/>
  <c r="DD92" i="7" s="1"/>
  <c r="DE206" i="5"/>
  <c r="DE92" i="7" s="1"/>
  <c r="DF206" i="5"/>
  <c r="DF92" i="7" s="1"/>
  <c r="DH206" i="5"/>
  <c r="DH92" i="7" s="1"/>
  <c r="DI206" i="5"/>
  <c r="DI92" i="7" s="1"/>
  <c r="DJ206" i="5"/>
  <c r="DJ92" i="7" s="1"/>
  <c r="DK206" i="5"/>
  <c r="DK92" i="7" s="1"/>
  <c r="DM206" i="5"/>
  <c r="DM92" i="7" s="1"/>
  <c r="DN206" i="5"/>
  <c r="DN92" i="7" s="1"/>
  <c r="DO206" i="5"/>
  <c r="DO92" i="7" s="1"/>
  <c r="DP206" i="5"/>
  <c r="DP92" i="7" s="1"/>
  <c r="DR206" i="5"/>
  <c r="DR92" i="7" s="1"/>
  <c r="DS206" i="5"/>
  <c r="DS92" i="7" s="1"/>
  <c r="DT206" i="5"/>
  <c r="DT92" i="7" s="1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J93" i="7" s="1"/>
  <c r="BK207" i="5"/>
  <c r="BK93" i="7" s="1"/>
  <c r="BL207" i="5"/>
  <c r="BL93" i="7" s="1"/>
  <c r="BM207" i="5"/>
  <c r="BM93" i="7" s="1"/>
  <c r="BO207" i="5"/>
  <c r="BO93" i="7" s="1"/>
  <c r="BP207" i="5"/>
  <c r="BP93" i="7" s="1"/>
  <c r="BQ207" i="5"/>
  <c r="BQ93" i="7" s="1"/>
  <c r="BR207" i="5"/>
  <c r="BR93" i="7" s="1"/>
  <c r="BT207" i="5"/>
  <c r="BT93" i="7" s="1"/>
  <c r="BU207" i="5"/>
  <c r="BU93" i="7" s="1"/>
  <c r="BV207" i="5"/>
  <c r="BV93" i="7" s="1"/>
  <c r="BW207" i="5"/>
  <c r="BW93" i="7" s="1"/>
  <c r="BY207" i="5"/>
  <c r="BY93" i="7" s="1"/>
  <c r="BZ207" i="5"/>
  <c r="BZ93" i="7" s="1"/>
  <c r="CA207" i="5"/>
  <c r="CA93" i="7" s="1"/>
  <c r="CB207" i="5"/>
  <c r="CB93" i="7" s="1"/>
  <c r="CD207" i="5"/>
  <c r="CD93" i="7" s="1"/>
  <c r="CE207" i="5"/>
  <c r="CE93" i="7" s="1"/>
  <c r="CF207" i="5"/>
  <c r="CF93" i="7" s="1"/>
  <c r="CG207" i="5"/>
  <c r="CG93" i="7" s="1"/>
  <c r="CI207" i="5"/>
  <c r="CI93" i="7" s="1"/>
  <c r="CJ207" i="5"/>
  <c r="CJ93" i="7" s="1"/>
  <c r="CK207" i="5"/>
  <c r="CK93" i="7" s="1"/>
  <c r="CL207" i="5"/>
  <c r="CL93" i="7" s="1"/>
  <c r="CN207" i="5"/>
  <c r="CN93" i="7" s="1"/>
  <c r="CO207" i="5"/>
  <c r="CO93" i="7" s="1"/>
  <c r="CP207" i="5"/>
  <c r="CP93" i="7" s="1"/>
  <c r="CQ207" i="5"/>
  <c r="CQ93" i="7" s="1"/>
  <c r="CS207" i="5"/>
  <c r="CS93" i="7" s="1"/>
  <c r="CT207" i="5"/>
  <c r="CT93" i="7" s="1"/>
  <c r="CU207" i="5"/>
  <c r="CU93" i="7" s="1"/>
  <c r="CV207" i="5"/>
  <c r="CV93" i="7" s="1"/>
  <c r="DD207" i="5"/>
  <c r="DD93" i="7" s="1"/>
  <c r="DE207" i="5"/>
  <c r="DE93" i="7" s="1"/>
  <c r="DF207" i="5"/>
  <c r="DF93" i="7" s="1"/>
  <c r="DH207" i="5"/>
  <c r="DH93" i="7" s="1"/>
  <c r="DI207" i="5"/>
  <c r="DI93" i="7" s="1"/>
  <c r="DJ207" i="5"/>
  <c r="DJ93" i="7" s="1"/>
  <c r="DK207" i="5"/>
  <c r="DK93" i="7" s="1"/>
  <c r="DM207" i="5"/>
  <c r="DM93" i="7" s="1"/>
  <c r="DN207" i="5"/>
  <c r="DN93" i="7" s="1"/>
  <c r="DO207" i="5"/>
  <c r="DO93" i="7" s="1"/>
  <c r="DP207" i="5"/>
  <c r="DP93" i="7" s="1"/>
  <c r="DR207" i="5"/>
  <c r="DR93" i="7" s="1"/>
  <c r="DS207" i="5"/>
  <c r="DS93" i="7" s="1"/>
  <c r="DT207" i="5"/>
  <c r="DT93" i="7" s="1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J94" i="7" s="1"/>
  <c r="BK208" i="5"/>
  <c r="BK94" i="7" s="1"/>
  <c r="BL208" i="5"/>
  <c r="BL94" i="7" s="1"/>
  <c r="BM208" i="5"/>
  <c r="BM94" i="7" s="1"/>
  <c r="BO208" i="5"/>
  <c r="BO94" i="7" s="1"/>
  <c r="BP208" i="5"/>
  <c r="BP94" i="7" s="1"/>
  <c r="BQ208" i="5"/>
  <c r="BQ94" i="7" s="1"/>
  <c r="BR208" i="5"/>
  <c r="BR94" i="7" s="1"/>
  <c r="BT208" i="5"/>
  <c r="BT94" i="7" s="1"/>
  <c r="BU208" i="5"/>
  <c r="BU94" i="7" s="1"/>
  <c r="BV208" i="5"/>
  <c r="BV94" i="7" s="1"/>
  <c r="BW208" i="5"/>
  <c r="BW94" i="7" s="1"/>
  <c r="BY208" i="5"/>
  <c r="BY94" i="7" s="1"/>
  <c r="BZ208" i="5"/>
  <c r="BZ94" i="7" s="1"/>
  <c r="CA208" i="5"/>
  <c r="CA94" i="7" s="1"/>
  <c r="CB208" i="5"/>
  <c r="CB94" i="7" s="1"/>
  <c r="CD208" i="5"/>
  <c r="CD94" i="7" s="1"/>
  <c r="CE208" i="5"/>
  <c r="CE94" i="7" s="1"/>
  <c r="CF208" i="5"/>
  <c r="CF94" i="7" s="1"/>
  <c r="CG208" i="5"/>
  <c r="CG94" i="7" s="1"/>
  <c r="CI208" i="5"/>
  <c r="CI94" i="7" s="1"/>
  <c r="CJ208" i="5"/>
  <c r="CJ94" i="7" s="1"/>
  <c r="CK208" i="5"/>
  <c r="CK94" i="7" s="1"/>
  <c r="CL208" i="5"/>
  <c r="CL94" i="7" s="1"/>
  <c r="CN208" i="5"/>
  <c r="CN94" i="7" s="1"/>
  <c r="CO208" i="5"/>
  <c r="CO94" i="7" s="1"/>
  <c r="CP208" i="5"/>
  <c r="CP94" i="7" s="1"/>
  <c r="CQ208" i="5"/>
  <c r="CQ94" i="7" s="1"/>
  <c r="CS208" i="5"/>
  <c r="CS94" i="7" s="1"/>
  <c r="CT208" i="5"/>
  <c r="CT94" i="7" s="1"/>
  <c r="CU208" i="5"/>
  <c r="CU94" i="7" s="1"/>
  <c r="CV208" i="5"/>
  <c r="CV94" i="7" s="1"/>
  <c r="DD208" i="5"/>
  <c r="DD94" i="7" s="1"/>
  <c r="DF208" i="5"/>
  <c r="DF94" i="7" s="1"/>
  <c r="DH208" i="5"/>
  <c r="DH94" i="7" s="1"/>
  <c r="DI208" i="5"/>
  <c r="DI94" i="7" s="1"/>
  <c r="DJ208" i="5"/>
  <c r="DJ94" i="7" s="1"/>
  <c r="DK208" i="5"/>
  <c r="DK94" i="7" s="1"/>
  <c r="DM208" i="5"/>
  <c r="DM94" i="7" s="1"/>
  <c r="DN208" i="5"/>
  <c r="DN94" i="7" s="1"/>
  <c r="DO208" i="5"/>
  <c r="DO94" i="7" s="1"/>
  <c r="DP208" i="5"/>
  <c r="DP94" i="7" s="1"/>
  <c r="DR208" i="5"/>
  <c r="DR94" i="7" s="1"/>
  <c r="DS208" i="5"/>
  <c r="DS94" i="7" s="1"/>
  <c r="DT208" i="5"/>
  <c r="DT94" i="7" s="1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J95" i="7" s="1"/>
  <c r="BK209" i="5"/>
  <c r="BK95" i="7" s="1"/>
  <c r="BL209" i="5"/>
  <c r="BL95" i="7" s="1"/>
  <c r="BM209" i="5"/>
  <c r="BM95" i="7" s="1"/>
  <c r="BO209" i="5"/>
  <c r="BO95" i="7" s="1"/>
  <c r="BP209" i="5"/>
  <c r="BP95" i="7" s="1"/>
  <c r="BQ209" i="5"/>
  <c r="BQ95" i="7" s="1"/>
  <c r="BR209" i="5"/>
  <c r="BR95" i="7" s="1"/>
  <c r="BT209" i="5"/>
  <c r="BT95" i="7" s="1"/>
  <c r="BU209" i="5"/>
  <c r="BU95" i="7" s="1"/>
  <c r="BV209" i="5"/>
  <c r="BV95" i="7" s="1"/>
  <c r="BW209" i="5"/>
  <c r="BW95" i="7" s="1"/>
  <c r="BY209" i="5"/>
  <c r="BY95" i="7" s="1"/>
  <c r="BZ209" i="5"/>
  <c r="BZ95" i="7" s="1"/>
  <c r="CA209" i="5"/>
  <c r="CA95" i="7" s="1"/>
  <c r="CB209" i="5"/>
  <c r="CB95" i="7" s="1"/>
  <c r="CD209" i="5"/>
  <c r="CD95" i="7" s="1"/>
  <c r="CE209" i="5"/>
  <c r="CE95" i="7" s="1"/>
  <c r="CF209" i="5"/>
  <c r="CF95" i="7" s="1"/>
  <c r="CG209" i="5"/>
  <c r="CG95" i="7" s="1"/>
  <c r="CI209" i="5"/>
  <c r="CI95" i="7" s="1"/>
  <c r="CJ209" i="5"/>
  <c r="CJ95" i="7" s="1"/>
  <c r="CK209" i="5"/>
  <c r="CK95" i="7" s="1"/>
  <c r="CL209" i="5"/>
  <c r="CL95" i="7" s="1"/>
  <c r="CN209" i="5"/>
  <c r="CN95" i="7" s="1"/>
  <c r="CO209" i="5"/>
  <c r="CO95" i="7" s="1"/>
  <c r="CP209" i="5"/>
  <c r="CP95" i="7" s="1"/>
  <c r="CQ209" i="5"/>
  <c r="CQ95" i="7" s="1"/>
  <c r="CS209" i="5"/>
  <c r="CS95" i="7" s="1"/>
  <c r="CT209" i="5"/>
  <c r="CT95" i="7" s="1"/>
  <c r="CU209" i="5"/>
  <c r="CU95" i="7" s="1"/>
  <c r="CV209" i="5"/>
  <c r="CV95" i="7" s="1"/>
  <c r="DH209" i="5"/>
  <c r="DH95" i="7" s="1"/>
  <c r="DI209" i="5"/>
  <c r="DI95" i="7" s="1"/>
  <c r="DJ209" i="5"/>
  <c r="DJ95" i="7" s="1"/>
  <c r="DK209" i="5"/>
  <c r="DK95" i="7" s="1"/>
  <c r="DM209" i="5"/>
  <c r="DM95" i="7" s="1"/>
  <c r="DN209" i="5"/>
  <c r="DN95" i="7" s="1"/>
  <c r="DO209" i="5"/>
  <c r="DO95" i="7" s="1"/>
  <c r="DP209" i="5"/>
  <c r="DP95" i="7" s="1"/>
  <c r="DR209" i="5"/>
  <c r="DR95" i="7" s="1"/>
  <c r="DS209" i="5"/>
  <c r="DS95" i="7" s="1"/>
  <c r="DT209" i="5"/>
  <c r="DT95" i="7" s="1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J96" i="7" s="1"/>
  <c r="BK210" i="5"/>
  <c r="BK96" i="7" s="1"/>
  <c r="BL210" i="5"/>
  <c r="BL96" i="7" s="1"/>
  <c r="BM210" i="5"/>
  <c r="BM96" i="7" s="1"/>
  <c r="BO210" i="5"/>
  <c r="BO96" i="7" s="1"/>
  <c r="BP210" i="5"/>
  <c r="BP96" i="7" s="1"/>
  <c r="BQ210" i="5"/>
  <c r="BQ96" i="7" s="1"/>
  <c r="BR210" i="5"/>
  <c r="BR96" i="7" s="1"/>
  <c r="BT210" i="5"/>
  <c r="BT96" i="7" s="1"/>
  <c r="BU210" i="5"/>
  <c r="BU96" i="7" s="1"/>
  <c r="BV210" i="5"/>
  <c r="BV96" i="7" s="1"/>
  <c r="BW210" i="5"/>
  <c r="BW96" i="7" s="1"/>
  <c r="BY210" i="5"/>
  <c r="BY96" i="7" s="1"/>
  <c r="BZ210" i="5"/>
  <c r="BZ96" i="7" s="1"/>
  <c r="CA210" i="5"/>
  <c r="CA96" i="7" s="1"/>
  <c r="CB210" i="5"/>
  <c r="CB96" i="7" s="1"/>
  <c r="CD210" i="5"/>
  <c r="CD96" i="7" s="1"/>
  <c r="CE210" i="5"/>
  <c r="CE96" i="7" s="1"/>
  <c r="CF210" i="5"/>
  <c r="CF96" i="7" s="1"/>
  <c r="CG210" i="5"/>
  <c r="CG96" i="7" s="1"/>
  <c r="CI210" i="5"/>
  <c r="CI96" i="7" s="1"/>
  <c r="CJ210" i="5"/>
  <c r="CJ96" i="7" s="1"/>
  <c r="CK210" i="5"/>
  <c r="CK96" i="7" s="1"/>
  <c r="CL210" i="5"/>
  <c r="CL96" i="7" s="1"/>
  <c r="CN210" i="5"/>
  <c r="CN96" i="7" s="1"/>
  <c r="CO210" i="5"/>
  <c r="CO96" i="7" s="1"/>
  <c r="CP210" i="5"/>
  <c r="CP96" i="7" s="1"/>
  <c r="CQ210" i="5"/>
  <c r="CQ96" i="7" s="1"/>
  <c r="CS210" i="5"/>
  <c r="CS96" i="7" s="1"/>
  <c r="CT210" i="5"/>
  <c r="CT96" i="7" s="1"/>
  <c r="CU210" i="5"/>
  <c r="CU96" i="7" s="1"/>
  <c r="CV210" i="5"/>
  <c r="CV96" i="7" s="1"/>
  <c r="DH210" i="5"/>
  <c r="DH96" i="7" s="1"/>
  <c r="DI210" i="5"/>
  <c r="DI96" i="7" s="1"/>
  <c r="DJ210" i="5"/>
  <c r="DJ96" i="7" s="1"/>
  <c r="DK210" i="5"/>
  <c r="DK96" i="7" s="1"/>
  <c r="DM210" i="5"/>
  <c r="DM96" i="7" s="1"/>
  <c r="DN210" i="5"/>
  <c r="DN96" i="7" s="1"/>
  <c r="DO210" i="5"/>
  <c r="DO96" i="7" s="1"/>
  <c r="DP210" i="5"/>
  <c r="DP96" i="7" s="1"/>
  <c r="DR210" i="5"/>
  <c r="DR96" i="7" s="1"/>
  <c r="DS210" i="5"/>
  <c r="DS96" i="7" s="1"/>
  <c r="DT210" i="5"/>
  <c r="DT96" i="7" s="1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J97" i="7" s="1"/>
  <c r="BK211" i="5"/>
  <c r="BL211" i="5"/>
  <c r="BL97" i="7" s="1"/>
  <c r="BM211" i="5"/>
  <c r="BM97" i="7" s="1"/>
  <c r="BO211" i="5"/>
  <c r="BO97" i="7" s="1"/>
  <c r="BP211" i="5"/>
  <c r="BP97" i="7" s="1"/>
  <c r="BQ211" i="5"/>
  <c r="BQ97" i="7" s="1"/>
  <c r="BR211" i="5"/>
  <c r="BR97" i="7" s="1"/>
  <c r="BT211" i="5"/>
  <c r="BT97" i="7" s="1"/>
  <c r="BU211" i="5"/>
  <c r="BU97" i="7" s="1"/>
  <c r="BV211" i="5"/>
  <c r="BV97" i="7" s="1"/>
  <c r="BW211" i="5"/>
  <c r="BW97" i="7" s="1"/>
  <c r="BY211" i="5"/>
  <c r="BY97" i="7" s="1"/>
  <c r="BZ211" i="5"/>
  <c r="BZ97" i="7" s="1"/>
  <c r="CA211" i="5"/>
  <c r="CB211" i="5"/>
  <c r="CB97" i="7" s="1"/>
  <c r="CD211" i="5"/>
  <c r="CD97" i="7" s="1"/>
  <c r="CE211" i="5"/>
  <c r="CE97" i="7" s="1"/>
  <c r="CF211" i="5"/>
  <c r="CF97" i="7" s="1"/>
  <c r="CG211" i="5"/>
  <c r="CG97" i="7" s="1"/>
  <c r="CI211" i="5"/>
  <c r="CI97" i="7" s="1"/>
  <c r="CJ211" i="5"/>
  <c r="CJ97" i="7" s="1"/>
  <c r="CK211" i="5"/>
  <c r="CK97" i="7" s="1"/>
  <c r="CL211" i="5"/>
  <c r="CL97" i="7" s="1"/>
  <c r="CN211" i="5"/>
  <c r="CN97" i="7" s="1"/>
  <c r="CO211" i="5"/>
  <c r="CO97" i="7" s="1"/>
  <c r="CP211" i="5"/>
  <c r="CP97" i="7" s="1"/>
  <c r="CQ211" i="5"/>
  <c r="CQ97" i="7" s="1"/>
  <c r="CS211" i="5"/>
  <c r="CS97" i="7" s="1"/>
  <c r="CT211" i="5"/>
  <c r="CT97" i="7" s="1"/>
  <c r="CU211" i="5"/>
  <c r="CU97" i="7" s="1"/>
  <c r="CV211" i="5"/>
  <c r="CV97" i="7" s="1"/>
  <c r="DH211" i="5"/>
  <c r="DH97" i="7" s="1"/>
  <c r="DI211" i="5"/>
  <c r="DI97" i="7" s="1"/>
  <c r="DJ211" i="5"/>
  <c r="DJ97" i="7" s="1"/>
  <c r="DK211" i="5"/>
  <c r="DK97" i="7" s="1"/>
  <c r="DM211" i="5"/>
  <c r="DM97" i="7" s="1"/>
  <c r="DN211" i="5"/>
  <c r="DN97" i="7" s="1"/>
  <c r="DO211" i="5"/>
  <c r="DP211" i="5"/>
  <c r="DP97" i="7" s="1"/>
  <c r="DR211" i="5"/>
  <c r="DR97" i="7" s="1"/>
  <c r="DS211" i="5"/>
  <c r="DS97" i="7" s="1"/>
  <c r="DT211" i="5"/>
  <c r="DT97" i="7" s="1"/>
  <c r="B211" i="5"/>
  <c r="B210" i="5"/>
  <c r="B209" i="5"/>
  <c r="B208" i="5"/>
  <c r="B207" i="5"/>
  <c r="B206" i="5"/>
  <c r="B205" i="5"/>
  <c r="B204" i="5"/>
  <c r="B203" i="5"/>
  <c r="B202" i="5"/>
  <c r="B201" i="5"/>
  <c r="B200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BJ172" i="5"/>
  <c r="BK172" i="5"/>
  <c r="BL172" i="5"/>
  <c r="BM172" i="5"/>
  <c r="BO172" i="5"/>
  <c r="BP172" i="5"/>
  <c r="BQ172" i="5"/>
  <c r="BR172" i="5"/>
  <c r="BT172" i="5"/>
  <c r="BU172" i="5"/>
  <c r="BV172" i="5"/>
  <c r="BW172" i="5"/>
  <c r="BY172" i="5"/>
  <c r="BZ172" i="5"/>
  <c r="CA172" i="5"/>
  <c r="CB172" i="5"/>
  <c r="CD172" i="5"/>
  <c r="CE172" i="5"/>
  <c r="CF172" i="5"/>
  <c r="CG172" i="5"/>
  <c r="CI172" i="5"/>
  <c r="CJ172" i="5"/>
  <c r="CK172" i="5"/>
  <c r="CL172" i="5"/>
  <c r="CN172" i="5"/>
  <c r="CO172" i="5"/>
  <c r="CP172" i="5"/>
  <c r="CQ172" i="5"/>
  <c r="CS172" i="5"/>
  <c r="CT172" i="5"/>
  <c r="CU172" i="5"/>
  <c r="CV172" i="5"/>
  <c r="CX172" i="5"/>
  <c r="CY172" i="5"/>
  <c r="CZ172" i="5"/>
  <c r="DA172" i="5"/>
  <c r="DC172" i="5"/>
  <c r="DD172" i="5"/>
  <c r="DE172" i="5"/>
  <c r="DF172" i="5"/>
  <c r="DH172" i="5"/>
  <c r="DI172" i="5"/>
  <c r="DJ172" i="5"/>
  <c r="DK172" i="5"/>
  <c r="DM172" i="5"/>
  <c r="DN172" i="5"/>
  <c r="DO172" i="5"/>
  <c r="DP172" i="5"/>
  <c r="DR172" i="5"/>
  <c r="DS172" i="5"/>
  <c r="DT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BJ173" i="5"/>
  <c r="BK173" i="5"/>
  <c r="BL173" i="5"/>
  <c r="BM173" i="5"/>
  <c r="BO173" i="5"/>
  <c r="BP173" i="5"/>
  <c r="BQ173" i="5"/>
  <c r="BR173" i="5"/>
  <c r="BT173" i="5"/>
  <c r="BU173" i="5"/>
  <c r="BV173" i="5"/>
  <c r="BW173" i="5"/>
  <c r="BY173" i="5"/>
  <c r="BZ173" i="5"/>
  <c r="CA173" i="5"/>
  <c r="CB173" i="5"/>
  <c r="CD173" i="5"/>
  <c r="CE173" i="5"/>
  <c r="CF173" i="5"/>
  <c r="CG173" i="5"/>
  <c r="CI173" i="5"/>
  <c r="CJ173" i="5"/>
  <c r="CK173" i="5"/>
  <c r="CL173" i="5"/>
  <c r="CN173" i="5"/>
  <c r="CO173" i="5"/>
  <c r="CP173" i="5"/>
  <c r="CQ173" i="5"/>
  <c r="CS173" i="5"/>
  <c r="CT173" i="5"/>
  <c r="CU173" i="5"/>
  <c r="CV173" i="5"/>
  <c r="CX173" i="5"/>
  <c r="CY173" i="5"/>
  <c r="CZ173" i="5"/>
  <c r="DA173" i="5"/>
  <c r="DC173" i="5"/>
  <c r="DD173" i="5"/>
  <c r="DE173" i="5"/>
  <c r="DF173" i="5"/>
  <c r="DH173" i="5"/>
  <c r="DI173" i="5"/>
  <c r="DJ173" i="5"/>
  <c r="DK173" i="5"/>
  <c r="DM173" i="5"/>
  <c r="DN173" i="5"/>
  <c r="DO173" i="5"/>
  <c r="DP173" i="5"/>
  <c r="DR173" i="5"/>
  <c r="DS173" i="5"/>
  <c r="DT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BJ174" i="5"/>
  <c r="BK174" i="5"/>
  <c r="BL174" i="5"/>
  <c r="BM174" i="5"/>
  <c r="BO174" i="5"/>
  <c r="BP174" i="5"/>
  <c r="BQ174" i="5"/>
  <c r="BR174" i="5"/>
  <c r="BT174" i="5"/>
  <c r="BU174" i="5"/>
  <c r="BV174" i="5"/>
  <c r="BW174" i="5"/>
  <c r="BY174" i="5"/>
  <c r="BZ174" i="5"/>
  <c r="CA174" i="5"/>
  <c r="CB174" i="5"/>
  <c r="CD174" i="5"/>
  <c r="CE174" i="5"/>
  <c r="CF174" i="5"/>
  <c r="CG174" i="5"/>
  <c r="CI174" i="5"/>
  <c r="CJ174" i="5"/>
  <c r="CK174" i="5"/>
  <c r="CL174" i="5"/>
  <c r="CN174" i="5"/>
  <c r="CO174" i="5"/>
  <c r="CP174" i="5"/>
  <c r="CQ174" i="5"/>
  <c r="CS174" i="5"/>
  <c r="CT174" i="5"/>
  <c r="CU174" i="5"/>
  <c r="CV174" i="5"/>
  <c r="CX174" i="5"/>
  <c r="CY174" i="5"/>
  <c r="CZ174" i="5"/>
  <c r="DA174" i="5"/>
  <c r="DC174" i="5"/>
  <c r="DD174" i="5"/>
  <c r="DE174" i="5"/>
  <c r="DF174" i="5"/>
  <c r="DH174" i="5"/>
  <c r="DI174" i="5"/>
  <c r="DJ174" i="5"/>
  <c r="DK174" i="5"/>
  <c r="DM174" i="5"/>
  <c r="DN174" i="5"/>
  <c r="DO174" i="5"/>
  <c r="DP174" i="5"/>
  <c r="DR174" i="5"/>
  <c r="DS174" i="5"/>
  <c r="DT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BJ175" i="5"/>
  <c r="BK175" i="5"/>
  <c r="BL175" i="5"/>
  <c r="BM175" i="5"/>
  <c r="BO175" i="5"/>
  <c r="BP175" i="5"/>
  <c r="BQ175" i="5"/>
  <c r="BR175" i="5"/>
  <c r="BT175" i="5"/>
  <c r="BU175" i="5"/>
  <c r="BV175" i="5"/>
  <c r="BW175" i="5"/>
  <c r="BY175" i="5"/>
  <c r="BZ175" i="5"/>
  <c r="CA175" i="5"/>
  <c r="CB175" i="5"/>
  <c r="CD175" i="5"/>
  <c r="CE175" i="5"/>
  <c r="CF175" i="5"/>
  <c r="CG175" i="5"/>
  <c r="CI175" i="5"/>
  <c r="CJ175" i="5"/>
  <c r="CK175" i="5"/>
  <c r="CL175" i="5"/>
  <c r="CN175" i="5"/>
  <c r="CO175" i="5"/>
  <c r="CP175" i="5"/>
  <c r="CQ175" i="5"/>
  <c r="CS175" i="5"/>
  <c r="CT175" i="5"/>
  <c r="CU175" i="5"/>
  <c r="CV175" i="5"/>
  <c r="CX175" i="5"/>
  <c r="CY175" i="5"/>
  <c r="CZ175" i="5"/>
  <c r="DA175" i="5"/>
  <c r="DC175" i="5"/>
  <c r="DD175" i="5"/>
  <c r="DE175" i="5"/>
  <c r="DF175" i="5"/>
  <c r="DH175" i="5"/>
  <c r="DI175" i="5"/>
  <c r="DJ175" i="5"/>
  <c r="DK175" i="5"/>
  <c r="DM175" i="5"/>
  <c r="DN175" i="5"/>
  <c r="DO175" i="5"/>
  <c r="DP175" i="5"/>
  <c r="DR175" i="5"/>
  <c r="DS175" i="5"/>
  <c r="DT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BJ176" i="5"/>
  <c r="BK176" i="5"/>
  <c r="BL176" i="5"/>
  <c r="BM176" i="5"/>
  <c r="BO176" i="5"/>
  <c r="BP176" i="5"/>
  <c r="BQ176" i="5"/>
  <c r="BR176" i="5"/>
  <c r="BT176" i="5"/>
  <c r="BU176" i="5"/>
  <c r="BV176" i="5"/>
  <c r="BW176" i="5"/>
  <c r="BY176" i="5"/>
  <c r="BZ176" i="5"/>
  <c r="CA176" i="5"/>
  <c r="CB176" i="5"/>
  <c r="CD176" i="5"/>
  <c r="CE176" i="5"/>
  <c r="CF176" i="5"/>
  <c r="CG176" i="5"/>
  <c r="CI176" i="5"/>
  <c r="CJ176" i="5"/>
  <c r="CK176" i="5"/>
  <c r="CL176" i="5"/>
  <c r="CN176" i="5"/>
  <c r="CO176" i="5"/>
  <c r="CP176" i="5"/>
  <c r="CQ176" i="5"/>
  <c r="CS176" i="5"/>
  <c r="CT176" i="5"/>
  <c r="CU176" i="5"/>
  <c r="CV176" i="5"/>
  <c r="CX176" i="5"/>
  <c r="CY176" i="5"/>
  <c r="CZ176" i="5"/>
  <c r="DA176" i="5"/>
  <c r="DC176" i="5"/>
  <c r="DD176" i="5"/>
  <c r="DE176" i="5"/>
  <c r="DF176" i="5"/>
  <c r="DH176" i="5"/>
  <c r="DI176" i="5"/>
  <c r="DJ176" i="5"/>
  <c r="DK176" i="5"/>
  <c r="DM176" i="5"/>
  <c r="DN176" i="5"/>
  <c r="DO176" i="5"/>
  <c r="DP176" i="5"/>
  <c r="DR176" i="5"/>
  <c r="DS176" i="5"/>
  <c r="DT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BJ177" i="5"/>
  <c r="BK177" i="5"/>
  <c r="BL177" i="5"/>
  <c r="BM177" i="5"/>
  <c r="BO177" i="5"/>
  <c r="BP177" i="5"/>
  <c r="BQ177" i="5"/>
  <c r="BR177" i="5"/>
  <c r="BT177" i="5"/>
  <c r="BU177" i="5"/>
  <c r="BV177" i="5"/>
  <c r="BW177" i="5"/>
  <c r="BY177" i="5"/>
  <c r="BZ177" i="5"/>
  <c r="CA177" i="5"/>
  <c r="CB177" i="5"/>
  <c r="CD177" i="5"/>
  <c r="CE177" i="5"/>
  <c r="CF177" i="5"/>
  <c r="CG177" i="5"/>
  <c r="CI177" i="5"/>
  <c r="CJ177" i="5"/>
  <c r="CK177" i="5"/>
  <c r="CL177" i="5"/>
  <c r="CN177" i="5"/>
  <c r="CO177" i="5"/>
  <c r="CP177" i="5"/>
  <c r="CQ177" i="5"/>
  <c r="CS177" i="5"/>
  <c r="CT177" i="5"/>
  <c r="CU177" i="5"/>
  <c r="CV177" i="5"/>
  <c r="CX177" i="5"/>
  <c r="CY177" i="5"/>
  <c r="CZ177" i="5"/>
  <c r="DA177" i="5"/>
  <c r="DC177" i="5"/>
  <c r="DD177" i="5"/>
  <c r="DE177" i="5"/>
  <c r="DF177" i="5"/>
  <c r="DH177" i="5"/>
  <c r="DI177" i="5"/>
  <c r="DJ177" i="5"/>
  <c r="DK177" i="5"/>
  <c r="DM177" i="5"/>
  <c r="DN177" i="5"/>
  <c r="DO177" i="5"/>
  <c r="DP177" i="5"/>
  <c r="DR177" i="5"/>
  <c r="DS177" i="5"/>
  <c r="DT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BL178" i="5"/>
  <c r="BM178" i="5"/>
  <c r="BO178" i="5"/>
  <c r="BP178" i="5"/>
  <c r="BQ178" i="5"/>
  <c r="BR178" i="5"/>
  <c r="BT178" i="5"/>
  <c r="BU178" i="5"/>
  <c r="BV178" i="5"/>
  <c r="BW178" i="5"/>
  <c r="BY178" i="5"/>
  <c r="BZ178" i="5"/>
  <c r="CA178" i="5"/>
  <c r="CB178" i="5"/>
  <c r="CD178" i="5"/>
  <c r="CE178" i="5"/>
  <c r="CF178" i="5"/>
  <c r="CG178" i="5"/>
  <c r="CI178" i="5"/>
  <c r="CJ178" i="5"/>
  <c r="CK178" i="5"/>
  <c r="CL178" i="5"/>
  <c r="CN178" i="5"/>
  <c r="CO178" i="5"/>
  <c r="CP178" i="5"/>
  <c r="CQ178" i="5"/>
  <c r="CS178" i="5"/>
  <c r="CT178" i="5"/>
  <c r="CU178" i="5"/>
  <c r="CV178" i="5"/>
  <c r="CX178" i="5"/>
  <c r="CY178" i="5"/>
  <c r="CZ178" i="5"/>
  <c r="DA178" i="5"/>
  <c r="DC178" i="5"/>
  <c r="DD178" i="5"/>
  <c r="DE178" i="5"/>
  <c r="DF178" i="5"/>
  <c r="DH178" i="5"/>
  <c r="DI178" i="5"/>
  <c r="DJ178" i="5"/>
  <c r="DK178" i="5"/>
  <c r="DM178" i="5"/>
  <c r="DN178" i="5"/>
  <c r="DO178" i="5"/>
  <c r="DP178" i="5"/>
  <c r="DR178" i="5"/>
  <c r="DS178" i="5"/>
  <c r="DT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BL179" i="5"/>
  <c r="BM179" i="5"/>
  <c r="BO179" i="5"/>
  <c r="BP179" i="5"/>
  <c r="BQ179" i="5"/>
  <c r="BR179" i="5"/>
  <c r="BT179" i="5"/>
  <c r="BU179" i="5"/>
  <c r="BV179" i="5"/>
  <c r="BW179" i="5"/>
  <c r="BY179" i="5"/>
  <c r="BZ179" i="5"/>
  <c r="CA179" i="5"/>
  <c r="CB179" i="5"/>
  <c r="CD179" i="5"/>
  <c r="CE179" i="5"/>
  <c r="CF179" i="5"/>
  <c r="CG179" i="5"/>
  <c r="CI179" i="5"/>
  <c r="CJ179" i="5"/>
  <c r="CK179" i="5"/>
  <c r="CL179" i="5"/>
  <c r="CN179" i="5"/>
  <c r="CO179" i="5"/>
  <c r="CP179" i="5"/>
  <c r="CQ179" i="5"/>
  <c r="CS179" i="5"/>
  <c r="CT179" i="5"/>
  <c r="CU179" i="5"/>
  <c r="CV179" i="5"/>
  <c r="DA179" i="5"/>
  <c r="DC179" i="5"/>
  <c r="DD179" i="5"/>
  <c r="DE179" i="5"/>
  <c r="DF179" i="5"/>
  <c r="DH179" i="5"/>
  <c r="DI179" i="5"/>
  <c r="DJ179" i="5"/>
  <c r="DK179" i="5"/>
  <c r="DM179" i="5"/>
  <c r="DN179" i="5"/>
  <c r="DO179" i="5"/>
  <c r="DP179" i="5"/>
  <c r="DR179" i="5"/>
  <c r="DS179" i="5"/>
  <c r="DT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BL180" i="5"/>
  <c r="BM180" i="5"/>
  <c r="BO180" i="5"/>
  <c r="BP180" i="5"/>
  <c r="BQ180" i="5"/>
  <c r="BR180" i="5"/>
  <c r="BT180" i="5"/>
  <c r="BU180" i="5"/>
  <c r="BV180" i="5"/>
  <c r="BW180" i="5"/>
  <c r="BY180" i="5"/>
  <c r="BZ180" i="5"/>
  <c r="CA180" i="5"/>
  <c r="CB180" i="5"/>
  <c r="CD180" i="5"/>
  <c r="CE180" i="5"/>
  <c r="CF180" i="5"/>
  <c r="CG180" i="5"/>
  <c r="CI180" i="5"/>
  <c r="CJ180" i="5"/>
  <c r="CK180" i="5"/>
  <c r="CL180" i="5"/>
  <c r="CN180" i="5"/>
  <c r="CO180" i="5"/>
  <c r="CP180" i="5"/>
  <c r="CQ180" i="5"/>
  <c r="CS180" i="5"/>
  <c r="CT180" i="5"/>
  <c r="CU180" i="5"/>
  <c r="CV180" i="5"/>
  <c r="CY180" i="5"/>
  <c r="CZ180" i="5"/>
  <c r="DA180" i="5"/>
  <c r="DC180" i="5"/>
  <c r="DD180" i="5"/>
  <c r="DE180" i="5"/>
  <c r="DF180" i="5"/>
  <c r="DH180" i="5"/>
  <c r="DI180" i="5"/>
  <c r="DJ180" i="5"/>
  <c r="DK180" i="5"/>
  <c r="DM180" i="5"/>
  <c r="DN180" i="5"/>
  <c r="DO180" i="5"/>
  <c r="DP180" i="5"/>
  <c r="DR180" i="5"/>
  <c r="DS180" i="5"/>
  <c r="DT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BL181" i="5"/>
  <c r="BM181" i="5"/>
  <c r="BO181" i="5"/>
  <c r="BP181" i="5"/>
  <c r="BQ181" i="5"/>
  <c r="BR181" i="5"/>
  <c r="BT181" i="5"/>
  <c r="BU181" i="5"/>
  <c r="BV181" i="5"/>
  <c r="BW181" i="5"/>
  <c r="BY181" i="5"/>
  <c r="BZ181" i="5"/>
  <c r="CA181" i="5"/>
  <c r="CB181" i="5"/>
  <c r="CD181" i="5"/>
  <c r="CE181" i="5"/>
  <c r="CF181" i="5"/>
  <c r="CG181" i="5"/>
  <c r="CI181" i="5"/>
  <c r="CJ181" i="5"/>
  <c r="CK181" i="5"/>
  <c r="CL181" i="5"/>
  <c r="CN181" i="5"/>
  <c r="CO181" i="5"/>
  <c r="CP181" i="5"/>
  <c r="CQ181" i="5"/>
  <c r="CS181" i="5"/>
  <c r="CT181" i="5"/>
  <c r="CU181" i="5"/>
  <c r="CV181" i="5"/>
  <c r="DA181" i="5"/>
  <c r="DC181" i="5"/>
  <c r="DD181" i="5"/>
  <c r="DE181" i="5"/>
  <c r="DF181" i="5"/>
  <c r="DH181" i="5"/>
  <c r="DI181" i="5"/>
  <c r="DJ181" i="5"/>
  <c r="DK181" i="5"/>
  <c r="DM181" i="5"/>
  <c r="DN181" i="5"/>
  <c r="DO181" i="5"/>
  <c r="DP181" i="5"/>
  <c r="DR181" i="5"/>
  <c r="DS181" i="5"/>
  <c r="DT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BL182" i="5"/>
  <c r="BM182" i="5"/>
  <c r="BO182" i="5"/>
  <c r="BP182" i="5"/>
  <c r="BQ182" i="5"/>
  <c r="BR182" i="5"/>
  <c r="BT182" i="5"/>
  <c r="BU182" i="5"/>
  <c r="BV182" i="5"/>
  <c r="BW182" i="5"/>
  <c r="BY182" i="5"/>
  <c r="BZ182" i="5"/>
  <c r="CA182" i="5"/>
  <c r="CB182" i="5"/>
  <c r="CD182" i="5"/>
  <c r="CE182" i="5"/>
  <c r="CF182" i="5"/>
  <c r="CG182" i="5"/>
  <c r="CI182" i="5"/>
  <c r="CJ182" i="5"/>
  <c r="CK182" i="5"/>
  <c r="CL182" i="5"/>
  <c r="CN182" i="5"/>
  <c r="CO182" i="5"/>
  <c r="CP182" i="5"/>
  <c r="CQ182" i="5"/>
  <c r="CS182" i="5"/>
  <c r="CT182" i="5"/>
  <c r="CU182" i="5"/>
  <c r="CV182" i="5"/>
  <c r="DA182" i="5"/>
  <c r="DC182" i="5"/>
  <c r="DD182" i="5"/>
  <c r="DE182" i="5"/>
  <c r="DF182" i="5"/>
  <c r="DH182" i="5"/>
  <c r="DI182" i="5"/>
  <c r="DJ182" i="5"/>
  <c r="DK182" i="5"/>
  <c r="DM182" i="5"/>
  <c r="DN182" i="5"/>
  <c r="DO182" i="5"/>
  <c r="DP182" i="5"/>
  <c r="DR182" i="5"/>
  <c r="DS182" i="5"/>
  <c r="DT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L183" i="5"/>
  <c r="BM183" i="5"/>
  <c r="BO183" i="5"/>
  <c r="BP183" i="5"/>
  <c r="BQ183" i="5"/>
  <c r="BR183" i="5"/>
  <c r="BT183" i="5"/>
  <c r="BU183" i="5"/>
  <c r="BV183" i="5"/>
  <c r="BW183" i="5"/>
  <c r="BY183" i="5"/>
  <c r="BZ183" i="5"/>
  <c r="CA183" i="5"/>
  <c r="CB183" i="5"/>
  <c r="CD183" i="5"/>
  <c r="CE183" i="5"/>
  <c r="CF183" i="5"/>
  <c r="CG183" i="5"/>
  <c r="CI183" i="5"/>
  <c r="CJ183" i="5"/>
  <c r="CK183" i="5"/>
  <c r="CL183" i="5"/>
  <c r="CN183" i="5"/>
  <c r="CO183" i="5"/>
  <c r="CP183" i="5"/>
  <c r="CQ183" i="5"/>
  <c r="CS183" i="5"/>
  <c r="CT183" i="5"/>
  <c r="CU183" i="5"/>
  <c r="CV183" i="5"/>
  <c r="CZ183" i="5"/>
  <c r="DA183" i="5"/>
  <c r="DC183" i="5"/>
  <c r="DD183" i="5"/>
  <c r="DE183" i="5"/>
  <c r="DF183" i="5"/>
  <c r="DH183" i="5"/>
  <c r="DI183" i="5"/>
  <c r="DJ183" i="5"/>
  <c r="DK183" i="5"/>
  <c r="DM183" i="5"/>
  <c r="DN183" i="5"/>
  <c r="DO183" i="5"/>
  <c r="DP183" i="5"/>
  <c r="DR183" i="5"/>
  <c r="DS183" i="5"/>
  <c r="DT183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BL186" i="5"/>
  <c r="BM186" i="5"/>
  <c r="BO186" i="5"/>
  <c r="BP186" i="5"/>
  <c r="BQ186" i="5"/>
  <c r="BR186" i="5"/>
  <c r="BT186" i="5"/>
  <c r="BU186" i="5"/>
  <c r="BV186" i="5"/>
  <c r="BW186" i="5"/>
  <c r="BY186" i="5"/>
  <c r="BZ186" i="5"/>
  <c r="CA186" i="5"/>
  <c r="CB186" i="5"/>
  <c r="CD186" i="5"/>
  <c r="CE186" i="5"/>
  <c r="CF186" i="5"/>
  <c r="CG186" i="5"/>
  <c r="CI186" i="5"/>
  <c r="CJ186" i="5"/>
  <c r="CK186" i="5"/>
  <c r="CL186" i="5"/>
  <c r="CN186" i="5"/>
  <c r="CO186" i="5"/>
  <c r="CP186" i="5"/>
  <c r="CQ186" i="5"/>
  <c r="CS186" i="5"/>
  <c r="CT186" i="5"/>
  <c r="CU186" i="5"/>
  <c r="CV186" i="5"/>
  <c r="CX186" i="5"/>
  <c r="CY186" i="5"/>
  <c r="CZ186" i="5"/>
  <c r="DA186" i="5"/>
  <c r="DC186" i="5"/>
  <c r="DD186" i="5"/>
  <c r="DE186" i="5"/>
  <c r="DF186" i="5"/>
  <c r="DH186" i="5"/>
  <c r="DI186" i="5"/>
  <c r="DJ186" i="5"/>
  <c r="DK186" i="5"/>
  <c r="DM186" i="5"/>
  <c r="DN186" i="5"/>
  <c r="DO186" i="5"/>
  <c r="DP186" i="5"/>
  <c r="DR186" i="5"/>
  <c r="DS186" i="5"/>
  <c r="DT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BL187" i="5"/>
  <c r="BM187" i="5"/>
  <c r="BO187" i="5"/>
  <c r="BP187" i="5"/>
  <c r="BQ187" i="5"/>
  <c r="BR187" i="5"/>
  <c r="BT187" i="5"/>
  <c r="BU187" i="5"/>
  <c r="BV187" i="5"/>
  <c r="BW187" i="5"/>
  <c r="BY187" i="5"/>
  <c r="BZ187" i="5"/>
  <c r="CA187" i="5"/>
  <c r="CB187" i="5"/>
  <c r="CD187" i="5"/>
  <c r="CE187" i="5"/>
  <c r="CF187" i="5"/>
  <c r="CG187" i="5"/>
  <c r="CI187" i="5"/>
  <c r="CJ187" i="5"/>
  <c r="CK187" i="5"/>
  <c r="CL187" i="5"/>
  <c r="CN187" i="5"/>
  <c r="CO187" i="5"/>
  <c r="CP187" i="5"/>
  <c r="CQ187" i="5"/>
  <c r="CS187" i="5"/>
  <c r="CT187" i="5"/>
  <c r="CU187" i="5"/>
  <c r="CV187" i="5"/>
  <c r="CX187" i="5"/>
  <c r="CY187" i="5"/>
  <c r="CZ187" i="5"/>
  <c r="DA187" i="5"/>
  <c r="DC187" i="5"/>
  <c r="DD187" i="5"/>
  <c r="DE187" i="5"/>
  <c r="DF187" i="5"/>
  <c r="DH187" i="5"/>
  <c r="DI187" i="5"/>
  <c r="DJ187" i="5"/>
  <c r="DK187" i="5"/>
  <c r="DM187" i="5"/>
  <c r="DN187" i="5"/>
  <c r="DO187" i="5"/>
  <c r="DP187" i="5"/>
  <c r="DR187" i="5"/>
  <c r="DS187" i="5"/>
  <c r="DT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BL188" i="5"/>
  <c r="BM188" i="5"/>
  <c r="BO188" i="5"/>
  <c r="BP188" i="5"/>
  <c r="BQ188" i="5"/>
  <c r="BR188" i="5"/>
  <c r="BT188" i="5"/>
  <c r="BU188" i="5"/>
  <c r="BV188" i="5"/>
  <c r="BW188" i="5"/>
  <c r="BY188" i="5"/>
  <c r="BZ188" i="5"/>
  <c r="CA188" i="5"/>
  <c r="CB188" i="5"/>
  <c r="CD188" i="5"/>
  <c r="CE188" i="5"/>
  <c r="CF188" i="5"/>
  <c r="CG188" i="5"/>
  <c r="CI188" i="5"/>
  <c r="CJ188" i="5"/>
  <c r="CK188" i="5"/>
  <c r="CL188" i="5"/>
  <c r="CN188" i="5"/>
  <c r="CO188" i="5"/>
  <c r="CP188" i="5"/>
  <c r="CQ188" i="5"/>
  <c r="CS188" i="5"/>
  <c r="CT188" i="5"/>
  <c r="CU188" i="5"/>
  <c r="CV188" i="5"/>
  <c r="CX188" i="5"/>
  <c r="CY188" i="5"/>
  <c r="CZ188" i="5"/>
  <c r="DA188" i="5"/>
  <c r="DC188" i="5"/>
  <c r="DD188" i="5"/>
  <c r="DE188" i="5"/>
  <c r="DF188" i="5"/>
  <c r="DH188" i="5"/>
  <c r="DI188" i="5"/>
  <c r="DJ188" i="5"/>
  <c r="DK188" i="5"/>
  <c r="DM188" i="5"/>
  <c r="DN188" i="5"/>
  <c r="DO188" i="5"/>
  <c r="DP188" i="5"/>
  <c r="DR188" i="5"/>
  <c r="DS188" i="5"/>
  <c r="DT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BL189" i="5"/>
  <c r="BM189" i="5"/>
  <c r="BO189" i="5"/>
  <c r="BP189" i="5"/>
  <c r="BQ189" i="5"/>
  <c r="BR189" i="5"/>
  <c r="BT189" i="5"/>
  <c r="BU189" i="5"/>
  <c r="BV189" i="5"/>
  <c r="BW189" i="5"/>
  <c r="BY189" i="5"/>
  <c r="BZ189" i="5"/>
  <c r="CA189" i="5"/>
  <c r="CB189" i="5"/>
  <c r="CD189" i="5"/>
  <c r="CE189" i="5"/>
  <c r="CF189" i="5"/>
  <c r="CG189" i="5"/>
  <c r="CI189" i="5"/>
  <c r="CJ189" i="5"/>
  <c r="CK189" i="5"/>
  <c r="CL189" i="5"/>
  <c r="CN189" i="5"/>
  <c r="CO189" i="5"/>
  <c r="CP189" i="5"/>
  <c r="CQ189" i="5"/>
  <c r="CS189" i="5"/>
  <c r="CT189" i="5"/>
  <c r="CU189" i="5"/>
  <c r="CV189" i="5"/>
  <c r="DF189" i="5"/>
  <c r="DH189" i="5"/>
  <c r="DI189" i="5"/>
  <c r="DJ189" i="5"/>
  <c r="DK189" i="5"/>
  <c r="DM189" i="5"/>
  <c r="DN189" i="5"/>
  <c r="DO189" i="5"/>
  <c r="DP189" i="5"/>
  <c r="DR189" i="5"/>
  <c r="DS189" i="5"/>
  <c r="DT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BL190" i="5"/>
  <c r="BM190" i="5"/>
  <c r="BO190" i="5"/>
  <c r="BP190" i="5"/>
  <c r="BQ190" i="5"/>
  <c r="BR190" i="5"/>
  <c r="BT190" i="5"/>
  <c r="BU190" i="5"/>
  <c r="BV190" i="5"/>
  <c r="BW190" i="5"/>
  <c r="BY190" i="5"/>
  <c r="BZ190" i="5"/>
  <c r="CA190" i="5"/>
  <c r="CB190" i="5"/>
  <c r="CD190" i="5"/>
  <c r="CE190" i="5"/>
  <c r="CF190" i="5"/>
  <c r="CG190" i="5"/>
  <c r="CI190" i="5"/>
  <c r="CJ190" i="5"/>
  <c r="CK190" i="5"/>
  <c r="CL190" i="5"/>
  <c r="CN190" i="5"/>
  <c r="CO190" i="5"/>
  <c r="CP190" i="5"/>
  <c r="CQ190" i="5"/>
  <c r="CS190" i="5"/>
  <c r="CT190" i="5"/>
  <c r="CU190" i="5"/>
  <c r="CV190" i="5"/>
  <c r="DH190" i="5"/>
  <c r="DI190" i="5"/>
  <c r="DJ190" i="5"/>
  <c r="DK190" i="5"/>
  <c r="DM190" i="5"/>
  <c r="DN190" i="5"/>
  <c r="DO190" i="5"/>
  <c r="DP190" i="5"/>
  <c r="DR190" i="5"/>
  <c r="DS190" i="5"/>
  <c r="DT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BL191" i="5"/>
  <c r="BM191" i="5"/>
  <c r="BO191" i="5"/>
  <c r="BP191" i="5"/>
  <c r="BQ191" i="5"/>
  <c r="BR191" i="5"/>
  <c r="BT191" i="5"/>
  <c r="BU191" i="5"/>
  <c r="BV191" i="5"/>
  <c r="BW191" i="5"/>
  <c r="BY191" i="5"/>
  <c r="BZ191" i="5"/>
  <c r="CA191" i="5"/>
  <c r="CB191" i="5"/>
  <c r="CD191" i="5"/>
  <c r="CE191" i="5"/>
  <c r="CF191" i="5"/>
  <c r="CG191" i="5"/>
  <c r="CI191" i="5"/>
  <c r="CJ191" i="5"/>
  <c r="CK191" i="5"/>
  <c r="CL191" i="5"/>
  <c r="CN191" i="5"/>
  <c r="CO191" i="5"/>
  <c r="CP191" i="5"/>
  <c r="CQ191" i="5"/>
  <c r="CS191" i="5"/>
  <c r="CT191" i="5"/>
  <c r="CU191" i="5"/>
  <c r="CV191" i="5"/>
  <c r="DH191" i="5"/>
  <c r="DI191" i="5"/>
  <c r="DJ191" i="5"/>
  <c r="DK191" i="5"/>
  <c r="DM191" i="5"/>
  <c r="DN191" i="5"/>
  <c r="DO191" i="5"/>
  <c r="DP191" i="5"/>
  <c r="DR191" i="5"/>
  <c r="DS191" i="5"/>
  <c r="DT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BL192" i="5"/>
  <c r="BM192" i="5"/>
  <c r="BO192" i="5"/>
  <c r="BP192" i="5"/>
  <c r="BQ192" i="5"/>
  <c r="BR192" i="5"/>
  <c r="BT192" i="5"/>
  <c r="BU192" i="5"/>
  <c r="BV192" i="5"/>
  <c r="BW192" i="5"/>
  <c r="BY192" i="5"/>
  <c r="BZ192" i="5"/>
  <c r="CA192" i="5"/>
  <c r="CB192" i="5"/>
  <c r="CD192" i="5"/>
  <c r="CE192" i="5"/>
  <c r="CF192" i="5"/>
  <c r="CG192" i="5"/>
  <c r="CI192" i="5"/>
  <c r="CJ192" i="5"/>
  <c r="CK192" i="5"/>
  <c r="CL192" i="5"/>
  <c r="CN192" i="5"/>
  <c r="CO192" i="5"/>
  <c r="CP192" i="5"/>
  <c r="CQ192" i="5"/>
  <c r="CS192" i="5"/>
  <c r="CT192" i="5"/>
  <c r="CU192" i="5"/>
  <c r="CV192" i="5"/>
  <c r="DH192" i="5"/>
  <c r="DI192" i="5"/>
  <c r="DJ192" i="5"/>
  <c r="DK192" i="5"/>
  <c r="DM192" i="5"/>
  <c r="DN192" i="5"/>
  <c r="DO192" i="5"/>
  <c r="DP192" i="5"/>
  <c r="DR192" i="5"/>
  <c r="DS192" i="5"/>
  <c r="DT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BL193" i="5"/>
  <c r="BM193" i="5"/>
  <c r="BO193" i="5"/>
  <c r="BP193" i="5"/>
  <c r="BQ193" i="5"/>
  <c r="BR193" i="5"/>
  <c r="BT193" i="5"/>
  <c r="BU193" i="5"/>
  <c r="BV193" i="5"/>
  <c r="BW193" i="5"/>
  <c r="BY193" i="5"/>
  <c r="BZ193" i="5"/>
  <c r="CA193" i="5"/>
  <c r="CB193" i="5"/>
  <c r="CD193" i="5"/>
  <c r="CE193" i="5"/>
  <c r="CF193" i="5"/>
  <c r="CG193" i="5"/>
  <c r="CI193" i="5"/>
  <c r="CJ193" i="5"/>
  <c r="CK193" i="5"/>
  <c r="CL193" i="5"/>
  <c r="CN193" i="5"/>
  <c r="CO193" i="5"/>
  <c r="CP193" i="5"/>
  <c r="CQ193" i="5"/>
  <c r="CS193" i="5"/>
  <c r="CT193" i="5"/>
  <c r="CU193" i="5"/>
  <c r="CV193" i="5"/>
  <c r="DF193" i="5"/>
  <c r="DH193" i="5"/>
  <c r="DI193" i="5"/>
  <c r="DJ193" i="5"/>
  <c r="DK193" i="5"/>
  <c r="DM193" i="5"/>
  <c r="DN193" i="5"/>
  <c r="DO193" i="5"/>
  <c r="DP193" i="5"/>
  <c r="DR193" i="5"/>
  <c r="DS193" i="5"/>
  <c r="DT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BL194" i="5"/>
  <c r="BM194" i="5"/>
  <c r="BO194" i="5"/>
  <c r="BP194" i="5"/>
  <c r="BQ194" i="5"/>
  <c r="BR194" i="5"/>
  <c r="BT194" i="5"/>
  <c r="BU194" i="5"/>
  <c r="BV194" i="5"/>
  <c r="BW194" i="5"/>
  <c r="BY194" i="5"/>
  <c r="BZ194" i="5"/>
  <c r="CA194" i="5"/>
  <c r="CB194" i="5"/>
  <c r="CD194" i="5"/>
  <c r="CE194" i="5"/>
  <c r="CF194" i="5"/>
  <c r="CG194" i="5"/>
  <c r="CI194" i="5"/>
  <c r="CJ194" i="5"/>
  <c r="CK194" i="5"/>
  <c r="CL194" i="5"/>
  <c r="CN194" i="5"/>
  <c r="CO194" i="5"/>
  <c r="CP194" i="5"/>
  <c r="CQ194" i="5"/>
  <c r="CS194" i="5"/>
  <c r="CT194" i="5"/>
  <c r="CU194" i="5"/>
  <c r="CV194" i="5"/>
  <c r="DH194" i="5"/>
  <c r="DI194" i="5"/>
  <c r="DJ194" i="5"/>
  <c r="DK194" i="5"/>
  <c r="DM194" i="5"/>
  <c r="DN194" i="5"/>
  <c r="DO194" i="5"/>
  <c r="DP194" i="5"/>
  <c r="DR194" i="5"/>
  <c r="DS194" i="5"/>
  <c r="DT194" i="5"/>
  <c r="B194" i="5"/>
  <c r="B193" i="5"/>
  <c r="B192" i="5"/>
  <c r="B191" i="5"/>
  <c r="B190" i="5"/>
  <c r="B189" i="5"/>
  <c r="B188" i="5"/>
  <c r="B187" i="5"/>
  <c r="B186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BJ144" i="5"/>
  <c r="BK144" i="5"/>
  <c r="BL144" i="5"/>
  <c r="BM144" i="5"/>
  <c r="BO144" i="5"/>
  <c r="BP144" i="5"/>
  <c r="BQ144" i="5"/>
  <c r="BR144" i="5"/>
  <c r="BT144" i="5"/>
  <c r="BU144" i="5"/>
  <c r="BV144" i="5"/>
  <c r="BW144" i="5"/>
  <c r="BY144" i="5"/>
  <c r="BZ144" i="5"/>
  <c r="CA144" i="5"/>
  <c r="CB144" i="5"/>
  <c r="CD144" i="5"/>
  <c r="CE144" i="5"/>
  <c r="CF144" i="5"/>
  <c r="CG144" i="5"/>
  <c r="CI144" i="5"/>
  <c r="CJ144" i="5"/>
  <c r="CK144" i="5"/>
  <c r="CL144" i="5"/>
  <c r="CN144" i="5"/>
  <c r="CO144" i="5"/>
  <c r="CP144" i="5"/>
  <c r="CQ144" i="5"/>
  <c r="CS144" i="5"/>
  <c r="CT144" i="5"/>
  <c r="CU144" i="5"/>
  <c r="CV144" i="5"/>
  <c r="CX144" i="5"/>
  <c r="CY144" i="5"/>
  <c r="CZ144" i="5"/>
  <c r="DA144" i="5"/>
  <c r="DC144" i="5"/>
  <c r="DD144" i="5"/>
  <c r="DE144" i="5"/>
  <c r="DF144" i="5"/>
  <c r="DH144" i="5"/>
  <c r="DI144" i="5"/>
  <c r="DJ144" i="5"/>
  <c r="DK144" i="5"/>
  <c r="DM144" i="5"/>
  <c r="DN144" i="5"/>
  <c r="DO144" i="5"/>
  <c r="DP144" i="5"/>
  <c r="DR144" i="5"/>
  <c r="DS144" i="5"/>
  <c r="DT144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BJ145" i="5"/>
  <c r="BK145" i="5"/>
  <c r="BL145" i="5"/>
  <c r="BM145" i="5"/>
  <c r="BO145" i="5"/>
  <c r="BP145" i="5"/>
  <c r="BQ145" i="5"/>
  <c r="BR145" i="5"/>
  <c r="BT145" i="5"/>
  <c r="BU145" i="5"/>
  <c r="BV145" i="5"/>
  <c r="BW145" i="5"/>
  <c r="BY145" i="5"/>
  <c r="BZ145" i="5"/>
  <c r="CA145" i="5"/>
  <c r="CB145" i="5"/>
  <c r="CD145" i="5"/>
  <c r="CE145" i="5"/>
  <c r="CF145" i="5"/>
  <c r="CG145" i="5"/>
  <c r="CI145" i="5"/>
  <c r="CJ145" i="5"/>
  <c r="CK145" i="5"/>
  <c r="CL145" i="5"/>
  <c r="CN145" i="5"/>
  <c r="CO145" i="5"/>
  <c r="CP145" i="5"/>
  <c r="CQ145" i="5"/>
  <c r="CS145" i="5"/>
  <c r="CT145" i="5"/>
  <c r="CU145" i="5"/>
  <c r="CV145" i="5"/>
  <c r="CX145" i="5"/>
  <c r="CY145" i="5"/>
  <c r="CZ145" i="5"/>
  <c r="DA145" i="5"/>
  <c r="DC145" i="5"/>
  <c r="DD145" i="5"/>
  <c r="DE145" i="5"/>
  <c r="DF145" i="5"/>
  <c r="DH145" i="5"/>
  <c r="DI145" i="5"/>
  <c r="DJ145" i="5"/>
  <c r="DK145" i="5"/>
  <c r="DM145" i="5"/>
  <c r="DN145" i="5"/>
  <c r="DO145" i="5"/>
  <c r="DP145" i="5"/>
  <c r="DR145" i="5"/>
  <c r="DS145" i="5"/>
  <c r="DT145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O146" i="5"/>
  <c r="BP146" i="5"/>
  <c r="BQ146" i="5"/>
  <c r="BR146" i="5"/>
  <c r="BT146" i="5"/>
  <c r="BU146" i="5"/>
  <c r="BV146" i="5"/>
  <c r="BW146" i="5"/>
  <c r="BY146" i="5"/>
  <c r="BZ146" i="5"/>
  <c r="CA146" i="5"/>
  <c r="CB146" i="5"/>
  <c r="CD146" i="5"/>
  <c r="CE146" i="5"/>
  <c r="CF146" i="5"/>
  <c r="CG146" i="5"/>
  <c r="CI146" i="5"/>
  <c r="CJ146" i="5"/>
  <c r="CK146" i="5"/>
  <c r="CL146" i="5"/>
  <c r="CN146" i="5"/>
  <c r="CO146" i="5"/>
  <c r="CP146" i="5"/>
  <c r="CQ146" i="5"/>
  <c r="CS146" i="5"/>
  <c r="CT146" i="5"/>
  <c r="CU146" i="5"/>
  <c r="CV146" i="5"/>
  <c r="CX146" i="5"/>
  <c r="CY146" i="5"/>
  <c r="CZ146" i="5"/>
  <c r="DA146" i="5"/>
  <c r="DC146" i="5"/>
  <c r="DD146" i="5"/>
  <c r="DE146" i="5"/>
  <c r="DF146" i="5"/>
  <c r="DH146" i="5"/>
  <c r="DI146" i="5"/>
  <c r="DJ146" i="5"/>
  <c r="DK146" i="5"/>
  <c r="DM146" i="5"/>
  <c r="DN146" i="5"/>
  <c r="DO146" i="5"/>
  <c r="DP146" i="5"/>
  <c r="DR146" i="5"/>
  <c r="DS146" i="5"/>
  <c r="DT146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O147" i="5"/>
  <c r="BP147" i="5"/>
  <c r="BQ147" i="5"/>
  <c r="BR147" i="5"/>
  <c r="BT147" i="5"/>
  <c r="BU147" i="5"/>
  <c r="BV147" i="5"/>
  <c r="BW147" i="5"/>
  <c r="BY147" i="5"/>
  <c r="BZ147" i="5"/>
  <c r="CA147" i="5"/>
  <c r="CB147" i="5"/>
  <c r="CD147" i="5"/>
  <c r="CE147" i="5"/>
  <c r="CF147" i="5"/>
  <c r="CG147" i="5"/>
  <c r="CI147" i="5"/>
  <c r="CJ147" i="5"/>
  <c r="CK147" i="5"/>
  <c r="CL147" i="5"/>
  <c r="CN147" i="5"/>
  <c r="CO147" i="5"/>
  <c r="CP147" i="5"/>
  <c r="CQ147" i="5"/>
  <c r="CS147" i="5"/>
  <c r="CT147" i="5"/>
  <c r="CU147" i="5"/>
  <c r="CV147" i="5"/>
  <c r="CX147" i="5"/>
  <c r="CY147" i="5"/>
  <c r="CZ147" i="5"/>
  <c r="DA147" i="5"/>
  <c r="DC147" i="5"/>
  <c r="DD147" i="5"/>
  <c r="DE147" i="5"/>
  <c r="DF147" i="5"/>
  <c r="DH147" i="5"/>
  <c r="DI147" i="5"/>
  <c r="DJ147" i="5"/>
  <c r="DK147" i="5"/>
  <c r="DM147" i="5"/>
  <c r="DN147" i="5"/>
  <c r="DO147" i="5"/>
  <c r="DP147" i="5"/>
  <c r="DR147" i="5"/>
  <c r="DS147" i="5"/>
  <c r="DT147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O148" i="5"/>
  <c r="BP148" i="5"/>
  <c r="BQ148" i="5"/>
  <c r="BR148" i="5"/>
  <c r="BT148" i="5"/>
  <c r="BU148" i="5"/>
  <c r="BV148" i="5"/>
  <c r="BW148" i="5"/>
  <c r="BY148" i="5"/>
  <c r="BZ148" i="5"/>
  <c r="CA148" i="5"/>
  <c r="CB148" i="5"/>
  <c r="CD148" i="5"/>
  <c r="CE148" i="5"/>
  <c r="CF148" i="5"/>
  <c r="CG148" i="5"/>
  <c r="CI148" i="5"/>
  <c r="CJ148" i="5"/>
  <c r="CK148" i="5"/>
  <c r="CL148" i="5"/>
  <c r="CN148" i="5"/>
  <c r="CO148" i="5"/>
  <c r="CP148" i="5"/>
  <c r="CQ148" i="5"/>
  <c r="CS148" i="5"/>
  <c r="CT148" i="5"/>
  <c r="CU148" i="5"/>
  <c r="CV148" i="5"/>
  <c r="CX148" i="5"/>
  <c r="CY148" i="5"/>
  <c r="CZ148" i="5"/>
  <c r="DA148" i="5"/>
  <c r="DC148" i="5"/>
  <c r="DD148" i="5"/>
  <c r="DE148" i="5"/>
  <c r="DF148" i="5"/>
  <c r="DH148" i="5"/>
  <c r="DI148" i="5"/>
  <c r="DJ148" i="5"/>
  <c r="DK148" i="5"/>
  <c r="DM148" i="5"/>
  <c r="DN148" i="5"/>
  <c r="DO148" i="5"/>
  <c r="DP148" i="5"/>
  <c r="DR148" i="5"/>
  <c r="DS148" i="5"/>
  <c r="DT148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O149" i="5"/>
  <c r="BP149" i="5"/>
  <c r="BQ149" i="5"/>
  <c r="BR149" i="5"/>
  <c r="BT149" i="5"/>
  <c r="BU149" i="5"/>
  <c r="BV149" i="5"/>
  <c r="BW149" i="5"/>
  <c r="BY149" i="5"/>
  <c r="BZ149" i="5"/>
  <c r="CA149" i="5"/>
  <c r="CB149" i="5"/>
  <c r="CD149" i="5"/>
  <c r="CE149" i="5"/>
  <c r="CF149" i="5"/>
  <c r="CG149" i="5"/>
  <c r="CI149" i="5"/>
  <c r="CJ149" i="5"/>
  <c r="CK149" i="5"/>
  <c r="CL149" i="5"/>
  <c r="CN149" i="5"/>
  <c r="CO149" i="5"/>
  <c r="CP149" i="5"/>
  <c r="CQ149" i="5"/>
  <c r="CS149" i="5"/>
  <c r="CT149" i="5"/>
  <c r="CU149" i="5"/>
  <c r="CV149" i="5"/>
  <c r="CX149" i="5"/>
  <c r="CY149" i="5"/>
  <c r="CZ149" i="5"/>
  <c r="DA149" i="5"/>
  <c r="DC149" i="5"/>
  <c r="DD149" i="5"/>
  <c r="DE149" i="5"/>
  <c r="DF149" i="5"/>
  <c r="DH149" i="5"/>
  <c r="DI149" i="5"/>
  <c r="DJ149" i="5"/>
  <c r="DK149" i="5"/>
  <c r="DM149" i="5"/>
  <c r="DN149" i="5"/>
  <c r="DO149" i="5"/>
  <c r="DP149" i="5"/>
  <c r="DR149" i="5"/>
  <c r="DS149" i="5"/>
  <c r="DT149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O150" i="5"/>
  <c r="BP150" i="5"/>
  <c r="BQ150" i="5"/>
  <c r="BR150" i="5"/>
  <c r="BT150" i="5"/>
  <c r="BU150" i="5"/>
  <c r="BV150" i="5"/>
  <c r="BW150" i="5"/>
  <c r="BY150" i="5"/>
  <c r="BZ150" i="5"/>
  <c r="CA150" i="5"/>
  <c r="CB150" i="5"/>
  <c r="CD150" i="5"/>
  <c r="CE150" i="5"/>
  <c r="CF150" i="5"/>
  <c r="CG150" i="5"/>
  <c r="CI150" i="5"/>
  <c r="CJ150" i="5"/>
  <c r="CK150" i="5"/>
  <c r="CL150" i="5"/>
  <c r="CN150" i="5"/>
  <c r="CO150" i="5"/>
  <c r="CP150" i="5"/>
  <c r="CQ150" i="5"/>
  <c r="CS150" i="5"/>
  <c r="CT150" i="5"/>
  <c r="CU150" i="5"/>
  <c r="CV150" i="5"/>
  <c r="CX150" i="5"/>
  <c r="CY150" i="5"/>
  <c r="CZ150" i="5"/>
  <c r="DA150" i="5"/>
  <c r="DC150" i="5"/>
  <c r="DD150" i="5"/>
  <c r="DE150" i="5"/>
  <c r="DF150" i="5"/>
  <c r="DH150" i="5"/>
  <c r="DI150" i="5"/>
  <c r="DJ150" i="5"/>
  <c r="DK150" i="5"/>
  <c r="DM150" i="5"/>
  <c r="DN150" i="5"/>
  <c r="DO150" i="5"/>
  <c r="DP150" i="5"/>
  <c r="DR150" i="5"/>
  <c r="DS150" i="5"/>
  <c r="DT150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O151" i="5"/>
  <c r="BP151" i="5"/>
  <c r="BQ151" i="5"/>
  <c r="BR151" i="5"/>
  <c r="BT151" i="5"/>
  <c r="BU151" i="5"/>
  <c r="BV151" i="5"/>
  <c r="BW151" i="5"/>
  <c r="BY151" i="5"/>
  <c r="BZ151" i="5"/>
  <c r="CA151" i="5"/>
  <c r="CB151" i="5"/>
  <c r="CD151" i="5"/>
  <c r="CE151" i="5"/>
  <c r="CF151" i="5"/>
  <c r="CG151" i="5"/>
  <c r="CI151" i="5"/>
  <c r="CJ151" i="5"/>
  <c r="CK151" i="5"/>
  <c r="CL151" i="5"/>
  <c r="CN151" i="5"/>
  <c r="CO151" i="5"/>
  <c r="CP151" i="5"/>
  <c r="CQ151" i="5"/>
  <c r="CS151" i="5"/>
  <c r="CT151" i="5"/>
  <c r="CU151" i="5"/>
  <c r="CV151" i="5"/>
  <c r="DC151" i="5"/>
  <c r="DD151" i="5"/>
  <c r="DE151" i="5"/>
  <c r="DF151" i="5"/>
  <c r="DH151" i="5"/>
  <c r="DI151" i="5"/>
  <c r="DJ151" i="5"/>
  <c r="DK151" i="5"/>
  <c r="DM151" i="5"/>
  <c r="DN151" i="5"/>
  <c r="DO151" i="5"/>
  <c r="DP151" i="5"/>
  <c r="DR151" i="5"/>
  <c r="DS151" i="5"/>
  <c r="DT151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O152" i="5"/>
  <c r="BP152" i="5"/>
  <c r="BQ152" i="5"/>
  <c r="BR152" i="5"/>
  <c r="BT152" i="5"/>
  <c r="BU152" i="5"/>
  <c r="BV152" i="5"/>
  <c r="BW152" i="5"/>
  <c r="BY152" i="5"/>
  <c r="BZ152" i="5"/>
  <c r="CA152" i="5"/>
  <c r="CB152" i="5"/>
  <c r="CD152" i="5"/>
  <c r="CE152" i="5"/>
  <c r="CF152" i="5"/>
  <c r="CG152" i="5"/>
  <c r="CI152" i="5"/>
  <c r="CJ152" i="5"/>
  <c r="CK152" i="5"/>
  <c r="CL152" i="5"/>
  <c r="CN152" i="5"/>
  <c r="CO152" i="5"/>
  <c r="CP152" i="5"/>
  <c r="CQ152" i="5"/>
  <c r="CS152" i="5"/>
  <c r="CT152" i="5"/>
  <c r="CU152" i="5"/>
  <c r="CV152" i="5"/>
  <c r="CY152" i="5"/>
  <c r="CZ152" i="5"/>
  <c r="DA152" i="5"/>
  <c r="DC152" i="5"/>
  <c r="DD152" i="5"/>
  <c r="DE152" i="5"/>
  <c r="DF152" i="5"/>
  <c r="DH152" i="5"/>
  <c r="DI152" i="5"/>
  <c r="DJ152" i="5"/>
  <c r="DK152" i="5"/>
  <c r="DM152" i="5"/>
  <c r="DN152" i="5"/>
  <c r="DO152" i="5"/>
  <c r="DP152" i="5"/>
  <c r="DR152" i="5"/>
  <c r="DS152" i="5"/>
  <c r="DT152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O153" i="5"/>
  <c r="BP153" i="5"/>
  <c r="BQ153" i="5"/>
  <c r="BR153" i="5"/>
  <c r="BT153" i="5"/>
  <c r="BU153" i="5"/>
  <c r="BV153" i="5"/>
  <c r="BW153" i="5"/>
  <c r="BY153" i="5"/>
  <c r="BZ153" i="5"/>
  <c r="CA153" i="5"/>
  <c r="CB153" i="5"/>
  <c r="CD153" i="5"/>
  <c r="CE153" i="5"/>
  <c r="CF153" i="5"/>
  <c r="CG153" i="5"/>
  <c r="CI153" i="5"/>
  <c r="CJ153" i="5"/>
  <c r="CK153" i="5"/>
  <c r="CL153" i="5"/>
  <c r="CN153" i="5"/>
  <c r="CO153" i="5"/>
  <c r="CP153" i="5"/>
  <c r="CQ153" i="5"/>
  <c r="CS153" i="5"/>
  <c r="CT153" i="5"/>
  <c r="CU153" i="5"/>
  <c r="CV153" i="5"/>
  <c r="DC153" i="5"/>
  <c r="DD153" i="5"/>
  <c r="DE153" i="5"/>
  <c r="DF153" i="5"/>
  <c r="DH153" i="5"/>
  <c r="DI153" i="5"/>
  <c r="DJ153" i="5"/>
  <c r="DK153" i="5"/>
  <c r="DM153" i="5"/>
  <c r="DN153" i="5"/>
  <c r="DO153" i="5"/>
  <c r="DP153" i="5"/>
  <c r="DR153" i="5"/>
  <c r="DS153" i="5"/>
  <c r="DT153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BL154" i="5"/>
  <c r="BM154" i="5"/>
  <c r="BO154" i="5"/>
  <c r="BP154" i="5"/>
  <c r="BQ154" i="5"/>
  <c r="BR154" i="5"/>
  <c r="BT154" i="5"/>
  <c r="BU154" i="5"/>
  <c r="BV154" i="5"/>
  <c r="BW154" i="5"/>
  <c r="BY154" i="5"/>
  <c r="BZ154" i="5"/>
  <c r="CA154" i="5"/>
  <c r="CB154" i="5"/>
  <c r="CD154" i="5"/>
  <c r="CE154" i="5"/>
  <c r="CF154" i="5"/>
  <c r="CG154" i="5"/>
  <c r="CI154" i="5"/>
  <c r="CJ154" i="5"/>
  <c r="CK154" i="5"/>
  <c r="CL154" i="5"/>
  <c r="CN154" i="5"/>
  <c r="CO154" i="5"/>
  <c r="CP154" i="5"/>
  <c r="CQ154" i="5"/>
  <c r="CS154" i="5"/>
  <c r="CT154" i="5"/>
  <c r="CU154" i="5"/>
  <c r="CV154" i="5"/>
  <c r="DC154" i="5"/>
  <c r="DD154" i="5"/>
  <c r="DE154" i="5"/>
  <c r="DF154" i="5"/>
  <c r="DH154" i="5"/>
  <c r="DI154" i="5"/>
  <c r="DJ154" i="5"/>
  <c r="DK154" i="5"/>
  <c r="DM154" i="5"/>
  <c r="DN154" i="5"/>
  <c r="DO154" i="5"/>
  <c r="DP154" i="5"/>
  <c r="DR154" i="5"/>
  <c r="DS154" i="5"/>
  <c r="DT15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BL155" i="5"/>
  <c r="BM155" i="5"/>
  <c r="BO155" i="5"/>
  <c r="BP155" i="5"/>
  <c r="BQ155" i="5"/>
  <c r="BR155" i="5"/>
  <c r="BT155" i="5"/>
  <c r="BU155" i="5"/>
  <c r="BV155" i="5"/>
  <c r="BW155" i="5"/>
  <c r="BY155" i="5"/>
  <c r="BZ155" i="5"/>
  <c r="CA155" i="5"/>
  <c r="CB155" i="5"/>
  <c r="CD155" i="5"/>
  <c r="CE155" i="5"/>
  <c r="CF155" i="5"/>
  <c r="CG155" i="5"/>
  <c r="CI155" i="5"/>
  <c r="CJ155" i="5"/>
  <c r="CK155" i="5"/>
  <c r="CL155" i="5"/>
  <c r="CN155" i="5"/>
  <c r="CO155" i="5"/>
  <c r="CP155" i="5"/>
  <c r="CQ155" i="5"/>
  <c r="CS155" i="5"/>
  <c r="CT155" i="5"/>
  <c r="CU155" i="5"/>
  <c r="CV155" i="5"/>
  <c r="DC155" i="5"/>
  <c r="DD155" i="5"/>
  <c r="DE155" i="5"/>
  <c r="DF155" i="5"/>
  <c r="DH155" i="5"/>
  <c r="DI155" i="5"/>
  <c r="DJ155" i="5"/>
  <c r="DK155" i="5"/>
  <c r="DM155" i="5"/>
  <c r="DN155" i="5"/>
  <c r="DO155" i="5"/>
  <c r="DP155" i="5"/>
  <c r="DR155" i="5"/>
  <c r="DS155" i="5"/>
  <c r="DT155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BL158" i="5"/>
  <c r="BM158" i="5"/>
  <c r="BO158" i="5"/>
  <c r="BP158" i="5"/>
  <c r="BQ158" i="5"/>
  <c r="BR158" i="5"/>
  <c r="BT158" i="5"/>
  <c r="BU158" i="5"/>
  <c r="BV158" i="5"/>
  <c r="BW158" i="5"/>
  <c r="BY158" i="5"/>
  <c r="BZ158" i="5"/>
  <c r="CA158" i="5"/>
  <c r="CB158" i="5"/>
  <c r="CD158" i="5"/>
  <c r="CE158" i="5"/>
  <c r="CF158" i="5"/>
  <c r="CG158" i="5"/>
  <c r="CI158" i="5"/>
  <c r="CJ158" i="5"/>
  <c r="CK158" i="5"/>
  <c r="CL158" i="5"/>
  <c r="CN158" i="5"/>
  <c r="CO158" i="5"/>
  <c r="CP158" i="5"/>
  <c r="CQ158" i="5"/>
  <c r="CS158" i="5"/>
  <c r="CT158" i="5"/>
  <c r="CU158" i="5"/>
  <c r="CV158" i="5"/>
  <c r="CX158" i="5"/>
  <c r="CY158" i="5"/>
  <c r="CZ158" i="5"/>
  <c r="DA158" i="5"/>
  <c r="DC158" i="5"/>
  <c r="DD158" i="5"/>
  <c r="DE158" i="5"/>
  <c r="DF158" i="5"/>
  <c r="DH158" i="5"/>
  <c r="DI158" i="5"/>
  <c r="DJ158" i="5"/>
  <c r="DK158" i="5"/>
  <c r="DM158" i="5"/>
  <c r="DN158" i="5"/>
  <c r="DO158" i="5"/>
  <c r="DP158" i="5"/>
  <c r="DR158" i="5"/>
  <c r="DS158" i="5"/>
  <c r="DT158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O159" i="5"/>
  <c r="BP159" i="5"/>
  <c r="BQ159" i="5"/>
  <c r="BR159" i="5"/>
  <c r="BT159" i="5"/>
  <c r="BU159" i="5"/>
  <c r="BV159" i="5"/>
  <c r="BW159" i="5"/>
  <c r="BY159" i="5"/>
  <c r="BZ159" i="5"/>
  <c r="CA159" i="5"/>
  <c r="CB159" i="5"/>
  <c r="CD159" i="5"/>
  <c r="CE159" i="5"/>
  <c r="CF159" i="5"/>
  <c r="CG159" i="5"/>
  <c r="CI159" i="5"/>
  <c r="CJ159" i="5"/>
  <c r="CK159" i="5"/>
  <c r="CL159" i="5"/>
  <c r="CN159" i="5"/>
  <c r="CO159" i="5"/>
  <c r="CP159" i="5"/>
  <c r="CQ159" i="5"/>
  <c r="CS159" i="5"/>
  <c r="CT159" i="5"/>
  <c r="CU159" i="5"/>
  <c r="CV159" i="5"/>
  <c r="CX159" i="5"/>
  <c r="CY159" i="5"/>
  <c r="CZ159" i="5"/>
  <c r="DA159" i="5"/>
  <c r="DC159" i="5"/>
  <c r="DD159" i="5"/>
  <c r="DE159" i="5"/>
  <c r="DF159" i="5"/>
  <c r="DH159" i="5"/>
  <c r="DI159" i="5"/>
  <c r="DJ159" i="5"/>
  <c r="DK159" i="5"/>
  <c r="DM159" i="5"/>
  <c r="DN159" i="5"/>
  <c r="DO159" i="5"/>
  <c r="DP159" i="5"/>
  <c r="DR159" i="5"/>
  <c r="DS159" i="5"/>
  <c r="DT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O160" i="5"/>
  <c r="BP160" i="5"/>
  <c r="BQ160" i="5"/>
  <c r="BR160" i="5"/>
  <c r="BT160" i="5"/>
  <c r="BU160" i="5"/>
  <c r="BV160" i="5"/>
  <c r="BW160" i="5"/>
  <c r="BY160" i="5"/>
  <c r="BZ160" i="5"/>
  <c r="CA160" i="5"/>
  <c r="CB160" i="5"/>
  <c r="CD160" i="5"/>
  <c r="CE160" i="5"/>
  <c r="CF160" i="5"/>
  <c r="CG160" i="5"/>
  <c r="CI160" i="5"/>
  <c r="CJ160" i="5"/>
  <c r="CK160" i="5"/>
  <c r="CL160" i="5"/>
  <c r="CN160" i="5"/>
  <c r="CO160" i="5"/>
  <c r="CP160" i="5"/>
  <c r="CQ160" i="5"/>
  <c r="CS160" i="5"/>
  <c r="CT160" i="5"/>
  <c r="CU160" i="5"/>
  <c r="CV160" i="5"/>
  <c r="CX160" i="5"/>
  <c r="CY160" i="5"/>
  <c r="CZ160" i="5"/>
  <c r="DA160" i="5"/>
  <c r="DC160" i="5"/>
  <c r="DD160" i="5"/>
  <c r="DE160" i="5"/>
  <c r="DF160" i="5"/>
  <c r="DH160" i="5"/>
  <c r="DI160" i="5"/>
  <c r="DJ160" i="5"/>
  <c r="DK160" i="5"/>
  <c r="DM160" i="5"/>
  <c r="DN160" i="5"/>
  <c r="DO160" i="5"/>
  <c r="DP160" i="5"/>
  <c r="DR160" i="5"/>
  <c r="DS160" i="5"/>
  <c r="DT16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O161" i="5"/>
  <c r="BP161" i="5"/>
  <c r="BQ161" i="5"/>
  <c r="BR161" i="5"/>
  <c r="BT161" i="5"/>
  <c r="BU161" i="5"/>
  <c r="BV161" i="5"/>
  <c r="BW161" i="5"/>
  <c r="BY161" i="5"/>
  <c r="BZ161" i="5"/>
  <c r="CA161" i="5"/>
  <c r="CB161" i="5"/>
  <c r="CD161" i="5"/>
  <c r="CE161" i="5"/>
  <c r="CF161" i="5"/>
  <c r="CG161" i="5"/>
  <c r="CI161" i="5"/>
  <c r="CJ161" i="5"/>
  <c r="CK161" i="5"/>
  <c r="CL161" i="5"/>
  <c r="CN161" i="5"/>
  <c r="CO161" i="5"/>
  <c r="CP161" i="5"/>
  <c r="CQ161" i="5"/>
  <c r="CS161" i="5"/>
  <c r="CT161" i="5"/>
  <c r="CU161" i="5"/>
  <c r="CV161" i="5"/>
  <c r="DM161" i="5"/>
  <c r="DN161" i="5"/>
  <c r="DO161" i="5"/>
  <c r="DP161" i="5"/>
  <c r="DR161" i="5"/>
  <c r="DS161" i="5"/>
  <c r="DT16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O162" i="5"/>
  <c r="BP162" i="5"/>
  <c r="BQ162" i="5"/>
  <c r="BR162" i="5"/>
  <c r="BT162" i="5"/>
  <c r="BU162" i="5"/>
  <c r="BV162" i="5"/>
  <c r="BW162" i="5"/>
  <c r="BY162" i="5"/>
  <c r="BZ162" i="5"/>
  <c r="CA162" i="5"/>
  <c r="CB162" i="5"/>
  <c r="CD162" i="5"/>
  <c r="CE162" i="5"/>
  <c r="CF162" i="5"/>
  <c r="CG162" i="5"/>
  <c r="CI162" i="5"/>
  <c r="CJ162" i="5"/>
  <c r="CK162" i="5"/>
  <c r="CL162" i="5"/>
  <c r="CN162" i="5"/>
  <c r="CO162" i="5"/>
  <c r="CP162" i="5"/>
  <c r="CQ162" i="5"/>
  <c r="CS162" i="5"/>
  <c r="CT162" i="5"/>
  <c r="CU162" i="5"/>
  <c r="CV162" i="5"/>
  <c r="DM162" i="5"/>
  <c r="DN162" i="5"/>
  <c r="DO162" i="5"/>
  <c r="DP162" i="5"/>
  <c r="DR162" i="5"/>
  <c r="DS162" i="5"/>
  <c r="DT16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O163" i="5"/>
  <c r="BP163" i="5"/>
  <c r="BQ163" i="5"/>
  <c r="BR163" i="5"/>
  <c r="BT163" i="5"/>
  <c r="BU163" i="5"/>
  <c r="BV163" i="5"/>
  <c r="BW163" i="5"/>
  <c r="BY163" i="5"/>
  <c r="BZ163" i="5"/>
  <c r="CA163" i="5"/>
  <c r="CB163" i="5"/>
  <c r="CD163" i="5"/>
  <c r="CE163" i="5"/>
  <c r="CF163" i="5"/>
  <c r="CG163" i="5"/>
  <c r="CI163" i="5"/>
  <c r="CJ163" i="5"/>
  <c r="CK163" i="5"/>
  <c r="CL163" i="5"/>
  <c r="CN163" i="5"/>
  <c r="CO163" i="5"/>
  <c r="CP163" i="5"/>
  <c r="CQ163" i="5"/>
  <c r="CS163" i="5"/>
  <c r="CT163" i="5"/>
  <c r="CU163" i="5"/>
  <c r="CV163" i="5"/>
  <c r="DM163" i="5"/>
  <c r="DN163" i="5"/>
  <c r="DO163" i="5"/>
  <c r="DP163" i="5"/>
  <c r="DR163" i="5"/>
  <c r="DS163" i="5"/>
  <c r="DT16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BL164" i="5"/>
  <c r="BM164" i="5"/>
  <c r="BO164" i="5"/>
  <c r="BP164" i="5"/>
  <c r="BQ164" i="5"/>
  <c r="BR164" i="5"/>
  <c r="BT164" i="5"/>
  <c r="BU164" i="5"/>
  <c r="BV164" i="5"/>
  <c r="BW164" i="5"/>
  <c r="BY164" i="5"/>
  <c r="BZ164" i="5"/>
  <c r="CA164" i="5"/>
  <c r="CB164" i="5"/>
  <c r="CD164" i="5"/>
  <c r="CE164" i="5"/>
  <c r="CF164" i="5"/>
  <c r="CG164" i="5"/>
  <c r="CI164" i="5"/>
  <c r="CJ164" i="5"/>
  <c r="CK164" i="5"/>
  <c r="CL164" i="5"/>
  <c r="CN164" i="5"/>
  <c r="CO164" i="5"/>
  <c r="CP164" i="5"/>
  <c r="CQ164" i="5"/>
  <c r="CS164" i="5"/>
  <c r="CT164" i="5"/>
  <c r="CU164" i="5"/>
  <c r="CV164" i="5"/>
  <c r="DM164" i="5"/>
  <c r="DN164" i="5"/>
  <c r="DO164" i="5"/>
  <c r="DP164" i="5"/>
  <c r="DR164" i="5"/>
  <c r="DS164" i="5"/>
  <c r="DT164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BL165" i="5"/>
  <c r="BM165" i="5"/>
  <c r="BO165" i="5"/>
  <c r="BP165" i="5"/>
  <c r="BQ165" i="5"/>
  <c r="BR165" i="5"/>
  <c r="BT165" i="5"/>
  <c r="BU165" i="5"/>
  <c r="BV165" i="5"/>
  <c r="BW165" i="5"/>
  <c r="BY165" i="5"/>
  <c r="BZ165" i="5"/>
  <c r="CA165" i="5"/>
  <c r="CB165" i="5"/>
  <c r="CD165" i="5"/>
  <c r="CE165" i="5"/>
  <c r="CF165" i="5"/>
  <c r="CG165" i="5"/>
  <c r="CI165" i="5"/>
  <c r="CJ165" i="5"/>
  <c r="CK165" i="5"/>
  <c r="CL165" i="5"/>
  <c r="CN165" i="5"/>
  <c r="CO165" i="5"/>
  <c r="CP165" i="5"/>
  <c r="CQ165" i="5"/>
  <c r="CS165" i="5"/>
  <c r="CT165" i="5"/>
  <c r="CU165" i="5"/>
  <c r="CV165" i="5"/>
  <c r="DM165" i="5"/>
  <c r="DN165" i="5"/>
  <c r="DO165" i="5"/>
  <c r="DP165" i="5"/>
  <c r="DR165" i="5"/>
  <c r="DS165" i="5"/>
  <c r="DT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BL166" i="5"/>
  <c r="BM166" i="5"/>
  <c r="BO166" i="5"/>
  <c r="BP166" i="5"/>
  <c r="BQ166" i="5"/>
  <c r="BR166" i="5"/>
  <c r="BT166" i="5"/>
  <c r="BU166" i="5"/>
  <c r="BV166" i="5"/>
  <c r="BW166" i="5"/>
  <c r="BY166" i="5"/>
  <c r="BZ166" i="5"/>
  <c r="CA166" i="5"/>
  <c r="CB166" i="5"/>
  <c r="CD166" i="5"/>
  <c r="CE166" i="5"/>
  <c r="CF166" i="5"/>
  <c r="CG166" i="5"/>
  <c r="CI166" i="5"/>
  <c r="CJ166" i="5"/>
  <c r="CK166" i="5"/>
  <c r="CL166" i="5"/>
  <c r="CN166" i="5"/>
  <c r="CO166" i="5"/>
  <c r="CP166" i="5"/>
  <c r="CQ166" i="5"/>
  <c r="CS166" i="5"/>
  <c r="CT166" i="5"/>
  <c r="CU166" i="5"/>
  <c r="CV166" i="5"/>
  <c r="CX166" i="5"/>
  <c r="CY166" i="5"/>
  <c r="CZ166" i="5"/>
  <c r="DA166" i="5"/>
  <c r="DC166" i="5"/>
  <c r="DD166" i="5"/>
  <c r="DE166" i="5"/>
  <c r="DF166" i="5"/>
  <c r="DH166" i="5"/>
  <c r="DI166" i="5"/>
  <c r="DJ166" i="5"/>
  <c r="DK166" i="5"/>
  <c r="DM166" i="5"/>
  <c r="DN166" i="5"/>
  <c r="DO166" i="5"/>
  <c r="DP166" i="5"/>
  <c r="DR166" i="5"/>
  <c r="DS166" i="5"/>
  <c r="DT166" i="5"/>
  <c r="B166" i="5"/>
  <c r="B165" i="5"/>
  <c r="B164" i="5"/>
  <c r="B163" i="5"/>
  <c r="B162" i="5"/>
  <c r="B161" i="5"/>
  <c r="B160" i="5"/>
  <c r="B159" i="5"/>
  <c r="B158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J3" i="7" s="1"/>
  <c r="BK116" i="5"/>
  <c r="BK3" i="7" s="1"/>
  <c r="BL116" i="5"/>
  <c r="BL3" i="7" s="1"/>
  <c r="BM116" i="5"/>
  <c r="BM3" i="7" s="1"/>
  <c r="BO116" i="5"/>
  <c r="BO3" i="7" s="1"/>
  <c r="BP116" i="5"/>
  <c r="BP3" i="7" s="1"/>
  <c r="BQ116" i="5"/>
  <c r="BQ3" i="7" s="1"/>
  <c r="BR116" i="5"/>
  <c r="BR3" i="7" s="1"/>
  <c r="BT116" i="5"/>
  <c r="BT3" i="7" s="1"/>
  <c r="BU116" i="5"/>
  <c r="BU3" i="7" s="1"/>
  <c r="BV116" i="5"/>
  <c r="BW116" i="5"/>
  <c r="BW3" i="7" s="1"/>
  <c r="BY116" i="5"/>
  <c r="BY3" i="7" s="1"/>
  <c r="BZ116" i="5"/>
  <c r="BZ3" i="7" s="1"/>
  <c r="CA116" i="5"/>
  <c r="CA3" i="7" s="1"/>
  <c r="CB116" i="5"/>
  <c r="CB3" i="7" s="1"/>
  <c r="CD116" i="5"/>
  <c r="CE116" i="5"/>
  <c r="CE3" i="7" s="1"/>
  <c r="CF116" i="5"/>
  <c r="CF3" i="7" s="1"/>
  <c r="CG116" i="5"/>
  <c r="CG3" i="7" s="1"/>
  <c r="CI116" i="5"/>
  <c r="CJ116" i="5"/>
  <c r="CJ3" i="7" s="1"/>
  <c r="CK116" i="5"/>
  <c r="CK3" i="7" s="1"/>
  <c r="CL116" i="5"/>
  <c r="CN116" i="5"/>
  <c r="CN3" i="7" s="1"/>
  <c r="CO116" i="5"/>
  <c r="CO3" i="7" s="1"/>
  <c r="CP116" i="5"/>
  <c r="CP3" i="7" s="1"/>
  <c r="CQ116" i="5"/>
  <c r="CQ3" i="7" s="1"/>
  <c r="CS116" i="5"/>
  <c r="CS3" i="7" s="1"/>
  <c r="CT116" i="5"/>
  <c r="CT3" i="7" s="1"/>
  <c r="CU116" i="5"/>
  <c r="CU3" i="7" s="1"/>
  <c r="CV116" i="5"/>
  <c r="CV3" i="7" s="1"/>
  <c r="CX116" i="5"/>
  <c r="CX3" i="7" s="1"/>
  <c r="CY116" i="5"/>
  <c r="CY3" i="7" s="1"/>
  <c r="CZ116" i="5"/>
  <c r="CZ3" i="7" s="1"/>
  <c r="DA116" i="5"/>
  <c r="DD116" i="5"/>
  <c r="DD3" i="7" s="1"/>
  <c r="DE116" i="5"/>
  <c r="DE3" i="7" s="1"/>
  <c r="DF116" i="5"/>
  <c r="DF3" i="7" s="1"/>
  <c r="DH116" i="5"/>
  <c r="DH3" i="7" s="1"/>
  <c r="DI116" i="5"/>
  <c r="DI3" i="7" s="1"/>
  <c r="DJ116" i="5"/>
  <c r="DK116" i="5"/>
  <c r="DK3" i="7" s="1"/>
  <c r="DM116" i="5"/>
  <c r="DN116" i="5"/>
  <c r="DN3" i="7" s="1"/>
  <c r="DO116" i="5"/>
  <c r="DO3" i="7" s="1"/>
  <c r="DP116" i="5"/>
  <c r="DP3" i="7" s="1"/>
  <c r="DR116" i="5"/>
  <c r="DS116" i="5"/>
  <c r="DS3" i="7" s="1"/>
  <c r="DT116" i="5"/>
  <c r="DT3" i="7" s="1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J4" i="7" s="1"/>
  <c r="BK117" i="5"/>
  <c r="BK4" i="7" s="1"/>
  <c r="BL117" i="5"/>
  <c r="BL4" i="7" s="1"/>
  <c r="BM117" i="5"/>
  <c r="BM4" i="7" s="1"/>
  <c r="BO117" i="5"/>
  <c r="BO4" i="7" s="1"/>
  <c r="BP117" i="5"/>
  <c r="BP4" i="7" s="1"/>
  <c r="BQ117" i="5"/>
  <c r="BQ4" i="7" s="1"/>
  <c r="BR117" i="5"/>
  <c r="BR4" i="7" s="1"/>
  <c r="BT117" i="5"/>
  <c r="BT4" i="7" s="1"/>
  <c r="BU117" i="5"/>
  <c r="BU4" i="7" s="1"/>
  <c r="BV117" i="5"/>
  <c r="BV4" i="7" s="1"/>
  <c r="BW117" i="5"/>
  <c r="BW4" i="7" s="1"/>
  <c r="BY117" i="5"/>
  <c r="BY4" i="7" s="1"/>
  <c r="BZ117" i="5"/>
  <c r="BZ4" i="7" s="1"/>
  <c r="CA117" i="5"/>
  <c r="CA4" i="7" s="1"/>
  <c r="CB117" i="5"/>
  <c r="CB4" i="7" s="1"/>
  <c r="CD117" i="5"/>
  <c r="CD4" i="7" s="1"/>
  <c r="CE117" i="5"/>
  <c r="CE4" i="7" s="1"/>
  <c r="CF117" i="5"/>
  <c r="CF4" i="7" s="1"/>
  <c r="CG117" i="5"/>
  <c r="CG4" i="7" s="1"/>
  <c r="CI117" i="5"/>
  <c r="CI4" i="7" s="1"/>
  <c r="CJ117" i="5"/>
  <c r="CJ4" i="7" s="1"/>
  <c r="CK117" i="5"/>
  <c r="CK4" i="7" s="1"/>
  <c r="CL117" i="5"/>
  <c r="CL4" i="7" s="1"/>
  <c r="CN117" i="5"/>
  <c r="CN4" i="7" s="1"/>
  <c r="CO117" i="5"/>
  <c r="CO4" i="7" s="1"/>
  <c r="CP117" i="5"/>
  <c r="CP4" i="7" s="1"/>
  <c r="CQ117" i="5"/>
  <c r="CQ4" i="7" s="1"/>
  <c r="CS117" i="5"/>
  <c r="CS4" i="7" s="1"/>
  <c r="CT117" i="5"/>
  <c r="CT4" i="7" s="1"/>
  <c r="CU117" i="5"/>
  <c r="CU4" i="7" s="1"/>
  <c r="CV117" i="5"/>
  <c r="CV4" i="7" s="1"/>
  <c r="CX117" i="5"/>
  <c r="CX4" i="7" s="1"/>
  <c r="CY117" i="5"/>
  <c r="CY4" i="7" s="1"/>
  <c r="CZ117" i="5"/>
  <c r="CZ4" i="7" s="1"/>
  <c r="DA117" i="5"/>
  <c r="DA4" i="7" s="1"/>
  <c r="DE117" i="5"/>
  <c r="DE4" i="7" s="1"/>
  <c r="DF117" i="5"/>
  <c r="DF4" i="7" s="1"/>
  <c r="DH117" i="5"/>
  <c r="DH4" i="7" s="1"/>
  <c r="DI117" i="5"/>
  <c r="DI4" i="7" s="1"/>
  <c r="DJ117" i="5"/>
  <c r="DJ4" i="7" s="1"/>
  <c r="DK117" i="5"/>
  <c r="DK4" i="7" s="1"/>
  <c r="DM117" i="5"/>
  <c r="DM4" i="7" s="1"/>
  <c r="DN117" i="5"/>
  <c r="DN4" i="7" s="1"/>
  <c r="DO117" i="5"/>
  <c r="DO4" i="7" s="1"/>
  <c r="DP117" i="5"/>
  <c r="DP4" i="7" s="1"/>
  <c r="DR117" i="5"/>
  <c r="DR4" i="7" s="1"/>
  <c r="DS117" i="5"/>
  <c r="DS4" i="7" s="1"/>
  <c r="DT117" i="5"/>
  <c r="DT4" i="7" s="1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K5" i="7" s="1"/>
  <c r="BL118" i="5"/>
  <c r="BL5" i="7" s="1"/>
  <c r="BM118" i="5"/>
  <c r="BM5" i="7" s="1"/>
  <c r="BO118" i="5"/>
  <c r="BO5" i="7" s="1"/>
  <c r="BP118" i="5"/>
  <c r="BP5" i="7" s="1"/>
  <c r="BQ118" i="5"/>
  <c r="BQ5" i="7" s="1"/>
  <c r="BR118" i="5"/>
  <c r="BT118" i="5"/>
  <c r="BT5" i="7" s="1"/>
  <c r="BU118" i="5"/>
  <c r="BU5" i="7" s="1"/>
  <c r="BV118" i="5"/>
  <c r="BV5" i="7" s="1"/>
  <c r="BW118" i="5"/>
  <c r="BW5" i="7" s="1"/>
  <c r="BY118" i="5"/>
  <c r="BY5" i="7" s="1"/>
  <c r="BZ118" i="5"/>
  <c r="CA118" i="5"/>
  <c r="CA5" i="7" s="1"/>
  <c r="CB118" i="5"/>
  <c r="CB5" i="7" s="1"/>
  <c r="CD118" i="5"/>
  <c r="CD5" i="7" s="1"/>
  <c r="CE118" i="5"/>
  <c r="CE5" i="7" s="1"/>
  <c r="CF118" i="5"/>
  <c r="CF5" i="7" s="1"/>
  <c r="CG118" i="5"/>
  <c r="CG5" i="7" s="1"/>
  <c r="CI118" i="5"/>
  <c r="CI5" i="7" s="1"/>
  <c r="CJ118" i="5"/>
  <c r="CJ5" i="7" s="1"/>
  <c r="CK118" i="5"/>
  <c r="CK5" i="7" s="1"/>
  <c r="CL118" i="5"/>
  <c r="CL5" i="7" s="1"/>
  <c r="CN118" i="5"/>
  <c r="CN5" i="7" s="1"/>
  <c r="CO118" i="5"/>
  <c r="CO5" i="7" s="1"/>
  <c r="CP118" i="5"/>
  <c r="CQ118" i="5"/>
  <c r="CQ5" i="7" s="1"/>
  <c r="CS118" i="5"/>
  <c r="CS5" i="7" s="1"/>
  <c r="CT118" i="5"/>
  <c r="CT5" i="7" s="1"/>
  <c r="CU118" i="5"/>
  <c r="CU5" i="7" s="1"/>
  <c r="CV118" i="5"/>
  <c r="CV5" i="7" s="1"/>
  <c r="CX118" i="5"/>
  <c r="CY118" i="5"/>
  <c r="CY5" i="7" s="1"/>
  <c r="CZ118" i="5"/>
  <c r="CZ5" i="7" s="1"/>
  <c r="DA118" i="5"/>
  <c r="DA5" i="7" s="1"/>
  <c r="DD118" i="5"/>
  <c r="DD5" i="7" s="1"/>
  <c r="DE118" i="5"/>
  <c r="DF118" i="5"/>
  <c r="DH118" i="5"/>
  <c r="DH5" i="7" s="1"/>
  <c r="DI118" i="5"/>
  <c r="DI5" i="7" s="1"/>
  <c r="DJ118" i="5"/>
  <c r="DJ5" i="7" s="1"/>
  <c r="DK118" i="5"/>
  <c r="DK5" i="7" s="1"/>
  <c r="DM118" i="5"/>
  <c r="DM5" i="7" s="1"/>
  <c r="DN118" i="5"/>
  <c r="DO118" i="5"/>
  <c r="DP118" i="5"/>
  <c r="DP5" i="7" s="1"/>
  <c r="DR118" i="5"/>
  <c r="DR5" i="7" s="1"/>
  <c r="DS118" i="5"/>
  <c r="DS5" i="7" s="1"/>
  <c r="DT118" i="5"/>
  <c r="DT5" i="7" s="1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J6" i="7" s="1"/>
  <c r="BK119" i="5"/>
  <c r="BK6" i="7" s="1"/>
  <c r="BL119" i="5"/>
  <c r="BL6" i="7" s="1"/>
  <c r="BM119" i="5"/>
  <c r="BM6" i="7" s="1"/>
  <c r="BO119" i="5"/>
  <c r="BO6" i="7" s="1"/>
  <c r="BP119" i="5"/>
  <c r="BQ119" i="5"/>
  <c r="BQ6" i="7" s="1"/>
  <c r="BR119" i="5"/>
  <c r="BR6" i="7" s="1"/>
  <c r="BT119" i="5"/>
  <c r="BT6" i="7" s="1"/>
  <c r="BU119" i="5"/>
  <c r="BU6" i="7" s="1"/>
  <c r="BV119" i="5"/>
  <c r="BV6" i="7" s="1"/>
  <c r="BW119" i="5"/>
  <c r="BW6" i="7" s="1"/>
  <c r="BY119" i="5"/>
  <c r="BY6" i="7" s="1"/>
  <c r="BZ119" i="5"/>
  <c r="BZ6" i="7" s="1"/>
  <c r="CA119" i="5"/>
  <c r="CA6" i="7" s="1"/>
  <c r="CB119" i="5"/>
  <c r="CB6" i="7" s="1"/>
  <c r="CD119" i="5"/>
  <c r="CD6" i="7" s="1"/>
  <c r="CE119" i="5"/>
  <c r="CE6" i="7" s="1"/>
  <c r="CF119" i="5"/>
  <c r="CG119" i="5"/>
  <c r="CG6" i="7" s="1"/>
  <c r="CI119" i="5"/>
  <c r="CI6" i="7" s="1"/>
  <c r="CJ119" i="5"/>
  <c r="CJ6" i="7" s="1"/>
  <c r="CK119" i="5"/>
  <c r="CK6" i="7" s="1"/>
  <c r="CL119" i="5"/>
  <c r="CL6" i="7" s="1"/>
  <c r="CN119" i="5"/>
  <c r="CO119" i="5"/>
  <c r="CO6" i="7" s="1"/>
  <c r="CP119" i="5"/>
  <c r="CP6" i="7" s="1"/>
  <c r="CQ119" i="5"/>
  <c r="CQ6" i="7" s="1"/>
  <c r="CS119" i="5"/>
  <c r="CS6" i="7" s="1"/>
  <c r="CT119" i="5"/>
  <c r="CT6" i="7" s="1"/>
  <c r="CU119" i="5"/>
  <c r="CU6" i="7" s="1"/>
  <c r="CV119" i="5"/>
  <c r="CV6" i="7" s="1"/>
  <c r="CX119" i="5"/>
  <c r="CX6" i="7" s="1"/>
  <c r="CY119" i="5"/>
  <c r="CY6" i="7" s="1"/>
  <c r="CZ119" i="5"/>
  <c r="CZ6" i="7" s="1"/>
  <c r="DA119" i="5"/>
  <c r="DA6" i="7" s="1"/>
  <c r="DD119" i="5"/>
  <c r="DE119" i="5"/>
  <c r="DE6" i="7" s="1"/>
  <c r="DF119" i="5"/>
  <c r="DF6" i="7" s="1"/>
  <c r="DH119" i="5"/>
  <c r="DH6" i="7" s="1"/>
  <c r="DI119" i="5"/>
  <c r="DI6" i="7" s="1"/>
  <c r="DJ119" i="5"/>
  <c r="DJ6" i="7" s="1"/>
  <c r="DK119" i="5"/>
  <c r="DK6" i="7" s="1"/>
  <c r="DM119" i="5"/>
  <c r="DM6" i="7" s="1"/>
  <c r="DN119" i="5"/>
  <c r="DN6" i="7" s="1"/>
  <c r="DO119" i="5"/>
  <c r="DO6" i="7" s="1"/>
  <c r="DP119" i="5"/>
  <c r="DP6" i="7" s="1"/>
  <c r="DR119" i="5"/>
  <c r="DR6" i="7" s="1"/>
  <c r="DS119" i="5"/>
  <c r="DS6" i="7" s="1"/>
  <c r="DT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J7" i="7" s="1"/>
  <c r="BK120" i="5"/>
  <c r="BK7" i="7" s="1"/>
  <c r="BL120" i="5"/>
  <c r="BL7" i="7" s="1"/>
  <c r="BM120" i="5"/>
  <c r="BM7" i="7" s="1"/>
  <c r="BO120" i="5"/>
  <c r="BO7" i="7" s="1"/>
  <c r="BP120" i="5"/>
  <c r="BP7" i="7" s="1"/>
  <c r="BQ120" i="5"/>
  <c r="BQ7" i="7" s="1"/>
  <c r="BR120" i="5"/>
  <c r="BR7" i="7" s="1"/>
  <c r="BT120" i="5"/>
  <c r="BT7" i="7" s="1"/>
  <c r="BU120" i="5"/>
  <c r="BU7" i="7" s="1"/>
  <c r="BV120" i="5"/>
  <c r="BV7" i="7" s="1"/>
  <c r="BW120" i="5"/>
  <c r="BW7" i="7" s="1"/>
  <c r="BY120" i="5"/>
  <c r="BY7" i="7" s="1"/>
  <c r="BZ120" i="5"/>
  <c r="BZ7" i="7" s="1"/>
  <c r="CA120" i="5"/>
  <c r="CA7" i="7" s="1"/>
  <c r="CB120" i="5"/>
  <c r="CB7" i="7" s="1"/>
  <c r="CD120" i="5"/>
  <c r="CD7" i="7" s="1"/>
  <c r="CE120" i="5"/>
  <c r="CE7" i="7" s="1"/>
  <c r="CF120" i="5"/>
  <c r="CF7" i="7" s="1"/>
  <c r="CG120" i="5"/>
  <c r="CG7" i="7" s="1"/>
  <c r="CI120" i="5"/>
  <c r="CI7" i="7" s="1"/>
  <c r="CJ120" i="5"/>
  <c r="CJ7" i="7" s="1"/>
  <c r="CK120" i="5"/>
  <c r="CK7" i="7" s="1"/>
  <c r="CL120" i="5"/>
  <c r="CL7" i="7" s="1"/>
  <c r="CN120" i="5"/>
  <c r="CN7" i="7" s="1"/>
  <c r="CO120" i="5"/>
  <c r="CO7" i="7" s="1"/>
  <c r="CP120" i="5"/>
  <c r="CP7" i="7" s="1"/>
  <c r="CQ120" i="5"/>
  <c r="CQ7" i="7" s="1"/>
  <c r="CS120" i="5"/>
  <c r="CS7" i="7" s="1"/>
  <c r="CT120" i="5"/>
  <c r="CT7" i="7" s="1"/>
  <c r="CU120" i="5"/>
  <c r="CU7" i="7" s="1"/>
  <c r="CV120" i="5"/>
  <c r="CV7" i="7" s="1"/>
  <c r="CX120" i="5"/>
  <c r="CX7" i="7" s="1"/>
  <c r="CY120" i="5"/>
  <c r="CY7" i="7" s="1"/>
  <c r="CZ120" i="5"/>
  <c r="CZ7" i="7" s="1"/>
  <c r="DA120" i="5"/>
  <c r="DA7" i="7" s="1"/>
  <c r="DD120" i="5"/>
  <c r="DD7" i="7" s="1"/>
  <c r="DE120" i="5"/>
  <c r="DE7" i="7" s="1"/>
  <c r="DF120" i="5"/>
  <c r="DF7" i="7" s="1"/>
  <c r="DH120" i="5"/>
  <c r="DH7" i="7" s="1"/>
  <c r="DI120" i="5"/>
  <c r="DI7" i="7" s="1"/>
  <c r="DJ120" i="5"/>
  <c r="DJ7" i="7" s="1"/>
  <c r="DK120" i="5"/>
  <c r="DK7" i="7" s="1"/>
  <c r="DM120" i="5"/>
  <c r="DM7" i="7" s="1"/>
  <c r="DN120" i="5"/>
  <c r="DN7" i="7" s="1"/>
  <c r="DO120" i="5"/>
  <c r="DO7" i="7" s="1"/>
  <c r="DP120" i="5"/>
  <c r="DP7" i="7" s="1"/>
  <c r="DR120" i="5"/>
  <c r="DR7" i="7" s="1"/>
  <c r="DS120" i="5"/>
  <c r="DS7" i="7" s="1"/>
  <c r="DT120" i="5"/>
  <c r="DT7" i="7" s="1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J8" i="7" s="1"/>
  <c r="BK121" i="5"/>
  <c r="BK8" i="7" s="1"/>
  <c r="BL121" i="5"/>
  <c r="BL8" i="7" s="1"/>
  <c r="BM121" i="5"/>
  <c r="BM8" i="7" s="1"/>
  <c r="BO121" i="5"/>
  <c r="BO8" i="7" s="1"/>
  <c r="BP121" i="5"/>
  <c r="BP8" i="7" s="1"/>
  <c r="BQ121" i="5"/>
  <c r="BQ8" i="7" s="1"/>
  <c r="BR121" i="5"/>
  <c r="BR8" i="7" s="1"/>
  <c r="BT121" i="5"/>
  <c r="BT8" i="7" s="1"/>
  <c r="BU121" i="5"/>
  <c r="BU8" i="7" s="1"/>
  <c r="BV121" i="5"/>
  <c r="BV8" i="7" s="1"/>
  <c r="BW121" i="5"/>
  <c r="BW8" i="7" s="1"/>
  <c r="BY121" i="5"/>
  <c r="BY8" i="7" s="1"/>
  <c r="BZ121" i="5"/>
  <c r="BZ8" i="7" s="1"/>
  <c r="CA121" i="5"/>
  <c r="CA8" i="7" s="1"/>
  <c r="CB121" i="5"/>
  <c r="CB8" i="7" s="1"/>
  <c r="CD121" i="5"/>
  <c r="CD8" i="7" s="1"/>
  <c r="CE121" i="5"/>
  <c r="CE8" i="7" s="1"/>
  <c r="CF121" i="5"/>
  <c r="CF8" i="7" s="1"/>
  <c r="CG121" i="5"/>
  <c r="CG8" i="7" s="1"/>
  <c r="CI121" i="5"/>
  <c r="CI8" i="7" s="1"/>
  <c r="CJ121" i="5"/>
  <c r="CJ8" i="7" s="1"/>
  <c r="CK121" i="5"/>
  <c r="CK8" i="7" s="1"/>
  <c r="CL121" i="5"/>
  <c r="CL8" i="7" s="1"/>
  <c r="CN121" i="5"/>
  <c r="CN8" i="7" s="1"/>
  <c r="CO121" i="5"/>
  <c r="CO8" i="7" s="1"/>
  <c r="CP121" i="5"/>
  <c r="CP8" i="7" s="1"/>
  <c r="CQ121" i="5"/>
  <c r="CQ8" i="7" s="1"/>
  <c r="CS121" i="5"/>
  <c r="CS8" i="7" s="1"/>
  <c r="CT121" i="5"/>
  <c r="CT8" i="7" s="1"/>
  <c r="CU121" i="5"/>
  <c r="CU8" i="7" s="1"/>
  <c r="CV121" i="5"/>
  <c r="CV8" i="7" s="1"/>
  <c r="CX121" i="5"/>
  <c r="CX8" i="7" s="1"/>
  <c r="CY121" i="5"/>
  <c r="CY8" i="7" s="1"/>
  <c r="CZ121" i="5"/>
  <c r="CZ8" i="7" s="1"/>
  <c r="DA121" i="5"/>
  <c r="DA8" i="7" s="1"/>
  <c r="DD121" i="5"/>
  <c r="DD8" i="7" s="1"/>
  <c r="DE121" i="5"/>
  <c r="DE8" i="7" s="1"/>
  <c r="DF121" i="5"/>
  <c r="DF8" i="7" s="1"/>
  <c r="DH121" i="5"/>
  <c r="DH8" i="7" s="1"/>
  <c r="DI121" i="5"/>
  <c r="DI8" i="7" s="1"/>
  <c r="DJ121" i="5"/>
  <c r="DJ8" i="7" s="1"/>
  <c r="DK121" i="5"/>
  <c r="DK8" i="7" s="1"/>
  <c r="DM121" i="5"/>
  <c r="DM8" i="7" s="1"/>
  <c r="DN121" i="5"/>
  <c r="DN8" i="7" s="1"/>
  <c r="DO121" i="5"/>
  <c r="DO8" i="7" s="1"/>
  <c r="DP121" i="5"/>
  <c r="DP8" i="7" s="1"/>
  <c r="DR121" i="5"/>
  <c r="DR8" i="7" s="1"/>
  <c r="DS121" i="5"/>
  <c r="DS8" i="7" s="1"/>
  <c r="DT121" i="5"/>
  <c r="DT8" i="7" s="1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J9" i="7" s="1"/>
  <c r="BK122" i="5"/>
  <c r="BK9" i="7" s="1"/>
  <c r="BL122" i="5"/>
  <c r="BL9" i="7" s="1"/>
  <c r="BM122" i="5"/>
  <c r="BM9" i="7" s="1"/>
  <c r="BO122" i="5"/>
  <c r="BO9" i="7" s="1"/>
  <c r="BP122" i="5"/>
  <c r="BP9" i="7" s="1"/>
  <c r="BQ122" i="5"/>
  <c r="BQ9" i="7" s="1"/>
  <c r="BR122" i="5"/>
  <c r="BR9" i="7" s="1"/>
  <c r="BT122" i="5"/>
  <c r="BT9" i="7" s="1"/>
  <c r="BU122" i="5"/>
  <c r="BU9" i="7" s="1"/>
  <c r="BV122" i="5"/>
  <c r="BV9" i="7" s="1"/>
  <c r="BW122" i="5"/>
  <c r="BW9" i="7" s="1"/>
  <c r="BY122" i="5"/>
  <c r="BY9" i="7" s="1"/>
  <c r="BZ122" i="5"/>
  <c r="BZ9" i="7" s="1"/>
  <c r="CA122" i="5"/>
  <c r="CA9" i="7" s="1"/>
  <c r="CB122" i="5"/>
  <c r="CB9" i="7" s="1"/>
  <c r="CD122" i="5"/>
  <c r="CD9" i="7" s="1"/>
  <c r="CE122" i="5"/>
  <c r="CE9" i="7" s="1"/>
  <c r="CF122" i="5"/>
  <c r="CF9" i="7" s="1"/>
  <c r="CG122" i="5"/>
  <c r="CG9" i="7" s="1"/>
  <c r="CI122" i="5"/>
  <c r="CI9" i="7" s="1"/>
  <c r="CJ122" i="5"/>
  <c r="CJ9" i="7" s="1"/>
  <c r="CK122" i="5"/>
  <c r="CK9" i="7" s="1"/>
  <c r="CL122" i="5"/>
  <c r="CL9" i="7" s="1"/>
  <c r="CN122" i="5"/>
  <c r="CN9" i="7" s="1"/>
  <c r="CO122" i="5"/>
  <c r="CO9" i="7" s="1"/>
  <c r="CP122" i="5"/>
  <c r="CP9" i="7" s="1"/>
  <c r="CQ122" i="5"/>
  <c r="CQ9" i="7" s="1"/>
  <c r="CS122" i="5"/>
  <c r="CS9" i="7" s="1"/>
  <c r="CT122" i="5"/>
  <c r="CT9" i="7" s="1"/>
  <c r="CU122" i="5"/>
  <c r="CU9" i="7" s="1"/>
  <c r="CV122" i="5"/>
  <c r="CV9" i="7" s="1"/>
  <c r="CX122" i="5"/>
  <c r="CX9" i="7" s="1"/>
  <c r="CY122" i="5"/>
  <c r="CY9" i="7" s="1"/>
  <c r="CZ122" i="5"/>
  <c r="CZ9" i="7" s="1"/>
  <c r="DA122" i="5"/>
  <c r="DA9" i="7" s="1"/>
  <c r="DE122" i="5"/>
  <c r="DE9" i="7" s="1"/>
  <c r="DF122" i="5"/>
  <c r="DF9" i="7" s="1"/>
  <c r="DH122" i="5"/>
  <c r="DH9" i="7" s="1"/>
  <c r="DI122" i="5"/>
  <c r="DI9" i="7" s="1"/>
  <c r="DJ122" i="5"/>
  <c r="DJ9" i="7" s="1"/>
  <c r="DK122" i="5"/>
  <c r="DK9" i="7" s="1"/>
  <c r="DM122" i="5"/>
  <c r="DM9" i="7" s="1"/>
  <c r="DN122" i="5"/>
  <c r="DN9" i="7" s="1"/>
  <c r="DO122" i="5"/>
  <c r="DO9" i="7" s="1"/>
  <c r="DP122" i="5"/>
  <c r="DP9" i="7" s="1"/>
  <c r="DR122" i="5"/>
  <c r="DR9" i="7" s="1"/>
  <c r="DS122" i="5"/>
  <c r="DS9" i="7" s="1"/>
  <c r="DT122" i="5"/>
  <c r="DT9" i="7" s="1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J10" i="7" s="1"/>
  <c r="BK123" i="5"/>
  <c r="BK10" i="7" s="1"/>
  <c r="BL123" i="5"/>
  <c r="BL10" i="7" s="1"/>
  <c r="BM123" i="5"/>
  <c r="BM10" i="7" s="1"/>
  <c r="BO123" i="5"/>
  <c r="BO10" i="7" s="1"/>
  <c r="BP123" i="5"/>
  <c r="BP10" i="7" s="1"/>
  <c r="BQ123" i="5"/>
  <c r="BQ10" i="7" s="1"/>
  <c r="BR123" i="5"/>
  <c r="BR10" i="7" s="1"/>
  <c r="BT123" i="5"/>
  <c r="BT10" i="7" s="1"/>
  <c r="BU123" i="5"/>
  <c r="BU10" i="7" s="1"/>
  <c r="BV123" i="5"/>
  <c r="BV10" i="7" s="1"/>
  <c r="BW123" i="5"/>
  <c r="BW10" i="7" s="1"/>
  <c r="BY123" i="5"/>
  <c r="BY10" i="7" s="1"/>
  <c r="BZ123" i="5"/>
  <c r="BZ10" i="7" s="1"/>
  <c r="CA123" i="5"/>
  <c r="CA10" i="7" s="1"/>
  <c r="CB123" i="5"/>
  <c r="CB10" i="7" s="1"/>
  <c r="CD123" i="5"/>
  <c r="CD10" i="7" s="1"/>
  <c r="CE123" i="5"/>
  <c r="CE10" i="7" s="1"/>
  <c r="CF123" i="5"/>
  <c r="CF10" i="7" s="1"/>
  <c r="CG123" i="5"/>
  <c r="CG10" i="7" s="1"/>
  <c r="CI123" i="5"/>
  <c r="CI10" i="7" s="1"/>
  <c r="CJ123" i="5"/>
  <c r="CJ10" i="7" s="1"/>
  <c r="CK123" i="5"/>
  <c r="CK10" i="7" s="1"/>
  <c r="CL123" i="5"/>
  <c r="CL10" i="7" s="1"/>
  <c r="CN123" i="5"/>
  <c r="CN10" i="7" s="1"/>
  <c r="CO123" i="5"/>
  <c r="CO10" i="7" s="1"/>
  <c r="CP123" i="5"/>
  <c r="CP10" i="7" s="1"/>
  <c r="CQ123" i="5"/>
  <c r="CQ10" i="7" s="1"/>
  <c r="CS123" i="5"/>
  <c r="CS10" i="7" s="1"/>
  <c r="CT123" i="5"/>
  <c r="CT10" i="7" s="1"/>
  <c r="CU123" i="5"/>
  <c r="CU10" i="7" s="1"/>
  <c r="CV123" i="5"/>
  <c r="CV10" i="7" s="1"/>
  <c r="CX123" i="5"/>
  <c r="CX10" i="7" s="1"/>
  <c r="CY123" i="5"/>
  <c r="CY10" i="7" s="1"/>
  <c r="CZ123" i="5"/>
  <c r="CZ10" i="7" s="1"/>
  <c r="DA123" i="5"/>
  <c r="DA10" i="7" s="1"/>
  <c r="DE123" i="5"/>
  <c r="DE10" i="7" s="1"/>
  <c r="DF123" i="5"/>
  <c r="DF10" i="7" s="1"/>
  <c r="DH123" i="5"/>
  <c r="DH10" i="7" s="1"/>
  <c r="DI123" i="5"/>
  <c r="DI10" i="7" s="1"/>
  <c r="DJ123" i="5"/>
  <c r="DJ10" i="7" s="1"/>
  <c r="DK123" i="5"/>
  <c r="DK10" i="7" s="1"/>
  <c r="DM123" i="5"/>
  <c r="DM10" i="7" s="1"/>
  <c r="DN123" i="5"/>
  <c r="DN10" i="7" s="1"/>
  <c r="DO123" i="5"/>
  <c r="DO10" i="7" s="1"/>
  <c r="DP123" i="5"/>
  <c r="DP10" i="7" s="1"/>
  <c r="DR123" i="5"/>
  <c r="DR10" i="7" s="1"/>
  <c r="DS123" i="5"/>
  <c r="DS10" i="7" s="1"/>
  <c r="DT123" i="5"/>
  <c r="DT10" i="7" s="1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J11" i="7" s="1"/>
  <c r="BK124" i="5"/>
  <c r="BK11" i="7" s="1"/>
  <c r="BL124" i="5"/>
  <c r="BL11" i="7" s="1"/>
  <c r="BM124" i="5"/>
  <c r="BM11" i="7" s="1"/>
  <c r="BO124" i="5"/>
  <c r="BO11" i="7" s="1"/>
  <c r="BP124" i="5"/>
  <c r="BP11" i="7" s="1"/>
  <c r="BQ124" i="5"/>
  <c r="BQ11" i="7" s="1"/>
  <c r="BR124" i="5"/>
  <c r="BR11" i="7" s="1"/>
  <c r="BT124" i="5"/>
  <c r="BT11" i="7" s="1"/>
  <c r="BU124" i="5"/>
  <c r="BU11" i="7" s="1"/>
  <c r="BV124" i="5"/>
  <c r="BV11" i="7" s="1"/>
  <c r="BW124" i="5"/>
  <c r="BW11" i="7" s="1"/>
  <c r="BY124" i="5"/>
  <c r="BY11" i="7" s="1"/>
  <c r="BZ124" i="5"/>
  <c r="BZ11" i="7" s="1"/>
  <c r="CA124" i="5"/>
  <c r="CA11" i="7" s="1"/>
  <c r="CB124" i="5"/>
  <c r="CB11" i="7" s="1"/>
  <c r="CD124" i="5"/>
  <c r="CD11" i="7" s="1"/>
  <c r="CE124" i="5"/>
  <c r="CE11" i="7" s="1"/>
  <c r="CF124" i="5"/>
  <c r="CF11" i="7" s="1"/>
  <c r="CG124" i="5"/>
  <c r="CG11" i="7" s="1"/>
  <c r="CI124" i="5"/>
  <c r="CI11" i="7" s="1"/>
  <c r="CJ124" i="5"/>
  <c r="CJ11" i="7" s="1"/>
  <c r="CK124" i="5"/>
  <c r="CK11" i="7" s="1"/>
  <c r="CL124" i="5"/>
  <c r="CL11" i="7" s="1"/>
  <c r="CN124" i="5"/>
  <c r="CN11" i="7" s="1"/>
  <c r="CO124" i="5"/>
  <c r="CO11" i="7" s="1"/>
  <c r="CP124" i="5"/>
  <c r="CP11" i="7" s="1"/>
  <c r="CQ124" i="5"/>
  <c r="CQ11" i="7" s="1"/>
  <c r="CS124" i="5"/>
  <c r="CS11" i="7" s="1"/>
  <c r="CT124" i="5"/>
  <c r="CT11" i="7" s="1"/>
  <c r="CU124" i="5"/>
  <c r="CU11" i="7" s="1"/>
  <c r="CV124" i="5"/>
  <c r="CV11" i="7" s="1"/>
  <c r="CX124" i="5"/>
  <c r="CX11" i="7" s="1"/>
  <c r="CY124" i="5"/>
  <c r="CY11" i="7" s="1"/>
  <c r="CZ124" i="5"/>
  <c r="CZ11" i="7" s="1"/>
  <c r="DA124" i="5"/>
  <c r="DA11" i="7" s="1"/>
  <c r="DE124" i="5"/>
  <c r="DE11" i="7" s="1"/>
  <c r="DF124" i="5"/>
  <c r="DF11" i="7" s="1"/>
  <c r="DH124" i="5"/>
  <c r="DH11" i="7" s="1"/>
  <c r="DI124" i="5"/>
  <c r="DI11" i="7" s="1"/>
  <c r="DJ124" i="5"/>
  <c r="DJ11" i="7" s="1"/>
  <c r="DK124" i="5"/>
  <c r="DK11" i="7" s="1"/>
  <c r="DM124" i="5"/>
  <c r="DM11" i="7" s="1"/>
  <c r="DN124" i="5"/>
  <c r="DN11" i="7" s="1"/>
  <c r="DO124" i="5"/>
  <c r="DO11" i="7" s="1"/>
  <c r="DP124" i="5"/>
  <c r="DP11" i="7" s="1"/>
  <c r="DR124" i="5"/>
  <c r="DR11" i="7" s="1"/>
  <c r="DS124" i="5"/>
  <c r="DS11" i="7" s="1"/>
  <c r="DT124" i="5"/>
  <c r="DT11" i="7" s="1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J12" i="7" s="1"/>
  <c r="BK125" i="5"/>
  <c r="BK12" i="7" s="1"/>
  <c r="BL125" i="5"/>
  <c r="BM125" i="5"/>
  <c r="BM12" i="7" s="1"/>
  <c r="BO125" i="5"/>
  <c r="BO12" i="7" s="1"/>
  <c r="BP125" i="5"/>
  <c r="BP12" i="7" s="1"/>
  <c r="BQ125" i="5"/>
  <c r="BQ12" i="7" s="1"/>
  <c r="BR125" i="5"/>
  <c r="BR12" i="7" s="1"/>
  <c r="BT125" i="5"/>
  <c r="BT12" i="7" s="1"/>
  <c r="BU125" i="5"/>
  <c r="BU12" i="7" s="1"/>
  <c r="BV125" i="5"/>
  <c r="BV12" i="7" s="1"/>
  <c r="BW125" i="5"/>
  <c r="BW12" i="7" s="1"/>
  <c r="BY125" i="5"/>
  <c r="BY12" i="7" s="1"/>
  <c r="BZ125" i="5"/>
  <c r="BZ12" i="7" s="1"/>
  <c r="CA125" i="5"/>
  <c r="CA12" i="7" s="1"/>
  <c r="CB125" i="5"/>
  <c r="CB12" i="7" s="1"/>
  <c r="CD125" i="5"/>
  <c r="CD12" i="7" s="1"/>
  <c r="CE125" i="5"/>
  <c r="CE12" i="7" s="1"/>
  <c r="CF125" i="5"/>
  <c r="CF12" i="7" s="1"/>
  <c r="CG125" i="5"/>
  <c r="CG12" i="7" s="1"/>
  <c r="CI125" i="5"/>
  <c r="CI12" i="7" s="1"/>
  <c r="CJ125" i="5"/>
  <c r="CJ12" i="7" s="1"/>
  <c r="CK125" i="5"/>
  <c r="CK12" i="7" s="1"/>
  <c r="CL125" i="5"/>
  <c r="CL12" i="7" s="1"/>
  <c r="CN125" i="5"/>
  <c r="CN12" i="7" s="1"/>
  <c r="CO125" i="5"/>
  <c r="CO12" i="7" s="1"/>
  <c r="CP125" i="5"/>
  <c r="CP12" i="7" s="1"/>
  <c r="CQ125" i="5"/>
  <c r="CQ12" i="7" s="1"/>
  <c r="CS125" i="5"/>
  <c r="CS12" i="7" s="1"/>
  <c r="CT125" i="5"/>
  <c r="CT12" i="7" s="1"/>
  <c r="CU125" i="5"/>
  <c r="CU12" i="7" s="1"/>
  <c r="CV125" i="5"/>
  <c r="CV12" i="7" s="1"/>
  <c r="CX125" i="5"/>
  <c r="CX12" i="7" s="1"/>
  <c r="CY125" i="5"/>
  <c r="CY12" i="7" s="1"/>
  <c r="CZ125" i="5"/>
  <c r="CZ12" i="7" s="1"/>
  <c r="DA125" i="5"/>
  <c r="DA12" i="7" s="1"/>
  <c r="DE125" i="5"/>
  <c r="DE12" i="7" s="1"/>
  <c r="DF125" i="5"/>
  <c r="DF12" i="7" s="1"/>
  <c r="DH125" i="5"/>
  <c r="DH12" i="7" s="1"/>
  <c r="DI125" i="5"/>
  <c r="DI12" i="7" s="1"/>
  <c r="DJ125" i="5"/>
  <c r="DJ12" i="7" s="1"/>
  <c r="DK125" i="5"/>
  <c r="DK12" i="7" s="1"/>
  <c r="DM125" i="5"/>
  <c r="DM12" i="7" s="1"/>
  <c r="DN125" i="5"/>
  <c r="DN12" i="7" s="1"/>
  <c r="DO125" i="5"/>
  <c r="DO12" i="7" s="1"/>
  <c r="DP125" i="5"/>
  <c r="DP12" i="7" s="1"/>
  <c r="DR125" i="5"/>
  <c r="DR12" i="7" s="1"/>
  <c r="DS125" i="5"/>
  <c r="DS12" i="7" s="1"/>
  <c r="DT125" i="5"/>
  <c r="DT12" i="7" s="1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J13" i="7" s="1"/>
  <c r="BK126" i="5"/>
  <c r="BK13" i="7" s="1"/>
  <c r="BL126" i="5"/>
  <c r="BL13" i="7" s="1"/>
  <c r="BM126" i="5"/>
  <c r="BM13" i="7" s="1"/>
  <c r="BO126" i="5"/>
  <c r="BO13" i="7" s="1"/>
  <c r="BP126" i="5"/>
  <c r="BP13" i="7" s="1"/>
  <c r="BQ126" i="5"/>
  <c r="BQ13" i="7" s="1"/>
  <c r="BR126" i="5"/>
  <c r="BR13" i="7" s="1"/>
  <c r="BT126" i="5"/>
  <c r="BT13" i="7" s="1"/>
  <c r="BU126" i="5"/>
  <c r="BU13" i="7" s="1"/>
  <c r="BV126" i="5"/>
  <c r="BV13" i="7" s="1"/>
  <c r="BW126" i="5"/>
  <c r="BW13" i="7" s="1"/>
  <c r="BY126" i="5"/>
  <c r="BY13" i="7" s="1"/>
  <c r="BZ126" i="5"/>
  <c r="BZ13" i="7" s="1"/>
  <c r="CA126" i="5"/>
  <c r="CA13" i="7" s="1"/>
  <c r="CB126" i="5"/>
  <c r="CB13" i="7" s="1"/>
  <c r="CD126" i="5"/>
  <c r="CD13" i="7" s="1"/>
  <c r="CE126" i="5"/>
  <c r="CE13" i="7" s="1"/>
  <c r="CF126" i="5"/>
  <c r="CF13" i="7" s="1"/>
  <c r="CG126" i="5"/>
  <c r="CG13" i="7" s="1"/>
  <c r="CI126" i="5"/>
  <c r="CI13" i="7" s="1"/>
  <c r="CJ126" i="5"/>
  <c r="CJ13" i="7" s="1"/>
  <c r="CK126" i="5"/>
  <c r="CK13" i="7" s="1"/>
  <c r="CL126" i="5"/>
  <c r="CL13" i="7" s="1"/>
  <c r="CN126" i="5"/>
  <c r="CN13" i="7" s="1"/>
  <c r="CO126" i="5"/>
  <c r="CO13" i="7" s="1"/>
  <c r="CP126" i="5"/>
  <c r="CP13" i="7" s="1"/>
  <c r="CQ126" i="5"/>
  <c r="CQ13" i="7" s="1"/>
  <c r="CS126" i="5"/>
  <c r="CS13" i="7" s="1"/>
  <c r="CT126" i="5"/>
  <c r="CT13" i="7" s="1"/>
  <c r="CU126" i="5"/>
  <c r="CU13" i="7" s="1"/>
  <c r="CV126" i="5"/>
  <c r="CV13" i="7" s="1"/>
  <c r="CX126" i="5"/>
  <c r="CX13" i="7" s="1"/>
  <c r="CY126" i="5"/>
  <c r="CY13" i="7" s="1"/>
  <c r="CZ126" i="5"/>
  <c r="CZ13" i="7" s="1"/>
  <c r="DA126" i="5"/>
  <c r="DA13" i="7" s="1"/>
  <c r="DE126" i="5"/>
  <c r="DE13" i="7" s="1"/>
  <c r="DF126" i="5"/>
  <c r="DF13" i="7" s="1"/>
  <c r="DH126" i="5"/>
  <c r="DH13" i="7" s="1"/>
  <c r="DI126" i="5"/>
  <c r="DI13" i="7" s="1"/>
  <c r="DJ126" i="5"/>
  <c r="DJ13" i="7" s="1"/>
  <c r="DK126" i="5"/>
  <c r="DK13" i="7" s="1"/>
  <c r="DM126" i="5"/>
  <c r="DM13" i="7" s="1"/>
  <c r="DN126" i="5"/>
  <c r="DN13" i="7" s="1"/>
  <c r="DO126" i="5"/>
  <c r="DO13" i="7" s="1"/>
  <c r="DP126" i="5"/>
  <c r="DP13" i="7" s="1"/>
  <c r="DR126" i="5"/>
  <c r="DR13" i="7" s="1"/>
  <c r="DS126" i="5"/>
  <c r="DS13" i="7" s="1"/>
  <c r="DT126" i="5"/>
  <c r="DT13" i="7" s="1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J14" i="7" s="1"/>
  <c r="BK127" i="5"/>
  <c r="BK14" i="7" s="1"/>
  <c r="BL127" i="5"/>
  <c r="BL14" i="7" s="1"/>
  <c r="BM127" i="5"/>
  <c r="BM14" i="7" s="1"/>
  <c r="BO127" i="5"/>
  <c r="BO14" i="7" s="1"/>
  <c r="BP127" i="5"/>
  <c r="BP14" i="7" s="1"/>
  <c r="BQ127" i="5"/>
  <c r="BQ14" i="7" s="1"/>
  <c r="BR127" i="5"/>
  <c r="BR14" i="7" s="1"/>
  <c r="BT127" i="5"/>
  <c r="BT14" i="7" s="1"/>
  <c r="BU127" i="5"/>
  <c r="BU14" i="7" s="1"/>
  <c r="BV127" i="5"/>
  <c r="BV14" i="7" s="1"/>
  <c r="BW127" i="5"/>
  <c r="BW14" i="7" s="1"/>
  <c r="BY127" i="5"/>
  <c r="BY14" i="7" s="1"/>
  <c r="BZ127" i="5"/>
  <c r="BZ14" i="7" s="1"/>
  <c r="CA127" i="5"/>
  <c r="CA14" i="7" s="1"/>
  <c r="CB127" i="5"/>
  <c r="CB14" i="7" s="1"/>
  <c r="CD127" i="5"/>
  <c r="CD14" i="7" s="1"/>
  <c r="CE127" i="5"/>
  <c r="CE14" i="7" s="1"/>
  <c r="CF127" i="5"/>
  <c r="CF14" i="7" s="1"/>
  <c r="CG127" i="5"/>
  <c r="CG14" i="7" s="1"/>
  <c r="CI127" i="5"/>
  <c r="CI14" i="7" s="1"/>
  <c r="CJ127" i="5"/>
  <c r="CJ14" i="7" s="1"/>
  <c r="CK127" i="5"/>
  <c r="CK14" i="7" s="1"/>
  <c r="CL127" i="5"/>
  <c r="CL14" i="7" s="1"/>
  <c r="CN127" i="5"/>
  <c r="CN14" i="7" s="1"/>
  <c r="CO127" i="5"/>
  <c r="CO14" i="7" s="1"/>
  <c r="CP127" i="5"/>
  <c r="CP14" i="7" s="1"/>
  <c r="CQ127" i="5"/>
  <c r="CQ14" i="7" s="1"/>
  <c r="CS127" i="5"/>
  <c r="CS14" i="7" s="1"/>
  <c r="CT127" i="5"/>
  <c r="CT14" i="7" s="1"/>
  <c r="CU127" i="5"/>
  <c r="CU14" i="7" s="1"/>
  <c r="CV127" i="5"/>
  <c r="CV14" i="7" s="1"/>
  <c r="CX127" i="5"/>
  <c r="CX14" i="7" s="1"/>
  <c r="CY127" i="5"/>
  <c r="CY14" i="7" s="1"/>
  <c r="CZ127" i="5"/>
  <c r="CZ14" i="7" s="1"/>
  <c r="DA127" i="5"/>
  <c r="DA14" i="7" s="1"/>
  <c r="DE127" i="5"/>
  <c r="DE14" i="7" s="1"/>
  <c r="DF127" i="5"/>
  <c r="DF14" i="7" s="1"/>
  <c r="DH127" i="5"/>
  <c r="DH14" i="7" s="1"/>
  <c r="DI127" i="5"/>
  <c r="DI14" i="7" s="1"/>
  <c r="DJ127" i="5"/>
  <c r="DJ14" i="7" s="1"/>
  <c r="DK127" i="5"/>
  <c r="DK14" i="7" s="1"/>
  <c r="DM127" i="5"/>
  <c r="DM14" i="7" s="1"/>
  <c r="DN127" i="5"/>
  <c r="DN14" i="7" s="1"/>
  <c r="DO127" i="5"/>
  <c r="DO14" i="7" s="1"/>
  <c r="DP127" i="5"/>
  <c r="DP14" i="7" s="1"/>
  <c r="DR127" i="5"/>
  <c r="DR14" i="7" s="1"/>
  <c r="DS127" i="5"/>
  <c r="DS14" i="7" s="1"/>
  <c r="DT127" i="5"/>
  <c r="DT14" i="7" s="1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J17" i="7" s="1"/>
  <c r="BK130" i="5"/>
  <c r="BK17" i="7" s="1"/>
  <c r="BL130" i="5"/>
  <c r="BL17" i="7" s="1"/>
  <c r="BM130" i="5"/>
  <c r="BM17" i="7" s="1"/>
  <c r="BO130" i="5"/>
  <c r="BO17" i="7" s="1"/>
  <c r="BP130" i="5"/>
  <c r="BP17" i="7" s="1"/>
  <c r="BQ130" i="5"/>
  <c r="BQ17" i="7" s="1"/>
  <c r="BR130" i="5"/>
  <c r="BR17" i="7" s="1"/>
  <c r="BT130" i="5"/>
  <c r="BT17" i="7" s="1"/>
  <c r="BU130" i="5"/>
  <c r="BU17" i="7" s="1"/>
  <c r="BV130" i="5"/>
  <c r="BV17" i="7" s="1"/>
  <c r="BW130" i="5"/>
  <c r="BW17" i="7" s="1"/>
  <c r="BY130" i="5"/>
  <c r="BY17" i="7" s="1"/>
  <c r="BZ130" i="5"/>
  <c r="BZ17" i="7" s="1"/>
  <c r="CA130" i="5"/>
  <c r="CA17" i="7" s="1"/>
  <c r="CB130" i="5"/>
  <c r="CB17" i="7" s="1"/>
  <c r="CD130" i="5"/>
  <c r="CD17" i="7" s="1"/>
  <c r="CE130" i="5"/>
  <c r="CE17" i="7" s="1"/>
  <c r="CF130" i="5"/>
  <c r="CF17" i="7" s="1"/>
  <c r="CG130" i="5"/>
  <c r="CG17" i="7" s="1"/>
  <c r="CI130" i="5"/>
  <c r="CI17" i="7" s="1"/>
  <c r="CJ130" i="5"/>
  <c r="CJ17" i="7" s="1"/>
  <c r="CK130" i="5"/>
  <c r="CK17" i="7" s="1"/>
  <c r="CL130" i="5"/>
  <c r="CL17" i="7" s="1"/>
  <c r="CN130" i="5"/>
  <c r="CN17" i="7" s="1"/>
  <c r="CO130" i="5"/>
  <c r="CO17" i="7" s="1"/>
  <c r="CP130" i="5"/>
  <c r="CP17" i="7" s="1"/>
  <c r="CQ130" i="5"/>
  <c r="CQ17" i="7" s="1"/>
  <c r="CS130" i="5"/>
  <c r="CS17" i="7" s="1"/>
  <c r="CT130" i="5"/>
  <c r="CT17" i="7" s="1"/>
  <c r="CU130" i="5"/>
  <c r="CU17" i="7" s="1"/>
  <c r="CV130" i="5"/>
  <c r="CV17" i="7" s="1"/>
  <c r="CX130" i="5"/>
  <c r="CX17" i="7" s="1"/>
  <c r="CY130" i="5"/>
  <c r="CY17" i="7" s="1"/>
  <c r="CZ130" i="5"/>
  <c r="CZ17" i="7" s="1"/>
  <c r="DA130" i="5"/>
  <c r="DA17" i="7" s="1"/>
  <c r="DC130" i="5"/>
  <c r="DC17" i="7" s="1"/>
  <c r="DD130" i="5"/>
  <c r="DD17" i="7" s="1"/>
  <c r="DE130" i="5"/>
  <c r="DE17" i="7" s="1"/>
  <c r="DF130" i="5"/>
  <c r="DF17" i="7" s="1"/>
  <c r="DH130" i="5"/>
  <c r="DH17" i="7" s="1"/>
  <c r="DI130" i="5"/>
  <c r="DI17" i="7" s="1"/>
  <c r="DJ130" i="5"/>
  <c r="DJ17" i="7" s="1"/>
  <c r="DK130" i="5"/>
  <c r="DK17" i="7" s="1"/>
  <c r="DM130" i="5"/>
  <c r="DM17" i="7" s="1"/>
  <c r="DN130" i="5"/>
  <c r="DN17" i="7" s="1"/>
  <c r="DO130" i="5"/>
  <c r="DO17" i="7" s="1"/>
  <c r="DP130" i="5"/>
  <c r="DP17" i="7" s="1"/>
  <c r="DR130" i="5"/>
  <c r="DR17" i="7" s="1"/>
  <c r="DS130" i="5"/>
  <c r="DS17" i="7" s="1"/>
  <c r="DT130" i="5"/>
  <c r="DT17" i="7" s="1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J18" i="7" s="1"/>
  <c r="BK131" i="5"/>
  <c r="BK18" i="7" s="1"/>
  <c r="BL131" i="5"/>
  <c r="BL18" i="7" s="1"/>
  <c r="BM131" i="5"/>
  <c r="BM18" i="7" s="1"/>
  <c r="BO131" i="5"/>
  <c r="BO18" i="7" s="1"/>
  <c r="BP131" i="5"/>
  <c r="BP18" i="7" s="1"/>
  <c r="BQ131" i="5"/>
  <c r="BQ18" i="7" s="1"/>
  <c r="BR131" i="5"/>
  <c r="BR18" i="7" s="1"/>
  <c r="BT131" i="5"/>
  <c r="BT18" i="7" s="1"/>
  <c r="BU131" i="5"/>
  <c r="BU18" i="7" s="1"/>
  <c r="BV131" i="5"/>
  <c r="BV18" i="7" s="1"/>
  <c r="BW131" i="5"/>
  <c r="BW18" i="7" s="1"/>
  <c r="BY131" i="5"/>
  <c r="BY18" i="7" s="1"/>
  <c r="BZ131" i="5"/>
  <c r="BZ18" i="7" s="1"/>
  <c r="CA131" i="5"/>
  <c r="CA18" i="7" s="1"/>
  <c r="CB131" i="5"/>
  <c r="CB18" i="7" s="1"/>
  <c r="CD131" i="5"/>
  <c r="CD18" i="7" s="1"/>
  <c r="CE131" i="5"/>
  <c r="CE18" i="7" s="1"/>
  <c r="CF131" i="5"/>
  <c r="CF18" i="7" s="1"/>
  <c r="CG131" i="5"/>
  <c r="CG18" i="7" s="1"/>
  <c r="CI131" i="5"/>
  <c r="CI18" i="7" s="1"/>
  <c r="CJ131" i="5"/>
  <c r="CJ18" i="7" s="1"/>
  <c r="CK131" i="5"/>
  <c r="CK18" i="7" s="1"/>
  <c r="CL131" i="5"/>
  <c r="CL18" i="7" s="1"/>
  <c r="CN131" i="5"/>
  <c r="CN18" i="7" s="1"/>
  <c r="CO131" i="5"/>
  <c r="CO18" i="7" s="1"/>
  <c r="CP131" i="5"/>
  <c r="CP18" i="7" s="1"/>
  <c r="CQ131" i="5"/>
  <c r="CQ18" i="7" s="1"/>
  <c r="CS131" i="5"/>
  <c r="CS18" i="7" s="1"/>
  <c r="CT131" i="5"/>
  <c r="CT18" i="7" s="1"/>
  <c r="CU131" i="5"/>
  <c r="CU18" i="7" s="1"/>
  <c r="CV131" i="5"/>
  <c r="CV18" i="7" s="1"/>
  <c r="CX131" i="5"/>
  <c r="CX18" i="7" s="1"/>
  <c r="CY131" i="5"/>
  <c r="CY18" i="7" s="1"/>
  <c r="CZ131" i="5"/>
  <c r="CZ18" i="7" s="1"/>
  <c r="DA131" i="5"/>
  <c r="DA18" i="7" s="1"/>
  <c r="DC131" i="5"/>
  <c r="DC18" i="7" s="1"/>
  <c r="DD131" i="5"/>
  <c r="DD18" i="7" s="1"/>
  <c r="DE131" i="5"/>
  <c r="DE18" i="7" s="1"/>
  <c r="DF131" i="5"/>
  <c r="DF18" i="7" s="1"/>
  <c r="DH131" i="5"/>
  <c r="DH18" i="7" s="1"/>
  <c r="DI131" i="5"/>
  <c r="DI18" i="7" s="1"/>
  <c r="DJ131" i="5"/>
  <c r="DJ18" i="7" s="1"/>
  <c r="DK131" i="5"/>
  <c r="DK18" i="7" s="1"/>
  <c r="DM131" i="5"/>
  <c r="DM18" i="7" s="1"/>
  <c r="DN131" i="5"/>
  <c r="DN18" i="7" s="1"/>
  <c r="DO131" i="5"/>
  <c r="DO18" i="7" s="1"/>
  <c r="DP131" i="5"/>
  <c r="DP18" i="7" s="1"/>
  <c r="DR131" i="5"/>
  <c r="DR18" i="7" s="1"/>
  <c r="DS131" i="5"/>
  <c r="DS18" i="7" s="1"/>
  <c r="DT131" i="5"/>
  <c r="DT18" i="7" s="1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J19" i="7" s="1"/>
  <c r="BK132" i="5"/>
  <c r="BK19" i="7" s="1"/>
  <c r="BL132" i="5"/>
  <c r="BL19" i="7" s="1"/>
  <c r="BM132" i="5"/>
  <c r="BM19" i="7" s="1"/>
  <c r="BO132" i="5"/>
  <c r="BO19" i="7" s="1"/>
  <c r="BP132" i="5"/>
  <c r="BP19" i="7" s="1"/>
  <c r="BQ132" i="5"/>
  <c r="BQ19" i="7" s="1"/>
  <c r="BR132" i="5"/>
  <c r="BR19" i="7" s="1"/>
  <c r="BT132" i="5"/>
  <c r="BT19" i="7" s="1"/>
  <c r="BU132" i="5"/>
  <c r="BU19" i="7" s="1"/>
  <c r="BV132" i="5"/>
  <c r="BV19" i="7" s="1"/>
  <c r="BW132" i="5"/>
  <c r="BW19" i="7" s="1"/>
  <c r="BY132" i="5"/>
  <c r="BY19" i="7" s="1"/>
  <c r="BZ132" i="5"/>
  <c r="BZ19" i="7" s="1"/>
  <c r="CA132" i="5"/>
  <c r="CA19" i="7" s="1"/>
  <c r="CB132" i="5"/>
  <c r="CB19" i="7" s="1"/>
  <c r="CD132" i="5"/>
  <c r="CD19" i="7" s="1"/>
  <c r="CE132" i="5"/>
  <c r="CE19" i="7" s="1"/>
  <c r="CF132" i="5"/>
  <c r="CF19" i="7" s="1"/>
  <c r="CG132" i="5"/>
  <c r="CG19" i="7" s="1"/>
  <c r="CI132" i="5"/>
  <c r="CI19" i="7" s="1"/>
  <c r="CJ132" i="5"/>
  <c r="CJ19" i="7" s="1"/>
  <c r="CK132" i="5"/>
  <c r="CK19" i="7" s="1"/>
  <c r="CL132" i="5"/>
  <c r="CL19" i="7" s="1"/>
  <c r="CN132" i="5"/>
  <c r="CN19" i="7" s="1"/>
  <c r="CO132" i="5"/>
  <c r="CO19" i="7" s="1"/>
  <c r="CP132" i="5"/>
  <c r="CP19" i="7" s="1"/>
  <c r="CQ132" i="5"/>
  <c r="CQ19" i="7" s="1"/>
  <c r="CS132" i="5"/>
  <c r="CS19" i="7" s="1"/>
  <c r="CT132" i="5"/>
  <c r="CT19" i="7" s="1"/>
  <c r="CU132" i="5"/>
  <c r="CU19" i="7" s="1"/>
  <c r="CV132" i="5"/>
  <c r="CV19" i="7" s="1"/>
  <c r="CX132" i="5"/>
  <c r="CX19" i="7" s="1"/>
  <c r="CY132" i="5"/>
  <c r="CY19" i="7" s="1"/>
  <c r="CZ132" i="5"/>
  <c r="CZ19" i="7" s="1"/>
  <c r="DA132" i="5"/>
  <c r="DA19" i="7" s="1"/>
  <c r="DE132" i="5"/>
  <c r="DE19" i="7" s="1"/>
  <c r="DF132" i="5"/>
  <c r="DF19" i="7" s="1"/>
  <c r="DH132" i="5"/>
  <c r="DH19" i="7" s="1"/>
  <c r="DI132" i="5"/>
  <c r="DI19" i="7" s="1"/>
  <c r="DJ132" i="5"/>
  <c r="DJ19" i="7" s="1"/>
  <c r="DK132" i="5"/>
  <c r="DK19" i="7" s="1"/>
  <c r="DM132" i="5"/>
  <c r="DM19" i="7" s="1"/>
  <c r="DN132" i="5"/>
  <c r="DN19" i="7" s="1"/>
  <c r="DO132" i="5"/>
  <c r="DO19" i="7" s="1"/>
  <c r="DP132" i="5"/>
  <c r="DP19" i="7" s="1"/>
  <c r="DR132" i="5"/>
  <c r="DR19" i="7" s="1"/>
  <c r="DS132" i="5"/>
  <c r="DS19" i="7" s="1"/>
  <c r="DT132" i="5"/>
  <c r="DT19" i="7" s="1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J20" i="7" s="1"/>
  <c r="BK133" i="5"/>
  <c r="BK20" i="7" s="1"/>
  <c r="BL133" i="5"/>
  <c r="BL20" i="7" s="1"/>
  <c r="BM133" i="5"/>
  <c r="BM20" i="7" s="1"/>
  <c r="BO133" i="5"/>
  <c r="BO20" i="7" s="1"/>
  <c r="BP133" i="5"/>
  <c r="BP20" i="7" s="1"/>
  <c r="BQ133" i="5"/>
  <c r="BQ20" i="7" s="1"/>
  <c r="BR133" i="5"/>
  <c r="BR20" i="7" s="1"/>
  <c r="BT133" i="5"/>
  <c r="BT20" i="7" s="1"/>
  <c r="BU133" i="5"/>
  <c r="BU20" i="7" s="1"/>
  <c r="BV133" i="5"/>
  <c r="BV20" i="7" s="1"/>
  <c r="BW133" i="5"/>
  <c r="BW20" i="7" s="1"/>
  <c r="BY133" i="5"/>
  <c r="BY20" i="7" s="1"/>
  <c r="BZ133" i="5"/>
  <c r="BZ20" i="7" s="1"/>
  <c r="CA133" i="5"/>
  <c r="CA20" i="7" s="1"/>
  <c r="CB133" i="5"/>
  <c r="CB20" i="7" s="1"/>
  <c r="CD133" i="5"/>
  <c r="CD20" i="7" s="1"/>
  <c r="CE133" i="5"/>
  <c r="CE20" i="7" s="1"/>
  <c r="CF133" i="5"/>
  <c r="CF20" i="7" s="1"/>
  <c r="CG133" i="5"/>
  <c r="CG20" i="7" s="1"/>
  <c r="CI133" i="5"/>
  <c r="CI20" i="7" s="1"/>
  <c r="CJ133" i="5"/>
  <c r="CJ20" i="7" s="1"/>
  <c r="CK133" i="5"/>
  <c r="CK20" i="7" s="1"/>
  <c r="CL133" i="5"/>
  <c r="CL20" i="7" s="1"/>
  <c r="CN133" i="5"/>
  <c r="CN20" i="7" s="1"/>
  <c r="CO133" i="5"/>
  <c r="CO20" i="7" s="1"/>
  <c r="CP133" i="5"/>
  <c r="CP20" i="7" s="1"/>
  <c r="CQ133" i="5"/>
  <c r="CQ20" i="7" s="1"/>
  <c r="CS133" i="5"/>
  <c r="CS20" i="7" s="1"/>
  <c r="CT133" i="5"/>
  <c r="CT20" i="7" s="1"/>
  <c r="CU133" i="5"/>
  <c r="CU20" i="7" s="1"/>
  <c r="CV133" i="5"/>
  <c r="CV20" i="7" s="1"/>
  <c r="DI133" i="5"/>
  <c r="DI20" i="7" s="1"/>
  <c r="DJ133" i="5"/>
  <c r="DJ20" i="7" s="1"/>
  <c r="DK133" i="5"/>
  <c r="DK20" i="7" s="1"/>
  <c r="DM133" i="5"/>
  <c r="DM20" i="7" s="1"/>
  <c r="DN133" i="5"/>
  <c r="DN20" i="7" s="1"/>
  <c r="DO133" i="5"/>
  <c r="DO20" i="7" s="1"/>
  <c r="DP133" i="5"/>
  <c r="DP20" i="7" s="1"/>
  <c r="DR133" i="5"/>
  <c r="DR20" i="7" s="1"/>
  <c r="DS133" i="5"/>
  <c r="DS20" i="7" s="1"/>
  <c r="DT133" i="5"/>
  <c r="DT20" i="7" s="1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J21" i="7" s="1"/>
  <c r="BK134" i="5"/>
  <c r="BK21" i="7" s="1"/>
  <c r="BL134" i="5"/>
  <c r="BL21" i="7" s="1"/>
  <c r="BM134" i="5"/>
  <c r="BM21" i="7" s="1"/>
  <c r="BO134" i="5"/>
  <c r="BO21" i="7" s="1"/>
  <c r="BP134" i="5"/>
  <c r="BP21" i="7" s="1"/>
  <c r="BQ134" i="5"/>
  <c r="BQ21" i="7" s="1"/>
  <c r="BR134" i="5"/>
  <c r="BR21" i="7" s="1"/>
  <c r="BT134" i="5"/>
  <c r="BT21" i="7" s="1"/>
  <c r="BU134" i="5"/>
  <c r="BU21" i="7" s="1"/>
  <c r="BV134" i="5"/>
  <c r="BV21" i="7" s="1"/>
  <c r="BW134" i="5"/>
  <c r="BW21" i="7" s="1"/>
  <c r="BY134" i="5"/>
  <c r="BY21" i="7" s="1"/>
  <c r="BZ134" i="5"/>
  <c r="BZ21" i="7" s="1"/>
  <c r="CA134" i="5"/>
  <c r="CA21" i="7" s="1"/>
  <c r="CB134" i="5"/>
  <c r="CB21" i="7" s="1"/>
  <c r="CD134" i="5"/>
  <c r="CD21" i="7" s="1"/>
  <c r="CE134" i="5"/>
  <c r="CE21" i="7" s="1"/>
  <c r="CF134" i="5"/>
  <c r="CF21" i="7" s="1"/>
  <c r="CG134" i="5"/>
  <c r="CG21" i="7" s="1"/>
  <c r="CI134" i="5"/>
  <c r="CI21" i="7" s="1"/>
  <c r="CJ134" i="5"/>
  <c r="CJ21" i="7" s="1"/>
  <c r="CK134" i="5"/>
  <c r="CK21" i="7" s="1"/>
  <c r="CL134" i="5"/>
  <c r="CL21" i="7" s="1"/>
  <c r="CN134" i="5"/>
  <c r="CN21" i="7" s="1"/>
  <c r="CO134" i="5"/>
  <c r="CO21" i="7" s="1"/>
  <c r="CP134" i="5"/>
  <c r="CP21" i="7" s="1"/>
  <c r="CQ134" i="5"/>
  <c r="CQ21" i="7" s="1"/>
  <c r="CS134" i="5"/>
  <c r="CS21" i="7" s="1"/>
  <c r="CT134" i="5"/>
  <c r="CT21" i="7" s="1"/>
  <c r="CU134" i="5"/>
  <c r="CU21" i="7" s="1"/>
  <c r="CV134" i="5"/>
  <c r="CV21" i="7" s="1"/>
  <c r="DI134" i="5"/>
  <c r="DI21" i="7" s="1"/>
  <c r="DJ134" i="5"/>
  <c r="DJ21" i="7" s="1"/>
  <c r="DK134" i="5"/>
  <c r="DK21" i="7" s="1"/>
  <c r="DM134" i="5"/>
  <c r="DM21" i="7" s="1"/>
  <c r="DN134" i="5"/>
  <c r="DN21" i="7" s="1"/>
  <c r="DO134" i="5"/>
  <c r="DO21" i="7" s="1"/>
  <c r="DP134" i="5"/>
  <c r="DP21" i="7" s="1"/>
  <c r="DR134" i="5"/>
  <c r="DR21" i="7" s="1"/>
  <c r="DS134" i="5"/>
  <c r="DS21" i="7" s="1"/>
  <c r="DT134" i="5"/>
  <c r="DT21" i="7" s="1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J22" i="7" s="1"/>
  <c r="BK135" i="5"/>
  <c r="BK22" i="7" s="1"/>
  <c r="BL135" i="5"/>
  <c r="BL22" i="7" s="1"/>
  <c r="BM135" i="5"/>
  <c r="BM22" i="7" s="1"/>
  <c r="BO135" i="5"/>
  <c r="BO22" i="7" s="1"/>
  <c r="BP135" i="5"/>
  <c r="BP22" i="7" s="1"/>
  <c r="BQ135" i="5"/>
  <c r="BQ22" i="7" s="1"/>
  <c r="BR135" i="5"/>
  <c r="BR22" i="7" s="1"/>
  <c r="BT135" i="5"/>
  <c r="BT22" i="7" s="1"/>
  <c r="BU135" i="5"/>
  <c r="BU22" i="7" s="1"/>
  <c r="BV135" i="5"/>
  <c r="BV22" i="7" s="1"/>
  <c r="BW135" i="5"/>
  <c r="BW22" i="7" s="1"/>
  <c r="BY135" i="5"/>
  <c r="BY22" i="7" s="1"/>
  <c r="BZ135" i="5"/>
  <c r="BZ22" i="7" s="1"/>
  <c r="CA135" i="5"/>
  <c r="CA22" i="7" s="1"/>
  <c r="CB135" i="5"/>
  <c r="CB22" i="7" s="1"/>
  <c r="CD135" i="5"/>
  <c r="CD22" i="7" s="1"/>
  <c r="CE135" i="5"/>
  <c r="CE22" i="7" s="1"/>
  <c r="CF135" i="5"/>
  <c r="CF22" i="7" s="1"/>
  <c r="CG135" i="5"/>
  <c r="CG22" i="7" s="1"/>
  <c r="CI135" i="5"/>
  <c r="CI22" i="7" s="1"/>
  <c r="CJ135" i="5"/>
  <c r="CJ22" i="7" s="1"/>
  <c r="CK135" i="5"/>
  <c r="CK22" i="7" s="1"/>
  <c r="CL135" i="5"/>
  <c r="CL22" i="7" s="1"/>
  <c r="CN135" i="5"/>
  <c r="CN22" i="7" s="1"/>
  <c r="CO135" i="5"/>
  <c r="CO22" i="7" s="1"/>
  <c r="CP135" i="5"/>
  <c r="CP22" i="7" s="1"/>
  <c r="CQ135" i="5"/>
  <c r="CQ22" i="7" s="1"/>
  <c r="CS135" i="5"/>
  <c r="CS22" i="7" s="1"/>
  <c r="CT135" i="5"/>
  <c r="CT22" i="7" s="1"/>
  <c r="CU135" i="5"/>
  <c r="CU22" i="7" s="1"/>
  <c r="CV135" i="5"/>
  <c r="CV22" i="7" s="1"/>
  <c r="DI135" i="5"/>
  <c r="DI22" i="7" s="1"/>
  <c r="DK135" i="5"/>
  <c r="DK22" i="7" s="1"/>
  <c r="DM135" i="5"/>
  <c r="DM22" i="7" s="1"/>
  <c r="DN135" i="5"/>
  <c r="DN22" i="7" s="1"/>
  <c r="DO135" i="5"/>
  <c r="DO22" i="7" s="1"/>
  <c r="DP135" i="5"/>
  <c r="DP22" i="7" s="1"/>
  <c r="DR135" i="5"/>
  <c r="DR22" i="7" s="1"/>
  <c r="DS135" i="5"/>
  <c r="DS22" i="7" s="1"/>
  <c r="DT135" i="5"/>
  <c r="DT22" i="7" s="1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J23" i="7" s="1"/>
  <c r="BK136" i="5"/>
  <c r="BK23" i="7" s="1"/>
  <c r="BL136" i="5"/>
  <c r="BL23" i="7" s="1"/>
  <c r="BM136" i="5"/>
  <c r="BM23" i="7" s="1"/>
  <c r="BO136" i="5"/>
  <c r="BO23" i="7" s="1"/>
  <c r="BP136" i="5"/>
  <c r="BP23" i="7" s="1"/>
  <c r="BQ136" i="5"/>
  <c r="BQ23" i="7" s="1"/>
  <c r="BR136" i="5"/>
  <c r="BR23" i="7" s="1"/>
  <c r="BT136" i="5"/>
  <c r="BT23" i="7" s="1"/>
  <c r="BU136" i="5"/>
  <c r="BU23" i="7" s="1"/>
  <c r="BV136" i="5"/>
  <c r="BV23" i="7" s="1"/>
  <c r="BW136" i="5"/>
  <c r="BW23" i="7" s="1"/>
  <c r="BY136" i="5"/>
  <c r="BY23" i="7" s="1"/>
  <c r="BZ136" i="5"/>
  <c r="BZ23" i="7" s="1"/>
  <c r="CA136" i="5"/>
  <c r="CA23" i="7" s="1"/>
  <c r="CB136" i="5"/>
  <c r="CB23" i="7" s="1"/>
  <c r="CD136" i="5"/>
  <c r="CD23" i="7" s="1"/>
  <c r="CE136" i="5"/>
  <c r="CE23" i="7" s="1"/>
  <c r="CF136" i="5"/>
  <c r="CF23" i="7" s="1"/>
  <c r="CG136" i="5"/>
  <c r="CG23" i="7" s="1"/>
  <c r="CI136" i="5"/>
  <c r="CI23" i="7" s="1"/>
  <c r="CJ136" i="5"/>
  <c r="CJ23" i="7" s="1"/>
  <c r="CK136" i="5"/>
  <c r="CK23" i="7" s="1"/>
  <c r="CL136" i="5"/>
  <c r="CL23" i="7" s="1"/>
  <c r="CN136" i="5"/>
  <c r="CN23" i="7" s="1"/>
  <c r="CO136" i="5"/>
  <c r="CO23" i="7" s="1"/>
  <c r="CP136" i="5"/>
  <c r="CP23" i="7" s="1"/>
  <c r="CQ136" i="5"/>
  <c r="CQ23" i="7" s="1"/>
  <c r="CS136" i="5"/>
  <c r="CS23" i="7" s="1"/>
  <c r="CT136" i="5"/>
  <c r="CT23" i="7" s="1"/>
  <c r="CU136" i="5"/>
  <c r="CU23" i="7" s="1"/>
  <c r="CV136" i="5"/>
  <c r="CV23" i="7" s="1"/>
  <c r="DH136" i="5"/>
  <c r="DH23" i="7" s="1"/>
  <c r="DI136" i="5"/>
  <c r="DI23" i="7" s="1"/>
  <c r="DJ136" i="5"/>
  <c r="DJ23" i="7" s="1"/>
  <c r="DK136" i="5"/>
  <c r="DK23" i="7" s="1"/>
  <c r="DM136" i="5"/>
  <c r="DM23" i="7" s="1"/>
  <c r="DN136" i="5"/>
  <c r="DN23" i="7" s="1"/>
  <c r="DO136" i="5"/>
  <c r="DO23" i="7" s="1"/>
  <c r="DP136" i="5"/>
  <c r="DP23" i="7" s="1"/>
  <c r="DR136" i="5"/>
  <c r="DR23" i="7" s="1"/>
  <c r="DS136" i="5"/>
  <c r="DS23" i="7" s="1"/>
  <c r="DT136" i="5"/>
  <c r="DT23" i="7" s="1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J24" i="7" s="1"/>
  <c r="BK137" i="5"/>
  <c r="BK24" i="7" s="1"/>
  <c r="BL137" i="5"/>
  <c r="BL24" i="7" s="1"/>
  <c r="BM137" i="5"/>
  <c r="BM24" i="7" s="1"/>
  <c r="BO137" i="5"/>
  <c r="BO24" i="7" s="1"/>
  <c r="BP137" i="5"/>
  <c r="BP24" i="7" s="1"/>
  <c r="BQ137" i="5"/>
  <c r="BQ24" i="7" s="1"/>
  <c r="BR137" i="5"/>
  <c r="BR24" i="7" s="1"/>
  <c r="BT137" i="5"/>
  <c r="BT24" i="7" s="1"/>
  <c r="BU137" i="5"/>
  <c r="BU24" i="7" s="1"/>
  <c r="BV137" i="5"/>
  <c r="BV24" i="7" s="1"/>
  <c r="BW137" i="5"/>
  <c r="BW24" i="7" s="1"/>
  <c r="BY137" i="5"/>
  <c r="BY24" i="7" s="1"/>
  <c r="BZ137" i="5"/>
  <c r="BZ24" i="7" s="1"/>
  <c r="CA137" i="5"/>
  <c r="CA24" i="7" s="1"/>
  <c r="CB137" i="5"/>
  <c r="CB24" i="7" s="1"/>
  <c r="CD137" i="5"/>
  <c r="CD24" i="7" s="1"/>
  <c r="CE137" i="5"/>
  <c r="CE24" i="7" s="1"/>
  <c r="CF137" i="5"/>
  <c r="CF24" i="7" s="1"/>
  <c r="CG137" i="5"/>
  <c r="CG24" i="7" s="1"/>
  <c r="CI137" i="5"/>
  <c r="CI24" i="7" s="1"/>
  <c r="CJ137" i="5"/>
  <c r="CJ24" i="7" s="1"/>
  <c r="CK137" i="5"/>
  <c r="CK24" i="7" s="1"/>
  <c r="CL137" i="5"/>
  <c r="CL24" i="7" s="1"/>
  <c r="CN137" i="5"/>
  <c r="CN24" i="7" s="1"/>
  <c r="CO137" i="5"/>
  <c r="CO24" i="7" s="1"/>
  <c r="CP137" i="5"/>
  <c r="CP24" i="7" s="1"/>
  <c r="CQ137" i="5"/>
  <c r="CQ24" i="7" s="1"/>
  <c r="CS137" i="5"/>
  <c r="CS24" i="7" s="1"/>
  <c r="CT137" i="5"/>
  <c r="CT24" i="7" s="1"/>
  <c r="CU137" i="5"/>
  <c r="CU24" i="7" s="1"/>
  <c r="CV137" i="5"/>
  <c r="CV24" i="7" s="1"/>
  <c r="DH137" i="5"/>
  <c r="DH24" i="7" s="1"/>
  <c r="DI137" i="5"/>
  <c r="DI24" i="7" s="1"/>
  <c r="DJ137" i="5"/>
  <c r="DJ24" i="7" s="1"/>
  <c r="DK137" i="5"/>
  <c r="DK24" i="7" s="1"/>
  <c r="DM137" i="5"/>
  <c r="DM24" i="7" s="1"/>
  <c r="DN137" i="5"/>
  <c r="DN24" i="7" s="1"/>
  <c r="DO137" i="5"/>
  <c r="DO24" i="7" s="1"/>
  <c r="DP137" i="5"/>
  <c r="DP24" i="7" s="1"/>
  <c r="DR137" i="5"/>
  <c r="DR24" i="7" s="1"/>
  <c r="DS137" i="5"/>
  <c r="DS24" i="7" s="1"/>
  <c r="DT137" i="5"/>
  <c r="DT24" i="7" s="1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J25" i="7" s="1"/>
  <c r="BK138" i="5"/>
  <c r="BK25" i="7" s="1"/>
  <c r="BL138" i="5"/>
  <c r="BL25" i="7" s="1"/>
  <c r="BM138" i="5"/>
  <c r="BM25" i="7" s="1"/>
  <c r="BO138" i="5"/>
  <c r="BO25" i="7" s="1"/>
  <c r="BP138" i="5"/>
  <c r="BP25" i="7" s="1"/>
  <c r="BQ138" i="5"/>
  <c r="BQ25" i="7" s="1"/>
  <c r="BR138" i="5"/>
  <c r="BR25" i="7" s="1"/>
  <c r="BT138" i="5"/>
  <c r="BT25" i="7" s="1"/>
  <c r="BU138" i="5"/>
  <c r="BU25" i="7" s="1"/>
  <c r="BV138" i="5"/>
  <c r="BV25" i="7" s="1"/>
  <c r="BW138" i="5"/>
  <c r="BW25" i="7" s="1"/>
  <c r="BY138" i="5"/>
  <c r="BY25" i="7" s="1"/>
  <c r="BZ138" i="5"/>
  <c r="BZ25" i="7" s="1"/>
  <c r="CA138" i="5"/>
  <c r="CA25" i="7" s="1"/>
  <c r="CB138" i="5"/>
  <c r="CB25" i="7" s="1"/>
  <c r="CD138" i="5"/>
  <c r="CD25" i="7" s="1"/>
  <c r="CE138" i="5"/>
  <c r="CE25" i="7" s="1"/>
  <c r="CF138" i="5"/>
  <c r="CF25" i="7" s="1"/>
  <c r="CG138" i="5"/>
  <c r="CG25" i="7" s="1"/>
  <c r="CI138" i="5"/>
  <c r="CI25" i="7" s="1"/>
  <c r="CJ138" i="5"/>
  <c r="CJ25" i="7" s="1"/>
  <c r="CK138" i="5"/>
  <c r="CK25" i="7" s="1"/>
  <c r="CL138" i="5"/>
  <c r="CL25" i="7" s="1"/>
  <c r="CN138" i="5"/>
  <c r="CN25" i="7" s="1"/>
  <c r="CO138" i="5"/>
  <c r="CO25" i="7" s="1"/>
  <c r="CP138" i="5"/>
  <c r="CP25" i="7" s="1"/>
  <c r="CQ138" i="5"/>
  <c r="CQ25" i="7" s="1"/>
  <c r="CS138" i="5"/>
  <c r="CS25" i="7" s="1"/>
  <c r="CT138" i="5"/>
  <c r="CT25" i="7" s="1"/>
  <c r="CU138" i="5"/>
  <c r="CU25" i="7" s="1"/>
  <c r="CV138" i="5"/>
  <c r="CV25" i="7" s="1"/>
  <c r="CX138" i="5"/>
  <c r="CX25" i="7" s="1"/>
  <c r="CY138" i="5"/>
  <c r="CY25" i="7" s="1"/>
  <c r="CZ138" i="5"/>
  <c r="CZ25" i="7" s="1"/>
  <c r="DA138" i="5"/>
  <c r="DA25" i="7" s="1"/>
  <c r="DE138" i="5"/>
  <c r="DE25" i="7" s="1"/>
  <c r="DF138" i="5"/>
  <c r="DF25" i="7" s="1"/>
  <c r="DH138" i="5"/>
  <c r="DH25" i="7" s="1"/>
  <c r="DI138" i="5"/>
  <c r="DI25" i="7" s="1"/>
  <c r="DJ138" i="5"/>
  <c r="DJ25" i="7" s="1"/>
  <c r="DK138" i="5"/>
  <c r="DK25" i="7" s="1"/>
  <c r="DM138" i="5"/>
  <c r="DM25" i="7" s="1"/>
  <c r="DN138" i="5"/>
  <c r="DN25" i="7" s="1"/>
  <c r="DO138" i="5"/>
  <c r="DO25" i="7" s="1"/>
  <c r="DP138" i="5"/>
  <c r="DP25" i="7" s="1"/>
  <c r="DR138" i="5"/>
  <c r="DR25" i="7" s="1"/>
  <c r="DS138" i="5"/>
  <c r="DS25" i="7" s="1"/>
  <c r="DT138" i="5"/>
  <c r="DT25" i="7" s="1"/>
  <c r="B138" i="5"/>
  <c r="B137" i="5"/>
  <c r="B136" i="5"/>
  <c r="B135" i="5"/>
  <c r="B134" i="5"/>
  <c r="B133" i="5"/>
  <c r="B132" i="5"/>
  <c r="B131" i="5"/>
  <c r="B130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O88" i="5"/>
  <c r="BP88" i="5"/>
  <c r="BQ88" i="5"/>
  <c r="BR88" i="5"/>
  <c r="BT88" i="5"/>
  <c r="BU88" i="5"/>
  <c r="BV88" i="5"/>
  <c r="BW88" i="5"/>
  <c r="BY88" i="5"/>
  <c r="BZ88" i="5"/>
  <c r="CA88" i="5"/>
  <c r="CB88" i="5"/>
  <c r="CD88" i="5"/>
  <c r="CE88" i="5"/>
  <c r="CF88" i="5"/>
  <c r="CG88" i="5"/>
  <c r="CI88" i="5"/>
  <c r="CJ88" i="5"/>
  <c r="CK88" i="5"/>
  <c r="CL88" i="5"/>
  <c r="CN88" i="5"/>
  <c r="CO88" i="5"/>
  <c r="CP88" i="5"/>
  <c r="CQ88" i="5"/>
  <c r="CS88" i="5"/>
  <c r="CT88" i="5"/>
  <c r="CU88" i="5"/>
  <c r="CV88" i="5"/>
  <c r="CX88" i="5"/>
  <c r="CY88" i="5"/>
  <c r="CZ88" i="5"/>
  <c r="DA88" i="5"/>
  <c r="DC88" i="5"/>
  <c r="DD88" i="5"/>
  <c r="DE88" i="5"/>
  <c r="DF88" i="5"/>
  <c r="DH88" i="5"/>
  <c r="DI88" i="5"/>
  <c r="DJ88" i="5"/>
  <c r="DK88" i="5"/>
  <c r="DM88" i="5"/>
  <c r="DN88" i="5"/>
  <c r="DO88" i="5"/>
  <c r="DP88" i="5"/>
  <c r="DR88" i="5"/>
  <c r="DS88" i="5"/>
  <c r="DT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O89" i="5"/>
  <c r="BP89" i="5"/>
  <c r="BQ89" i="5"/>
  <c r="BR89" i="5"/>
  <c r="BT89" i="5"/>
  <c r="BU89" i="5"/>
  <c r="BV89" i="5"/>
  <c r="BW89" i="5"/>
  <c r="BY89" i="5"/>
  <c r="BZ89" i="5"/>
  <c r="CA89" i="5"/>
  <c r="CB89" i="5"/>
  <c r="CD89" i="5"/>
  <c r="CE89" i="5"/>
  <c r="CF89" i="5"/>
  <c r="CG89" i="5"/>
  <c r="CI89" i="5"/>
  <c r="CJ89" i="5"/>
  <c r="CK89" i="5"/>
  <c r="CL89" i="5"/>
  <c r="CN89" i="5"/>
  <c r="CO89" i="5"/>
  <c r="CP89" i="5"/>
  <c r="CQ89" i="5"/>
  <c r="CS89" i="5"/>
  <c r="CT89" i="5"/>
  <c r="CU89" i="5"/>
  <c r="CV89" i="5"/>
  <c r="CX89" i="5"/>
  <c r="CY89" i="5"/>
  <c r="CZ89" i="5"/>
  <c r="DA89" i="5"/>
  <c r="DC89" i="5"/>
  <c r="DD89" i="5"/>
  <c r="DE89" i="5"/>
  <c r="DF89" i="5"/>
  <c r="DH89" i="5"/>
  <c r="DI89" i="5"/>
  <c r="DJ89" i="5"/>
  <c r="DK89" i="5"/>
  <c r="DM89" i="5"/>
  <c r="DN89" i="5"/>
  <c r="DO89" i="5"/>
  <c r="DP89" i="5"/>
  <c r="DR89" i="5"/>
  <c r="DS89" i="5"/>
  <c r="DT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O90" i="5"/>
  <c r="BP90" i="5"/>
  <c r="BQ90" i="5"/>
  <c r="BR90" i="5"/>
  <c r="BT90" i="5"/>
  <c r="BU90" i="5"/>
  <c r="BV90" i="5"/>
  <c r="BW90" i="5"/>
  <c r="BY90" i="5"/>
  <c r="BZ90" i="5"/>
  <c r="CA90" i="5"/>
  <c r="CB90" i="5"/>
  <c r="CD90" i="5"/>
  <c r="CE90" i="5"/>
  <c r="CF90" i="5"/>
  <c r="CG90" i="5"/>
  <c r="CI90" i="5"/>
  <c r="CJ90" i="5"/>
  <c r="CK90" i="5"/>
  <c r="CL90" i="5"/>
  <c r="CN90" i="5"/>
  <c r="CO90" i="5"/>
  <c r="CP90" i="5"/>
  <c r="CQ90" i="5"/>
  <c r="CS90" i="5"/>
  <c r="CT90" i="5"/>
  <c r="CU90" i="5"/>
  <c r="CV90" i="5"/>
  <c r="CX90" i="5"/>
  <c r="CY90" i="5"/>
  <c r="CZ90" i="5"/>
  <c r="DA90" i="5"/>
  <c r="DC90" i="5"/>
  <c r="DD90" i="5"/>
  <c r="DE90" i="5"/>
  <c r="DF90" i="5"/>
  <c r="DH90" i="5"/>
  <c r="DI90" i="5"/>
  <c r="DJ90" i="5"/>
  <c r="DK90" i="5"/>
  <c r="DM90" i="5"/>
  <c r="DN90" i="5"/>
  <c r="DO90" i="5"/>
  <c r="DP90" i="5"/>
  <c r="DR90" i="5"/>
  <c r="DS90" i="5"/>
  <c r="DT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O91" i="5"/>
  <c r="BP91" i="5"/>
  <c r="BQ91" i="5"/>
  <c r="BR91" i="5"/>
  <c r="BT91" i="5"/>
  <c r="BU91" i="5"/>
  <c r="BV91" i="5"/>
  <c r="BW91" i="5"/>
  <c r="BY91" i="5"/>
  <c r="BZ91" i="5"/>
  <c r="CA91" i="5"/>
  <c r="CB91" i="5"/>
  <c r="CD91" i="5"/>
  <c r="CE91" i="5"/>
  <c r="CF91" i="5"/>
  <c r="CG91" i="5"/>
  <c r="CI91" i="5"/>
  <c r="CJ91" i="5"/>
  <c r="CK91" i="5"/>
  <c r="CL91" i="5"/>
  <c r="CN91" i="5"/>
  <c r="CO91" i="5"/>
  <c r="CP91" i="5"/>
  <c r="CQ91" i="5"/>
  <c r="CS91" i="5"/>
  <c r="CT91" i="5"/>
  <c r="CU91" i="5"/>
  <c r="CV91" i="5"/>
  <c r="CX91" i="5"/>
  <c r="CY91" i="5"/>
  <c r="CZ91" i="5"/>
  <c r="DA91" i="5"/>
  <c r="DC91" i="5"/>
  <c r="DD91" i="5"/>
  <c r="DE91" i="5"/>
  <c r="DF91" i="5"/>
  <c r="DH91" i="5"/>
  <c r="DI91" i="5"/>
  <c r="DJ91" i="5"/>
  <c r="DK91" i="5"/>
  <c r="DM91" i="5"/>
  <c r="DN91" i="5"/>
  <c r="DO91" i="5"/>
  <c r="DP91" i="5"/>
  <c r="DR91" i="5"/>
  <c r="DS91" i="5"/>
  <c r="DT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O92" i="5"/>
  <c r="BP92" i="5"/>
  <c r="BQ92" i="5"/>
  <c r="BR92" i="5"/>
  <c r="BT92" i="5"/>
  <c r="BU92" i="5"/>
  <c r="BV92" i="5"/>
  <c r="BW92" i="5"/>
  <c r="BY92" i="5"/>
  <c r="BZ92" i="5"/>
  <c r="CA92" i="5"/>
  <c r="CB92" i="5"/>
  <c r="CD92" i="5"/>
  <c r="CE92" i="5"/>
  <c r="CF92" i="5"/>
  <c r="CG92" i="5"/>
  <c r="CI92" i="5"/>
  <c r="CJ92" i="5"/>
  <c r="CK92" i="5"/>
  <c r="CL92" i="5"/>
  <c r="CN92" i="5"/>
  <c r="CO92" i="5"/>
  <c r="CP92" i="5"/>
  <c r="CQ92" i="5"/>
  <c r="CS92" i="5"/>
  <c r="CT92" i="5"/>
  <c r="CU92" i="5"/>
  <c r="CV92" i="5"/>
  <c r="CX92" i="5"/>
  <c r="CY92" i="5"/>
  <c r="CZ92" i="5"/>
  <c r="DA92" i="5"/>
  <c r="DC92" i="5"/>
  <c r="DD92" i="5"/>
  <c r="DE92" i="5"/>
  <c r="DF92" i="5"/>
  <c r="DH92" i="5"/>
  <c r="DI92" i="5"/>
  <c r="DJ92" i="5"/>
  <c r="DK92" i="5"/>
  <c r="DM92" i="5"/>
  <c r="DN92" i="5"/>
  <c r="DO92" i="5"/>
  <c r="DP92" i="5"/>
  <c r="DR92" i="5"/>
  <c r="DS92" i="5"/>
  <c r="DT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O93" i="5"/>
  <c r="BP93" i="5"/>
  <c r="BQ93" i="5"/>
  <c r="BR93" i="5"/>
  <c r="BT93" i="5"/>
  <c r="BU93" i="5"/>
  <c r="BV93" i="5"/>
  <c r="BW93" i="5"/>
  <c r="BY93" i="5"/>
  <c r="BZ93" i="5"/>
  <c r="CA93" i="5"/>
  <c r="CB93" i="5"/>
  <c r="CD93" i="5"/>
  <c r="CE93" i="5"/>
  <c r="CF93" i="5"/>
  <c r="CG93" i="5"/>
  <c r="CI93" i="5"/>
  <c r="CJ93" i="5"/>
  <c r="CK93" i="5"/>
  <c r="CL93" i="5"/>
  <c r="CN93" i="5"/>
  <c r="CO93" i="5"/>
  <c r="CP93" i="5"/>
  <c r="CQ93" i="5"/>
  <c r="CS93" i="5"/>
  <c r="CT93" i="5"/>
  <c r="CU93" i="5"/>
  <c r="CV93" i="5"/>
  <c r="CX93" i="5"/>
  <c r="CY93" i="5"/>
  <c r="CZ93" i="5"/>
  <c r="DA93" i="5"/>
  <c r="DC93" i="5"/>
  <c r="DD93" i="5"/>
  <c r="DE93" i="5"/>
  <c r="DF93" i="5"/>
  <c r="DH93" i="5"/>
  <c r="DI93" i="5"/>
  <c r="DJ93" i="5"/>
  <c r="DK93" i="5"/>
  <c r="DM93" i="5"/>
  <c r="DN93" i="5"/>
  <c r="DO93" i="5"/>
  <c r="DP93" i="5"/>
  <c r="DR93" i="5"/>
  <c r="DS93" i="5"/>
  <c r="DT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O94" i="5"/>
  <c r="BP94" i="5"/>
  <c r="BQ94" i="5"/>
  <c r="BR94" i="5"/>
  <c r="BT94" i="5"/>
  <c r="BU94" i="5"/>
  <c r="BV94" i="5"/>
  <c r="BW94" i="5"/>
  <c r="BY94" i="5"/>
  <c r="BZ94" i="5"/>
  <c r="CA94" i="5"/>
  <c r="CB94" i="5"/>
  <c r="CD94" i="5"/>
  <c r="CE94" i="5"/>
  <c r="CF94" i="5"/>
  <c r="CG94" i="5"/>
  <c r="CI94" i="5"/>
  <c r="CJ94" i="5"/>
  <c r="CK94" i="5"/>
  <c r="CL94" i="5"/>
  <c r="CN94" i="5"/>
  <c r="CO94" i="5"/>
  <c r="CP94" i="5"/>
  <c r="CQ94" i="5"/>
  <c r="CS94" i="5"/>
  <c r="CT94" i="5"/>
  <c r="CU94" i="5"/>
  <c r="CV94" i="5"/>
  <c r="CX94" i="5"/>
  <c r="CY94" i="5"/>
  <c r="CZ94" i="5"/>
  <c r="DA94" i="5"/>
  <c r="DC94" i="5"/>
  <c r="DD94" i="5"/>
  <c r="DE94" i="5"/>
  <c r="DF94" i="5"/>
  <c r="DH94" i="5"/>
  <c r="DI94" i="5"/>
  <c r="DJ94" i="5"/>
  <c r="DK94" i="5"/>
  <c r="DM94" i="5"/>
  <c r="DN94" i="5"/>
  <c r="DO94" i="5"/>
  <c r="DP94" i="5"/>
  <c r="DR94" i="5"/>
  <c r="DS94" i="5"/>
  <c r="DT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O95" i="5"/>
  <c r="BP95" i="5"/>
  <c r="BQ95" i="5"/>
  <c r="BR95" i="5"/>
  <c r="BT95" i="5"/>
  <c r="BU95" i="5"/>
  <c r="BV95" i="5"/>
  <c r="BW95" i="5"/>
  <c r="BY95" i="5"/>
  <c r="BZ95" i="5"/>
  <c r="CA95" i="5"/>
  <c r="CB95" i="5"/>
  <c r="CD95" i="5"/>
  <c r="CE95" i="5"/>
  <c r="CF95" i="5"/>
  <c r="CG95" i="5"/>
  <c r="CI95" i="5"/>
  <c r="CJ95" i="5"/>
  <c r="CK95" i="5"/>
  <c r="CL95" i="5"/>
  <c r="CN95" i="5"/>
  <c r="CO95" i="5"/>
  <c r="CP95" i="5"/>
  <c r="CQ95" i="5"/>
  <c r="CS95" i="5"/>
  <c r="CT95" i="5"/>
  <c r="CU95" i="5"/>
  <c r="CV95" i="5"/>
  <c r="CZ95" i="5"/>
  <c r="DA95" i="5"/>
  <c r="DC95" i="5"/>
  <c r="DD95" i="5"/>
  <c r="DE95" i="5"/>
  <c r="DF95" i="5"/>
  <c r="DH95" i="5"/>
  <c r="DI95" i="5"/>
  <c r="DJ95" i="5"/>
  <c r="DK95" i="5"/>
  <c r="DM95" i="5"/>
  <c r="DN95" i="5"/>
  <c r="DO95" i="5"/>
  <c r="DP95" i="5"/>
  <c r="DR95" i="5"/>
  <c r="DS95" i="5"/>
  <c r="DT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O96" i="5"/>
  <c r="BP96" i="5"/>
  <c r="BQ96" i="5"/>
  <c r="BR96" i="5"/>
  <c r="BT96" i="5"/>
  <c r="BU96" i="5"/>
  <c r="BV96" i="5"/>
  <c r="BW96" i="5"/>
  <c r="BY96" i="5"/>
  <c r="BZ96" i="5"/>
  <c r="CA96" i="5"/>
  <c r="CB96" i="5"/>
  <c r="CD96" i="5"/>
  <c r="CE96" i="5"/>
  <c r="CF96" i="5"/>
  <c r="CG96" i="5"/>
  <c r="CI96" i="5"/>
  <c r="CJ96" i="5"/>
  <c r="CK96" i="5"/>
  <c r="CL96" i="5"/>
  <c r="CN96" i="5"/>
  <c r="CO96" i="5"/>
  <c r="CP96" i="5"/>
  <c r="CQ96" i="5"/>
  <c r="CS96" i="5"/>
  <c r="CT96" i="5"/>
  <c r="CU96" i="5"/>
  <c r="CV96" i="5"/>
  <c r="CZ96" i="5"/>
  <c r="DA96" i="5"/>
  <c r="DC96" i="5"/>
  <c r="DD96" i="5"/>
  <c r="DE96" i="5"/>
  <c r="DF96" i="5"/>
  <c r="DH96" i="5"/>
  <c r="DI96" i="5"/>
  <c r="DJ96" i="5"/>
  <c r="DK96" i="5"/>
  <c r="DM96" i="5"/>
  <c r="DN96" i="5"/>
  <c r="DO96" i="5"/>
  <c r="DP96" i="5"/>
  <c r="DR96" i="5"/>
  <c r="DS96" i="5"/>
  <c r="DT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O97" i="5"/>
  <c r="BP97" i="5"/>
  <c r="BQ97" i="5"/>
  <c r="BR97" i="5"/>
  <c r="BT97" i="5"/>
  <c r="BU97" i="5"/>
  <c r="BV97" i="5"/>
  <c r="BW97" i="5"/>
  <c r="BY97" i="5"/>
  <c r="BZ97" i="5"/>
  <c r="CA97" i="5"/>
  <c r="CB97" i="5"/>
  <c r="CD97" i="5"/>
  <c r="CE97" i="5"/>
  <c r="CF97" i="5"/>
  <c r="CG97" i="5"/>
  <c r="CI97" i="5"/>
  <c r="CJ97" i="5"/>
  <c r="CK97" i="5"/>
  <c r="CL97" i="5"/>
  <c r="CN97" i="5"/>
  <c r="CO97" i="5"/>
  <c r="CP97" i="5"/>
  <c r="CQ97" i="5"/>
  <c r="CS97" i="5"/>
  <c r="CT97" i="5"/>
  <c r="CU97" i="5"/>
  <c r="CV97" i="5"/>
  <c r="CZ97" i="5"/>
  <c r="DA97" i="5"/>
  <c r="DC97" i="5"/>
  <c r="DD97" i="5"/>
  <c r="DE97" i="5"/>
  <c r="DF97" i="5"/>
  <c r="DH97" i="5"/>
  <c r="DI97" i="5"/>
  <c r="DJ97" i="5"/>
  <c r="DK97" i="5"/>
  <c r="DM97" i="5"/>
  <c r="DN97" i="5"/>
  <c r="DO97" i="5"/>
  <c r="DP97" i="5"/>
  <c r="DR97" i="5"/>
  <c r="DS97" i="5"/>
  <c r="DT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O98" i="5"/>
  <c r="BP98" i="5"/>
  <c r="BQ98" i="5"/>
  <c r="BR98" i="5"/>
  <c r="BT98" i="5"/>
  <c r="BU98" i="5"/>
  <c r="BV98" i="5"/>
  <c r="BW98" i="5"/>
  <c r="BY98" i="5"/>
  <c r="BZ98" i="5"/>
  <c r="CA98" i="5"/>
  <c r="CB98" i="5"/>
  <c r="CD98" i="5"/>
  <c r="CE98" i="5"/>
  <c r="CF98" i="5"/>
  <c r="CG98" i="5"/>
  <c r="CI98" i="5"/>
  <c r="CJ98" i="5"/>
  <c r="CK98" i="5"/>
  <c r="CL98" i="5"/>
  <c r="CN98" i="5"/>
  <c r="CO98" i="5"/>
  <c r="CP98" i="5"/>
  <c r="CQ98" i="5"/>
  <c r="CS98" i="5"/>
  <c r="CT98" i="5"/>
  <c r="CU98" i="5"/>
  <c r="CV98" i="5"/>
  <c r="CZ98" i="5"/>
  <c r="DA98" i="5"/>
  <c r="DC98" i="5"/>
  <c r="DD98" i="5"/>
  <c r="DE98" i="5"/>
  <c r="DF98" i="5"/>
  <c r="DH98" i="5"/>
  <c r="DI98" i="5"/>
  <c r="DJ98" i="5"/>
  <c r="DK98" i="5"/>
  <c r="DM98" i="5"/>
  <c r="DN98" i="5"/>
  <c r="DO98" i="5"/>
  <c r="DP98" i="5"/>
  <c r="DR98" i="5"/>
  <c r="DS98" i="5"/>
  <c r="DT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O99" i="5"/>
  <c r="BP99" i="5"/>
  <c r="BQ99" i="5"/>
  <c r="BR99" i="5"/>
  <c r="BT99" i="5"/>
  <c r="BU99" i="5"/>
  <c r="BV99" i="5"/>
  <c r="BW99" i="5"/>
  <c r="BY99" i="5"/>
  <c r="BZ99" i="5"/>
  <c r="CA99" i="5"/>
  <c r="CB99" i="5"/>
  <c r="CD99" i="5"/>
  <c r="CE99" i="5"/>
  <c r="CF99" i="5"/>
  <c r="CG99" i="5"/>
  <c r="CI99" i="5"/>
  <c r="CJ99" i="5"/>
  <c r="CK99" i="5"/>
  <c r="CL99" i="5"/>
  <c r="CN99" i="5"/>
  <c r="CO99" i="5"/>
  <c r="CP99" i="5"/>
  <c r="CQ99" i="5"/>
  <c r="CS99" i="5"/>
  <c r="CT99" i="5"/>
  <c r="CU99" i="5"/>
  <c r="CV99" i="5"/>
  <c r="CY99" i="5"/>
  <c r="CZ99" i="5"/>
  <c r="DA99" i="5"/>
  <c r="DC99" i="5"/>
  <c r="DD99" i="5"/>
  <c r="DE99" i="5"/>
  <c r="DF99" i="5"/>
  <c r="DH99" i="5"/>
  <c r="DI99" i="5"/>
  <c r="DJ99" i="5"/>
  <c r="DK99" i="5"/>
  <c r="DM99" i="5"/>
  <c r="DN99" i="5"/>
  <c r="DO99" i="5"/>
  <c r="DP99" i="5"/>
  <c r="DR99" i="5"/>
  <c r="DS99" i="5"/>
  <c r="DT99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O102" i="5"/>
  <c r="BP102" i="5"/>
  <c r="BQ102" i="5"/>
  <c r="BR102" i="5"/>
  <c r="BT102" i="5"/>
  <c r="BU102" i="5"/>
  <c r="BV102" i="5"/>
  <c r="BW102" i="5"/>
  <c r="BY102" i="5"/>
  <c r="BZ102" i="5"/>
  <c r="CA102" i="5"/>
  <c r="CB102" i="5"/>
  <c r="CD102" i="5"/>
  <c r="CE102" i="5"/>
  <c r="CF102" i="5"/>
  <c r="CG102" i="5"/>
  <c r="CI102" i="5"/>
  <c r="CJ102" i="5"/>
  <c r="CK102" i="5"/>
  <c r="CL102" i="5"/>
  <c r="CN102" i="5"/>
  <c r="CO102" i="5"/>
  <c r="CP102" i="5"/>
  <c r="CQ102" i="5"/>
  <c r="CS102" i="5"/>
  <c r="CT102" i="5"/>
  <c r="CU102" i="5"/>
  <c r="CV102" i="5"/>
  <c r="CX102" i="5"/>
  <c r="CY102" i="5"/>
  <c r="CZ102" i="5"/>
  <c r="DA102" i="5"/>
  <c r="DC102" i="5"/>
  <c r="DD102" i="5"/>
  <c r="DE102" i="5"/>
  <c r="DF102" i="5"/>
  <c r="DH102" i="5"/>
  <c r="DI102" i="5"/>
  <c r="DJ102" i="5"/>
  <c r="DK102" i="5"/>
  <c r="DM102" i="5"/>
  <c r="DN102" i="5"/>
  <c r="DO102" i="5"/>
  <c r="DP102" i="5"/>
  <c r="DR102" i="5"/>
  <c r="DS102" i="5"/>
  <c r="DT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O103" i="5"/>
  <c r="BP103" i="5"/>
  <c r="BQ103" i="5"/>
  <c r="BR103" i="5"/>
  <c r="BT103" i="5"/>
  <c r="BU103" i="5"/>
  <c r="BV103" i="5"/>
  <c r="BW103" i="5"/>
  <c r="BY103" i="5"/>
  <c r="BZ103" i="5"/>
  <c r="CA103" i="5"/>
  <c r="CB103" i="5"/>
  <c r="CD103" i="5"/>
  <c r="CE103" i="5"/>
  <c r="CF103" i="5"/>
  <c r="CG103" i="5"/>
  <c r="CI103" i="5"/>
  <c r="CJ103" i="5"/>
  <c r="CK103" i="5"/>
  <c r="CL103" i="5"/>
  <c r="CN103" i="5"/>
  <c r="CO103" i="5"/>
  <c r="CP103" i="5"/>
  <c r="CQ103" i="5"/>
  <c r="CS103" i="5"/>
  <c r="CT103" i="5"/>
  <c r="CU103" i="5"/>
  <c r="CV103" i="5"/>
  <c r="CX103" i="5"/>
  <c r="CY103" i="5"/>
  <c r="CZ103" i="5"/>
  <c r="DA103" i="5"/>
  <c r="DC103" i="5"/>
  <c r="DD103" i="5"/>
  <c r="DE103" i="5"/>
  <c r="DF103" i="5"/>
  <c r="DH103" i="5"/>
  <c r="DI103" i="5"/>
  <c r="DJ103" i="5"/>
  <c r="DK103" i="5"/>
  <c r="DM103" i="5"/>
  <c r="DN103" i="5"/>
  <c r="DO103" i="5"/>
  <c r="DP103" i="5"/>
  <c r="DR103" i="5"/>
  <c r="DS103" i="5"/>
  <c r="DT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O104" i="5"/>
  <c r="BP104" i="5"/>
  <c r="BQ104" i="5"/>
  <c r="BR104" i="5"/>
  <c r="BT104" i="5"/>
  <c r="BU104" i="5"/>
  <c r="BV104" i="5"/>
  <c r="BW104" i="5"/>
  <c r="BY104" i="5"/>
  <c r="BZ104" i="5"/>
  <c r="CA104" i="5"/>
  <c r="CB104" i="5"/>
  <c r="CD104" i="5"/>
  <c r="CE104" i="5"/>
  <c r="CF104" i="5"/>
  <c r="CG104" i="5"/>
  <c r="CI104" i="5"/>
  <c r="CJ104" i="5"/>
  <c r="CK104" i="5"/>
  <c r="CL104" i="5"/>
  <c r="CN104" i="5"/>
  <c r="CO104" i="5"/>
  <c r="CP104" i="5"/>
  <c r="CQ104" i="5"/>
  <c r="CS104" i="5"/>
  <c r="CT104" i="5"/>
  <c r="CU104" i="5"/>
  <c r="CV104" i="5"/>
  <c r="CX104" i="5"/>
  <c r="CY104" i="5"/>
  <c r="CZ104" i="5"/>
  <c r="DA104" i="5"/>
  <c r="DC104" i="5"/>
  <c r="DD104" i="5"/>
  <c r="DE104" i="5"/>
  <c r="DF104" i="5"/>
  <c r="DH104" i="5"/>
  <c r="DI104" i="5"/>
  <c r="DJ104" i="5"/>
  <c r="DK104" i="5"/>
  <c r="DM104" i="5"/>
  <c r="DN104" i="5"/>
  <c r="DO104" i="5"/>
  <c r="DP104" i="5"/>
  <c r="DR104" i="5"/>
  <c r="DS104" i="5"/>
  <c r="DT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O105" i="5"/>
  <c r="BP105" i="5"/>
  <c r="BQ105" i="5"/>
  <c r="BR105" i="5"/>
  <c r="BT105" i="5"/>
  <c r="BU105" i="5"/>
  <c r="BV105" i="5"/>
  <c r="BW105" i="5"/>
  <c r="BY105" i="5"/>
  <c r="BZ105" i="5"/>
  <c r="CA105" i="5"/>
  <c r="CB105" i="5"/>
  <c r="CD105" i="5"/>
  <c r="CE105" i="5"/>
  <c r="CF105" i="5"/>
  <c r="CG105" i="5"/>
  <c r="CI105" i="5"/>
  <c r="CJ105" i="5"/>
  <c r="CK105" i="5"/>
  <c r="CL105" i="5"/>
  <c r="CN105" i="5"/>
  <c r="CO105" i="5"/>
  <c r="CP105" i="5"/>
  <c r="CQ105" i="5"/>
  <c r="CS105" i="5"/>
  <c r="CT105" i="5"/>
  <c r="CU105" i="5"/>
  <c r="CV105" i="5"/>
  <c r="DE105" i="5"/>
  <c r="DF105" i="5"/>
  <c r="DH105" i="5"/>
  <c r="DI105" i="5"/>
  <c r="DJ105" i="5"/>
  <c r="DK105" i="5"/>
  <c r="DM105" i="5"/>
  <c r="DN105" i="5"/>
  <c r="DO105" i="5"/>
  <c r="DP105" i="5"/>
  <c r="DR105" i="5"/>
  <c r="DS105" i="5"/>
  <c r="DT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O106" i="5"/>
  <c r="BP106" i="5"/>
  <c r="BQ106" i="5"/>
  <c r="BR106" i="5"/>
  <c r="BT106" i="5"/>
  <c r="BU106" i="5"/>
  <c r="BV106" i="5"/>
  <c r="BW106" i="5"/>
  <c r="BY106" i="5"/>
  <c r="BZ106" i="5"/>
  <c r="CA106" i="5"/>
  <c r="CB106" i="5"/>
  <c r="CD106" i="5"/>
  <c r="CE106" i="5"/>
  <c r="CF106" i="5"/>
  <c r="CG106" i="5"/>
  <c r="CI106" i="5"/>
  <c r="CJ106" i="5"/>
  <c r="CK106" i="5"/>
  <c r="CL106" i="5"/>
  <c r="CN106" i="5"/>
  <c r="CO106" i="5"/>
  <c r="CP106" i="5"/>
  <c r="CQ106" i="5"/>
  <c r="CS106" i="5"/>
  <c r="CT106" i="5"/>
  <c r="CU106" i="5"/>
  <c r="CV106" i="5"/>
  <c r="DF106" i="5"/>
  <c r="DH106" i="5"/>
  <c r="DI106" i="5"/>
  <c r="DJ106" i="5"/>
  <c r="DK106" i="5"/>
  <c r="DM106" i="5"/>
  <c r="DN106" i="5"/>
  <c r="DO106" i="5"/>
  <c r="DP106" i="5"/>
  <c r="DR106" i="5"/>
  <c r="DS106" i="5"/>
  <c r="DT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O107" i="5"/>
  <c r="BP107" i="5"/>
  <c r="BQ107" i="5"/>
  <c r="BR107" i="5"/>
  <c r="BT107" i="5"/>
  <c r="BU107" i="5"/>
  <c r="BV107" i="5"/>
  <c r="BW107" i="5"/>
  <c r="BY107" i="5"/>
  <c r="BZ107" i="5"/>
  <c r="CA107" i="5"/>
  <c r="CB107" i="5"/>
  <c r="CD107" i="5"/>
  <c r="CE107" i="5"/>
  <c r="CF107" i="5"/>
  <c r="CG107" i="5"/>
  <c r="CI107" i="5"/>
  <c r="CJ107" i="5"/>
  <c r="CK107" i="5"/>
  <c r="CL107" i="5"/>
  <c r="CN107" i="5"/>
  <c r="CO107" i="5"/>
  <c r="CP107" i="5"/>
  <c r="CQ107" i="5"/>
  <c r="CS107" i="5"/>
  <c r="CT107" i="5"/>
  <c r="CU107" i="5"/>
  <c r="CV107" i="5"/>
  <c r="DF107" i="5"/>
  <c r="DH107" i="5"/>
  <c r="DI107" i="5"/>
  <c r="DJ107" i="5"/>
  <c r="DK107" i="5"/>
  <c r="DM107" i="5"/>
  <c r="DN107" i="5"/>
  <c r="DO107" i="5"/>
  <c r="DP107" i="5"/>
  <c r="DR107" i="5"/>
  <c r="DS107" i="5"/>
  <c r="DT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O108" i="5"/>
  <c r="BP108" i="5"/>
  <c r="BQ108" i="5"/>
  <c r="BR108" i="5"/>
  <c r="BT108" i="5"/>
  <c r="BU108" i="5"/>
  <c r="BV108" i="5"/>
  <c r="BW108" i="5"/>
  <c r="BY108" i="5"/>
  <c r="BZ108" i="5"/>
  <c r="CA108" i="5"/>
  <c r="CB108" i="5"/>
  <c r="CD108" i="5"/>
  <c r="CE108" i="5"/>
  <c r="CF108" i="5"/>
  <c r="CG108" i="5"/>
  <c r="CI108" i="5"/>
  <c r="CJ108" i="5"/>
  <c r="CK108" i="5"/>
  <c r="CL108" i="5"/>
  <c r="CN108" i="5"/>
  <c r="CO108" i="5"/>
  <c r="CP108" i="5"/>
  <c r="CQ108" i="5"/>
  <c r="CS108" i="5"/>
  <c r="CT108" i="5"/>
  <c r="CU108" i="5"/>
  <c r="CV108" i="5"/>
  <c r="DF108" i="5"/>
  <c r="DH108" i="5"/>
  <c r="DI108" i="5"/>
  <c r="DJ108" i="5"/>
  <c r="DK108" i="5"/>
  <c r="DM108" i="5"/>
  <c r="DN108" i="5"/>
  <c r="DO108" i="5"/>
  <c r="DP108" i="5"/>
  <c r="DR108" i="5"/>
  <c r="DS108" i="5"/>
  <c r="DT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O109" i="5"/>
  <c r="BP109" i="5"/>
  <c r="BQ109" i="5"/>
  <c r="BR109" i="5"/>
  <c r="BT109" i="5"/>
  <c r="BU109" i="5"/>
  <c r="BV109" i="5"/>
  <c r="BW109" i="5"/>
  <c r="BY109" i="5"/>
  <c r="BZ109" i="5"/>
  <c r="CA109" i="5"/>
  <c r="CB109" i="5"/>
  <c r="CD109" i="5"/>
  <c r="CE109" i="5"/>
  <c r="CF109" i="5"/>
  <c r="CG109" i="5"/>
  <c r="CI109" i="5"/>
  <c r="CJ109" i="5"/>
  <c r="CK109" i="5"/>
  <c r="CL109" i="5"/>
  <c r="CN109" i="5"/>
  <c r="CO109" i="5"/>
  <c r="CP109" i="5"/>
  <c r="CQ109" i="5"/>
  <c r="CS109" i="5"/>
  <c r="CT109" i="5"/>
  <c r="CU109" i="5"/>
  <c r="CV109" i="5"/>
  <c r="DF109" i="5"/>
  <c r="DH109" i="5"/>
  <c r="DI109" i="5"/>
  <c r="DJ109" i="5"/>
  <c r="DK109" i="5"/>
  <c r="DM109" i="5"/>
  <c r="DN109" i="5"/>
  <c r="DO109" i="5"/>
  <c r="DP109" i="5"/>
  <c r="DR109" i="5"/>
  <c r="DS109" i="5"/>
  <c r="DT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O110" i="5"/>
  <c r="BP110" i="5"/>
  <c r="BQ110" i="5"/>
  <c r="BR110" i="5"/>
  <c r="BT110" i="5"/>
  <c r="BU110" i="5"/>
  <c r="BV110" i="5"/>
  <c r="BW110" i="5"/>
  <c r="BY110" i="5"/>
  <c r="BZ110" i="5"/>
  <c r="CA110" i="5"/>
  <c r="CB110" i="5"/>
  <c r="CD110" i="5"/>
  <c r="CE110" i="5"/>
  <c r="CF110" i="5"/>
  <c r="CG110" i="5"/>
  <c r="CI110" i="5"/>
  <c r="CJ110" i="5"/>
  <c r="CK110" i="5"/>
  <c r="CL110" i="5"/>
  <c r="CN110" i="5"/>
  <c r="CO110" i="5"/>
  <c r="CP110" i="5"/>
  <c r="CQ110" i="5"/>
  <c r="CS110" i="5"/>
  <c r="CT110" i="5"/>
  <c r="CU110" i="5"/>
  <c r="CV110" i="5"/>
  <c r="CX110" i="5"/>
  <c r="CY110" i="5"/>
  <c r="CZ110" i="5"/>
  <c r="DA110" i="5"/>
  <c r="DC110" i="5"/>
  <c r="DD110" i="5"/>
  <c r="DE110" i="5"/>
  <c r="DF110" i="5"/>
  <c r="DH110" i="5"/>
  <c r="DI110" i="5"/>
  <c r="DJ110" i="5"/>
  <c r="DK110" i="5"/>
  <c r="DM110" i="5"/>
  <c r="DN110" i="5"/>
  <c r="DO110" i="5"/>
  <c r="DP110" i="5"/>
  <c r="DR110" i="5"/>
  <c r="DS110" i="5"/>
  <c r="DT110" i="5"/>
  <c r="B110" i="5"/>
  <c r="B109" i="5"/>
  <c r="B108" i="5"/>
  <c r="B107" i="5"/>
  <c r="B106" i="5"/>
  <c r="B105" i="5"/>
  <c r="B104" i="5"/>
  <c r="B103" i="5"/>
  <c r="B102" i="5"/>
  <c r="B99" i="5"/>
  <c r="B98" i="5"/>
  <c r="B97" i="5"/>
  <c r="B96" i="5"/>
  <c r="B95" i="5"/>
  <c r="B94" i="5"/>
  <c r="B93" i="5"/>
  <c r="B92" i="5"/>
  <c r="B91" i="5"/>
  <c r="B90" i="5"/>
  <c r="B89" i="5"/>
  <c r="B88" i="5"/>
  <c r="DT82" i="5"/>
  <c r="DS82" i="5"/>
  <c r="DR82" i="5"/>
  <c r="DP82" i="5"/>
  <c r="DO82" i="5"/>
  <c r="DN82" i="5"/>
  <c r="DM82" i="5"/>
  <c r="DK82" i="5"/>
  <c r="DJ82" i="5"/>
  <c r="DI82" i="5"/>
  <c r="DH82" i="5"/>
  <c r="CV82" i="5"/>
  <c r="CU82" i="5"/>
  <c r="CT82" i="5"/>
  <c r="CS82" i="5"/>
  <c r="CQ82" i="5"/>
  <c r="CP82" i="5"/>
  <c r="CO82" i="5"/>
  <c r="CN82" i="5"/>
  <c r="CL82" i="5"/>
  <c r="CK82" i="5"/>
  <c r="CJ82" i="5"/>
  <c r="CI82" i="5"/>
  <c r="CG82" i="5"/>
  <c r="CF82" i="5"/>
  <c r="CE82" i="5"/>
  <c r="CD82" i="5"/>
  <c r="CB82" i="5"/>
  <c r="CA82" i="5"/>
  <c r="BZ82" i="5"/>
  <c r="BY82" i="5"/>
  <c r="BW82" i="5"/>
  <c r="BV82" i="5"/>
  <c r="BU82" i="5"/>
  <c r="BT82" i="5"/>
  <c r="BR82" i="5"/>
  <c r="BQ82" i="5"/>
  <c r="BP82" i="5"/>
  <c r="BO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DT81" i="5"/>
  <c r="DS81" i="5"/>
  <c r="DR81" i="5"/>
  <c r="DP81" i="5"/>
  <c r="DO81" i="5"/>
  <c r="DN81" i="5"/>
  <c r="DM81" i="5"/>
  <c r="DK81" i="5"/>
  <c r="DJ81" i="5"/>
  <c r="DI81" i="5"/>
  <c r="DH81" i="5"/>
  <c r="CV81" i="5"/>
  <c r="CU81" i="5"/>
  <c r="CT81" i="5"/>
  <c r="CS81" i="5"/>
  <c r="CQ81" i="5"/>
  <c r="CP81" i="5"/>
  <c r="CO81" i="5"/>
  <c r="CN81" i="5"/>
  <c r="CL81" i="5"/>
  <c r="CK81" i="5"/>
  <c r="CJ81" i="5"/>
  <c r="CI81" i="5"/>
  <c r="CG81" i="5"/>
  <c r="CF81" i="5"/>
  <c r="CE81" i="5"/>
  <c r="CD81" i="5"/>
  <c r="CB81" i="5"/>
  <c r="CA81" i="5"/>
  <c r="BZ81" i="5"/>
  <c r="BY81" i="5"/>
  <c r="BW81" i="5"/>
  <c r="BV81" i="5"/>
  <c r="BU81" i="5"/>
  <c r="BT81" i="5"/>
  <c r="BR81" i="5"/>
  <c r="BQ81" i="5"/>
  <c r="BP81" i="5"/>
  <c r="BO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DT80" i="5"/>
  <c r="DS80" i="5"/>
  <c r="DR80" i="5"/>
  <c r="DP80" i="5"/>
  <c r="DO80" i="5"/>
  <c r="DN80" i="5"/>
  <c r="DM80" i="5"/>
  <c r="DK80" i="5"/>
  <c r="DJ80" i="5"/>
  <c r="DI80" i="5"/>
  <c r="DH80" i="5"/>
  <c r="CV80" i="5"/>
  <c r="CU80" i="5"/>
  <c r="CT80" i="5"/>
  <c r="CS80" i="5"/>
  <c r="CQ80" i="5"/>
  <c r="CP80" i="5"/>
  <c r="CO80" i="5"/>
  <c r="CN80" i="5"/>
  <c r="CL80" i="5"/>
  <c r="CK80" i="5"/>
  <c r="CJ80" i="5"/>
  <c r="CI80" i="5"/>
  <c r="CG80" i="5"/>
  <c r="CF80" i="5"/>
  <c r="CE80" i="5"/>
  <c r="CD80" i="5"/>
  <c r="CB80" i="5"/>
  <c r="CA80" i="5"/>
  <c r="BZ80" i="5"/>
  <c r="BY80" i="5"/>
  <c r="BW80" i="5"/>
  <c r="BV80" i="5"/>
  <c r="BU80" i="5"/>
  <c r="BT80" i="5"/>
  <c r="BR80" i="5"/>
  <c r="BQ80" i="5"/>
  <c r="BP80" i="5"/>
  <c r="BO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DT79" i="5"/>
  <c r="DS79" i="5"/>
  <c r="DR79" i="5"/>
  <c r="DP79" i="5"/>
  <c r="DO79" i="5"/>
  <c r="DN79" i="5"/>
  <c r="DM79" i="5"/>
  <c r="DK79" i="5"/>
  <c r="DJ79" i="5"/>
  <c r="DI79" i="5"/>
  <c r="DH79" i="5"/>
  <c r="CV79" i="5"/>
  <c r="CU79" i="5"/>
  <c r="CT79" i="5"/>
  <c r="CS79" i="5"/>
  <c r="CQ79" i="5"/>
  <c r="CP79" i="5"/>
  <c r="CO79" i="5"/>
  <c r="CN79" i="5"/>
  <c r="CL79" i="5"/>
  <c r="CK79" i="5"/>
  <c r="CJ79" i="5"/>
  <c r="CI79" i="5"/>
  <c r="CG79" i="5"/>
  <c r="CF79" i="5"/>
  <c r="CE79" i="5"/>
  <c r="CD79" i="5"/>
  <c r="CB79" i="5"/>
  <c r="CA79" i="5"/>
  <c r="BZ79" i="5"/>
  <c r="BY79" i="5"/>
  <c r="BW79" i="5"/>
  <c r="BV79" i="5"/>
  <c r="BU79" i="5"/>
  <c r="BT79" i="5"/>
  <c r="BR79" i="5"/>
  <c r="BQ79" i="5"/>
  <c r="BP79" i="5"/>
  <c r="BO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DT78" i="5"/>
  <c r="DS78" i="5"/>
  <c r="DR78" i="5"/>
  <c r="DP78" i="5"/>
  <c r="DO78" i="5"/>
  <c r="DN78" i="5"/>
  <c r="DM78" i="5"/>
  <c r="DK78" i="5"/>
  <c r="DJ78" i="5"/>
  <c r="DI78" i="5"/>
  <c r="DH78" i="5"/>
  <c r="CV78" i="5"/>
  <c r="CU78" i="5"/>
  <c r="CT78" i="5"/>
  <c r="CS78" i="5"/>
  <c r="CQ78" i="5"/>
  <c r="CP78" i="5"/>
  <c r="CO78" i="5"/>
  <c r="CN78" i="5"/>
  <c r="CL78" i="5"/>
  <c r="CK78" i="5"/>
  <c r="CJ78" i="5"/>
  <c r="CI78" i="5"/>
  <c r="CG78" i="5"/>
  <c r="CF78" i="5"/>
  <c r="CE78" i="5"/>
  <c r="CD78" i="5"/>
  <c r="CB78" i="5"/>
  <c r="CA78" i="5"/>
  <c r="BZ78" i="5"/>
  <c r="BY78" i="5"/>
  <c r="BW78" i="5"/>
  <c r="BV78" i="5"/>
  <c r="BU78" i="5"/>
  <c r="BT78" i="5"/>
  <c r="BR78" i="5"/>
  <c r="BQ78" i="5"/>
  <c r="BP78" i="5"/>
  <c r="BO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DT77" i="5"/>
  <c r="DS77" i="5"/>
  <c r="DR77" i="5"/>
  <c r="DP77" i="5"/>
  <c r="DO77" i="5"/>
  <c r="DN77" i="5"/>
  <c r="DM77" i="5"/>
  <c r="DK77" i="5"/>
  <c r="DJ77" i="5"/>
  <c r="DI77" i="5"/>
  <c r="DH77" i="5"/>
  <c r="CV77" i="5"/>
  <c r="CU77" i="5"/>
  <c r="CT77" i="5"/>
  <c r="CS77" i="5"/>
  <c r="CQ77" i="5"/>
  <c r="CP77" i="5"/>
  <c r="CO77" i="5"/>
  <c r="CN77" i="5"/>
  <c r="CL77" i="5"/>
  <c r="CK77" i="5"/>
  <c r="CJ77" i="5"/>
  <c r="CI77" i="5"/>
  <c r="CG77" i="5"/>
  <c r="CF77" i="5"/>
  <c r="CE77" i="5"/>
  <c r="CD77" i="5"/>
  <c r="CB77" i="5"/>
  <c r="CA77" i="5"/>
  <c r="BZ77" i="5"/>
  <c r="BY77" i="5"/>
  <c r="BW77" i="5"/>
  <c r="BV77" i="5"/>
  <c r="BU77" i="5"/>
  <c r="BT77" i="5"/>
  <c r="BR77" i="5"/>
  <c r="BQ77" i="5"/>
  <c r="BP77" i="5"/>
  <c r="BO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DT76" i="5"/>
  <c r="DS76" i="5"/>
  <c r="DR76" i="5"/>
  <c r="DP76" i="5"/>
  <c r="DO76" i="5"/>
  <c r="DN76" i="5"/>
  <c r="DM76" i="5"/>
  <c r="DK76" i="5"/>
  <c r="DJ76" i="5"/>
  <c r="DI76" i="5"/>
  <c r="DH76" i="5"/>
  <c r="DF76" i="5"/>
  <c r="DE76" i="5"/>
  <c r="DD76" i="5"/>
  <c r="DC76" i="5"/>
  <c r="DA76" i="5"/>
  <c r="CZ76" i="5"/>
  <c r="CY76" i="5"/>
  <c r="CX76" i="5"/>
  <c r="CV76" i="5"/>
  <c r="CU76" i="5"/>
  <c r="CT76" i="5"/>
  <c r="CS76" i="5"/>
  <c r="CQ76" i="5"/>
  <c r="CP76" i="5"/>
  <c r="CO76" i="5"/>
  <c r="CN76" i="5"/>
  <c r="CL76" i="5"/>
  <c r="CK76" i="5"/>
  <c r="CJ76" i="5"/>
  <c r="CI76" i="5"/>
  <c r="CG76" i="5"/>
  <c r="CF76" i="5"/>
  <c r="CE76" i="5"/>
  <c r="CD76" i="5"/>
  <c r="CB76" i="5"/>
  <c r="CA76" i="5"/>
  <c r="BZ76" i="5"/>
  <c r="BY76" i="5"/>
  <c r="BW76" i="5"/>
  <c r="BV76" i="5"/>
  <c r="BU76" i="5"/>
  <c r="BT76" i="5"/>
  <c r="BR76" i="5"/>
  <c r="BQ76" i="5"/>
  <c r="BP76" i="5"/>
  <c r="BO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DT75" i="5"/>
  <c r="DS75" i="5"/>
  <c r="DR75" i="5"/>
  <c r="DP75" i="5"/>
  <c r="DO75" i="5"/>
  <c r="DN75" i="5"/>
  <c r="DM75" i="5"/>
  <c r="DK75" i="5"/>
  <c r="DJ75" i="5"/>
  <c r="DI75" i="5"/>
  <c r="DH75" i="5"/>
  <c r="DF75" i="5"/>
  <c r="DE75" i="5"/>
  <c r="DD75" i="5"/>
  <c r="DC75" i="5"/>
  <c r="DA75" i="5"/>
  <c r="CZ75" i="5"/>
  <c r="CY75" i="5"/>
  <c r="CX75" i="5"/>
  <c r="CV75" i="5"/>
  <c r="CU75" i="5"/>
  <c r="CT75" i="5"/>
  <c r="CS75" i="5"/>
  <c r="CQ75" i="5"/>
  <c r="CP75" i="5"/>
  <c r="CO75" i="5"/>
  <c r="CN75" i="5"/>
  <c r="CL75" i="5"/>
  <c r="CK75" i="5"/>
  <c r="CJ75" i="5"/>
  <c r="CI75" i="5"/>
  <c r="CG75" i="5"/>
  <c r="CF75" i="5"/>
  <c r="CE75" i="5"/>
  <c r="CD75" i="5"/>
  <c r="CB75" i="5"/>
  <c r="CA75" i="5"/>
  <c r="BZ75" i="5"/>
  <c r="BY75" i="5"/>
  <c r="BW75" i="5"/>
  <c r="BV75" i="5"/>
  <c r="BU75" i="5"/>
  <c r="BT75" i="5"/>
  <c r="BR75" i="5"/>
  <c r="BQ75" i="5"/>
  <c r="BP75" i="5"/>
  <c r="BO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DT74" i="5"/>
  <c r="DS74" i="5"/>
  <c r="DR74" i="5"/>
  <c r="DP74" i="5"/>
  <c r="DO74" i="5"/>
  <c r="DN74" i="5"/>
  <c r="DM74" i="5"/>
  <c r="DK74" i="5"/>
  <c r="DJ74" i="5"/>
  <c r="DI74" i="5"/>
  <c r="DH74" i="5"/>
  <c r="DF74" i="5"/>
  <c r="DE74" i="5"/>
  <c r="DD74" i="5"/>
  <c r="DC74" i="5"/>
  <c r="DA74" i="5"/>
  <c r="CZ74" i="5"/>
  <c r="CY74" i="5"/>
  <c r="CX74" i="5"/>
  <c r="CV74" i="5"/>
  <c r="CU74" i="5"/>
  <c r="CT74" i="5"/>
  <c r="CS74" i="5"/>
  <c r="CQ74" i="5"/>
  <c r="CP74" i="5"/>
  <c r="CO74" i="5"/>
  <c r="CN74" i="5"/>
  <c r="CL74" i="5"/>
  <c r="CK74" i="5"/>
  <c r="CJ74" i="5"/>
  <c r="CI74" i="5"/>
  <c r="CG74" i="5"/>
  <c r="CF74" i="5"/>
  <c r="CE74" i="5"/>
  <c r="CD74" i="5"/>
  <c r="CB74" i="5"/>
  <c r="CA74" i="5"/>
  <c r="BZ74" i="5"/>
  <c r="BY74" i="5"/>
  <c r="BW74" i="5"/>
  <c r="BV74" i="5"/>
  <c r="BU74" i="5"/>
  <c r="BT74" i="5"/>
  <c r="BR74" i="5"/>
  <c r="BQ74" i="5"/>
  <c r="BP74" i="5"/>
  <c r="BO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DT71" i="5"/>
  <c r="DS71" i="5"/>
  <c r="DR71" i="5"/>
  <c r="DP71" i="5"/>
  <c r="DO71" i="5"/>
  <c r="DN71" i="5"/>
  <c r="DM71" i="5"/>
  <c r="DK71" i="5"/>
  <c r="DJ71" i="5"/>
  <c r="DI71" i="5"/>
  <c r="DH71" i="5"/>
  <c r="CV71" i="5"/>
  <c r="CU71" i="5"/>
  <c r="CT71" i="5"/>
  <c r="CS71" i="5"/>
  <c r="CQ71" i="5"/>
  <c r="CP71" i="5"/>
  <c r="CO71" i="5"/>
  <c r="CN71" i="5"/>
  <c r="CL71" i="5"/>
  <c r="CK71" i="5"/>
  <c r="CJ71" i="5"/>
  <c r="CI71" i="5"/>
  <c r="CG71" i="5"/>
  <c r="CF71" i="5"/>
  <c r="CE71" i="5"/>
  <c r="CD71" i="5"/>
  <c r="CB71" i="5"/>
  <c r="CA71" i="5"/>
  <c r="BZ71" i="5"/>
  <c r="BY71" i="5"/>
  <c r="BW71" i="5"/>
  <c r="BV71" i="5"/>
  <c r="BU71" i="5"/>
  <c r="BT71" i="5"/>
  <c r="BR71" i="5"/>
  <c r="BQ71" i="5"/>
  <c r="BP71" i="5"/>
  <c r="BO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DT70" i="5"/>
  <c r="DS70" i="5"/>
  <c r="DR70" i="5"/>
  <c r="DP70" i="5"/>
  <c r="DO70" i="5"/>
  <c r="DN70" i="5"/>
  <c r="DM70" i="5"/>
  <c r="DK70" i="5"/>
  <c r="DJ70" i="5"/>
  <c r="DI70" i="5"/>
  <c r="DH70" i="5"/>
  <c r="CV70" i="5"/>
  <c r="CU70" i="5"/>
  <c r="CT70" i="5"/>
  <c r="CS70" i="5"/>
  <c r="CQ70" i="5"/>
  <c r="CP70" i="5"/>
  <c r="CO70" i="5"/>
  <c r="CN70" i="5"/>
  <c r="CL70" i="5"/>
  <c r="CK70" i="5"/>
  <c r="CJ70" i="5"/>
  <c r="CI70" i="5"/>
  <c r="CG70" i="5"/>
  <c r="CF70" i="5"/>
  <c r="CE70" i="5"/>
  <c r="CD70" i="5"/>
  <c r="CB70" i="5"/>
  <c r="CA70" i="5"/>
  <c r="BZ70" i="5"/>
  <c r="BY70" i="5"/>
  <c r="BW70" i="5"/>
  <c r="BV70" i="5"/>
  <c r="BU70" i="5"/>
  <c r="BT70" i="5"/>
  <c r="BR70" i="5"/>
  <c r="BQ70" i="5"/>
  <c r="BP70" i="5"/>
  <c r="BO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DT69" i="5"/>
  <c r="DS69" i="5"/>
  <c r="DR69" i="5"/>
  <c r="DP69" i="5"/>
  <c r="DO69" i="5"/>
  <c r="DN69" i="5"/>
  <c r="DM69" i="5"/>
  <c r="DK69" i="5"/>
  <c r="DJ69" i="5"/>
  <c r="DI69" i="5"/>
  <c r="DH69" i="5"/>
  <c r="CV69" i="5"/>
  <c r="CU69" i="5"/>
  <c r="CT69" i="5"/>
  <c r="CS69" i="5"/>
  <c r="CQ69" i="5"/>
  <c r="CP69" i="5"/>
  <c r="CO69" i="5"/>
  <c r="CN69" i="5"/>
  <c r="CL69" i="5"/>
  <c r="CK69" i="5"/>
  <c r="CJ69" i="5"/>
  <c r="CI69" i="5"/>
  <c r="CG69" i="5"/>
  <c r="CF69" i="5"/>
  <c r="CE69" i="5"/>
  <c r="CD69" i="5"/>
  <c r="CB69" i="5"/>
  <c r="CA69" i="5"/>
  <c r="BZ69" i="5"/>
  <c r="BY69" i="5"/>
  <c r="BW69" i="5"/>
  <c r="BV69" i="5"/>
  <c r="BU69" i="5"/>
  <c r="BT69" i="5"/>
  <c r="BR69" i="5"/>
  <c r="BQ69" i="5"/>
  <c r="BP69" i="5"/>
  <c r="BO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DT68" i="5"/>
  <c r="DS68" i="5"/>
  <c r="DR68" i="5"/>
  <c r="DP68" i="5"/>
  <c r="DO68" i="5"/>
  <c r="DN68" i="5"/>
  <c r="DM68" i="5"/>
  <c r="DK68" i="5"/>
  <c r="DJ68" i="5"/>
  <c r="DI68" i="5"/>
  <c r="DH68" i="5"/>
  <c r="DF68" i="5"/>
  <c r="DE68" i="5"/>
  <c r="DD68" i="5"/>
  <c r="DC68" i="5"/>
  <c r="DA68" i="5"/>
  <c r="CZ68" i="5"/>
  <c r="CY68" i="5"/>
  <c r="CV68" i="5"/>
  <c r="CU68" i="5"/>
  <c r="CT68" i="5"/>
  <c r="CS68" i="5"/>
  <c r="CQ68" i="5"/>
  <c r="CP68" i="5"/>
  <c r="CO68" i="5"/>
  <c r="CN68" i="5"/>
  <c r="CL68" i="5"/>
  <c r="CK68" i="5"/>
  <c r="CJ68" i="5"/>
  <c r="CI68" i="5"/>
  <c r="CG68" i="5"/>
  <c r="CF68" i="5"/>
  <c r="CE68" i="5"/>
  <c r="CD68" i="5"/>
  <c r="CB68" i="5"/>
  <c r="CA68" i="5"/>
  <c r="BZ68" i="5"/>
  <c r="BY68" i="5"/>
  <c r="BW68" i="5"/>
  <c r="BV68" i="5"/>
  <c r="BU68" i="5"/>
  <c r="BT68" i="5"/>
  <c r="BR68" i="5"/>
  <c r="BQ68" i="5"/>
  <c r="BP68" i="5"/>
  <c r="BO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DT67" i="5"/>
  <c r="DS67" i="5"/>
  <c r="DR67" i="5"/>
  <c r="DP67" i="5"/>
  <c r="DO67" i="5"/>
  <c r="DN67" i="5"/>
  <c r="DM67" i="5"/>
  <c r="DK67" i="5"/>
  <c r="DJ67" i="5"/>
  <c r="DI67" i="5"/>
  <c r="DH67" i="5"/>
  <c r="DF67" i="5"/>
  <c r="DE67" i="5"/>
  <c r="DD67" i="5"/>
  <c r="DC67" i="5"/>
  <c r="DA67" i="5"/>
  <c r="CV67" i="5"/>
  <c r="CU67" i="5"/>
  <c r="CT67" i="5"/>
  <c r="CS67" i="5"/>
  <c r="CQ67" i="5"/>
  <c r="CP67" i="5"/>
  <c r="CO67" i="5"/>
  <c r="CN67" i="5"/>
  <c r="CL67" i="5"/>
  <c r="CK67" i="5"/>
  <c r="CJ67" i="5"/>
  <c r="CI67" i="5"/>
  <c r="CG67" i="5"/>
  <c r="CF67" i="5"/>
  <c r="CE67" i="5"/>
  <c r="CD67" i="5"/>
  <c r="CB67" i="5"/>
  <c r="CA67" i="5"/>
  <c r="BZ67" i="5"/>
  <c r="BY67" i="5"/>
  <c r="BW67" i="5"/>
  <c r="BV67" i="5"/>
  <c r="BU67" i="5"/>
  <c r="BT67" i="5"/>
  <c r="BR67" i="5"/>
  <c r="BQ67" i="5"/>
  <c r="BP67" i="5"/>
  <c r="BO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DT66" i="5"/>
  <c r="DS66" i="5"/>
  <c r="DR66" i="5"/>
  <c r="DP66" i="5"/>
  <c r="DO66" i="5"/>
  <c r="DN66" i="5"/>
  <c r="DM66" i="5"/>
  <c r="DK66" i="5"/>
  <c r="DJ66" i="5"/>
  <c r="DI66" i="5"/>
  <c r="DH66" i="5"/>
  <c r="DF66" i="5"/>
  <c r="DE66" i="5"/>
  <c r="DD66" i="5"/>
  <c r="DC66" i="5"/>
  <c r="DA66" i="5"/>
  <c r="CZ66" i="5"/>
  <c r="CY66" i="5"/>
  <c r="CX66" i="5"/>
  <c r="CV66" i="5"/>
  <c r="CU66" i="5"/>
  <c r="CT66" i="5"/>
  <c r="CS66" i="5"/>
  <c r="CQ66" i="5"/>
  <c r="CP66" i="5"/>
  <c r="CO66" i="5"/>
  <c r="CN66" i="5"/>
  <c r="CL66" i="5"/>
  <c r="CK66" i="5"/>
  <c r="CJ66" i="5"/>
  <c r="CI66" i="5"/>
  <c r="CG66" i="5"/>
  <c r="CF66" i="5"/>
  <c r="CE66" i="5"/>
  <c r="CD66" i="5"/>
  <c r="CB66" i="5"/>
  <c r="CA66" i="5"/>
  <c r="BZ66" i="5"/>
  <c r="BY66" i="5"/>
  <c r="BW66" i="5"/>
  <c r="BV66" i="5"/>
  <c r="BU66" i="5"/>
  <c r="BT66" i="5"/>
  <c r="BR66" i="5"/>
  <c r="BQ66" i="5"/>
  <c r="BP66" i="5"/>
  <c r="BO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DT65" i="5"/>
  <c r="DS65" i="5"/>
  <c r="DR65" i="5"/>
  <c r="DP65" i="5"/>
  <c r="DO65" i="5"/>
  <c r="DN65" i="5"/>
  <c r="DM65" i="5"/>
  <c r="DK65" i="5"/>
  <c r="DJ65" i="5"/>
  <c r="DI65" i="5"/>
  <c r="DH65" i="5"/>
  <c r="DF65" i="5"/>
  <c r="DE65" i="5"/>
  <c r="DD65" i="5"/>
  <c r="DC65" i="5"/>
  <c r="DA65" i="5"/>
  <c r="CZ65" i="5"/>
  <c r="CY65" i="5"/>
  <c r="CX65" i="5"/>
  <c r="CV65" i="5"/>
  <c r="CU65" i="5"/>
  <c r="CT65" i="5"/>
  <c r="CS65" i="5"/>
  <c r="CQ65" i="5"/>
  <c r="CP65" i="5"/>
  <c r="CO65" i="5"/>
  <c r="CN65" i="5"/>
  <c r="CL65" i="5"/>
  <c r="CK65" i="5"/>
  <c r="CJ65" i="5"/>
  <c r="CI65" i="5"/>
  <c r="CG65" i="5"/>
  <c r="CF65" i="5"/>
  <c r="CE65" i="5"/>
  <c r="CD65" i="5"/>
  <c r="CB65" i="5"/>
  <c r="CA65" i="5"/>
  <c r="BZ65" i="5"/>
  <c r="BY65" i="5"/>
  <c r="BW65" i="5"/>
  <c r="BV65" i="5"/>
  <c r="BU65" i="5"/>
  <c r="BT65" i="5"/>
  <c r="BR65" i="5"/>
  <c r="BQ65" i="5"/>
  <c r="BP65" i="5"/>
  <c r="BO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DT64" i="5"/>
  <c r="DS64" i="5"/>
  <c r="DR64" i="5"/>
  <c r="DP64" i="5"/>
  <c r="DO64" i="5"/>
  <c r="DN64" i="5"/>
  <c r="DM64" i="5"/>
  <c r="DK64" i="5"/>
  <c r="DJ64" i="5"/>
  <c r="DI64" i="5"/>
  <c r="DH64" i="5"/>
  <c r="DF64" i="5"/>
  <c r="DE64" i="5"/>
  <c r="DD64" i="5"/>
  <c r="DC64" i="5"/>
  <c r="DA64" i="5"/>
  <c r="CZ64" i="5"/>
  <c r="CY64" i="5"/>
  <c r="CX64" i="5"/>
  <c r="CV64" i="5"/>
  <c r="CU64" i="5"/>
  <c r="CT64" i="5"/>
  <c r="CS64" i="5"/>
  <c r="CQ64" i="5"/>
  <c r="CP64" i="5"/>
  <c r="CO64" i="5"/>
  <c r="CN64" i="5"/>
  <c r="CL64" i="5"/>
  <c r="CK64" i="5"/>
  <c r="CJ64" i="5"/>
  <c r="CI64" i="5"/>
  <c r="CG64" i="5"/>
  <c r="CF64" i="5"/>
  <c r="CE64" i="5"/>
  <c r="CD64" i="5"/>
  <c r="CB64" i="5"/>
  <c r="CA64" i="5"/>
  <c r="BZ64" i="5"/>
  <c r="BY64" i="5"/>
  <c r="BW64" i="5"/>
  <c r="BV64" i="5"/>
  <c r="BU64" i="5"/>
  <c r="BT64" i="5"/>
  <c r="BR64" i="5"/>
  <c r="BQ64" i="5"/>
  <c r="BP64" i="5"/>
  <c r="BO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DT63" i="5"/>
  <c r="DS63" i="5"/>
  <c r="DR63" i="5"/>
  <c r="DP63" i="5"/>
  <c r="DO63" i="5"/>
  <c r="DN63" i="5"/>
  <c r="DM63" i="5"/>
  <c r="DK63" i="5"/>
  <c r="DJ63" i="5"/>
  <c r="DI63" i="5"/>
  <c r="DH63" i="5"/>
  <c r="DF63" i="5"/>
  <c r="DE63" i="5"/>
  <c r="DD63" i="5"/>
  <c r="DC63" i="5"/>
  <c r="DA63" i="5"/>
  <c r="CZ63" i="5"/>
  <c r="CY63" i="5"/>
  <c r="CX63" i="5"/>
  <c r="CV63" i="5"/>
  <c r="CU63" i="5"/>
  <c r="CT63" i="5"/>
  <c r="CS63" i="5"/>
  <c r="CQ63" i="5"/>
  <c r="CP63" i="5"/>
  <c r="CO63" i="5"/>
  <c r="CN63" i="5"/>
  <c r="CL63" i="5"/>
  <c r="CK63" i="5"/>
  <c r="CJ63" i="5"/>
  <c r="CI63" i="5"/>
  <c r="CG63" i="5"/>
  <c r="CF63" i="5"/>
  <c r="CE63" i="5"/>
  <c r="CD63" i="5"/>
  <c r="CB63" i="5"/>
  <c r="CA63" i="5"/>
  <c r="BZ63" i="5"/>
  <c r="BY63" i="5"/>
  <c r="BW63" i="5"/>
  <c r="BV63" i="5"/>
  <c r="BU63" i="5"/>
  <c r="BT63" i="5"/>
  <c r="BR63" i="5"/>
  <c r="BQ63" i="5"/>
  <c r="BP63" i="5"/>
  <c r="BO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DT62" i="5"/>
  <c r="DS62" i="5"/>
  <c r="DR62" i="5"/>
  <c r="DP62" i="5"/>
  <c r="DO62" i="5"/>
  <c r="DN62" i="5"/>
  <c r="DM62" i="5"/>
  <c r="DK62" i="5"/>
  <c r="DJ62" i="5"/>
  <c r="DI62" i="5"/>
  <c r="DH62" i="5"/>
  <c r="DF62" i="5"/>
  <c r="DE62" i="5"/>
  <c r="DD62" i="5"/>
  <c r="DC62" i="5"/>
  <c r="DA62" i="5"/>
  <c r="CZ62" i="5"/>
  <c r="CY62" i="5"/>
  <c r="CX62" i="5"/>
  <c r="CV62" i="5"/>
  <c r="CU62" i="5"/>
  <c r="CT62" i="5"/>
  <c r="CS62" i="5"/>
  <c r="CQ62" i="5"/>
  <c r="CP62" i="5"/>
  <c r="CO62" i="5"/>
  <c r="CN62" i="5"/>
  <c r="CL62" i="5"/>
  <c r="CK62" i="5"/>
  <c r="CJ62" i="5"/>
  <c r="CI62" i="5"/>
  <c r="CG62" i="5"/>
  <c r="CF62" i="5"/>
  <c r="CE62" i="5"/>
  <c r="CD62" i="5"/>
  <c r="CB62" i="5"/>
  <c r="CA62" i="5"/>
  <c r="BZ62" i="5"/>
  <c r="BY62" i="5"/>
  <c r="BW62" i="5"/>
  <c r="BV62" i="5"/>
  <c r="BU62" i="5"/>
  <c r="BT62" i="5"/>
  <c r="BR62" i="5"/>
  <c r="BQ62" i="5"/>
  <c r="BP62" i="5"/>
  <c r="BO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DT61" i="5"/>
  <c r="DS61" i="5"/>
  <c r="DR61" i="5"/>
  <c r="DP61" i="5"/>
  <c r="DO61" i="5"/>
  <c r="DN61" i="5"/>
  <c r="DM61" i="5"/>
  <c r="DK61" i="5"/>
  <c r="DJ61" i="5"/>
  <c r="DI61" i="5"/>
  <c r="DH61" i="5"/>
  <c r="DF61" i="5"/>
  <c r="DE61" i="5"/>
  <c r="DD61" i="5"/>
  <c r="DC61" i="5"/>
  <c r="DA61" i="5"/>
  <c r="CZ61" i="5"/>
  <c r="CY61" i="5"/>
  <c r="CX61" i="5"/>
  <c r="CV61" i="5"/>
  <c r="CU61" i="5"/>
  <c r="CT61" i="5"/>
  <c r="CS61" i="5"/>
  <c r="CQ61" i="5"/>
  <c r="CP61" i="5"/>
  <c r="CO61" i="5"/>
  <c r="CN61" i="5"/>
  <c r="CL61" i="5"/>
  <c r="CK61" i="5"/>
  <c r="CJ61" i="5"/>
  <c r="CI61" i="5"/>
  <c r="CG61" i="5"/>
  <c r="CF61" i="5"/>
  <c r="CE61" i="5"/>
  <c r="CD61" i="5"/>
  <c r="CB61" i="5"/>
  <c r="CA61" i="5"/>
  <c r="BZ61" i="5"/>
  <c r="BY61" i="5"/>
  <c r="BW61" i="5"/>
  <c r="BV61" i="5"/>
  <c r="BU61" i="5"/>
  <c r="BT61" i="5"/>
  <c r="BR61" i="5"/>
  <c r="BQ61" i="5"/>
  <c r="BP61" i="5"/>
  <c r="BO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DT60" i="5"/>
  <c r="DS60" i="5"/>
  <c r="DR60" i="5"/>
  <c r="DP60" i="5"/>
  <c r="DO60" i="5"/>
  <c r="DN60" i="5"/>
  <c r="DM60" i="5"/>
  <c r="DK60" i="5"/>
  <c r="DJ60" i="5"/>
  <c r="DI60" i="5"/>
  <c r="DH60" i="5"/>
  <c r="DF60" i="5"/>
  <c r="DE60" i="5"/>
  <c r="DD60" i="5"/>
  <c r="DC60" i="5"/>
  <c r="DA60" i="5"/>
  <c r="CZ60" i="5"/>
  <c r="CY60" i="5"/>
  <c r="CX60" i="5"/>
  <c r="CV60" i="5"/>
  <c r="CU60" i="5"/>
  <c r="CT60" i="5"/>
  <c r="CS60" i="5"/>
  <c r="CQ60" i="5"/>
  <c r="CP60" i="5"/>
  <c r="CO60" i="5"/>
  <c r="CN60" i="5"/>
  <c r="CL60" i="5"/>
  <c r="CK60" i="5"/>
  <c r="CJ60" i="5"/>
  <c r="CI60" i="5"/>
  <c r="CG60" i="5"/>
  <c r="CF60" i="5"/>
  <c r="CE60" i="5"/>
  <c r="CD60" i="5"/>
  <c r="CB60" i="5"/>
  <c r="CA60" i="5"/>
  <c r="BZ60" i="5"/>
  <c r="BY60" i="5"/>
  <c r="BW60" i="5"/>
  <c r="BV60" i="5"/>
  <c r="BU60" i="5"/>
  <c r="BT60" i="5"/>
  <c r="BR60" i="5"/>
  <c r="BQ60" i="5"/>
  <c r="BP60" i="5"/>
  <c r="BO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82" i="5"/>
  <c r="B81" i="5"/>
  <c r="B80" i="5"/>
  <c r="B79" i="5"/>
  <c r="B78" i="5"/>
  <c r="B77" i="5"/>
  <c r="B76" i="5"/>
  <c r="B75" i="5"/>
  <c r="B74" i="5"/>
  <c r="B71" i="5"/>
  <c r="B70" i="5"/>
  <c r="B69" i="5"/>
  <c r="B68" i="5"/>
  <c r="B67" i="5"/>
  <c r="B66" i="5"/>
  <c r="B65" i="5"/>
  <c r="B64" i="5"/>
  <c r="B63" i="5"/>
  <c r="B62" i="5"/>
  <c r="B61" i="5"/>
  <c r="B60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O32" i="5"/>
  <c r="BP32" i="5"/>
  <c r="BQ32" i="5"/>
  <c r="BR32" i="5"/>
  <c r="BT32" i="5"/>
  <c r="BU32" i="5"/>
  <c r="BV32" i="5"/>
  <c r="BW32" i="5"/>
  <c r="BY32" i="5"/>
  <c r="BZ32" i="5"/>
  <c r="CA32" i="5"/>
  <c r="CB32" i="5"/>
  <c r="CD32" i="5"/>
  <c r="CE32" i="5"/>
  <c r="CF32" i="5"/>
  <c r="CG32" i="5"/>
  <c r="CI32" i="5"/>
  <c r="CJ32" i="5"/>
  <c r="CK32" i="5"/>
  <c r="CL32" i="5"/>
  <c r="CN32" i="5"/>
  <c r="CO32" i="5"/>
  <c r="CP32" i="5"/>
  <c r="CQ32" i="5"/>
  <c r="CS32" i="5"/>
  <c r="CT32" i="5"/>
  <c r="CU32" i="5"/>
  <c r="CV32" i="5"/>
  <c r="CX32" i="5"/>
  <c r="CY32" i="5"/>
  <c r="CZ32" i="5"/>
  <c r="DA32" i="5"/>
  <c r="DC32" i="5"/>
  <c r="DD32" i="5"/>
  <c r="DE32" i="5"/>
  <c r="DF32" i="5"/>
  <c r="DH32" i="5"/>
  <c r="DI32" i="5"/>
  <c r="DJ32" i="5"/>
  <c r="DK32" i="5"/>
  <c r="DM32" i="5"/>
  <c r="DN32" i="5"/>
  <c r="DO32" i="5"/>
  <c r="DP32" i="5"/>
  <c r="DR32" i="5"/>
  <c r="DS32" i="5"/>
  <c r="DT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O33" i="5"/>
  <c r="BP33" i="5"/>
  <c r="BQ33" i="5"/>
  <c r="BR33" i="5"/>
  <c r="BT33" i="5"/>
  <c r="BU33" i="5"/>
  <c r="BV33" i="5"/>
  <c r="BW33" i="5"/>
  <c r="BY33" i="5"/>
  <c r="BZ33" i="5"/>
  <c r="CA33" i="5"/>
  <c r="CB33" i="5"/>
  <c r="CD33" i="5"/>
  <c r="CE33" i="5"/>
  <c r="CF33" i="5"/>
  <c r="CG33" i="5"/>
  <c r="CI33" i="5"/>
  <c r="CJ33" i="5"/>
  <c r="CK33" i="5"/>
  <c r="CL33" i="5"/>
  <c r="CN33" i="5"/>
  <c r="CO33" i="5"/>
  <c r="CP33" i="5"/>
  <c r="CQ33" i="5"/>
  <c r="CS33" i="5"/>
  <c r="CT33" i="5"/>
  <c r="CU33" i="5"/>
  <c r="CV33" i="5"/>
  <c r="CX33" i="5"/>
  <c r="CY33" i="5"/>
  <c r="CZ33" i="5"/>
  <c r="DA33" i="5"/>
  <c r="DC33" i="5"/>
  <c r="DD33" i="5"/>
  <c r="DE33" i="5"/>
  <c r="DF33" i="5"/>
  <c r="DH33" i="5"/>
  <c r="DI33" i="5"/>
  <c r="DJ33" i="5"/>
  <c r="DK33" i="5"/>
  <c r="DM33" i="5"/>
  <c r="DN33" i="5"/>
  <c r="DO33" i="5"/>
  <c r="DP33" i="5"/>
  <c r="DR33" i="5"/>
  <c r="DS33" i="5"/>
  <c r="DT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O34" i="5"/>
  <c r="BP34" i="5"/>
  <c r="BQ34" i="5"/>
  <c r="BR34" i="5"/>
  <c r="BT34" i="5"/>
  <c r="BU34" i="5"/>
  <c r="BV34" i="5"/>
  <c r="BW34" i="5"/>
  <c r="BY34" i="5"/>
  <c r="BZ34" i="5"/>
  <c r="CA34" i="5"/>
  <c r="CB34" i="5"/>
  <c r="CD34" i="5"/>
  <c r="CE34" i="5"/>
  <c r="CF34" i="5"/>
  <c r="CG34" i="5"/>
  <c r="CI34" i="5"/>
  <c r="CJ34" i="5"/>
  <c r="CK34" i="5"/>
  <c r="CL34" i="5"/>
  <c r="CN34" i="5"/>
  <c r="CO34" i="5"/>
  <c r="CP34" i="5"/>
  <c r="CQ34" i="5"/>
  <c r="CS34" i="5"/>
  <c r="CT34" i="5"/>
  <c r="CU34" i="5"/>
  <c r="CV34" i="5"/>
  <c r="CX34" i="5"/>
  <c r="CY34" i="5"/>
  <c r="CZ34" i="5"/>
  <c r="DA34" i="5"/>
  <c r="DC34" i="5"/>
  <c r="DD34" i="5"/>
  <c r="DE34" i="5"/>
  <c r="DF34" i="5"/>
  <c r="DH34" i="5"/>
  <c r="DI34" i="5"/>
  <c r="DJ34" i="5"/>
  <c r="DK34" i="5"/>
  <c r="DM34" i="5"/>
  <c r="DN34" i="5"/>
  <c r="DO34" i="5"/>
  <c r="DP34" i="5"/>
  <c r="DR34" i="5"/>
  <c r="DS34" i="5"/>
  <c r="DT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O35" i="5"/>
  <c r="BP35" i="5"/>
  <c r="BQ35" i="5"/>
  <c r="BR35" i="5"/>
  <c r="BT35" i="5"/>
  <c r="BU35" i="5"/>
  <c r="BV35" i="5"/>
  <c r="BW35" i="5"/>
  <c r="BY35" i="5"/>
  <c r="BZ35" i="5"/>
  <c r="CA35" i="5"/>
  <c r="CB35" i="5"/>
  <c r="CD35" i="5"/>
  <c r="CE35" i="5"/>
  <c r="CF35" i="5"/>
  <c r="CG35" i="5"/>
  <c r="CI35" i="5"/>
  <c r="CJ35" i="5"/>
  <c r="CK35" i="5"/>
  <c r="CL35" i="5"/>
  <c r="CN35" i="5"/>
  <c r="CO35" i="5"/>
  <c r="CP35" i="5"/>
  <c r="CQ35" i="5"/>
  <c r="CS35" i="5"/>
  <c r="CT35" i="5"/>
  <c r="CU35" i="5"/>
  <c r="CV35" i="5"/>
  <c r="CX35" i="5"/>
  <c r="CY35" i="5"/>
  <c r="CZ35" i="5"/>
  <c r="DA35" i="5"/>
  <c r="DC35" i="5"/>
  <c r="DD35" i="5"/>
  <c r="DE35" i="5"/>
  <c r="DF35" i="5"/>
  <c r="DH35" i="5"/>
  <c r="DI35" i="5"/>
  <c r="DJ35" i="5"/>
  <c r="DK35" i="5"/>
  <c r="DM35" i="5"/>
  <c r="DN35" i="5"/>
  <c r="DO35" i="5"/>
  <c r="DP35" i="5"/>
  <c r="DR35" i="5"/>
  <c r="DS35" i="5"/>
  <c r="DT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O36" i="5"/>
  <c r="BP36" i="5"/>
  <c r="BQ36" i="5"/>
  <c r="BR36" i="5"/>
  <c r="BT36" i="5"/>
  <c r="BU36" i="5"/>
  <c r="BV36" i="5"/>
  <c r="BW36" i="5"/>
  <c r="BY36" i="5"/>
  <c r="BZ36" i="5"/>
  <c r="CA36" i="5"/>
  <c r="CB36" i="5"/>
  <c r="CD36" i="5"/>
  <c r="CE36" i="5"/>
  <c r="CF36" i="5"/>
  <c r="CG36" i="5"/>
  <c r="CI36" i="5"/>
  <c r="CJ36" i="5"/>
  <c r="CK36" i="5"/>
  <c r="CL36" i="5"/>
  <c r="CN36" i="5"/>
  <c r="CO36" i="5"/>
  <c r="CP36" i="5"/>
  <c r="CQ36" i="5"/>
  <c r="CS36" i="5"/>
  <c r="CT36" i="5"/>
  <c r="CU36" i="5"/>
  <c r="CV36" i="5"/>
  <c r="CX36" i="5"/>
  <c r="CY36" i="5"/>
  <c r="CZ36" i="5"/>
  <c r="DA36" i="5"/>
  <c r="DC36" i="5"/>
  <c r="DD36" i="5"/>
  <c r="DE36" i="5"/>
  <c r="DF36" i="5"/>
  <c r="DH36" i="5"/>
  <c r="DI36" i="5"/>
  <c r="DJ36" i="5"/>
  <c r="DK36" i="5"/>
  <c r="DM36" i="5"/>
  <c r="DN36" i="5"/>
  <c r="DO36" i="5"/>
  <c r="DP36" i="5"/>
  <c r="DR36" i="5"/>
  <c r="DS36" i="5"/>
  <c r="DT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O37" i="5"/>
  <c r="BP37" i="5"/>
  <c r="BQ37" i="5"/>
  <c r="BR37" i="5"/>
  <c r="BT37" i="5"/>
  <c r="BU37" i="5"/>
  <c r="BV37" i="5"/>
  <c r="BW37" i="5"/>
  <c r="BY37" i="5"/>
  <c r="BZ37" i="5"/>
  <c r="CA37" i="5"/>
  <c r="CB37" i="5"/>
  <c r="CD37" i="5"/>
  <c r="CE37" i="5"/>
  <c r="CF37" i="5"/>
  <c r="CG37" i="5"/>
  <c r="CI37" i="5"/>
  <c r="CJ37" i="5"/>
  <c r="CK37" i="5"/>
  <c r="CL37" i="5"/>
  <c r="CN37" i="5"/>
  <c r="CO37" i="5"/>
  <c r="CP37" i="5"/>
  <c r="CQ37" i="5"/>
  <c r="CS37" i="5"/>
  <c r="CT37" i="5"/>
  <c r="CU37" i="5"/>
  <c r="CV37" i="5"/>
  <c r="CX37" i="5"/>
  <c r="CY37" i="5"/>
  <c r="CZ37" i="5"/>
  <c r="DA37" i="5"/>
  <c r="DC37" i="5"/>
  <c r="DD37" i="5"/>
  <c r="DE37" i="5"/>
  <c r="DF37" i="5"/>
  <c r="DH37" i="5"/>
  <c r="DI37" i="5"/>
  <c r="DJ37" i="5"/>
  <c r="DK37" i="5"/>
  <c r="DM37" i="5"/>
  <c r="DN37" i="5"/>
  <c r="DO37" i="5"/>
  <c r="DP37" i="5"/>
  <c r="DR37" i="5"/>
  <c r="DS37" i="5"/>
  <c r="DT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O38" i="5"/>
  <c r="BP38" i="5"/>
  <c r="BQ38" i="5"/>
  <c r="BR38" i="5"/>
  <c r="BT38" i="5"/>
  <c r="BU38" i="5"/>
  <c r="BV38" i="5"/>
  <c r="BW38" i="5"/>
  <c r="BY38" i="5"/>
  <c r="BZ38" i="5"/>
  <c r="CA38" i="5"/>
  <c r="CB38" i="5"/>
  <c r="CD38" i="5"/>
  <c r="CE38" i="5"/>
  <c r="CF38" i="5"/>
  <c r="CG38" i="5"/>
  <c r="CI38" i="5"/>
  <c r="CJ38" i="5"/>
  <c r="CK38" i="5"/>
  <c r="CL38" i="5"/>
  <c r="CN38" i="5"/>
  <c r="CO38" i="5"/>
  <c r="CP38" i="5"/>
  <c r="CQ38" i="5"/>
  <c r="CS38" i="5"/>
  <c r="CT38" i="5"/>
  <c r="CU38" i="5"/>
  <c r="CV38" i="5"/>
  <c r="CX38" i="5"/>
  <c r="CY38" i="5"/>
  <c r="CZ38" i="5"/>
  <c r="DA38" i="5"/>
  <c r="DC38" i="5"/>
  <c r="DD38" i="5"/>
  <c r="DE38" i="5"/>
  <c r="DF38" i="5"/>
  <c r="DH38" i="5"/>
  <c r="DI38" i="5"/>
  <c r="DJ38" i="5"/>
  <c r="DK38" i="5"/>
  <c r="DM38" i="5"/>
  <c r="DN38" i="5"/>
  <c r="DO38" i="5"/>
  <c r="DP38" i="5"/>
  <c r="DR38" i="5"/>
  <c r="DS38" i="5"/>
  <c r="DT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O39" i="5"/>
  <c r="BP39" i="5"/>
  <c r="BQ39" i="5"/>
  <c r="BR39" i="5"/>
  <c r="BT39" i="5"/>
  <c r="BU39" i="5"/>
  <c r="BV39" i="5"/>
  <c r="BW39" i="5"/>
  <c r="BY39" i="5"/>
  <c r="BZ39" i="5"/>
  <c r="CA39" i="5"/>
  <c r="CB39" i="5"/>
  <c r="CD39" i="5"/>
  <c r="CE39" i="5"/>
  <c r="CF39" i="5"/>
  <c r="CG39" i="5"/>
  <c r="CI39" i="5"/>
  <c r="CJ39" i="5"/>
  <c r="CK39" i="5"/>
  <c r="CL39" i="5"/>
  <c r="CN39" i="5"/>
  <c r="CO39" i="5"/>
  <c r="CP39" i="5"/>
  <c r="CQ39" i="5"/>
  <c r="CS39" i="5"/>
  <c r="CT39" i="5"/>
  <c r="CU39" i="5"/>
  <c r="CV39" i="5"/>
  <c r="CX39" i="5"/>
  <c r="CY39" i="5"/>
  <c r="CZ39" i="5"/>
  <c r="DA39" i="5"/>
  <c r="DC39" i="5"/>
  <c r="DD39" i="5"/>
  <c r="DE39" i="5"/>
  <c r="DF39" i="5"/>
  <c r="DH39" i="5"/>
  <c r="DI39" i="5"/>
  <c r="DJ39" i="5"/>
  <c r="DK39" i="5"/>
  <c r="DM39" i="5"/>
  <c r="DN39" i="5"/>
  <c r="DO39" i="5"/>
  <c r="DP39" i="5"/>
  <c r="DR39" i="5"/>
  <c r="DS39" i="5"/>
  <c r="DT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O40" i="5"/>
  <c r="BP40" i="5"/>
  <c r="BQ40" i="5"/>
  <c r="BR40" i="5"/>
  <c r="BT40" i="5"/>
  <c r="BU40" i="5"/>
  <c r="BV40" i="5"/>
  <c r="BW40" i="5"/>
  <c r="BY40" i="5"/>
  <c r="BZ40" i="5"/>
  <c r="CA40" i="5"/>
  <c r="CB40" i="5"/>
  <c r="CD40" i="5"/>
  <c r="CE40" i="5"/>
  <c r="CF40" i="5"/>
  <c r="CG40" i="5"/>
  <c r="CI40" i="5"/>
  <c r="CJ40" i="5"/>
  <c r="CK40" i="5"/>
  <c r="CL40" i="5"/>
  <c r="CN40" i="5"/>
  <c r="CO40" i="5"/>
  <c r="CP40" i="5"/>
  <c r="CQ40" i="5"/>
  <c r="CS40" i="5"/>
  <c r="CT40" i="5"/>
  <c r="CU40" i="5"/>
  <c r="CV40" i="5"/>
  <c r="CX40" i="5"/>
  <c r="CY40" i="5"/>
  <c r="CZ40" i="5"/>
  <c r="DA40" i="5"/>
  <c r="DC40" i="5"/>
  <c r="DD40" i="5"/>
  <c r="DE40" i="5"/>
  <c r="DF40" i="5"/>
  <c r="DH40" i="5"/>
  <c r="DI40" i="5"/>
  <c r="DJ40" i="5"/>
  <c r="DK40" i="5"/>
  <c r="DM40" i="5"/>
  <c r="DN40" i="5"/>
  <c r="DO40" i="5"/>
  <c r="DP40" i="5"/>
  <c r="DR40" i="5"/>
  <c r="DS40" i="5"/>
  <c r="DT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O41" i="5"/>
  <c r="BP41" i="5"/>
  <c r="BQ41" i="5"/>
  <c r="BR41" i="5"/>
  <c r="BT41" i="5"/>
  <c r="BU41" i="5"/>
  <c r="BV41" i="5"/>
  <c r="BW41" i="5"/>
  <c r="BY41" i="5"/>
  <c r="BZ41" i="5"/>
  <c r="CA41" i="5"/>
  <c r="CB41" i="5"/>
  <c r="CD41" i="5"/>
  <c r="CE41" i="5"/>
  <c r="CF41" i="5"/>
  <c r="CG41" i="5"/>
  <c r="CI41" i="5"/>
  <c r="CJ41" i="5"/>
  <c r="CK41" i="5"/>
  <c r="CL41" i="5"/>
  <c r="CN41" i="5"/>
  <c r="CO41" i="5"/>
  <c r="CP41" i="5"/>
  <c r="CQ41" i="5"/>
  <c r="CS41" i="5"/>
  <c r="CT41" i="5"/>
  <c r="CU41" i="5"/>
  <c r="CV41" i="5"/>
  <c r="CX41" i="5"/>
  <c r="CY41" i="5"/>
  <c r="CZ41" i="5"/>
  <c r="DA41" i="5"/>
  <c r="DC41" i="5"/>
  <c r="DD41" i="5"/>
  <c r="DE41" i="5"/>
  <c r="DF41" i="5"/>
  <c r="DH41" i="5"/>
  <c r="DI41" i="5"/>
  <c r="DJ41" i="5"/>
  <c r="DK41" i="5"/>
  <c r="DM41" i="5"/>
  <c r="DN41" i="5"/>
  <c r="DO41" i="5"/>
  <c r="DP41" i="5"/>
  <c r="DR41" i="5"/>
  <c r="DS41" i="5"/>
  <c r="DT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O42" i="5"/>
  <c r="BP42" i="5"/>
  <c r="BQ42" i="5"/>
  <c r="BR42" i="5"/>
  <c r="BT42" i="5"/>
  <c r="BU42" i="5"/>
  <c r="BV42" i="5"/>
  <c r="BW42" i="5"/>
  <c r="BY42" i="5"/>
  <c r="BZ42" i="5"/>
  <c r="CA42" i="5"/>
  <c r="CB42" i="5"/>
  <c r="CD42" i="5"/>
  <c r="CE42" i="5"/>
  <c r="CF42" i="5"/>
  <c r="CG42" i="5"/>
  <c r="CI42" i="5"/>
  <c r="CJ42" i="5"/>
  <c r="CK42" i="5"/>
  <c r="CL42" i="5"/>
  <c r="CN42" i="5"/>
  <c r="CO42" i="5"/>
  <c r="CP42" i="5"/>
  <c r="CQ42" i="5"/>
  <c r="CS42" i="5"/>
  <c r="CT42" i="5"/>
  <c r="CU42" i="5"/>
  <c r="CV42" i="5"/>
  <c r="CX42" i="5"/>
  <c r="CY42" i="5"/>
  <c r="CZ42" i="5"/>
  <c r="DA42" i="5"/>
  <c r="DC42" i="5"/>
  <c r="DD42" i="5"/>
  <c r="DE42" i="5"/>
  <c r="DF42" i="5"/>
  <c r="DH42" i="5"/>
  <c r="DI42" i="5"/>
  <c r="DJ42" i="5"/>
  <c r="DK42" i="5"/>
  <c r="DM42" i="5"/>
  <c r="DN42" i="5"/>
  <c r="DO42" i="5"/>
  <c r="DP42" i="5"/>
  <c r="DR42" i="5"/>
  <c r="DS42" i="5"/>
  <c r="DT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O43" i="5"/>
  <c r="BP43" i="5"/>
  <c r="BQ43" i="5"/>
  <c r="BR43" i="5"/>
  <c r="BT43" i="5"/>
  <c r="BU43" i="5"/>
  <c r="BV43" i="5"/>
  <c r="BW43" i="5"/>
  <c r="BY43" i="5"/>
  <c r="BZ43" i="5"/>
  <c r="CA43" i="5"/>
  <c r="CB43" i="5"/>
  <c r="CD43" i="5"/>
  <c r="CE43" i="5"/>
  <c r="CF43" i="5"/>
  <c r="CG43" i="5"/>
  <c r="CI43" i="5"/>
  <c r="CJ43" i="5"/>
  <c r="CK43" i="5"/>
  <c r="CL43" i="5"/>
  <c r="CN43" i="5"/>
  <c r="CO43" i="5"/>
  <c r="CP43" i="5"/>
  <c r="CQ43" i="5"/>
  <c r="CS43" i="5"/>
  <c r="CT43" i="5"/>
  <c r="CU43" i="5"/>
  <c r="CV43" i="5"/>
  <c r="CX43" i="5"/>
  <c r="CY43" i="5"/>
  <c r="CZ43" i="5"/>
  <c r="DA43" i="5"/>
  <c r="DC43" i="5"/>
  <c r="DD43" i="5"/>
  <c r="DE43" i="5"/>
  <c r="DF43" i="5"/>
  <c r="DH43" i="5"/>
  <c r="DI43" i="5"/>
  <c r="DJ43" i="5"/>
  <c r="DK43" i="5"/>
  <c r="DM43" i="5"/>
  <c r="DN43" i="5"/>
  <c r="DO43" i="5"/>
  <c r="DP43" i="5"/>
  <c r="DR43" i="5"/>
  <c r="DS43" i="5"/>
  <c r="DT43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O46" i="5"/>
  <c r="BP46" i="5"/>
  <c r="BQ46" i="5"/>
  <c r="BR46" i="5"/>
  <c r="BT46" i="5"/>
  <c r="BU46" i="5"/>
  <c r="BV46" i="5"/>
  <c r="BW46" i="5"/>
  <c r="BY46" i="5"/>
  <c r="BZ46" i="5"/>
  <c r="CA46" i="5"/>
  <c r="CB46" i="5"/>
  <c r="CD46" i="5"/>
  <c r="CE46" i="5"/>
  <c r="CF46" i="5"/>
  <c r="CG46" i="5"/>
  <c r="CI46" i="5"/>
  <c r="CJ46" i="5"/>
  <c r="CK46" i="5"/>
  <c r="CL46" i="5"/>
  <c r="CN46" i="5"/>
  <c r="CO46" i="5"/>
  <c r="CP46" i="5"/>
  <c r="CQ46" i="5"/>
  <c r="CS46" i="5"/>
  <c r="CT46" i="5"/>
  <c r="CU46" i="5"/>
  <c r="CV46" i="5"/>
  <c r="CX46" i="5"/>
  <c r="CY46" i="5"/>
  <c r="CZ46" i="5"/>
  <c r="DA46" i="5"/>
  <c r="DC46" i="5"/>
  <c r="DD46" i="5"/>
  <c r="DE46" i="5"/>
  <c r="DF46" i="5"/>
  <c r="DH46" i="5"/>
  <c r="DI46" i="5"/>
  <c r="DJ46" i="5"/>
  <c r="DK46" i="5"/>
  <c r="DM46" i="5"/>
  <c r="DN46" i="5"/>
  <c r="DO46" i="5"/>
  <c r="DP46" i="5"/>
  <c r="DR46" i="5"/>
  <c r="DS46" i="5"/>
  <c r="DT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O47" i="5"/>
  <c r="BP47" i="5"/>
  <c r="BQ47" i="5"/>
  <c r="BR47" i="5"/>
  <c r="BT47" i="5"/>
  <c r="BU47" i="5"/>
  <c r="BV47" i="5"/>
  <c r="BW47" i="5"/>
  <c r="BY47" i="5"/>
  <c r="BZ47" i="5"/>
  <c r="CA47" i="5"/>
  <c r="CB47" i="5"/>
  <c r="CD47" i="5"/>
  <c r="CE47" i="5"/>
  <c r="CF47" i="5"/>
  <c r="CG47" i="5"/>
  <c r="CI47" i="5"/>
  <c r="CJ47" i="5"/>
  <c r="CK47" i="5"/>
  <c r="CL47" i="5"/>
  <c r="CN47" i="5"/>
  <c r="CO47" i="5"/>
  <c r="CP47" i="5"/>
  <c r="CQ47" i="5"/>
  <c r="CS47" i="5"/>
  <c r="CT47" i="5"/>
  <c r="CU47" i="5"/>
  <c r="CV47" i="5"/>
  <c r="CX47" i="5"/>
  <c r="CY47" i="5"/>
  <c r="CZ47" i="5"/>
  <c r="DA47" i="5"/>
  <c r="DC47" i="5"/>
  <c r="DD47" i="5"/>
  <c r="DE47" i="5"/>
  <c r="DF47" i="5"/>
  <c r="DH47" i="5"/>
  <c r="DI47" i="5"/>
  <c r="DJ47" i="5"/>
  <c r="DK47" i="5"/>
  <c r="DM47" i="5"/>
  <c r="DN47" i="5"/>
  <c r="DO47" i="5"/>
  <c r="DP47" i="5"/>
  <c r="DR47" i="5"/>
  <c r="DS47" i="5"/>
  <c r="DT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O48" i="5"/>
  <c r="BP48" i="5"/>
  <c r="BQ48" i="5"/>
  <c r="BR48" i="5"/>
  <c r="BT48" i="5"/>
  <c r="BU48" i="5"/>
  <c r="BV48" i="5"/>
  <c r="BW48" i="5"/>
  <c r="BY48" i="5"/>
  <c r="BZ48" i="5"/>
  <c r="CA48" i="5"/>
  <c r="CB48" i="5"/>
  <c r="CD48" i="5"/>
  <c r="CE48" i="5"/>
  <c r="CF48" i="5"/>
  <c r="CG48" i="5"/>
  <c r="CI48" i="5"/>
  <c r="CJ48" i="5"/>
  <c r="CK48" i="5"/>
  <c r="CL48" i="5"/>
  <c r="CN48" i="5"/>
  <c r="CO48" i="5"/>
  <c r="CP48" i="5"/>
  <c r="CQ48" i="5"/>
  <c r="CS48" i="5"/>
  <c r="CT48" i="5"/>
  <c r="CU48" i="5"/>
  <c r="CV48" i="5"/>
  <c r="CX48" i="5"/>
  <c r="CY48" i="5"/>
  <c r="CZ48" i="5"/>
  <c r="DA48" i="5"/>
  <c r="DC48" i="5"/>
  <c r="DD48" i="5"/>
  <c r="DE48" i="5"/>
  <c r="DF48" i="5"/>
  <c r="DH48" i="5"/>
  <c r="DI48" i="5"/>
  <c r="DJ48" i="5"/>
  <c r="DK48" i="5"/>
  <c r="DM48" i="5"/>
  <c r="DN48" i="5"/>
  <c r="DO48" i="5"/>
  <c r="DP48" i="5"/>
  <c r="DR48" i="5"/>
  <c r="DS48" i="5"/>
  <c r="DT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O49" i="5"/>
  <c r="BP49" i="5"/>
  <c r="BQ49" i="5"/>
  <c r="BR49" i="5"/>
  <c r="BT49" i="5"/>
  <c r="BU49" i="5"/>
  <c r="BV49" i="5"/>
  <c r="BW49" i="5"/>
  <c r="BY49" i="5"/>
  <c r="BZ49" i="5"/>
  <c r="CA49" i="5"/>
  <c r="CB49" i="5"/>
  <c r="CD49" i="5"/>
  <c r="CE49" i="5"/>
  <c r="CF49" i="5"/>
  <c r="CG49" i="5"/>
  <c r="CI49" i="5"/>
  <c r="CJ49" i="5"/>
  <c r="CK49" i="5"/>
  <c r="CL49" i="5"/>
  <c r="CN49" i="5"/>
  <c r="CO49" i="5"/>
  <c r="CP49" i="5"/>
  <c r="CQ49" i="5"/>
  <c r="CS49" i="5"/>
  <c r="CT49" i="5"/>
  <c r="CU49" i="5"/>
  <c r="CV49" i="5"/>
  <c r="CX49" i="5"/>
  <c r="CY49" i="5"/>
  <c r="CZ49" i="5"/>
  <c r="DA49" i="5"/>
  <c r="DC49" i="5"/>
  <c r="DD49" i="5"/>
  <c r="DE49" i="5"/>
  <c r="DF49" i="5"/>
  <c r="DH49" i="5"/>
  <c r="DI49" i="5"/>
  <c r="DJ49" i="5"/>
  <c r="DK49" i="5"/>
  <c r="DM49" i="5"/>
  <c r="DN49" i="5"/>
  <c r="DO49" i="5"/>
  <c r="DP49" i="5"/>
  <c r="DR49" i="5"/>
  <c r="DS49" i="5"/>
  <c r="DT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O50" i="5"/>
  <c r="BP50" i="5"/>
  <c r="BQ50" i="5"/>
  <c r="BR50" i="5"/>
  <c r="BT50" i="5"/>
  <c r="BU50" i="5"/>
  <c r="BV50" i="5"/>
  <c r="BW50" i="5"/>
  <c r="BY50" i="5"/>
  <c r="BZ50" i="5"/>
  <c r="CA50" i="5"/>
  <c r="CB50" i="5"/>
  <c r="CD50" i="5"/>
  <c r="CE50" i="5"/>
  <c r="CF50" i="5"/>
  <c r="CG50" i="5"/>
  <c r="CI50" i="5"/>
  <c r="CJ50" i="5"/>
  <c r="CK50" i="5"/>
  <c r="CL50" i="5"/>
  <c r="CN50" i="5"/>
  <c r="CO50" i="5"/>
  <c r="CP50" i="5"/>
  <c r="CQ50" i="5"/>
  <c r="CS50" i="5"/>
  <c r="CT50" i="5"/>
  <c r="CU50" i="5"/>
  <c r="CV50" i="5"/>
  <c r="CX50" i="5"/>
  <c r="CY50" i="5"/>
  <c r="CZ50" i="5"/>
  <c r="DA50" i="5"/>
  <c r="DC50" i="5"/>
  <c r="DD50" i="5"/>
  <c r="DE50" i="5"/>
  <c r="DF50" i="5"/>
  <c r="DH50" i="5"/>
  <c r="DI50" i="5"/>
  <c r="DJ50" i="5"/>
  <c r="DK50" i="5"/>
  <c r="DM50" i="5"/>
  <c r="DN50" i="5"/>
  <c r="DO50" i="5"/>
  <c r="DP50" i="5"/>
  <c r="DR50" i="5"/>
  <c r="DS50" i="5"/>
  <c r="DT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O51" i="5"/>
  <c r="BP51" i="5"/>
  <c r="BQ51" i="5"/>
  <c r="BR51" i="5"/>
  <c r="BT51" i="5"/>
  <c r="BU51" i="5"/>
  <c r="BV51" i="5"/>
  <c r="BW51" i="5"/>
  <c r="BY51" i="5"/>
  <c r="BZ51" i="5"/>
  <c r="CA51" i="5"/>
  <c r="CB51" i="5"/>
  <c r="CD51" i="5"/>
  <c r="CE51" i="5"/>
  <c r="CF51" i="5"/>
  <c r="CG51" i="5"/>
  <c r="CI51" i="5"/>
  <c r="CJ51" i="5"/>
  <c r="CK51" i="5"/>
  <c r="CL51" i="5"/>
  <c r="CN51" i="5"/>
  <c r="CO51" i="5"/>
  <c r="CP51" i="5"/>
  <c r="CQ51" i="5"/>
  <c r="CS51" i="5"/>
  <c r="CT51" i="5"/>
  <c r="CU51" i="5"/>
  <c r="CV51" i="5"/>
  <c r="CX51" i="5"/>
  <c r="CY51" i="5"/>
  <c r="CZ51" i="5"/>
  <c r="DA51" i="5"/>
  <c r="DC51" i="5"/>
  <c r="DI51" i="5"/>
  <c r="DJ51" i="5"/>
  <c r="DK51" i="5"/>
  <c r="DM51" i="5"/>
  <c r="DN51" i="5"/>
  <c r="DO51" i="5"/>
  <c r="DP51" i="5"/>
  <c r="DR51" i="5"/>
  <c r="DS51" i="5"/>
  <c r="DT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O52" i="5"/>
  <c r="BP52" i="5"/>
  <c r="BQ52" i="5"/>
  <c r="BR52" i="5"/>
  <c r="BT52" i="5"/>
  <c r="BU52" i="5"/>
  <c r="BV52" i="5"/>
  <c r="BW52" i="5"/>
  <c r="BY52" i="5"/>
  <c r="BZ52" i="5"/>
  <c r="CA52" i="5"/>
  <c r="CB52" i="5"/>
  <c r="CD52" i="5"/>
  <c r="CE52" i="5"/>
  <c r="CF52" i="5"/>
  <c r="CG52" i="5"/>
  <c r="CI52" i="5"/>
  <c r="CJ52" i="5"/>
  <c r="CK52" i="5"/>
  <c r="CL52" i="5"/>
  <c r="CN52" i="5"/>
  <c r="CO52" i="5"/>
  <c r="CP52" i="5"/>
  <c r="CQ52" i="5"/>
  <c r="CS52" i="5"/>
  <c r="CT52" i="5"/>
  <c r="CU52" i="5"/>
  <c r="CV52" i="5"/>
  <c r="CX52" i="5"/>
  <c r="CY52" i="5"/>
  <c r="CZ52" i="5"/>
  <c r="DA52" i="5"/>
  <c r="DC52" i="5"/>
  <c r="DD52" i="5"/>
  <c r="DE52" i="5"/>
  <c r="DF52" i="5"/>
  <c r="DH52" i="5"/>
  <c r="DI52" i="5"/>
  <c r="DJ52" i="5"/>
  <c r="DK52" i="5"/>
  <c r="DM52" i="5"/>
  <c r="DN52" i="5"/>
  <c r="DO52" i="5"/>
  <c r="DP52" i="5"/>
  <c r="DR52" i="5"/>
  <c r="DS52" i="5"/>
  <c r="DT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O53" i="5"/>
  <c r="BP53" i="5"/>
  <c r="BQ53" i="5"/>
  <c r="BR53" i="5"/>
  <c r="BT53" i="5"/>
  <c r="BU53" i="5"/>
  <c r="BV53" i="5"/>
  <c r="BW53" i="5"/>
  <c r="BY53" i="5"/>
  <c r="BZ53" i="5"/>
  <c r="CA53" i="5"/>
  <c r="CB53" i="5"/>
  <c r="CD53" i="5"/>
  <c r="CE53" i="5"/>
  <c r="CF53" i="5"/>
  <c r="CG53" i="5"/>
  <c r="CI53" i="5"/>
  <c r="CJ53" i="5"/>
  <c r="CK53" i="5"/>
  <c r="CL53" i="5"/>
  <c r="CN53" i="5"/>
  <c r="CO53" i="5"/>
  <c r="CP53" i="5"/>
  <c r="CQ53" i="5"/>
  <c r="CS53" i="5"/>
  <c r="CT53" i="5"/>
  <c r="CU53" i="5"/>
  <c r="CV53" i="5"/>
  <c r="CX53" i="5"/>
  <c r="CY53" i="5"/>
  <c r="CZ53" i="5"/>
  <c r="DA53" i="5"/>
  <c r="DC53" i="5"/>
  <c r="DD53" i="5"/>
  <c r="DE53" i="5"/>
  <c r="DF53" i="5"/>
  <c r="DH53" i="5"/>
  <c r="DI53" i="5"/>
  <c r="DJ53" i="5"/>
  <c r="DK53" i="5"/>
  <c r="DM53" i="5"/>
  <c r="DN53" i="5"/>
  <c r="DO53" i="5"/>
  <c r="DP53" i="5"/>
  <c r="DR53" i="5"/>
  <c r="DS53" i="5"/>
  <c r="DT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O54" i="5"/>
  <c r="BP54" i="5"/>
  <c r="BQ54" i="5"/>
  <c r="BR54" i="5"/>
  <c r="BT54" i="5"/>
  <c r="BU54" i="5"/>
  <c r="BV54" i="5"/>
  <c r="BW54" i="5"/>
  <c r="BY54" i="5"/>
  <c r="BZ54" i="5"/>
  <c r="CA54" i="5"/>
  <c r="CB54" i="5"/>
  <c r="CD54" i="5"/>
  <c r="CE54" i="5"/>
  <c r="CF54" i="5"/>
  <c r="CG54" i="5"/>
  <c r="CI54" i="5"/>
  <c r="CJ54" i="5"/>
  <c r="CK54" i="5"/>
  <c r="CL54" i="5"/>
  <c r="CN54" i="5"/>
  <c r="CO54" i="5"/>
  <c r="CP54" i="5"/>
  <c r="CQ54" i="5"/>
  <c r="CS54" i="5"/>
  <c r="CT54" i="5"/>
  <c r="CU54" i="5"/>
  <c r="CV54" i="5"/>
  <c r="CX54" i="5"/>
  <c r="CY54" i="5"/>
  <c r="CZ54" i="5"/>
  <c r="DA54" i="5"/>
  <c r="DC54" i="5"/>
  <c r="DD54" i="5"/>
  <c r="DE54" i="5"/>
  <c r="DF54" i="5"/>
  <c r="DH54" i="5"/>
  <c r="DI54" i="5"/>
  <c r="DJ54" i="5"/>
  <c r="DK54" i="5"/>
  <c r="DM54" i="5"/>
  <c r="DN54" i="5"/>
  <c r="DO54" i="5"/>
  <c r="DP54" i="5"/>
  <c r="DR54" i="5"/>
  <c r="DS54" i="5"/>
  <c r="DT54" i="5"/>
  <c r="B54" i="5"/>
  <c r="B53" i="5"/>
  <c r="B52" i="5"/>
  <c r="B51" i="5"/>
  <c r="B50" i="5"/>
  <c r="B49" i="5"/>
  <c r="B48" i="5"/>
  <c r="B47" i="5"/>
  <c r="B46" i="5"/>
  <c r="B43" i="5"/>
  <c r="B42" i="5"/>
  <c r="B41" i="5"/>
  <c r="B40" i="5"/>
  <c r="B39" i="5"/>
  <c r="B38" i="5"/>
  <c r="B37" i="5"/>
  <c r="B36" i="5"/>
  <c r="B35" i="5"/>
  <c r="B34" i="5"/>
  <c r="B33" i="5"/>
  <c r="B32" i="5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BL3" i="5"/>
  <c r="BM3" i="5"/>
  <c r="BO3" i="5"/>
  <c r="BP3" i="5"/>
  <c r="BQ3" i="5"/>
  <c r="BR3" i="5"/>
  <c r="BT3" i="5"/>
  <c r="BU3" i="5"/>
  <c r="BV3" i="5"/>
  <c r="BW3" i="5"/>
  <c r="BY3" i="5"/>
  <c r="BZ3" i="5"/>
  <c r="CA3" i="5"/>
  <c r="CB3" i="5"/>
  <c r="CD3" i="5"/>
  <c r="CE3" i="5"/>
  <c r="CF3" i="5"/>
  <c r="CG3" i="5"/>
  <c r="CI3" i="5"/>
  <c r="CJ3" i="5"/>
  <c r="CK3" i="5"/>
  <c r="CL3" i="5"/>
  <c r="CN3" i="5"/>
  <c r="CO3" i="5"/>
  <c r="CP3" i="5"/>
  <c r="CQ3" i="5"/>
  <c r="CS3" i="5"/>
  <c r="CT3" i="5"/>
  <c r="CU3" i="5"/>
  <c r="CV3" i="5"/>
  <c r="CX3" i="5"/>
  <c r="CY3" i="5"/>
  <c r="CZ3" i="5"/>
  <c r="DA3" i="5"/>
  <c r="DC3" i="5"/>
  <c r="DD3" i="5"/>
  <c r="DE3" i="5"/>
  <c r="DF3" i="5"/>
  <c r="DH3" i="5"/>
  <c r="DI3" i="5"/>
  <c r="DJ3" i="5"/>
  <c r="DK3" i="5"/>
  <c r="DM3" i="5"/>
  <c r="DN3" i="5"/>
  <c r="DO3" i="5"/>
  <c r="DP3" i="5"/>
  <c r="DR3" i="5"/>
  <c r="DS3" i="5"/>
  <c r="DT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O4" i="5"/>
  <c r="BP4" i="5"/>
  <c r="BQ4" i="5"/>
  <c r="BR4" i="5"/>
  <c r="BT4" i="5"/>
  <c r="BU4" i="5"/>
  <c r="BV4" i="5"/>
  <c r="BW4" i="5"/>
  <c r="BY4" i="5"/>
  <c r="BZ4" i="5"/>
  <c r="CA4" i="5"/>
  <c r="CB4" i="5"/>
  <c r="CD4" i="5"/>
  <c r="CE4" i="5"/>
  <c r="CF4" i="5"/>
  <c r="CG4" i="5"/>
  <c r="CI4" i="5"/>
  <c r="CJ4" i="5"/>
  <c r="CK4" i="5"/>
  <c r="CL4" i="5"/>
  <c r="CN4" i="5"/>
  <c r="CO4" i="5"/>
  <c r="CP4" i="5"/>
  <c r="CQ4" i="5"/>
  <c r="CS4" i="5"/>
  <c r="CT4" i="5"/>
  <c r="CU4" i="5"/>
  <c r="CV4" i="5"/>
  <c r="CX4" i="5"/>
  <c r="CY4" i="5"/>
  <c r="CZ4" i="5"/>
  <c r="DA4" i="5"/>
  <c r="DC4" i="5"/>
  <c r="DD4" i="5"/>
  <c r="DE4" i="5"/>
  <c r="DF4" i="5"/>
  <c r="DH4" i="5"/>
  <c r="DI4" i="5"/>
  <c r="DJ4" i="5"/>
  <c r="DK4" i="5"/>
  <c r="DM4" i="5"/>
  <c r="DN4" i="5"/>
  <c r="DO4" i="5"/>
  <c r="DP4" i="5"/>
  <c r="DR4" i="5"/>
  <c r="DS4" i="5"/>
  <c r="DT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O6" i="5"/>
  <c r="BP6" i="5"/>
  <c r="BQ6" i="5"/>
  <c r="BR6" i="5"/>
  <c r="BT6" i="5"/>
  <c r="BU6" i="5"/>
  <c r="BV6" i="5"/>
  <c r="BW6" i="5"/>
  <c r="BY6" i="5"/>
  <c r="BZ6" i="5"/>
  <c r="CA6" i="5"/>
  <c r="CB6" i="5"/>
  <c r="CD6" i="5"/>
  <c r="CE6" i="5"/>
  <c r="CF6" i="5"/>
  <c r="CG6" i="5"/>
  <c r="CI6" i="5"/>
  <c r="CJ6" i="5"/>
  <c r="CK6" i="5"/>
  <c r="CL6" i="5"/>
  <c r="CN6" i="5"/>
  <c r="CO6" i="5"/>
  <c r="CP6" i="5"/>
  <c r="CQ6" i="5"/>
  <c r="CS6" i="5"/>
  <c r="CT6" i="5"/>
  <c r="CU6" i="5"/>
  <c r="CV6" i="5"/>
  <c r="CX6" i="5"/>
  <c r="CY6" i="5"/>
  <c r="CZ6" i="5"/>
  <c r="DA6" i="5"/>
  <c r="DC6" i="5"/>
  <c r="DD6" i="5"/>
  <c r="DE6" i="5"/>
  <c r="DF6" i="5"/>
  <c r="DH6" i="5"/>
  <c r="DI6" i="5"/>
  <c r="DJ6" i="5"/>
  <c r="DK6" i="5"/>
  <c r="DM6" i="5"/>
  <c r="DN6" i="5"/>
  <c r="DO6" i="5"/>
  <c r="DP6" i="5"/>
  <c r="DR6" i="5"/>
  <c r="DS6" i="5"/>
  <c r="DT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O7" i="5"/>
  <c r="BP7" i="5"/>
  <c r="BQ7" i="5"/>
  <c r="BR7" i="5"/>
  <c r="BT7" i="5"/>
  <c r="BU7" i="5"/>
  <c r="BV7" i="5"/>
  <c r="BW7" i="5"/>
  <c r="BY7" i="5"/>
  <c r="BZ7" i="5"/>
  <c r="CA7" i="5"/>
  <c r="CB7" i="5"/>
  <c r="CD7" i="5"/>
  <c r="CE7" i="5"/>
  <c r="CF7" i="5"/>
  <c r="CG7" i="5"/>
  <c r="CI7" i="5"/>
  <c r="CJ7" i="5"/>
  <c r="CK7" i="5"/>
  <c r="CL7" i="5"/>
  <c r="CN7" i="5"/>
  <c r="CO7" i="5"/>
  <c r="CP7" i="5"/>
  <c r="CQ7" i="5"/>
  <c r="CS7" i="5"/>
  <c r="CT7" i="5"/>
  <c r="CU7" i="5"/>
  <c r="CV7" i="5"/>
  <c r="CX7" i="5"/>
  <c r="CY7" i="5"/>
  <c r="CZ7" i="5"/>
  <c r="DA7" i="5"/>
  <c r="DC7" i="5"/>
  <c r="DD7" i="5"/>
  <c r="DE7" i="5"/>
  <c r="DF7" i="5"/>
  <c r="DH7" i="5"/>
  <c r="DI7" i="5"/>
  <c r="DJ7" i="5"/>
  <c r="DK7" i="5"/>
  <c r="DM7" i="5"/>
  <c r="DN7" i="5"/>
  <c r="DO7" i="5"/>
  <c r="DP7" i="5"/>
  <c r="DR7" i="5"/>
  <c r="DS7" i="5"/>
  <c r="DT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O8" i="5"/>
  <c r="BP8" i="5"/>
  <c r="BQ8" i="5"/>
  <c r="BR8" i="5"/>
  <c r="BT8" i="5"/>
  <c r="BU8" i="5"/>
  <c r="BV8" i="5"/>
  <c r="BW8" i="5"/>
  <c r="BY8" i="5"/>
  <c r="BZ8" i="5"/>
  <c r="CA8" i="5"/>
  <c r="CB8" i="5"/>
  <c r="CD8" i="5"/>
  <c r="CE8" i="5"/>
  <c r="CF8" i="5"/>
  <c r="CG8" i="5"/>
  <c r="CI8" i="5"/>
  <c r="CJ8" i="5"/>
  <c r="CK8" i="5"/>
  <c r="CL8" i="5"/>
  <c r="CN8" i="5"/>
  <c r="CO8" i="5"/>
  <c r="CP8" i="5"/>
  <c r="CQ8" i="5"/>
  <c r="CS8" i="5"/>
  <c r="CT8" i="5"/>
  <c r="CU8" i="5"/>
  <c r="CV8" i="5"/>
  <c r="CX8" i="5"/>
  <c r="CY8" i="5"/>
  <c r="CZ8" i="5"/>
  <c r="DA8" i="5"/>
  <c r="DC8" i="5"/>
  <c r="DD8" i="5"/>
  <c r="DE8" i="5"/>
  <c r="DF8" i="5"/>
  <c r="DH8" i="5"/>
  <c r="DI8" i="5"/>
  <c r="DJ8" i="5"/>
  <c r="DK8" i="5"/>
  <c r="DM8" i="5"/>
  <c r="DN8" i="5"/>
  <c r="DO8" i="5"/>
  <c r="DP8" i="5"/>
  <c r="DR8" i="5"/>
  <c r="DS8" i="5"/>
  <c r="DT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O9" i="5"/>
  <c r="BP9" i="5"/>
  <c r="BQ9" i="5"/>
  <c r="BR9" i="5"/>
  <c r="BT9" i="5"/>
  <c r="BU9" i="5"/>
  <c r="BV9" i="5"/>
  <c r="BW9" i="5"/>
  <c r="BY9" i="5"/>
  <c r="BZ9" i="5"/>
  <c r="CA9" i="5"/>
  <c r="CB9" i="5"/>
  <c r="CD9" i="5"/>
  <c r="CE9" i="5"/>
  <c r="CF9" i="5"/>
  <c r="CG9" i="5"/>
  <c r="CI9" i="5"/>
  <c r="CJ9" i="5"/>
  <c r="CK9" i="5"/>
  <c r="CL9" i="5"/>
  <c r="CN9" i="5"/>
  <c r="CO9" i="5"/>
  <c r="CP9" i="5"/>
  <c r="CQ9" i="5"/>
  <c r="CS9" i="5"/>
  <c r="CT9" i="5"/>
  <c r="CU9" i="5"/>
  <c r="CV9" i="5"/>
  <c r="CX9" i="5"/>
  <c r="CY9" i="5"/>
  <c r="CZ9" i="5"/>
  <c r="DA9" i="5"/>
  <c r="DC9" i="5"/>
  <c r="DD9" i="5"/>
  <c r="DE9" i="5"/>
  <c r="DF9" i="5"/>
  <c r="DH9" i="5"/>
  <c r="DI9" i="5"/>
  <c r="DJ9" i="5"/>
  <c r="DK9" i="5"/>
  <c r="DM9" i="5"/>
  <c r="DN9" i="5"/>
  <c r="DO9" i="5"/>
  <c r="DP9" i="5"/>
  <c r="DR9" i="5"/>
  <c r="DS9" i="5"/>
  <c r="DT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O10" i="5"/>
  <c r="BP10" i="5"/>
  <c r="BQ10" i="5"/>
  <c r="BR10" i="5"/>
  <c r="BT10" i="5"/>
  <c r="BU10" i="5"/>
  <c r="BV10" i="5"/>
  <c r="BW10" i="5"/>
  <c r="BY10" i="5"/>
  <c r="BZ10" i="5"/>
  <c r="CA10" i="5"/>
  <c r="CB10" i="5"/>
  <c r="CD10" i="5"/>
  <c r="CE10" i="5"/>
  <c r="CF10" i="5"/>
  <c r="CG10" i="5"/>
  <c r="CI10" i="5"/>
  <c r="CJ10" i="5"/>
  <c r="CK10" i="5"/>
  <c r="CL10" i="5"/>
  <c r="CN10" i="5"/>
  <c r="CO10" i="5"/>
  <c r="CP10" i="5"/>
  <c r="CQ10" i="5"/>
  <c r="CS10" i="5"/>
  <c r="CT10" i="5"/>
  <c r="CU10" i="5"/>
  <c r="CV10" i="5"/>
  <c r="CX10" i="5"/>
  <c r="CY10" i="5"/>
  <c r="CZ10" i="5"/>
  <c r="DA10" i="5"/>
  <c r="DC10" i="5"/>
  <c r="DD10" i="5"/>
  <c r="DE10" i="5"/>
  <c r="DF10" i="5"/>
  <c r="DH10" i="5"/>
  <c r="DI10" i="5"/>
  <c r="DJ10" i="5"/>
  <c r="DK10" i="5"/>
  <c r="DM10" i="5"/>
  <c r="DN10" i="5"/>
  <c r="DO10" i="5"/>
  <c r="DP10" i="5"/>
  <c r="DR10" i="5"/>
  <c r="DS10" i="5"/>
  <c r="DT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O11" i="5"/>
  <c r="BP11" i="5"/>
  <c r="BQ11" i="5"/>
  <c r="BR11" i="5"/>
  <c r="BT11" i="5"/>
  <c r="BU11" i="5"/>
  <c r="BV11" i="5"/>
  <c r="BW11" i="5"/>
  <c r="BY11" i="5"/>
  <c r="BZ11" i="5"/>
  <c r="CA11" i="5"/>
  <c r="CB11" i="5"/>
  <c r="CD11" i="5"/>
  <c r="CE11" i="5"/>
  <c r="CF11" i="5"/>
  <c r="CG11" i="5"/>
  <c r="CI11" i="5"/>
  <c r="CJ11" i="5"/>
  <c r="CK11" i="5"/>
  <c r="CL11" i="5"/>
  <c r="CN11" i="5"/>
  <c r="CO11" i="5"/>
  <c r="CP11" i="5"/>
  <c r="CQ11" i="5"/>
  <c r="CS11" i="5"/>
  <c r="CT11" i="5"/>
  <c r="CU11" i="5"/>
  <c r="CV11" i="5"/>
  <c r="CX11" i="5"/>
  <c r="CY11" i="5"/>
  <c r="CZ11" i="5"/>
  <c r="DA11" i="5"/>
  <c r="DC11" i="5"/>
  <c r="DD11" i="5"/>
  <c r="DE11" i="5"/>
  <c r="DF11" i="5"/>
  <c r="DH11" i="5"/>
  <c r="DI11" i="5"/>
  <c r="DJ11" i="5"/>
  <c r="DK11" i="5"/>
  <c r="DM11" i="5"/>
  <c r="DN11" i="5"/>
  <c r="DO11" i="5"/>
  <c r="DP11" i="5"/>
  <c r="DR11" i="5"/>
  <c r="DS11" i="5"/>
  <c r="DT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O12" i="5"/>
  <c r="BP12" i="5"/>
  <c r="BQ12" i="5"/>
  <c r="BR12" i="5"/>
  <c r="BT12" i="5"/>
  <c r="BU12" i="5"/>
  <c r="BV12" i="5"/>
  <c r="BW12" i="5"/>
  <c r="BY12" i="5"/>
  <c r="BZ12" i="5"/>
  <c r="CA12" i="5"/>
  <c r="CB12" i="5"/>
  <c r="CD12" i="5"/>
  <c r="CE12" i="5"/>
  <c r="CF12" i="5"/>
  <c r="CG12" i="5"/>
  <c r="CI12" i="5"/>
  <c r="CJ12" i="5"/>
  <c r="CK12" i="5"/>
  <c r="CL12" i="5"/>
  <c r="CN12" i="5"/>
  <c r="CO12" i="5"/>
  <c r="CP12" i="5"/>
  <c r="CQ12" i="5"/>
  <c r="CS12" i="5"/>
  <c r="CT12" i="5"/>
  <c r="CU12" i="5"/>
  <c r="CV12" i="5"/>
  <c r="CX12" i="5"/>
  <c r="CY12" i="5"/>
  <c r="CZ12" i="5"/>
  <c r="DA12" i="5"/>
  <c r="DC12" i="5"/>
  <c r="DD12" i="5"/>
  <c r="DE12" i="5"/>
  <c r="DF12" i="5"/>
  <c r="DH12" i="5"/>
  <c r="DI12" i="5"/>
  <c r="DJ12" i="5"/>
  <c r="DK12" i="5"/>
  <c r="DM12" i="5"/>
  <c r="DN12" i="5"/>
  <c r="DO12" i="5"/>
  <c r="DP12" i="5"/>
  <c r="DR12" i="5"/>
  <c r="DS12" i="5"/>
  <c r="DT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O13" i="5"/>
  <c r="BP13" i="5"/>
  <c r="BQ13" i="5"/>
  <c r="BR13" i="5"/>
  <c r="BT13" i="5"/>
  <c r="BU13" i="5"/>
  <c r="BV13" i="5"/>
  <c r="BW13" i="5"/>
  <c r="BY13" i="5"/>
  <c r="BZ13" i="5"/>
  <c r="CA13" i="5"/>
  <c r="CB13" i="5"/>
  <c r="CD13" i="5"/>
  <c r="CE13" i="5"/>
  <c r="CF13" i="5"/>
  <c r="CG13" i="5"/>
  <c r="CI13" i="5"/>
  <c r="CJ13" i="5"/>
  <c r="CK13" i="5"/>
  <c r="CL13" i="5"/>
  <c r="CN13" i="5"/>
  <c r="CO13" i="5"/>
  <c r="CP13" i="5"/>
  <c r="CQ13" i="5"/>
  <c r="CS13" i="5"/>
  <c r="CT13" i="5"/>
  <c r="CU13" i="5"/>
  <c r="CV13" i="5"/>
  <c r="CX13" i="5"/>
  <c r="CY13" i="5"/>
  <c r="CZ13" i="5"/>
  <c r="DA13" i="5"/>
  <c r="DC13" i="5"/>
  <c r="DD13" i="5"/>
  <c r="DE13" i="5"/>
  <c r="DF13" i="5"/>
  <c r="DH13" i="5"/>
  <c r="DI13" i="5"/>
  <c r="DJ13" i="5"/>
  <c r="DK13" i="5"/>
  <c r="DM13" i="5"/>
  <c r="DN13" i="5"/>
  <c r="DO13" i="5"/>
  <c r="DP13" i="5"/>
  <c r="DR13" i="5"/>
  <c r="DS13" i="5"/>
  <c r="DT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O14" i="5"/>
  <c r="BP14" i="5"/>
  <c r="BQ14" i="5"/>
  <c r="BR14" i="5"/>
  <c r="BT14" i="5"/>
  <c r="BU14" i="5"/>
  <c r="BV14" i="5"/>
  <c r="BW14" i="5"/>
  <c r="BY14" i="5"/>
  <c r="BZ14" i="5"/>
  <c r="CA14" i="5"/>
  <c r="CB14" i="5"/>
  <c r="CD14" i="5"/>
  <c r="CE14" i="5"/>
  <c r="CF14" i="5"/>
  <c r="CG14" i="5"/>
  <c r="CI14" i="5"/>
  <c r="CJ14" i="5"/>
  <c r="CK14" i="5"/>
  <c r="CL14" i="5"/>
  <c r="CN14" i="5"/>
  <c r="CO14" i="5"/>
  <c r="CP14" i="5"/>
  <c r="CQ14" i="5"/>
  <c r="CS14" i="5"/>
  <c r="CT14" i="5"/>
  <c r="CU14" i="5"/>
  <c r="CV14" i="5"/>
  <c r="CX14" i="5"/>
  <c r="CY14" i="5"/>
  <c r="CZ14" i="5"/>
  <c r="DA14" i="5"/>
  <c r="DC14" i="5"/>
  <c r="DD14" i="5"/>
  <c r="DE14" i="5"/>
  <c r="DF14" i="5"/>
  <c r="DH14" i="5"/>
  <c r="DI14" i="5"/>
  <c r="DJ14" i="5"/>
  <c r="DK14" i="5"/>
  <c r="DM14" i="5"/>
  <c r="DN14" i="5"/>
  <c r="DO14" i="5"/>
  <c r="DP14" i="5"/>
  <c r="DR14" i="5"/>
  <c r="DS14" i="5"/>
  <c r="DT14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O17" i="5"/>
  <c r="BP17" i="5"/>
  <c r="BQ17" i="5"/>
  <c r="BR17" i="5"/>
  <c r="BT17" i="5"/>
  <c r="BU17" i="5"/>
  <c r="BV17" i="5"/>
  <c r="BW17" i="5"/>
  <c r="BY17" i="5"/>
  <c r="BZ17" i="5"/>
  <c r="CA17" i="5"/>
  <c r="CB17" i="5"/>
  <c r="CD17" i="5"/>
  <c r="CE17" i="5"/>
  <c r="CF17" i="5"/>
  <c r="CG17" i="5"/>
  <c r="CI17" i="5"/>
  <c r="CJ17" i="5"/>
  <c r="CK17" i="5"/>
  <c r="CL17" i="5"/>
  <c r="CN17" i="5"/>
  <c r="CO17" i="5"/>
  <c r="CP17" i="5"/>
  <c r="CQ17" i="5"/>
  <c r="CS17" i="5"/>
  <c r="CT17" i="5"/>
  <c r="CU17" i="5"/>
  <c r="CV17" i="5"/>
  <c r="CX17" i="5"/>
  <c r="CY17" i="5"/>
  <c r="CZ17" i="5"/>
  <c r="DA17" i="5"/>
  <c r="DC17" i="5"/>
  <c r="DD17" i="5"/>
  <c r="DE17" i="5"/>
  <c r="DF17" i="5"/>
  <c r="DH17" i="5"/>
  <c r="DI17" i="5"/>
  <c r="DJ17" i="5"/>
  <c r="DK17" i="5"/>
  <c r="DM17" i="5"/>
  <c r="DN17" i="5"/>
  <c r="DO17" i="5"/>
  <c r="DP17" i="5"/>
  <c r="DR17" i="5"/>
  <c r="DS17" i="5"/>
  <c r="DT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O18" i="5"/>
  <c r="BP18" i="5"/>
  <c r="BQ18" i="5"/>
  <c r="BR18" i="5"/>
  <c r="BT18" i="5"/>
  <c r="BU18" i="5"/>
  <c r="BV18" i="5"/>
  <c r="BW18" i="5"/>
  <c r="BY18" i="5"/>
  <c r="BZ18" i="5"/>
  <c r="CA18" i="5"/>
  <c r="CB18" i="5"/>
  <c r="CD18" i="5"/>
  <c r="CE18" i="5"/>
  <c r="CF18" i="5"/>
  <c r="CG18" i="5"/>
  <c r="CI18" i="5"/>
  <c r="CJ18" i="5"/>
  <c r="CK18" i="5"/>
  <c r="CL18" i="5"/>
  <c r="CN18" i="5"/>
  <c r="CO18" i="5"/>
  <c r="CP18" i="5"/>
  <c r="CQ18" i="5"/>
  <c r="CS18" i="5"/>
  <c r="CT18" i="5"/>
  <c r="CU18" i="5"/>
  <c r="CV18" i="5"/>
  <c r="CX18" i="5"/>
  <c r="CY18" i="5"/>
  <c r="CZ18" i="5"/>
  <c r="DA18" i="5"/>
  <c r="DC18" i="5"/>
  <c r="DD18" i="5"/>
  <c r="DE18" i="5"/>
  <c r="DF18" i="5"/>
  <c r="DH18" i="5"/>
  <c r="DI18" i="5"/>
  <c r="DJ18" i="5"/>
  <c r="DK18" i="5"/>
  <c r="DM18" i="5"/>
  <c r="DN18" i="5"/>
  <c r="DO18" i="5"/>
  <c r="DP18" i="5"/>
  <c r="DR18" i="5"/>
  <c r="DS18" i="5"/>
  <c r="DT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O19" i="5"/>
  <c r="BP19" i="5"/>
  <c r="BQ19" i="5"/>
  <c r="BR19" i="5"/>
  <c r="BT19" i="5"/>
  <c r="BU19" i="5"/>
  <c r="BV19" i="5"/>
  <c r="BW19" i="5"/>
  <c r="BY19" i="5"/>
  <c r="BZ19" i="5"/>
  <c r="CA19" i="5"/>
  <c r="CB19" i="5"/>
  <c r="CD19" i="5"/>
  <c r="CE19" i="5"/>
  <c r="CF19" i="5"/>
  <c r="CG19" i="5"/>
  <c r="CI19" i="5"/>
  <c r="CJ19" i="5"/>
  <c r="CK19" i="5"/>
  <c r="CL19" i="5"/>
  <c r="CN19" i="5"/>
  <c r="CO19" i="5"/>
  <c r="CP19" i="5"/>
  <c r="CQ19" i="5"/>
  <c r="CS19" i="5"/>
  <c r="CT19" i="5"/>
  <c r="CU19" i="5"/>
  <c r="CV19" i="5"/>
  <c r="CX19" i="5"/>
  <c r="CY19" i="5"/>
  <c r="CZ19" i="5"/>
  <c r="DA19" i="5"/>
  <c r="DC19" i="5"/>
  <c r="DD19" i="5"/>
  <c r="DE19" i="5"/>
  <c r="DF19" i="5"/>
  <c r="DH19" i="5"/>
  <c r="DI19" i="5"/>
  <c r="DJ19" i="5"/>
  <c r="DK19" i="5"/>
  <c r="DM19" i="5"/>
  <c r="DN19" i="5"/>
  <c r="DO19" i="5"/>
  <c r="DP19" i="5"/>
  <c r="DR19" i="5"/>
  <c r="DS19" i="5"/>
  <c r="DT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O20" i="5"/>
  <c r="BP20" i="5"/>
  <c r="BQ20" i="5"/>
  <c r="BR20" i="5"/>
  <c r="BT20" i="5"/>
  <c r="BU20" i="5"/>
  <c r="BV20" i="5"/>
  <c r="BW20" i="5"/>
  <c r="BY20" i="5"/>
  <c r="BZ20" i="5"/>
  <c r="CA20" i="5"/>
  <c r="CB20" i="5"/>
  <c r="CD20" i="5"/>
  <c r="CE20" i="5"/>
  <c r="CF20" i="5"/>
  <c r="CG20" i="5"/>
  <c r="CI20" i="5"/>
  <c r="CJ20" i="5"/>
  <c r="CK20" i="5"/>
  <c r="CL20" i="5"/>
  <c r="CN20" i="5"/>
  <c r="CO20" i="5"/>
  <c r="CP20" i="5"/>
  <c r="CQ20" i="5"/>
  <c r="CS20" i="5"/>
  <c r="CT20" i="5"/>
  <c r="CU20" i="5"/>
  <c r="CV20" i="5"/>
  <c r="CX20" i="5"/>
  <c r="CY20" i="5"/>
  <c r="CZ20" i="5"/>
  <c r="DA20" i="5"/>
  <c r="DC20" i="5"/>
  <c r="DD20" i="5"/>
  <c r="DE20" i="5"/>
  <c r="DF20" i="5"/>
  <c r="DI20" i="5"/>
  <c r="DJ20" i="5"/>
  <c r="DK20" i="5"/>
  <c r="DM20" i="5"/>
  <c r="DN20" i="5"/>
  <c r="DO20" i="5"/>
  <c r="DP20" i="5"/>
  <c r="DR20" i="5"/>
  <c r="DS20" i="5"/>
  <c r="DT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O22" i="5"/>
  <c r="BP22" i="5"/>
  <c r="BQ22" i="5"/>
  <c r="BR22" i="5"/>
  <c r="BT22" i="5"/>
  <c r="BU22" i="5"/>
  <c r="BV22" i="5"/>
  <c r="BW22" i="5"/>
  <c r="BY22" i="5"/>
  <c r="BZ22" i="5"/>
  <c r="CA22" i="5"/>
  <c r="CB22" i="5"/>
  <c r="CI22" i="5"/>
  <c r="CJ22" i="5"/>
  <c r="CK22" i="5"/>
  <c r="CL22" i="5"/>
  <c r="CN22" i="5"/>
  <c r="CO22" i="5"/>
  <c r="CP22" i="5"/>
  <c r="CQ22" i="5"/>
  <c r="CS22" i="5"/>
  <c r="CT22" i="5"/>
  <c r="CU22" i="5"/>
  <c r="CV22" i="5"/>
  <c r="CX22" i="5"/>
  <c r="CY22" i="5"/>
  <c r="CZ22" i="5"/>
  <c r="DA22" i="5"/>
  <c r="DC22" i="5"/>
  <c r="DD22" i="5"/>
  <c r="DE22" i="5"/>
  <c r="DF22" i="5"/>
  <c r="DI22" i="5"/>
  <c r="DJ22" i="5"/>
  <c r="DK22" i="5"/>
  <c r="DR22" i="5"/>
  <c r="DS22" i="5"/>
  <c r="DT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O23" i="5"/>
  <c r="BP23" i="5"/>
  <c r="BQ23" i="5"/>
  <c r="BR23" i="5"/>
  <c r="BT23" i="5"/>
  <c r="BU23" i="5"/>
  <c r="BV23" i="5"/>
  <c r="BW23" i="5"/>
  <c r="BY23" i="5"/>
  <c r="BZ23" i="5"/>
  <c r="CA23" i="5"/>
  <c r="CB23" i="5"/>
  <c r="CI23" i="5"/>
  <c r="CJ23" i="5"/>
  <c r="CK23" i="5"/>
  <c r="CL23" i="5"/>
  <c r="CN23" i="5"/>
  <c r="CO23" i="5"/>
  <c r="CP23" i="5"/>
  <c r="CQ23" i="5"/>
  <c r="CS23" i="5"/>
  <c r="CT23" i="5"/>
  <c r="CU23" i="5"/>
  <c r="CV23" i="5"/>
  <c r="CX23" i="5"/>
  <c r="CY23" i="5"/>
  <c r="CZ23" i="5"/>
  <c r="DC23" i="5"/>
  <c r="DD23" i="5"/>
  <c r="DE23" i="5"/>
  <c r="DF23" i="5"/>
  <c r="DH23" i="5"/>
  <c r="DI23" i="5"/>
  <c r="DJ23" i="5"/>
  <c r="DK23" i="5"/>
  <c r="DM23" i="5"/>
  <c r="DN23" i="5"/>
  <c r="DO23" i="5"/>
  <c r="DP23" i="5"/>
  <c r="DR23" i="5"/>
  <c r="DS23" i="5"/>
  <c r="DT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O24" i="5"/>
  <c r="BP24" i="5"/>
  <c r="BQ24" i="5"/>
  <c r="BR24" i="5"/>
  <c r="BT24" i="5"/>
  <c r="BU24" i="5"/>
  <c r="BV24" i="5"/>
  <c r="BW24" i="5"/>
  <c r="BY24" i="5"/>
  <c r="BZ24" i="5"/>
  <c r="CA24" i="5"/>
  <c r="CB24" i="5"/>
  <c r="CD24" i="5"/>
  <c r="CE24" i="5"/>
  <c r="CF24" i="5"/>
  <c r="CG24" i="5"/>
  <c r="CI24" i="5"/>
  <c r="CJ24" i="5"/>
  <c r="CK24" i="5"/>
  <c r="CL24" i="5"/>
  <c r="CN24" i="5"/>
  <c r="CO24" i="5"/>
  <c r="CP24" i="5"/>
  <c r="CQ24" i="5"/>
  <c r="CS24" i="5"/>
  <c r="CT24" i="5"/>
  <c r="CU24" i="5"/>
  <c r="CV24" i="5"/>
  <c r="CX24" i="5"/>
  <c r="CY24" i="5"/>
  <c r="CZ24" i="5"/>
  <c r="DA24" i="5"/>
  <c r="DC24" i="5"/>
  <c r="DD24" i="5"/>
  <c r="DE24" i="5"/>
  <c r="DF24" i="5"/>
  <c r="DH24" i="5"/>
  <c r="DI24" i="5"/>
  <c r="DJ24" i="5"/>
  <c r="DK24" i="5"/>
  <c r="DM24" i="5"/>
  <c r="DN24" i="5"/>
  <c r="DO24" i="5"/>
  <c r="DP24" i="5"/>
  <c r="DR24" i="5"/>
  <c r="DS24" i="5"/>
  <c r="DT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O25" i="5"/>
  <c r="BP25" i="5"/>
  <c r="BQ25" i="5"/>
  <c r="BR25" i="5"/>
  <c r="BT25" i="5"/>
  <c r="BU25" i="5"/>
  <c r="BV25" i="5"/>
  <c r="BW25" i="5"/>
  <c r="BY25" i="5"/>
  <c r="BZ25" i="5"/>
  <c r="CA25" i="5"/>
  <c r="CB25" i="5"/>
  <c r="CD25" i="5"/>
  <c r="CE25" i="5"/>
  <c r="CF25" i="5"/>
  <c r="CG25" i="5"/>
  <c r="CI25" i="5"/>
  <c r="CJ25" i="5"/>
  <c r="CK25" i="5"/>
  <c r="CL25" i="5"/>
  <c r="CN25" i="5"/>
  <c r="CO25" i="5"/>
  <c r="CP25" i="5"/>
  <c r="CQ25" i="5"/>
  <c r="CS25" i="5"/>
  <c r="CT25" i="5"/>
  <c r="CU25" i="5"/>
  <c r="CV25" i="5"/>
  <c r="CX25" i="5"/>
  <c r="CY25" i="5"/>
  <c r="CZ25" i="5"/>
  <c r="DA25" i="5"/>
  <c r="DC25" i="5"/>
  <c r="DD25" i="5"/>
  <c r="DE25" i="5"/>
  <c r="DF25" i="5"/>
  <c r="DH25" i="5"/>
  <c r="DI25" i="5"/>
  <c r="DJ25" i="5"/>
  <c r="DK25" i="5"/>
  <c r="DM25" i="5"/>
  <c r="DN25" i="5"/>
  <c r="DO25" i="5"/>
  <c r="DP25" i="5"/>
  <c r="DR25" i="5"/>
  <c r="DS25" i="5"/>
  <c r="DT25" i="5"/>
  <c r="B25" i="5"/>
  <c r="B24" i="5"/>
  <c r="B23" i="5"/>
  <c r="B22" i="5"/>
  <c r="B21" i="5"/>
  <c r="B20" i="5"/>
  <c r="B19" i="5"/>
  <c r="B18" i="5"/>
  <c r="B17" i="5"/>
  <c r="B14" i="5"/>
  <c r="B13" i="5"/>
  <c r="B12" i="5"/>
  <c r="B11" i="5"/>
  <c r="B10" i="5"/>
  <c r="B9" i="5"/>
  <c r="B8" i="5"/>
  <c r="B7" i="5"/>
  <c r="B6" i="5"/>
  <c r="B5" i="5"/>
  <c r="B4" i="5"/>
  <c r="B3" i="5"/>
  <c r="DW54" i="6" l="1"/>
  <c r="DV96" i="7"/>
  <c r="DL96" i="7"/>
  <c r="DQ93" i="7"/>
  <c r="DL91" i="7"/>
  <c r="DF89" i="7"/>
  <c r="DQ92" i="7"/>
  <c r="DG92" i="7"/>
  <c r="CM92" i="7"/>
  <c r="DV90" i="7"/>
  <c r="DV118" i="7" s="1"/>
  <c r="DL90" i="7"/>
  <c r="DB90" i="7"/>
  <c r="CM88" i="7"/>
  <c r="DV97" i="7"/>
  <c r="DL97" i="7"/>
  <c r="DQ95" i="7"/>
  <c r="CM95" i="7"/>
  <c r="CM94" i="7"/>
  <c r="DQ94" i="7"/>
  <c r="CM93" i="7"/>
  <c r="DV91" i="7"/>
  <c r="DV119" i="7" s="1"/>
  <c r="DB91" i="7"/>
  <c r="DQ89" i="7"/>
  <c r="CM89" i="7"/>
  <c r="DV87" i="7"/>
  <c r="DQ96" i="7"/>
  <c r="CM96" i="7"/>
  <c r="DV94" i="7"/>
  <c r="DV122" i="7" s="1"/>
  <c r="DL94" i="7"/>
  <c r="DV93" i="7"/>
  <c r="DV121" i="7" s="1"/>
  <c r="DL93" i="7"/>
  <c r="DF91" i="7"/>
  <c r="DG91" i="7" s="1"/>
  <c r="DV92" i="7"/>
  <c r="DV120" i="7" s="1"/>
  <c r="DL92" i="7"/>
  <c r="DB92" i="7"/>
  <c r="DQ90" i="7"/>
  <c r="DG90" i="7"/>
  <c r="CM90" i="7"/>
  <c r="DV88" i="7"/>
  <c r="DV116" i="7" s="1"/>
  <c r="DL88" i="7"/>
  <c r="CM97" i="7"/>
  <c r="DV95" i="7"/>
  <c r="DV123" i="7" s="1"/>
  <c r="DL95" i="7"/>
  <c r="DD87" i="7"/>
  <c r="DQ91" i="7"/>
  <c r="CM91" i="7"/>
  <c r="DL89" i="7"/>
  <c r="DB89" i="7"/>
  <c r="DS110" i="6"/>
  <c r="DS18" i="6" s="1"/>
  <c r="DS26" i="6" s="1"/>
  <c r="DS54" i="6" s="1"/>
  <c r="DT14" i="6"/>
  <c r="DT10" i="6"/>
  <c r="DV70" i="6"/>
  <c r="DV82" i="6" s="1"/>
  <c r="DV23" i="6"/>
  <c r="DS233" i="5"/>
  <c r="DI233" i="5"/>
  <c r="CO233" i="5"/>
  <c r="CE233" i="5"/>
  <c r="BU233" i="5"/>
  <c r="BK233" i="5"/>
  <c r="DR233" i="5"/>
  <c r="DH233" i="5"/>
  <c r="CN233" i="5"/>
  <c r="CD233" i="5"/>
  <c r="BT233" i="5"/>
  <c r="BJ233" i="5"/>
  <c r="DP233" i="5"/>
  <c r="CV233" i="5"/>
  <c r="CL233" i="5"/>
  <c r="CB233" i="5"/>
  <c r="BR233" i="5"/>
  <c r="DO233" i="5"/>
  <c r="CU233" i="5"/>
  <c r="CK233" i="5"/>
  <c r="CA233" i="5"/>
  <c r="BQ233" i="5"/>
  <c r="DN233" i="5"/>
  <c r="CT233" i="5"/>
  <c r="CJ233" i="5"/>
  <c r="BZ233" i="5"/>
  <c r="BP233" i="5"/>
  <c r="DM233" i="5"/>
  <c r="CS233" i="5"/>
  <c r="CI233" i="5"/>
  <c r="BY233" i="5"/>
  <c r="BO233" i="5"/>
  <c r="DK233" i="5"/>
  <c r="CQ233" i="5"/>
  <c r="CG233" i="5"/>
  <c r="BW233" i="5"/>
  <c r="BM233" i="5"/>
  <c r="DT233" i="5"/>
  <c r="DJ233" i="5"/>
  <c r="CP233" i="5"/>
  <c r="CF233" i="5"/>
  <c r="BV233" i="5"/>
  <c r="BL233" i="5"/>
  <c r="DP86" i="7"/>
  <c r="DP214" i="5"/>
  <c r="CV86" i="7"/>
  <c r="CV214" i="5"/>
  <c r="CL86" i="7"/>
  <c r="CL214" i="5"/>
  <c r="CB86" i="7"/>
  <c r="CB214" i="5"/>
  <c r="BR86" i="7"/>
  <c r="BR214" i="5"/>
  <c r="DO86" i="7"/>
  <c r="DO214" i="5"/>
  <c r="CU86" i="7"/>
  <c r="CU214" i="5"/>
  <c r="CK86" i="7"/>
  <c r="CK109" i="7" s="1"/>
  <c r="CK214" i="5"/>
  <c r="CA86" i="7"/>
  <c r="CA214" i="5"/>
  <c r="BQ86" i="7"/>
  <c r="BQ214" i="5"/>
  <c r="DN86" i="7"/>
  <c r="DN214" i="5"/>
  <c r="DD86" i="7"/>
  <c r="CT86" i="7"/>
  <c r="CT214" i="5"/>
  <c r="CJ86" i="7"/>
  <c r="CJ214" i="5"/>
  <c r="BZ86" i="7"/>
  <c r="BZ214" i="5"/>
  <c r="BP86" i="7"/>
  <c r="BP214" i="5"/>
  <c r="DM86" i="7"/>
  <c r="DM214" i="5"/>
  <c r="CS86" i="7"/>
  <c r="CS214" i="5"/>
  <c r="CI86" i="7"/>
  <c r="CI214" i="5"/>
  <c r="BY86" i="7"/>
  <c r="BY214" i="5"/>
  <c r="BO86" i="7"/>
  <c r="BO214" i="5"/>
  <c r="DK86" i="7"/>
  <c r="DK214" i="5"/>
  <c r="DA86" i="7"/>
  <c r="CQ86" i="7"/>
  <c r="CQ214" i="5"/>
  <c r="CG86" i="7"/>
  <c r="CG109" i="7" s="1"/>
  <c r="CG214" i="5"/>
  <c r="BW86" i="7"/>
  <c r="BW214" i="5"/>
  <c r="BM86" i="7"/>
  <c r="BM214" i="5"/>
  <c r="DT86" i="7"/>
  <c r="DT214" i="5"/>
  <c r="DJ86" i="7"/>
  <c r="DJ214" i="5"/>
  <c r="CZ86" i="7"/>
  <c r="CP86" i="7"/>
  <c r="CP214" i="5"/>
  <c r="CF86" i="7"/>
  <c r="CF214" i="5"/>
  <c r="BV214" i="5"/>
  <c r="BL86" i="7"/>
  <c r="BL214" i="5"/>
  <c r="DS86" i="7"/>
  <c r="DS109" i="7" s="1"/>
  <c r="DS214" i="5"/>
  <c r="DI86" i="7"/>
  <c r="DI214" i="5"/>
  <c r="CY86" i="7"/>
  <c r="CO86" i="7"/>
  <c r="CO214" i="5"/>
  <c r="CE86" i="7"/>
  <c r="CE214" i="5"/>
  <c r="BU86" i="7"/>
  <c r="BU214" i="5"/>
  <c r="BK86" i="7"/>
  <c r="BK214" i="5"/>
  <c r="DR86" i="7"/>
  <c r="DR109" i="7" s="1"/>
  <c r="DR214" i="5"/>
  <c r="DH86" i="7"/>
  <c r="DH214" i="5"/>
  <c r="CX86" i="7"/>
  <c r="CN86" i="7"/>
  <c r="CN214" i="5"/>
  <c r="CD86" i="7"/>
  <c r="CD214" i="5"/>
  <c r="BT86" i="7"/>
  <c r="BT214" i="5"/>
  <c r="BJ86" i="7"/>
  <c r="BJ214" i="5"/>
  <c r="BV161" i="7"/>
  <c r="BL161" i="7"/>
  <c r="DR160" i="7"/>
  <c r="CC89" i="7"/>
  <c r="BS90" i="7"/>
  <c r="CH92" i="7"/>
  <c r="Y214" i="5"/>
  <c r="AS214" i="5"/>
  <c r="DO163" i="7"/>
  <c r="CA163" i="7"/>
  <c r="BQ163" i="7"/>
  <c r="CF159" i="7"/>
  <c r="CN158" i="7"/>
  <c r="CD158" i="7"/>
  <c r="BY156" i="7"/>
  <c r="CS160" i="7"/>
  <c r="BO160" i="7"/>
  <c r="DT159" i="7"/>
  <c r="BV159" i="7"/>
  <c r="DT155" i="7"/>
  <c r="DJ155" i="7"/>
  <c r="CP155" i="7"/>
  <c r="BV155" i="7"/>
  <c r="DH152" i="7"/>
  <c r="BQ151" i="7"/>
  <c r="CI150" i="7"/>
  <c r="CP149" i="7"/>
  <c r="CL159" i="7"/>
  <c r="BP158" i="7"/>
  <c r="CE156" i="7"/>
  <c r="BK156" i="7"/>
  <c r="DP155" i="7"/>
  <c r="CB155" i="7"/>
  <c r="BR155" i="7"/>
  <c r="CT152" i="7"/>
  <c r="BK150" i="7"/>
  <c r="DP149" i="7"/>
  <c r="DF149" i="7"/>
  <c r="CT148" i="7"/>
  <c r="CK149" i="7"/>
  <c r="DM148" i="7"/>
  <c r="DC148" i="7"/>
  <c r="CS148" i="7"/>
  <c r="CA157" i="7"/>
  <c r="BT148" i="7"/>
  <c r="DE147" i="7"/>
  <c r="CP145" i="7"/>
  <c r="DH144" i="7"/>
  <c r="CW97" i="7"/>
  <c r="BS96" i="7"/>
  <c r="CS156" i="7"/>
  <c r="BO162" i="7"/>
  <c r="DO151" i="7"/>
  <c r="CI146" i="7"/>
  <c r="X26" i="5"/>
  <c r="BZ158" i="7"/>
  <c r="BU156" i="7"/>
  <c r="CQ151" i="7"/>
  <c r="CJ148" i="7"/>
  <c r="CI162" i="7"/>
  <c r="DM146" i="7"/>
  <c r="BY162" i="7"/>
  <c r="BJ158" i="7"/>
  <c r="CN152" i="7"/>
  <c r="BY146" i="7"/>
  <c r="BT144" i="7"/>
  <c r="BJ111" i="5"/>
  <c r="DO157" i="7"/>
  <c r="DM156" i="7"/>
  <c r="BT152" i="7"/>
  <c r="BQ147" i="7"/>
  <c r="BQ143" i="7"/>
  <c r="AU139" i="5"/>
  <c r="CI167" i="5"/>
  <c r="BL159" i="7"/>
  <c r="DR158" i="7"/>
  <c r="AQ214" i="5"/>
  <c r="S214" i="5"/>
  <c r="DK163" i="7"/>
  <c r="CQ163" i="7"/>
  <c r="CG163" i="7"/>
  <c r="CO162" i="7"/>
  <c r="CE162" i="7"/>
  <c r="BK162" i="7"/>
  <c r="CB159" i="7"/>
  <c r="DK151" i="7"/>
  <c r="CO150" i="7"/>
  <c r="DD148" i="7"/>
  <c r="U139" i="5"/>
  <c r="DJ151" i="7"/>
  <c r="CN150" i="7"/>
  <c r="BT156" i="7"/>
  <c r="BO152" i="7"/>
  <c r="CD156" i="7"/>
  <c r="BV151" i="7"/>
  <c r="AM214" i="5"/>
  <c r="P26" i="5"/>
  <c r="BB111" i="5"/>
  <c r="AG214" i="5"/>
  <c r="BG214" i="5"/>
  <c r="AK214" i="5"/>
  <c r="CR22" i="7"/>
  <c r="CH22" i="7"/>
  <c r="DV18" i="7"/>
  <c r="DL18" i="7"/>
  <c r="CR18" i="7"/>
  <c r="DV13" i="7"/>
  <c r="AQ139" i="5"/>
  <c r="I214" i="5"/>
  <c r="DN158" i="7"/>
  <c r="CT158" i="7"/>
  <c r="CO156" i="7"/>
  <c r="CJ152" i="7"/>
  <c r="CG151" i="7"/>
  <c r="AV167" i="5"/>
  <c r="AX214" i="5"/>
  <c r="AP214" i="5"/>
  <c r="AI214" i="5"/>
  <c r="DT157" i="7"/>
  <c r="CZ157" i="7"/>
  <c r="CP157" i="7"/>
  <c r="DH156" i="7"/>
  <c r="CX156" i="7"/>
  <c r="CD150" i="7"/>
  <c r="AW214" i="5"/>
  <c r="Q214" i="5"/>
  <c r="BU167" i="5"/>
  <c r="BE214" i="5"/>
  <c r="AY214" i="5"/>
  <c r="E214" i="5"/>
  <c r="K214" i="5"/>
  <c r="U214" i="5"/>
  <c r="AK139" i="5"/>
  <c r="M139" i="5"/>
  <c r="AC214" i="5"/>
  <c r="CJ195" i="5"/>
  <c r="AA214" i="5"/>
  <c r="C214" i="5"/>
  <c r="BZ111" i="5"/>
  <c r="DH148" i="7"/>
  <c r="AW195" i="5"/>
  <c r="BK195" i="5"/>
  <c r="BC214" i="5"/>
  <c r="AE214" i="5"/>
  <c r="AH233" i="5"/>
  <c r="BG233" i="5"/>
  <c r="AY233" i="5"/>
  <c r="AQ233" i="5"/>
  <c r="AI233" i="5"/>
  <c r="AA233" i="5"/>
  <c r="S233" i="5"/>
  <c r="K233" i="5"/>
  <c r="C233" i="5"/>
  <c r="AV26" i="5"/>
  <c r="AF26" i="5"/>
  <c r="CR93" i="7"/>
  <c r="BX90" i="7"/>
  <c r="CI163" i="7"/>
  <c r="BY163" i="7"/>
  <c r="BL162" i="7"/>
  <c r="DR161" i="7"/>
  <c r="CP160" i="7"/>
  <c r="BV160" i="7"/>
  <c r="BL160" i="7"/>
  <c r="DR159" i="7"/>
  <c r="CN159" i="7"/>
  <c r="CD159" i="7"/>
  <c r="BT159" i="7"/>
  <c r="CA158" i="7"/>
  <c r="BQ158" i="7"/>
  <c r="CI157" i="7"/>
  <c r="BO157" i="7"/>
  <c r="CZ156" i="7"/>
  <c r="BV156" i="7"/>
  <c r="BL156" i="7"/>
  <c r="DR155" i="7"/>
  <c r="BJ155" i="7"/>
  <c r="CU152" i="7"/>
  <c r="DM151" i="7"/>
  <c r="BY151" i="7"/>
  <c r="DT150" i="7"/>
  <c r="CF150" i="7"/>
  <c r="BJ149" i="7"/>
  <c r="CU148" i="7"/>
  <c r="DM147" i="7"/>
  <c r="BY147" i="7"/>
  <c r="BO147" i="7"/>
  <c r="CF146" i="7"/>
  <c r="CX145" i="7"/>
  <c r="BJ145" i="7"/>
  <c r="CK144" i="7"/>
  <c r="DC143" i="7"/>
  <c r="BY143" i="7"/>
  <c r="DT142" i="7"/>
  <c r="F111" i="5"/>
  <c r="CG157" i="7"/>
  <c r="CB149" i="7"/>
  <c r="BX9" i="7"/>
  <c r="DQ7" i="7"/>
  <c r="I139" i="5"/>
  <c r="BW157" i="7"/>
  <c r="CW94" i="7"/>
  <c r="BS93" i="7"/>
  <c r="BS92" i="7"/>
  <c r="CC91" i="7"/>
  <c r="CW88" i="7"/>
  <c r="DV115" i="7"/>
  <c r="DA157" i="7"/>
  <c r="CY156" i="7"/>
  <c r="BI139" i="5"/>
  <c r="AQ26" i="5"/>
  <c r="K26" i="5"/>
  <c r="C26" i="5"/>
  <c r="B26" i="5"/>
  <c r="BC26" i="5"/>
  <c r="AU26" i="5"/>
  <c r="S26" i="5"/>
  <c r="BG26" i="5"/>
  <c r="AM26" i="5"/>
  <c r="W26" i="5"/>
  <c r="AN26" i="5"/>
  <c r="AY26" i="5"/>
  <c r="AA26" i="5"/>
  <c r="DJ83" i="5"/>
  <c r="K195" i="5"/>
  <c r="BW195" i="5"/>
  <c r="DP195" i="5"/>
  <c r="CB195" i="5"/>
  <c r="AK195" i="5"/>
  <c r="BD26" i="5"/>
  <c r="H26" i="5"/>
  <c r="BK111" i="5"/>
  <c r="BC111" i="5"/>
  <c r="AU111" i="5"/>
  <c r="AM111" i="5"/>
  <c r="AE111" i="5"/>
  <c r="W111" i="5"/>
  <c r="O111" i="5"/>
  <c r="G111" i="5"/>
  <c r="BR111" i="5"/>
  <c r="DO5" i="7"/>
  <c r="DO26" i="7" s="1"/>
  <c r="DO139" i="5"/>
  <c r="DE5" i="7"/>
  <c r="BG139" i="5"/>
  <c r="AY139" i="5"/>
  <c r="AI139" i="5"/>
  <c r="AA139" i="5"/>
  <c r="S139" i="5"/>
  <c r="W139" i="5"/>
  <c r="DK195" i="5"/>
  <c r="DO195" i="5"/>
  <c r="DM195" i="5"/>
  <c r="X195" i="5"/>
  <c r="DO97" i="7"/>
  <c r="DQ97" i="7" s="1"/>
  <c r="CA97" i="7"/>
  <c r="BK97" i="7"/>
  <c r="AE26" i="5"/>
  <c r="CI55" i="5"/>
  <c r="AX233" i="5"/>
  <c r="Z233" i="5"/>
  <c r="AZ26" i="5"/>
  <c r="L26" i="5"/>
  <c r="CO160" i="7"/>
  <c r="DP159" i="7"/>
  <c r="BR149" i="7"/>
  <c r="BW147" i="7"/>
  <c r="CO146" i="7"/>
  <c r="DF145" i="7"/>
  <c r="CJ144" i="7"/>
  <c r="DK143" i="7"/>
  <c r="CQ143" i="7"/>
  <c r="BW143" i="7"/>
  <c r="CY142" i="7"/>
  <c r="CO142" i="7"/>
  <c r="BU142" i="7"/>
  <c r="DP141" i="7"/>
  <c r="DF141" i="7"/>
  <c r="CB141" i="7"/>
  <c r="BR141" i="7"/>
  <c r="CM8" i="7"/>
  <c r="BS8" i="7"/>
  <c r="BA139" i="5"/>
  <c r="AS139" i="5"/>
  <c r="AC139" i="5"/>
  <c r="E139" i="5"/>
  <c r="CW3" i="7"/>
  <c r="CI3" i="7"/>
  <c r="CI26" i="7" s="1"/>
  <c r="CI139" i="5"/>
  <c r="B167" i="5"/>
  <c r="G26" i="5"/>
  <c r="BF233" i="5"/>
  <c r="R233" i="5"/>
  <c r="AJ26" i="5"/>
  <c r="D26" i="5"/>
  <c r="BK160" i="7"/>
  <c r="BK146" i="7"/>
  <c r="CB145" i="7"/>
  <c r="AT111" i="5"/>
  <c r="BD139" i="5"/>
  <c r="AN139" i="5"/>
  <c r="AF139" i="5"/>
  <c r="X139" i="5"/>
  <c r="P139" i="5"/>
  <c r="H139" i="5"/>
  <c r="AV139" i="5"/>
  <c r="DM3" i="7"/>
  <c r="DQ3" i="7" s="1"/>
  <c r="DM139" i="5"/>
  <c r="DA3" i="7"/>
  <c r="BE139" i="5"/>
  <c r="AW139" i="5"/>
  <c r="AO139" i="5"/>
  <c r="AG139" i="5"/>
  <c r="Y139" i="5"/>
  <c r="Q139" i="5"/>
  <c r="AW167" i="5"/>
  <c r="O167" i="5"/>
  <c r="AK167" i="5"/>
  <c r="K167" i="5"/>
  <c r="O26" i="5"/>
  <c r="BH26" i="5"/>
  <c r="AB26" i="5"/>
  <c r="CE160" i="7"/>
  <c r="BU146" i="7"/>
  <c r="N111" i="5"/>
  <c r="CJ139" i="5"/>
  <c r="AP233" i="5"/>
  <c r="J233" i="5"/>
  <c r="AR26" i="5"/>
  <c r="T26" i="5"/>
  <c r="BU160" i="7"/>
  <c r="CV159" i="7"/>
  <c r="BU150" i="7"/>
  <c r="CG147" i="7"/>
  <c r="CY146" i="7"/>
  <c r="DP145" i="7"/>
  <c r="BR145" i="7"/>
  <c r="CG143" i="7"/>
  <c r="CD162" i="7"/>
  <c r="BT162" i="7"/>
  <c r="CP111" i="5"/>
  <c r="AL111" i="5"/>
  <c r="AI26" i="5"/>
  <c r="BW139" i="5"/>
  <c r="CV157" i="7"/>
  <c r="CE195" i="5"/>
  <c r="BO195" i="5"/>
  <c r="BG195" i="5"/>
  <c r="AY195" i="5"/>
  <c r="AQ195" i="5"/>
  <c r="AI195" i="5"/>
  <c r="AA195" i="5"/>
  <c r="S195" i="5"/>
  <c r="C195" i="5"/>
  <c r="CG195" i="5"/>
  <c r="K111" i="5"/>
  <c r="DO167" i="5"/>
  <c r="CA167" i="5"/>
  <c r="DM167" i="5"/>
  <c r="AN167" i="5"/>
  <c r="X167" i="5"/>
  <c r="B214" i="5"/>
  <c r="DN163" i="7"/>
  <c r="CJ163" i="7"/>
  <c r="BZ163" i="7"/>
  <c r="BP163" i="7"/>
  <c r="CG162" i="7"/>
  <c r="BM162" i="7"/>
  <c r="DS161" i="7"/>
  <c r="CE161" i="7"/>
  <c r="BU161" i="7"/>
  <c r="BK161" i="7"/>
  <c r="DP160" i="7"/>
  <c r="BW160" i="7"/>
  <c r="BM160" i="7"/>
  <c r="DS159" i="7"/>
  <c r="CO159" i="7"/>
  <c r="CV158" i="7"/>
  <c r="CL158" i="7"/>
  <c r="BR158" i="7"/>
  <c r="DN157" i="7"/>
  <c r="DD157" i="7"/>
  <c r="BZ157" i="7"/>
  <c r="DK156" i="7"/>
  <c r="CG156" i="7"/>
  <c r="BW156" i="7"/>
  <c r="BM156" i="7"/>
  <c r="DS155" i="7"/>
  <c r="CY155" i="7"/>
  <c r="CE155" i="7"/>
  <c r="BU155" i="7"/>
  <c r="BK155" i="7"/>
  <c r="DP152" i="7"/>
  <c r="CV152" i="7"/>
  <c r="CB152" i="7"/>
  <c r="BR152" i="7"/>
  <c r="DN151" i="7"/>
  <c r="CT151" i="7"/>
  <c r="CQ150" i="7"/>
  <c r="DI149" i="7"/>
  <c r="BU149" i="7"/>
  <c r="DP148" i="7"/>
  <c r="CB148" i="7"/>
  <c r="CG146" i="7"/>
  <c r="DI145" i="7"/>
  <c r="CY145" i="7"/>
  <c r="BK145" i="7"/>
  <c r="DP144" i="7"/>
  <c r="CB144" i="7"/>
  <c r="CG142" i="7"/>
  <c r="DI141" i="7"/>
  <c r="BU141" i="7"/>
  <c r="BK141" i="7"/>
  <c r="AD111" i="5"/>
  <c r="V111" i="5"/>
  <c r="CW25" i="7"/>
  <c r="CH23" i="7"/>
  <c r="BX23" i="7"/>
  <c r="DV21" i="7"/>
  <c r="CR20" i="7"/>
  <c r="BX20" i="7"/>
  <c r="BN18" i="7"/>
  <c r="DV17" i="7"/>
  <c r="DB17" i="7"/>
  <c r="CM14" i="7"/>
  <c r="CM12" i="7"/>
  <c r="BS12" i="7"/>
  <c r="CM10" i="7"/>
  <c r="BS10" i="7"/>
  <c r="CW5" i="7"/>
  <c r="CU146" i="7"/>
  <c r="DH195" i="5"/>
  <c r="BT195" i="5"/>
  <c r="BX96" i="7"/>
  <c r="BO91" i="7"/>
  <c r="BS91" i="7" s="1"/>
  <c r="CO89" i="7"/>
  <c r="BI214" i="5"/>
  <c r="BA214" i="5"/>
  <c r="M214" i="5"/>
  <c r="CP88" i="7"/>
  <c r="BZ88" i="7"/>
  <c r="BR88" i="7"/>
  <c r="BJ88" i="7"/>
  <c r="BB214" i="5"/>
  <c r="AT214" i="5"/>
  <c r="AL214" i="5"/>
  <c r="AD214" i="5"/>
  <c r="V214" i="5"/>
  <c r="N214" i="5"/>
  <c r="F214" i="5"/>
  <c r="DP87" i="7"/>
  <c r="DH87" i="7"/>
  <c r="CZ87" i="7"/>
  <c r="CI87" i="7"/>
  <c r="AU214" i="5"/>
  <c r="W214" i="5"/>
  <c r="O214" i="5"/>
  <c r="G214" i="5"/>
  <c r="DO161" i="7"/>
  <c r="CD160" i="7"/>
  <c r="BT160" i="7"/>
  <c r="BJ160" i="7"/>
  <c r="CU159" i="7"/>
  <c r="CK159" i="7"/>
  <c r="BQ159" i="7"/>
  <c r="DM158" i="7"/>
  <c r="DO155" i="7"/>
  <c r="CK155" i="7"/>
  <c r="DM152" i="7"/>
  <c r="CS152" i="7"/>
  <c r="CP151" i="7"/>
  <c r="BT150" i="7"/>
  <c r="BO148" i="7"/>
  <c r="DJ147" i="7"/>
  <c r="CZ147" i="7"/>
  <c r="CP147" i="7"/>
  <c r="CN146" i="7"/>
  <c r="CD146" i="7"/>
  <c r="DO145" i="7"/>
  <c r="CK145" i="7"/>
  <c r="CA145" i="7"/>
  <c r="DM144" i="7"/>
  <c r="DJ143" i="7"/>
  <c r="CZ143" i="7"/>
  <c r="BV143" i="7"/>
  <c r="CN142" i="7"/>
  <c r="CD142" i="7"/>
  <c r="DO141" i="7"/>
  <c r="CK141" i="7"/>
  <c r="CA141" i="7"/>
  <c r="CU83" i="5"/>
  <c r="AC111" i="5"/>
  <c r="U111" i="5"/>
  <c r="M111" i="5"/>
  <c r="E111" i="5"/>
  <c r="BX25" i="7"/>
  <c r="DV7" i="7"/>
  <c r="CM6" i="7"/>
  <c r="CJ167" i="5"/>
  <c r="BW167" i="5"/>
  <c r="BM167" i="5"/>
  <c r="I167" i="5"/>
  <c r="BI167" i="5"/>
  <c r="BI195" i="5"/>
  <c r="BA195" i="5"/>
  <c r="AS195" i="5"/>
  <c r="AC195" i="5"/>
  <c r="U195" i="5"/>
  <c r="M195" i="5"/>
  <c r="E195" i="5"/>
  <c r="DS163" i="7"/>
  <c r="CL160" i="7"/>
  <c r="CB160" i="7"/>
  <c r="BR160" i="7"/>
  <c r="CT159" i="7"/>
  <c r="CJ159" i="7"/>
  <c r="BP159" i="7"/>
  <c r="CG158" i="7"/>
  <c r="DI157" i="7"/>
  <c r="CY157" i="7"/>
  <c r="CE157" i="7"/>
  <c r="DP156" i="7"/>
  <c r="CL156" i="7"/>
  <c r="CB156" i="7"/>
  <c r="BZ155" i="7"/>
  <c r="DK152" i="7"/>
  <c r="BW152" i="7"/>
  <c r="CO151" i="7"/>
  <c r="CV150" i="7"/>
  <c r="CB150" i="7"/>
  <c r="DN149" i="7"/>
  <c r="BZ149" i="7"/>
  <c r="DK148" i="7"/>
  <c r="BW148" i="7"/>
  <c r="CY147" i="7"/>
  <c r="CO147" i="7"/>
  <c r="CE147" i="7"/>
  <c r="CL146" i="7"/>
  <c r="DN145" i="7"/>
  <c r="BZ145" i="7"/>
  <c r="DA144" i="7"/>
  <c r="BM144" i="7"/>
  <c r="DS143" i="7"/>
  <c r="CO143" i="7"/>
  <c r="CL142" i="7"/>
  <c r="BP141" i="7"/>
  <c r="CL83" i="5"/>
  <c r="B111" i="5"/>
  <c r="BS24" i="7"/>
  <c r="CH19" i="7"/>
  <c r="CC17" i="7"/>
  <c r="CW13" i="7"/>
  <c r="CC13" i="7"/>
  <c r="CW11" i="7"/>
  <c r="CC11" i="7"/>
  <c r="CW9" i="7"/>
  <c r="CC9" i="7"/>
  <c r="BC139" i="5"/>
  <c r="AM139" i="5"/>
  <c r="AE139" i="5"/>
  <c r="O139" i="5"/>
  <c r="G139" i="5"/>
  <c r="CM4" i="7"/>
  <c r="BS4" i="7"/>
  <c r="CS195" i="5"/>
  <c r="CK195" i="5"/>
  <c r="BU195" i="5"/>
  <c r="BM195" i="5"/>
  <c r="BE195" i="5"/>
  <c r="AO195" i="5"/>
  <c r="AG195" i="5"/>
  <c r="Y195" i="5"/>
  <c r="Q195" i="5"/>
  <c r="I195" i="5"/>
  <c r="DS195" i="5"/>
  <c r="BQ195" i="5"/>
  <c r="DI195" i="5"/>
  <c r="CR96" i="7"/>
  <c r="BN96" i="7"/>
  <c r="E26" i="5"/>
  <c r="BE26" i="5"/>
  <c r="AO26" i="5"/>
  <c r="Q26" i="5"/>
  <c r="BI26" i="5"/>
  <c r="AK26" i="5"/>
  <c r="DH163" i="7"/>
  <c r="BJ163" i="7"/>
  <c r="BQ162" i="7"/>
  <c r="CU160" i="7"/>
  <c r="BO159" i="7"/>
  <c r="DT158" i="7"/>
  <c r="CF158" i="7"/>
  <c r="DH157" i="7"/>
  <c r="BJ157" i="7"/>
  <c r="CK156" i="7"/>
  <c r="CS155" i="7"/>
  <c r="CF152" i="7"/>
  <c r="CD151" i="7"/>
  <c r="DO150" i="7"/>
  <c r="CA150" i="7"/>
  <c r="CS149" i="7"/>
  <c r="CX147" i="7"/>
  <c r="DO146" i="7"/>
  <c r="CA146" i="7"/>
  <c r="CI145" i="7"/>
  <c r="CZ144" i="7"/>
  <c r="DR143" i="7"/>
  <c r="CD143" i="7"/>
  <c r="CI141" i="7"/>
  <c r="BO141" i="7"/>
  <c r="B83" i="5"/>
  <c r="CD83" i="5"/>
  <c r="DN111" i="5"/>
  <c r="BU111" i="5"/>
  <c r="K139" i="5"/>
  <c r="C139" i="5"/>
  <c r="CR21" i="7"/>
  <c r="BS19" i="7"/>
  <c r="BN11" i="7"/>
  <c r="BA167" i="5"/>
  <c r="AI167" i="5"/>
  <c r="AA167" i="5"/>
  <c r="BK167" i="5"/>
  <c r="W167" i="5"/>
  <c r="U26" i="5"/>
  <c r="M26" i="5"/>
  <c r="AW26" i="5"/>
  <c r="AG26" i="5"/>
  <c r="Y26" i="5"/>
  <c r="I26" i="5"/>
  <c r="BA26" i="5"/>
  <c r="AS26" i="5"/>
  <c r="AC26" i="5"/>
  <c r="CN163" i="7"/>
  <c r="DO162" i="7"/>
  <c r="CA162" i="7"/>
  <c r="DM161" i="7"/>
  <c r="CI161" i="7"/>
  <c r="DT160" i="7"/>
  <c r="CK160" i="7"/>
  <c r="DM159" i="7"/>
  <c r="CS159" i="7"/>
  <c r="BY159" i="7"/>
  <c r="CP158" i="7"/>
  <c r="BV158" i="7"/>
  <c r="CX157" i="7"/>
  <c r="BT157" i="7"/>
  <c r="DE156" i="7"/>
  <c r="BQ156" i="7"/>
  <c r="DC155" i="7"/>
  <c r="BO155" i="7"/>
  <c r="DT152" i="7"/>
  <c r="BL152" i="7"/>
  <c r="DR151" i="7"/>
  <c r="BJ151" i="7"/>
  <c r="CK150" i="7"/>
  <c r="DC149" i="7"/>
  <c r="BO149" i="7"/>
  <c r="DT148" i="7"/>
  <c r="CF148" i="7"/>
  <c r="BL148" i="7"/>
  <c r="DR147" i="7"/>
  <c r="BJ147" i="7"/>
  <c r="DE146" i="7"/>
  <c r="BQ146" i="7"/>
  <c r="BO145" i="7"/>
  <c r="CP144" i="7"/>
  <c r="BL144" i="7"/>
  <c r="DH143" i="7"/>
  <c r="DO142" i="7"/>
  <c r="CK142" i="7"/>
  <c r="BB26" i="5"/>
  <c r="AT26" i="5"/>
  <c r="AL26" i="5"/>
  <c r="AD26" i="5"/>
  <c r="V26" i="5"/>
  <c r="N26" i="5"/>
  <c r="F26" i="5"/>
  <c r="BF26" i="5"/>
  <c r="AX26" i="5"/>
  <c r="AP26" i="5"/>
  <c r="AH26" i="5"/>
  <c r="Z26" i="5"/>
  <c r="R26" i="5"/>
  <c r="J26" i="5"/>
  <c r="DP163" i="7"/>
  <c r="BR163" i="7"/>
  <c r="DN162" i="7"/>
  <c r="CJ162" i="7"/>
  <c r="CQ161" i="7"/>
  <c r="CT160" i="7"/>
  <c r="CJ160" i="7"/>
  <c r="BZ160" i="7"/>
  <c r="CG159" i="7"/>
  <c r="BW159" i="7"/>
  <c r="BM159" i="7"/>
  <c r="DS158" i="7"/>
  <c r="CE158" i="7"/>
  <c r="BK158" i="7"/>
  <c r="DP157" i="7"/>
  <c r="DF157" i="7"/>
  <c r="CB157" i="7"/>
  <c r="BR157" i="7"/>
  <c r="CT156" i="7"/>
  <c r="CJ156" i="7"/>
  <c r="DK155" i="7"/>
  <c r="BW155" i="7"/>
  <c r="BM155" i="7"/>
  <c r="DS152" i="7"/>
  <c r="CO152" i="7"/>
  <c r="CE152" i="7"/>
  <c r="CL151" i="7"/>
  <c r="BP150" i="7"/>
  <c r="DA149" i="7"/>
  <c r="BM149" i="7"/>
  <c r="DS148" i="7"/>
  <c r="CE148" i="7"/>
  <c r="BP146" i="7"/>
  <c r="DA145" i="7"/>
  <c r="DI144" i="7"/>
  <c r="BU144" i="7"/>
  <c r="CL143" i="7"/>
  <c r="DD142" i="7"/>
  <c r="BM141" i="7"/>
  <c r="DS83" i="5"/>
  <c r="B139" i="5"/>
  <c r="DV19" i="7"/>
  <c r="DL19" i="7"/>
  <c r="DQ9" i="7"/>
  <c r="CW7" i="7"/>
  <c r="CC7" i="7"/>
  <c r="BY195" i="5"/>
  <c r="CI195" i="5"/>
  <c r="CA195" i="5"/>
  <c r="BC195" i="5"/>
  <c r="AU195" i="5"/>
  <c r="AM195" i="5"/>
  <c r="AE195" i="5"/>
  <c r="W195" i="5"/>
  <c r="O195" i="5"/>
  <c r="G195" i="5"/>
  <c r="BL195" i="5"/>
  <c r="BD195" i="5"/>
  <c r="AV195" i="5"/>
  <c r="AN195" i="5"/>
  <c r="AF195" i="5"/>
  <c r="P195" i="5"/>
  <c r="H195" i="5"/>
  <c r="BS97" i="7"/>
  <c r="CW93" i="7"/>
  <c r="DJ87" i="7"/>
  <c r="AO214" i="5"/>
  <c r="DC86" i="7"/>
  <c r="BV86" i="7"/>
  <c r="BF214" i="5"/>
  <c r="AH214" i="5"/>
  <c r="Z214" i="5"/>
  <c r="R214" i="5"/>
  <c r="J214" i="5"/>
  <c r="B233" i="5"/>
  <c r="DV125" i="7"/>
  <c r="CH97" i="7"/>
  <c r="CW96" i="7"/>
  <c r="CC95" i="7"/>
  <c r="BN95" i="7"/>
  <c r="BX94" i="7"/>
  <c r="CH93" i="7"/>
  <c r="BX93" i="7"/>
  <c r="CH91" i="7"/>
  <c r="BN89" i="7"/>
  <c r="CW87" i="7"/>
  <c r="CJ87" i="7"/>
  <c r="CB87" i="7"/>
  <c r="BT87" i="7"/>
  <c r="BL87" i="7"/>
  <c r="BD214" i="5"/>
  <c r="AV214" i="5"/>
  <c r="AN214" i="5"/>
  <c r="AF214" i="5"/>
  <c r="X214" i="5"/>
  <c r="P214" i="5"/>
  <c r="H214" i="5"/>
  <c r="BI233" i="5"/>
  <c r="BA233" i="5"/>
  <c r="BC233" i="5"/>
  <c r="AU233" i="5"/>
  <c r="AM233" i="5"/>
  <c r="AE233" i="5"/>
  <c r="W233" i="5"/>
  <c r="O233" i="5"/>
  <c r="G233" i="5"/>
  <c r="BE233" i="5"/>
  <c r="AW233" i="5"/>
  <c r="AO233" i="5"/>
  <c r="AG233" i="5"/>
  <c r="Y233" i="5"/>
  <c r="Q233" i="5"/>
  <c r="I233" i="5"/>
  <c r="AS233" i="5"/>
  <c r="AK233" i="5"/>
  <c r="AC233" i="5"/>
  <c r="U233" i="5"/>
  <c r="M233" i="5"/>
  <c r="E233" i="5"/>
  <c r="BX97" i="7"/>
  <c r="DV124" i="7"/>
  <c r="CH96" i="7"/>
  <c r="CR95" i="7"/>
  <c r="BN94" i="7"/>
  <c r="CN89" i="7"/>
  <c r="CF89" i="7"/>
  <c r="BP89" i="7"/>
  <c r="BH214" i="5"/>
  <c r="AZ214" i="5"/>
  <c r="AR214" i="5"/>
  <c r="AJ214" i="5"/>
  <c r="AB214" i="5"/>
  <c r="T214" i="5"/>
  <c r="L214" i="5"/>
  <c r="D214" i="5"/>
  <c r="DN88" i="7"/>
  <c r="DF88" i="7"/>
  <c r="CX88" i="7"/>
  <c r="BS95" i="7"/>
  <c r="CH94" i="7"/>
  <c r="CC94" i="7"/>
  <c r="CW92" i="7"/>
  <c r="BX92" i="7"/>
  <c r="CH90" i="7"/>
  <c r="DT89" i="7"/>
  <c r="DV89" i="7" s="1"/>
  <c r="DD89" i="7"/>
  <c r="CV89" i="7"/>
  <c r="BD233" i="5"/>
  <c r="AV233" i="5"/>
  <c r="AN233" i="5"/>
  <c r="AF233" i="5"/>
  <c r="X233" i="5"/>
  <c r="P233" i="5"/>
  <c r="H233" i="5"/>
  <c r="CH95" i="7"/>
  <c r="CR94" i="7"/>
  <c r="BN93" i="7"/>
  <c r="CW91" i="7"/>
  <c r="BX91" i="7"/>
  <c r="BN90" i="7"/>
  <c r="BX88" i="7"/>
  <c r="BB233" i="5"/>
  <c r="AT233" i="5"/>
  <c r="AL233" i="5"/>
  <c r="AD233" i="5"/>
  <c r="V233" i="5"/>
  <c r="N233" i="5"/>
  <c r="F233" i="5"/>
  <c r="CW95" i="7"/>
  <c r="BS94" i="7"/>
  <c r="CC93" i="7"/>
  <c r="BN92" i="7"/>
  <c r="CW90" i="7"/>
  <c r="CC90" i="7"/>
  <c r="CH88" i="7"/>
  <c r="BS87" i="7"/>
  <c r="BH233" i="5"/>
  <c r="AZ233" i="5"/>
  <c r="AR233" i="5"/>
  <c r="AJ233" i="5"/>
  <c r="AB233" i="5"/>
  <c r="T233" i="5"/>
  <c r="L233" i="5"/>
  <c r="D233" i="5"/>
  <c r="CR97" i="7"/>
  <c r="CC96" i="7"/>
  <c r="BX95" i="7"/>
  <c r="CC92" i="7"/>
  <c r="BN91" i="7"/>
  <c r="BX89" i="7"/>
  <c r="CH87" i="7"/>
  <c r="BI55" i="5"/>
  <c r="BA55" i="5"/>
  <c r="AS55" i="5"/>
  <c r="AK55" i="5"/>
  <c r="AC55" i="5"/>
  <c r="U55" i="5"/>
  <c r="M55" i="5"/>
  <c r="E55" i="5"/>
  <c r="CU163" i="7"/>
  <c r="CT147" i="7"/>
  <c r="CV145" i="7"/>
  <c r="CQ157" i="7"/>
  <c r="CR92" i="7"/>
  <c r="CR91" i="7"/>
  <c r="CR90" i="7"/>
  <c r="CR87" i="7"/>
  <c r="CP163" i="7"/>
  <c r="CO195" i="5"/>
  <c r="CQ195" i="5"/>
  <c r="CQ147" i="7"/>
  <c r="CQ146" i="7"/>
  <c r="CQ145" i="7"/>
  <c r="CQ142" i="7"/>
  <c r="CQ141" i="7"/>
  <c r="B195" i="5"/>
  <c r="DJ163" i="7"/>
  <c r="BV163" i="7"/>
  <c r="CN162" i="7"/>
  <c r="BQ161" i="7"/>
  <c r="DT151" i="7"/>
  <c r="CF151" i="7"/>
  <c r="BJ150" i="7"/>
  <c r="DT147" i="7"/>
  <c r="CF147" i="7"/>
  <c r="CX146" i="7"/>
  <c r="BJ146" i="7"/>
  <c r="DT143" i="7"/>
  <c r="CF143" i="7"/>
  <c r="CX142" i="7"/>
  <c r="BJ142" i="7"/>
  <c r="CO157" i="7"/>
  <c r="CJ155" i="7"/>
  <c r="BR150" i="7"/>
  <c r="CJ149" i="7"/>
  <c r="DF146" i="7"/>
  <c r="BR146" i="7"/>
  <c r="CJ145" i="7"/>
  <c r="BR142" i="7"/>
  <c r="CU195" i="5"/>
  <c r="CD163" i="7"/>
  <c r="BY161" i="7"/>
  <c r="DO156" i="7"/>
  <c r="CA156" i="7"/>
  <c r="DJ152" i="7"/>
  <c r="BV152" i="7"/>
  <c r="CN151" i="7"/>
  <c r="DJ148" i="7"/>
  <c r="BV148" i="7"/>
  <c r="CN147" i="7"/>
  <c r="DJ144" i="7"/>
  <c r="CL163" i="7"/>
  <c r="CG161" i="7"/>
  <c r="DA155" i="7"/>
  <c r="CV151" i="7"/>
  <c r="DN150" i="7"/>
  <c r="BZ150" i="7"/>
  <c r="DN146" i="7"/>
  <c r="BZ146" i="7"/>
  <c r="BZ142" i="7"/>
  <c r="BQ157" i="7"/>
  <c r="CI156" i="7"/>
  <c r="BL155" i="7"/>
  <c r="DR152" i="7"/>
  <c r="CD152" i="7"/>
  <c r="CZ149" i="7"/>
  <c r="BL149" i="7"/>
  <c r="DR148" i="7"/>
  <c r="CD148" i="7"/>
  <c r="CZ145" i="7"/>
  <c r="BL145" i="7"/>
  <c r="DR144" i="7"/>
  <c r="CZ141" i="7"/>
  <c r="CV162" i="7"/>
  <c r="CO161" i="7"/>
  <c r="CQ156" i="7"/>
  <c r="DI155" i="7"/>
  <c r="CL152" i="7"/>
  <c r="BP151" i="7"/>
  <c r="CL148" i="7"/>
  <c r="DD147" i="7"/>
  <c r="BP147" i="7"/>
  <c r="CL144" i="7"/>
  <c r="BP143" i="7"/>
  <c r="DT195" i="5"/>
  <c r="CN195" i="5"/>
  <c r="CF195" i="5"/>
  <c r="BP195" i="5"/>
  <c r="BH195" i="5"/>
  <c r="AZ195" i="5"/>
  <c r="AR195" i="5"/>
  <c r="AJ195" i="5"/>
  <c r="AB195" i="5"/>
  <c r="T195" i="5"/>
  <c r="L195" i="5"/>
  <c r="D195" i="5"/>
  <c r="DN195" i="5"/>
  <c r="CP195" i="5"/>
  <c r="BZ195" i="5"/>
  <c r="BR195" i="5"/>
  <c r="BJ195" i="5"/>
  <c r="BB195" i="5"/>
  <c r="AT195" i="5"/>
  <c r="AL195" i="5"/>
  <c r="AD195" i="5"/>
  <c r="V195" i="5"/>
  <c r="N195" i="5"/>
  <c r="F195" i="5"/>
  <c r="DR195" i="5"/>
  <c r="DJ195" i="5"/>
  <c r="CL195" i="5"/>
  <c r="CD195" i="5"/>
  <c r="BV195" i="5"/>
  <c r="BF195" i="5"/>
  <c r="AX195" i="5"/>
  <c r="AP195" i="5"/>
  <c r="AH195" i="5"/>
  <c r="Z195" i="5"/>
  <c r="R195" i="5"/>
  <c r="J195" i="5"/>
  <c r="DT162" i="7"/>
  <c r="DO160" i="7"/>
  <c r="BY157" i="7"/>
  <c r="BT155" i="7"/>
  <c r="CP150" i="7"/>
  <c r="DH149" i="7"/>
  <c r="BT149" i="7"/>
  <c r="CP146" i="7"/>
  <c r="DH145" i="7"/>
  <c r="BT145" i="7"/>
  <c r="CP142" i="7"/>
  <c r="DH141" i="7"/>
  <c r="DT167" i="5"/>
  <c r="BJ167" i="5"/>
  <c r="BB167" i="5"/>
  <c r="AT167" i="5"/>
  <c r="AL167" i="5"/>
  <c r="AD167" i="5"/>
  <c r="V167" i="5"/>
  <c r="N167" i="5"/>
  <c r="F167" i="5"/>
  <c r="CO167" i="5"/>
  <c r="BL167" i="5"/>
  <c r="BD167" i="5"/>
  <c r="AF167" i="5"/>
  <c r="P167" i="5"/>
  <c r="H167" i="5"/>
  <c r="CG160" i="7"/>
  <c r="BP157" i="7"/>
  <c r="BK149" i="7"/>
  <c r="BU145" i="7"/>
  <c r="DD143" i="7"/>
  <c r="CY141" i="7"/>
  <c r="BE167" i="5"/>
  <c r="AO167" i="5"/>
  <c r="AG167" i="5"/>
  <c r="Y167" i="5"/>
  <c r="Q167" i="5"/>
  <c r="DS167" i="5"/>
  <c r="BR167" i="5"/>
  <c r="BC167" i="5"/>
  <c r="AE167" i="5"/>
  <c r="G167" i="5"/>
  <c r="BW163" i="7"/>
  <c r="BM163" i="7"/>
  <c r="DS162" i="7"/>
  <c r="BU162" i="7"/>
  <c r="BR161" i="7"/>
  <c r="DN160" i="7"/>
  <c r="BU159" i="7"/>
  <c r="CU158" i="7"/>
  <c r="BW158" i="7"/>
  <c r="BO158" i="7"/>
  <c r="BK142" i="7"/>
  <c r="CK167" i="5"/>
  <c r="CP167" i="5"/>
  <c r="BG167" i="5"/>
  <c r="AY167" i="5"/>
  <c r="AQ167" i="5"/>
  <c r="S167" i="5"/>
  <c r="C167" i="5"/>
  <c r="CB167" i="5"/>
  <c r="AS167" i="5"/>
  <c r="AC167" i="5"/>
  <c r="U167" i="5"/>
  <c r="M167" i="5"/>
  <c r="E167" i="5"/>
  <c r="BZ167" i="5"/>
  <c r="BT167" i="5"/>
  <c r="BL163" i="7"/>
  <c r="DR162" i="7"/>
  <c r="DM160" i="7"/>
  <c r="CN160" i="7"/>
  <c r="CF157" i="7"/>
  <c r="BJ156" i="7"/>
  <c r="CA155" i="7"/>
  <c r="BV147" i="7"/>
  <c r="BT146" i="7"/>
  <c r="DC144" i="7"/>
  <c r="BO144" i="7"/>
  <c r="BO167" i="5"/>
  <c r="BQ167" i="5"/>
  <c r="CE167" i="5"/>
  <c r="CQ167" i="5"/>
  <c r="BY167" i="5"/>
  <c r="DP167" i="5"/>
  <c r="AU167" i="5"/>
  <c r="AM167" i="5"/>
  <c r="CG167" i="5"/>
  <c r="BO163" i="7"/>
  <c r="CF162" i="7"/>
  <c r="BV162" i="7"/>
  <c r="CN161" i="7"/>
  <c r="BJ161" i="7"/>
  <c r="DM157" i="7"/>
  <c r="CP156" i="7"/>
  <c r="DH155" i="7"/>
  <c r="CN155" i="7"/>
  <c r="CK152" i="7"/>
  <c r="BO151" i="7"/>
  <c r="DC147" i="7"/>
  <c r="DT146" i="7"/>
  <c r="DM143" i="7"/>
  <c r="BO143" i="7"/>
  <c r="CF142" i="7"/>
  <c r="CX141" i="7"/>
  <c r="BT141" i="7"/>
  <c r="BJ141" i="7"/>
  <c r="CT157" i="7"/>
  <c r="CN167" i="5"/>
  <c r="CF167" i="5"/>
  <c r="BP167" i="5"/>
  <c r="BH167" i="5"/>
  <c r="AZ167" i="5"/>
  <c r="AR167" i="5"/>
  <c r="AJ167" i="5"/>
  <c r="AB167" i="5"/>
  <c r="T167" i="5"/>
  <c r="L167" i="5"/>
  <c r="D167" i="5"/>
  <c r="DN167" i="5"/>
  <c r="DI163" i="7"/>
  <c r="CE163" i="7"/>
  <c r="BU163" i="7"/>
  <c r="CL162" i="7"/>
  <c r="DN161" i="7"/>
  <c r="BZ161" i="7"/>
  <c r="BP161" i="7"/>
  <c r="CQ159" i="7"/>
  <c r="CI159" i="7"/>
  <c r="CA159" i="7"/>
  <c r="BK159" i="7"/>
  <c r="CS158" i="7"/>
  <c r="CK158" i="7"/>
  <c r="BU158" i="7"/>
  <c r="DF156" i="7"/>
  <c r="BR156" i="7"/>
  <c r="BP155" i="7"/>
  <c r="BM152" i="7"/>
  <c r="DS151" i="7"/>
  <c r="CE151" i="7"/>
  <c r="CL150" i="7"/>
  <c r="BP149" i="7"/>
  <c r="DS147" i="7"/>
  <c r="CB146" i="7"/>
  <c r="BP145" i="7"/>
  <c r="DK144" i="7"/>
  <c r="BW144" i="7"/>
  <c r="CY143" i="7"/>
  <c r="CE143" i="7"/>
  <c r="DF142" i="7"/>
  <c r="DN141" i="7"/>
  <c r="CJ141" i="7"/>
  <c r="BZ141" i="7"/>
  <c r="DR163" i="7"/>
  <c r="BT163" i="7"/>
  <c r="CK162" i="7"/>
  <c r="BO161" i="7"/>
  <c r="CA160" i="7"/>
  <c r="BQ160" i="7"/>
  <c r="DN159" i="7"/>
  <c r="CP159" i="7"/>
  <c r="BZ159" i="7"/>
  <c r="BR159" i="7"/>
  <c r="BJ159" i="7"/>
  <c r="DP158" i="7"/>
  <c r="CJ158" i="7"/>
  <c r="CB158" i="7"/>
  <c r="BT158" i="7"/>
  <c r="BL158" i="7"/>
  <c r="DR157" i="7"/>
  <c r="CN157" i="7"/>
  <c r="CU156" i="7"/>
  <c r="DM155" i="7"/>
  <c r="CI155" i="7"/>
  <c r="CP152" i="7"/>
  <c r="DH151" i="7"/>
  <c r="BT151" i="7"/>
  <c r="CI149" i="7"/>
  <c r="CP148" i="7"/>
  <c r="DH147" i="7"/>
  <c r="CD147" i="7"/>
  <c r="BT147" i="7"/>
  <c r="CK146" i="7"/>
  <c r="DC145" i="7"/>
  <c r="BV144" i="7"/>
  <c r="CN143" i="7"/>
  <c r="DE142" i="7"/>
  <c r="CA142" i="7"/>
  <c r="BQ142" i="7"/>
  <c r="CB163" i="7"/>
  <c r="CT162" i="7"/>
  <c r="BP162" i="7"/>
  <c r="BW161" i="7"/>
  <c r="BP160" i="7"/>
  <c r="DN156" i="7"/>
  <c r="BZ156" i="7"/>
  <c r="CQ155" i="7"/>
  <c r="DI152" i="7"/>
  <c r="BU152" i="7"/>
  <c r="DP151" i="7"/>
  <c r="DI148" i="7"/>
  <c r="BU148" i="7"/>
  <c r="CL147" i="7"/>
  <c r="DD146" i="7"/>
  <c r="BM145" i="7"/>
  <c r="DS144" i="7"/>
  <c r="CE144" i="7"/>
  <c r="DN142" i="7"/>
  <c r="BP142" i="7"/>
  <c r="DA141" i="7"/>
  <c r="CS163" i="7"/>
  <c r="CL167" i="5"/>
  <c r="CD167" i="5"/>
  <c r="BV167" i="5"/>
  <c r="BF167" i="5"/>
  <c r="AX167" i="5"/>
  <c r="AP167" i="5"/>
  <c r="AH167" i="5"/>
  <c r="Z167" i="5"/>
  <c r="R167" i="5"/>
  <c r="J167" i="5"/>
  <c r="CK163" i="7"/>
  <c r="DM162" i="7"/>
  <c r="DT161" i="7"/>
  <c r="CP161" i="7"/>
  <c r="CF161" i="7"/>
  <c r="CI160" i="7"/>
  <c r="BY160" i="7"/>
  <c r="DE157" i="7"/>
  <c r="CK157" i="7"/>
  <c r="DC156" i="7"/>
  <c r="BO156" i="7"/>
  <c r="CZ155" i="7"/>
  <c r="CF155" i="7"/>
  <c r="BJ152" i="7"/>
  <c r="CU151" i="7"/>
  <c r="DM150" i="7"/>
  <c r="BY150" i="7"/>
  <c r="CD144" i="7"/>
  <c r="DE143" i="7"/>
  <c r="DM142" i="7"/>
  <c r="CI142" i="7"/>
  <c r="BY142" i="7"/>
  <c r="CP141" i="7"/>
  <c r="BL141" i="7"/>
  <c r="DR167" i="5"/>
  <c r="BU139" i="5"/>
  <c r="DI26" i="7"/>
  <c r="DK139" i="5"/>
  <c r="CA139" i="5"/>
  <c r="BM139" i="5"/>
  <c r="BS25" i="7"/>
  <c r="DQ24" i="7"/>
  <c r="CC24" i="7"/>
  <c r="BT139" i="5"/>
  <c r="BX24" i="7"/>
  <c r="DP139" i="5"/>
  <c r="CK139" i="5"/>
  <c r="BY139" i="5"/>
  <c r="BK139" i="5"/>
  <c r="DV25" i="7"/>
  <c r="CH25" i="7"/>
  <c r="BX22" i="7"/>
  <c r="CH21" i="7"/>
  <c r="DB19" i="7"/>
  <c r="CG26" i="7"/>
  <c r="BY26" i="7"/>
  <c r="CC3" i="7"/>
  <c r="BN20" i="7"/>
  <c r="BN19" i="7"/>
  <c r="BU26" i="7"/>
  <c r="DL25" i="7"/>
  <c r="CO26" i="7"/>
  <c r="CG139" i="5"/>
  <c r="CW24" i="7"/>
  <c r="DI139" i="5"/>
  <c r="CE139" i="5"/>
  <c r="DB25" i="7"/>
  <c r="BN25" i="7"/>
  <c r="DL24" i="7"/>
  <c r="BN24" i="7"/>
  <c r="BS21" i="7"/>
  <c r="CH18" i="7"/>
  <c r="CQ139" i="5"/>
  <c r="BQ139" i="5"/>
  <c r="DQ25" i="7"/>
  <c r="CC25" i="7"/>
  <c r="CM24" i="7"/>
  <c r="DV22" i="7"/>
  <c r="BX18" i="7"/>
  <c r="CK26" i="7"/>
  <c r="BN3" i="7"/>
  <c r="BM26" i="7"/>
  <c r="DV24" i="7"/>
  <c r="CM25" i="7"/>
  <c r="DS139" i="5"/>
  <c r="CO139" i="5"/>
  <c r="CB139" i="5"/>
  <c r="BO139" i="5"/>
  <c r="CR25" i="7"/>
  <c r="BQ26" i="7"/>
  <c r="BX17" i="7"/>
  <c r="BS17" i="7"/>
  <c r="CC14" i="7"/>
  <c r="BS14" i="7"/>
  <c r="CM13" i="7"/>
  <c r="BN13" i="7"/>
  <c r="CW12" i="7"/>
  <c r="DQ10" i="7"/>
  <c r="CC10" i="7"/>
  <c r="CM9" i="7"/>
  <c r="CW8" i="7"/>
  <c r="BX7" i="7"/>
  <c r="BS7" i="7"/>
  <c r="DQ6" i="7"/>
  <c r="CC6" i="7"/>
  <c r="CM5" i="7"/>
  <c r="CW4" i="7"/>
  <c r="DS26" i="7"/>
  <c r="DK26" i="7"/>
  <c r="CE26" i="7"/>
  <c r="BW26" i="7"/>
  <c r="BO26" i="7"/>
  <c r="DL23" i="7"/>
  <c r="CM23" i="7"/>
  <c r="BN23" i="7"/>
  <c r="CW22" i="7"/>
  <c r="DQ20" i="7"/>
  <c r="CC20" i="7"/>
  <c r="CM19" i="7"/>
  <c r="CW18" i="7"/>
  <c r="DG17" i="7"/>
  <c r="CH17" i="7"/>
  <c r="CR14" i="7"/>
  <c r="DQ13" i="7"/>
  <c r="DB13" i="7"/>
  <c r="DL12" i="7"/>
  <c r="BX12" i="7"/>
  <c r="BL139" i="5"/>
  <c r="BL12" i="7"/>
  <c r="BL26" i="7" s="1"/>
  <c r="DV11" i="7"/>
  <c r="CH11" i="7"/>
  <c r="CR10" i="7"/>
  <c r="DB9" i="7"/>
  <c r="BS9" i="7"/>
  <c r="BN9" i="7"/>
  <c r="DL8" i="7"/>
  <c r="BX8" i="7"/>
  <c r="BN8" i="7"/>
  <c r="CH7" i="7"/>
  <c r="DT139" i="5"/>
  <c r="DT6" i="7"/>
  <c r="DV6" i="7" s="1"/>
  <c r="DD6" i="7"/>
  <c r="CN139" i="5"/>
  <c r="CN6" i="7"/>
  <c r="CR6" i="7" s="1"/>
  <c r="CF139" i="5"/>
  <c r="CF6" i="7"/>
  <c r="CF26" i="7" s="1"/>
  <c r="BP139" i="5"/>
  <c r="BP6" i="7"/>
  <c r="BS6" i="7" s="1"/>
  <c r="BH139" i="5"/>
  <c r="AZ139" i="5"/>
  <c r="AR139" i="5"/>
  <c r="AJ139" i="5"/>
  <c r="AB139" i="5"/>
  <c r="T139" i="5"/>
  <c r="L139" i="5"/>
  <c r="D139" i="5"/>
  <c r="DN139" i="5"/>
  <c r="DN5" i="7"/>
  <c r="DF5" i="7"/>
  <c r="CX5" i="7"/>
  <c r="DB5" i="7" s="1"/>
  <c r="CP139" i="5"/>
  <c r="CP5" i="7"/>
  <c r="CP26" i="7" s="1"/>
  <c r="BZ139" i="5"/>
  <c r="BZ5" i="7"/>
  <c r="CC5" i="7" s="1"/>
  <c r="BR139" i="5"/>
  <c r="BR5" i="7"/>
  <c r="BS5" i="7" s="1"/>
  <c r="BJ139" i="5"/>
  <c r="BJ5" i="7"/>
  <c r="BN5" i="7" s="1"/>
  <c r="BB139" i="5"/>
  <c r="AT139" i="5"/>
  <c r="AL139" i="5"/>
  <c r="AD139" i="5"/>
  <c r="V139" i="5"/>
  <c r="N139" i="5"/>
  <c r="F139" i="5"/>
  <c r="DL4" i="7"/>
  <c r="DR139" i="5"/>
  <c r="DR3" i="7"/>
  <c r="DJ3" i="7"/>
  <c r="DL3" i="7" s="1"/>
  <c r="CL139" i="5"/>
  <c r="CL3" i="7"/>
  <c r="CL26" i="7" s="1"/>
  <c r="CD139" i="5"/>
  <c r="CD3" i="7"/>
  <c r="BV139" i="5"/>
  <c r="BV3" i="7"/>
  <c r="BV26" i="7" s="1"/>
  <c r="BF139" i="5"/>
  <c r="AX139" i="5"/>
  <c r="AP139" i="5"/>
  <c r="AH139" i="5"/>
  <c r="Z139" i="5"/>
  <c r="R139" i="5"/>
  <c r="J139" i="5"/>
  <c r="CR24" i="7"/>
  <c r="CC23" i="7"/>
  <c r="CM22" i="7"/>
  <c r="CW21" i="7"/>
  <c r="BN21" i="7"/>
  <c r="BS20" i="7"/>
  <c r="DQ19" i="7"/>
  <c r="CC19" i="7"/>
  <c r="CM18" i="7"/>
  <c r="DV14" i="7"/>
  <c r="CH14" i="7"/>
  <c r="CR13" i="7"/>
  <c r="DB12" i="7"/>
  <c r="DL11" i="7"/>
  <c r="BX11" i="7"/>
  <c r="DV10" i="7"/>
  <c r="CH10" i="7"/>
  <c r="CR9" i="7"/>
  <c r="DB8" i="7"/>
  <c r="DL7" i="7"/>
  <c r="DB4" i="7"/>
  <c r="BN4" i="7"/>
  <c r="DP26" i="7"/>
  <c r="CJ26" i="7"/>
  <c r="CB26" i="7"/>
  <c r="BT26" i="7"/>
  <c r="DQ23" i="7"/>
  <c r="CR23" i="7"/>
  <c r="BN22" i="7"/>
  <c r="BX21" i="7"/>
  <c r="DV20" i="7"/>
  <c r="CH20" i="7"/>
  <c r="CR19" i="7"/>
  <c r="DB18" i="7"/>
  <c r="DL17" i="7"/>
  <c r="CM17" i="7"/>
  <c r="CW14" i="7"/>
  <c r="BS13" i="7"/>
  <c r="DQ12" i="7"/>
  <c r="CC12" i="7"/>
  <c r="DQ11" i="7"/>
  <c r="CM11" i="7"/>
  <c r="CW10" i="7"/>
  <c r="DQ8" i="7"/>
  <c r="CC8" i="7"/>
  <c r="CM7" i="7"/>
  <c r="CW6" i="7"/>
  <c r="DQ4" i="7"/>
  <c r="CC4" i="7"/>
  <c r="CQ26" i="7"/>
  <c r="CA26" i="7"/>
  <c r="BK26" i="7"/>
  <c r="CH24" i="7"/>
  <c r="BS23" i="7"/>
  <c r="DQ22" i="7"/>
  <c r="CC22" i="7"/>
  <c r="CM21" i="7"/>
  <c r="CW20" i="7"/>
  <c r="DQ18" i="7"/>
  <c r="CC18" i="7"/>
  <c r="BN17" i="7"/>
  <c r="DL14" i="7"/>
  <c r="BX14" i="7"/>
  <c r="CH13" i="7"/>
  <c r="CR12" i="7"/>
  <c r="DB11" i="7"/>
  <c r="DL10" i="7"/>
  <c r="BX10" i="7"/>
  <c r="DV9" i="7"/>
  <c r="CH9" i="7"/>
  <c r="CR8" i="7"/>
  <c r="DB7" i="7"/>
  <c r="BN7" i="7"/>
  <c r="DL6" i="7"/>
  <c r="BX6" i="7"/>
  <c r="DV5" i="7"/>
  <c r="CH5" i="7"/>
  <c r="CR4" i="7"/>
  <c r="DV23" i="7"/>
  <c r="BS22" i="7"/>
  <c r="DQ21" i="7"/>
  <c r="CC21" i="7"/>
  <c r="CM20" i="7"/>
  <c r="CW19" i="7"/>
  <c r="BX19" i="7"/>
  <c r="DG18" i="7"/>
  <c r="BS18" i="7"/>
  <c r="DQ17" i="7"/>
  <c r="CR17" i="7"/>
  <c r="DQ14" i="7"/>
  <c r="DB14" i="7"/>
  <c r="BN14" i="7"/>
  <c r="DL13" i="7"/>
  <c r="BX13" i="7"/>
  <c r="DV12" i="7"/>
  <c r="CH12" i="7"/>
  <c r="CR11" i="7"/>
  <c r="BS11" i="7"/>
  <c r="DB10" i="7"/>
  <c r="BN10" i="7"/>
  <c r="DL9" i="7"/>
  <c r="DV8" i="7"/>
  <c r="CH8" i="7"/>
  <c r="CR7" i="7"/>
  <c r="DB6" i="7"/>
  <c r="BN6" i="7"/>
  <c r="DL5" i="7"/>
  <c r="BX5" i="7"/>
  <c r="DV4" i="7"/>
  <c r="CH4" i="7"/>
  <c r="BX4" i="7"/>
  <c r="CR3" i="7"/>
  <c r="BS3" i="7"/>
  <c r="DO159" i="7"/>
  <c r="DO111" i="5"/>
  <c r="CA111" i="5"/>
  <c r="CK111" i="5"/>
  <c r="BG111" i="5"/>
  <c r="AY111" i="5"/>
  <c r="AQ111" i="5"/>
  <c r="AI111" i="5"/>
  <c r="AA111" i="5"/>
  <c r="S111" i="5"/>
  <c r="C111" i="5"/>
  <c r="CI111" i="5"/>
  <c r="DK111" i="5"/>
  <c r="BO111" i="5"/>
  <c r="BW162" i="7"/>
  <c r="CQ111" i="5"/>
  <c r="BW111" i="5"/>
  <c r="DF111" i="5"/>
  <c r="BM111" i="5"/>
  <c r="BE111" i="5"/>
  <c r="AW111" i="5"/>
  <c r="AO111" i="5"/>
  <c r="AG111" i="5"/>
  <c r="Y111" i="5"/>
  <c r="Q111" i="5"/>
  <c r="I111" i="5"/>
  <c r="DS111" i="5"/>
  <c r="DI111" i="5"/>
  <c r="CE111" i="5"/>
  <c r="CO155" i="7"/>
  <c r="CT163" i="7"/>
  <c r="CU162" i="7"/>
  <c r="CU157" i="7"/>
  <c r="DC157" i="7"/>
  <c r="DT156" i="7"/>
  <c r="CX155" i="7"/>
  <c r="CA152" i="7"/>
  <c r="DK157" i="7"/>
  <c r="CN156" i="7"/>
  <c r="CO111" i="5"/>
  <c r="CG111" i="5"/>
  <c r="BY111" i="5"/>
  <c r="BQ111" i="5"/>
  <c r="BI111" i="5"/>
  <c r="BA111" i="5"/>
  <c r="AS111" i="5"/>
  <c r="AK111" i="5"/>
  <c r="BM158" i="7"/>
  <c r="DS157" i="7"/>
  <c r="CV156" i="7"/>
  <c r="DI151" i="7"/>
  <c r="DI147" i="7"/>
  <c r="DI143" i="7"/>
  <c r="DM111" i="5"/>
  <c r="DR111" i="5"/>
  <c r="DJ111" i="5"/>
  <c r="CL111" i="5"/>
  <c r="CD111" i="5"/>
  <c r="BV111" i="5"/>
  <c r="BF111" i="5"/>
  <c r="AX111" i="5"/>
  <c r="AP111" i="5"/>
  <c r="AH111" i="5"/>
  <c r="Z111" i="5"/>
  <c r="R111" i="5"/>
  <c r="J111" i="5"/>
  <c r="DT111" i="5"/>
  <c r="CN111" i="5"/>
  <c r="CF111" i="5"/>
  <c r="BP111" i="5"/>
  <c r="BH111" i="5"/>
  <c r="AZ111" i="5"/>
  <c r="AR111" i="5"/>
  <c r="AJ111" i="5"/>
  <c r="AB111" i="5"/>
  <c r="T111" i="5"/>
  <c r="L111" i="5"/>
  <c r="D111" i="5"/>
  <c r="DP111" i="5"/>
  <c r="DH111" i="5"/>
  <c r="CJ111" i="5"/>
  <c r="CB111" i="5"/>
  <c r="BT111" i="5"/>
  <c r="BL111" i="5"/>
  <c r="BD111" i="5"/>
  <c r="AV111" i="5"/>
  <c r="AN111" i="5"/>
  <c r="AF111" i="5"/>
  <c r="X111" i="5"/>
  <c r="P111" i="5"/>
  <c r="H111" i="5"/>
  <c r="CD157" i="7"/>
  <c r="BY155" i="7"/>
  <c r="CU150" i="7"/>
  <c r="DM149" i="7"/>
  <c r="BY149" i="7"/>
  <c r="DM145" i="7"/>
  <c r="BY145" i="7"/>
  <c r="DD156" i="7"/>
  <c r="BP156" i="7"/>
  <c r="CG155" i="7"/>
  <c r="BK152" i="7"/>
  <c r="BT143" i="7"/>
  <c r="DC141" i="7"/>
  <c r="CV163" i="7"/>
  <c r="BZ162" i="7"/>
  <c r="BM161" i="7"/>
  <c r="DS160" i="7"/>
  <c r="DO158" i="7"/>
  <c r="CQ158" i="7"/>
  <c r="CI158" i="7"/>
  <c r="CL157" i="7"/>
  <c r="DK83" i="5"/>
  <c r="DT83" i="5"/>
  <c r="CO158" i="7"/>
  <c r="BY158" i="7"/>
  <c r="DA156" i="7"/>
  <c r="BT161" i="7"/>
  <c r="DJ156" i="7"/>
  <c r="CF156" i="7"/>
  <c r="CD155" i="7"/>
  <c r="DO152" i="7"/>
  <c r="BQ152" i="7"/>
  <c r="CS151" i="7"/>
  <c r="CI151" i="7"/>
  <c r="CE83" i="5"/>
  <c r="CN83" i="5"/>
  <c r="CJ157" i="7"/>
  <c r="DP161" i="7"/>
  <c r="CL161" i="7"/>
  <c r="CB161" i="7"/>
  <c r="BM157" i="7"/>
  <c r="DS156" i="7"/>
  <c r="DI156" i="7"/>
  <c r="DF155" i="7"/>
  <c r="CL155" i="7"/>
  <c r="DN152" i="7"/>
  <c r="BZ152" i="7"/>
  <c r="BP152" i="7"/>
  <c r="BM151" i="7"/>
  <c r="DS150" i="7"/>
  <c r="DI150" i="7"/>
  <c r="CE150" i="7"/>
  <c r="CV149" i="7"/>
  <c r="CL149" i="7"/>
  <c r="DN148" i="7"/>
  <c r="BZ148" i="7"/>
  <c r="BP148" i="7"/>
  <c r="DA147" i="7"/>
  <c r="BM147" i="7"/>
  <c r="DS146" i="7"/>
  <c r="DI146" i="7"/>
  <c r="CE146" i="7"/>
  <c r="CL145" i="7"/>
  <c r="DN144" i="7"/>
  <c r="BZ144" i="7"/>
  <c r="DA143" i="7"/>
  <c r="BM143" i="7"/>
  <c r="DI142" i="7"/>
  <c r="J83" i="5"/>
  <c r="R83" i="5"/>
  <c r="Z83" i="5"/>
  <c r="AH83" i="5"/>
  <c r="AP83" i="5"/>
  <c r="AX83" i="5"/>
  <c r="BF83" i="5"/>
  <c r="BW83" i="5"/>
  <c r="CF83" i="5"/>
  <c r="CQ162" i="7"/>
  <c r="DM163" i="7"/>
  <c r="CP162" i="7"/>
  <c r="CD161" i="7"/>
  <c r="CF160" i="7"/>
  <c r="BV83" i="5"/>
  <c r="DT163" i="7"/>
  <c r="CF163" i="7"/>
  <c r="BJ162" i="7"/>
  <c r="CK161" i="7"/>
  <c r="CA161" i="7"/>
  <c r="DJ157" i="7"/>
  <c r="BV157" i="7"/>
  <c r="BL157" i="7"/>
  <c r="DR156" i="7"/>
  <c r="DE155" i="7"/>
  <c r="CU155" i="7"/>
  <c r="BQ155" i="7"/>
  <c r="CI152" i="7"/>
  <c r="BY152" i="7"/>
  <c r="BL151" i="7"/>
  <c r="DR150" i="7"/>
  <c r="DH150" i="7"/>
  <c r="DE149" i="7"/>
  <c r="CU149" i="7"/>
  <c r="BQ149" i="7"/>
  <c r="CI148" i="7"/>
  <c r="BY148" i="7"/>
  <c r="BL147" i="7"/>
  <c r="DR146" i="7"/>
  <c r="DH146" i="7"/>
  <c r="DE145" i="7"/>
  <c r="BQ145" i="7"/>
  <c r="CI144" i="7"/>
  <c r="BY144" i="7"/>
  <c r="BL143" i="7"/>
  <c r="DR142" i="7"/>
  <c r="DE141" i="7"/>
  <c r="BQ141" i="7"/>
  <c r="C83" i="5"/>
  <c r="K83" i="5"/>
  <c r="S83" i="5"/>
  <c r="AA83" i="5"/>
  <c r="AI83" i="5"/>
  <c r="AQ83" i="5"/>
  <c r="AY83" i="5"/>
  <c r="BG83" i="5"/>
  <c r="BO83" i="5"/>
  <c r="CE159" i="7"/>
  <c r="CV83" i="5"/>
  <c r="CO163" i="7"/>
  <c r="BK163" i="7"/>
  <c r="DP162" i="7"/>
  <c r="CB162" i="7"/>
  <c r="BR162" i="7"/>
  <c r="CT161" i="7"/>
  <c r="CJ161" i="7"/>
  <c r="BU157" i="7"/>
  <c r="BK157" i="7"/>
  <c r="DN155" i="7"/>
  <c r="DD155" i="7"/>
  <c r="CQ152" i="7"/>
  <c r="CG152" i="7"/>
  <c r="BU151" i="7"/>
  <c r="BK151" i="7"/>
  <c r="DP150" i="7"/>
  <c r="DD149" i="7"/>
  <c r="CT149" i="7"/>
  <c r="CQ148" i="7"/>
  <c r="CG148" i="7"/>
  <c r="BU147" i="7"/>
  <c r="BK147" i="7"/>
  <c r="DP146" i="7"/>
  <c r="DD145" i="7"/>
  <c r="CQ144" i="7"/>
  <c r="CG144" i="7"/>
  <c r="BU143" i="7"/>
  <c r="BK143" i="7"/>
  <c r="DD141" i="7"/>
  <c r="D83" i="5"/>
  <c r="L83" i="5"/>
  <c r="T83" i="5"/>
  <c r="AB83" i="5"/>
  <c r="AJ83" i="5"/>
  <c r="AR83" i="5"/>
  <c r="AZ83" i="5"/>
  <c r="BH83" i="5"/>
  <c r="BP83" i="5"/>
  <c r="DR83" i="5"/>
  <c r="CU145" i="7"/>
  <c r="CV144" i="7"/>
  <c r="CB151" i="7"/>
  <c r="BR151" i="7"/>
  <c r="CT150" i="7"/>
  <c r="CJ150" i="7"/>
  <c r="DK149" i="7"/>
  <c r="CG149" i="7"/>
  <c r="BW149" i="7"/>
  <c r="CO148" i="7"/>
  <c r="BK148" i="7"/>
  <c r="DP147" i="7"/>
  <c r="DF147" i="7"/>
  <c r="CB147" i="7"/>
  <c r="BR147" i="7"/>
  <c r="CJ146" i="7"/>
  <c r="DK145" i="7"/>
  <c r="CG145" i="7"/>
  <c r="BW145" i="7"/>
  <c r="CY144" i="7"/>
  <c r="CO144" i="7"/>
  <c r="BK144" i="7"/>
  <c r="DP143" i="7"/>
  <c r="CB143" i="7"/>
  <c r="DK141" i="7"/>
  <c r="CG141" i="7"/>
  <c r="BW141" i="7"/>
  <c r="F83" i="5"/>
  <c r="N83" i="5"/>
  <c r="V83" i="5"/>
  <c r="AD83" i="5"/>
  <c r="AL83" i="5"/>
  <c r="AT83" i="5"/>
  <c r="BB83" i="5"/>
  <c r="BJ83" i="5"/>
  <c r="BR83" i="5"/>
  <c r="BZ83" i="5"/>
  <c r="CP83" i="5"/>
  <c r="DN83" i="5"/>
  <c r="CS144" i="7"/>
  <c r="CT143" i="7"/>
  <c r="CK151" i="7"/>
  <c r="CA151" i="7"/>
  <c r="CS150" i="7"/>
  <c r="BO150" i="7"/>
  <c r="DT149" i="7"/>
  <c r="DJ149" i="7"/>
  <c r="CF149" i="7"/>
  <c r="BV149" i="7"/>
  <c r="CN148" i="7"/>
  <c r="BJ148" i="7"/>
  <c r="DO147" i="7"/>
  <c r="CK147" i="7"/>
  <c r="CA147" i="7"/>
  <c r="DC146" i="7"/>
  <c r="BO146" i="7"/>
  <c r="DT145" i="7"/>
  <c r="DJ145" i="7"/>
  <c r="CF145" i="7"/>
  <c r="BV145" i="7"/>
  <c r="CX144" i="7"/>
  <c r="BJ144" i="7"/>
  <c r="DO143" i="7"/>
  <c r="CK143" i="7"/>
  <c r="CA143" i="7"/>
  <c r="DT141" i="7"/>
  <c r="CF141" i="7"/>
  <c r="G83" i="5"/>
  <c r="O83" i="5"/>
  <c r="W83" i="5"/>
  <c r="AE83" i="5"/>
  <c r="AM83" i="5"/>
  <c r="AU83" i="5"/>
  <c r="BC83" i="5"/>
  <c r="BK83" i="5"/>
  <c r="CA83" i="5"/>
  <c r="CI83" i="5"/>
  <c r="CQ83" i="5"/>
  <c r="DO83" i="5"/>
  <c r="E83" i="5"/>
  <c r="M83" i="5"/>
  <c r="U83" i="5"/>
  <c r="AC83" i="5"/>
  <c r="AK83" i="5"/>
  <c r="AS83" i="5"/>
  <c r="BA83" i="5"/>
  <c r="BI83" i="5"/>
  <c r="BQ83" i="5"/>
  <c r="BY83" i="5"/>
  <c r="CG83" i="5"/>
  <c r="CO83" i="5"/>
  <c r="DM83" i="5"/>
  <c r="CJ151" i="7"/>
  <c r="BZ151" i="7"/>
  <c r="DK150" i="7"/>
  <c r="BW150" i="7"/>
  <c r="BM150" i="7"/>
  <c r="DS149" i="7"/>
  <c r="CO149" i="7"/>
  <c r="CE149" i="7"/>
  <c r="DF148" i="7"/>
  <c r="CV148" i="7"/>
  <c r="BR148" i="7"/>
  <c r="DN147" i="7"/>
  <c r="CJ147" i="7"/>
  <c r="BZ147" i="7"/>
  <c r="DK146" i="7"/>
  <c r="DA146" i="7"/>
  <c r="BW146" i="7"/>
  <c r="BM146" i="7"/>
  <c r="DS145" i="7"/>
  <c r="CO145" i="7"/>
  <c r="CE145" i="7"/>
  <c r="DF144" i="7"/>
  <c r="BR144" i="7"/>
  <c r="CJ143" i="7"/>
  <c r="DK142" i="7"/>
  <c r="DA142" i="7"/>
  <c r="BW142" i="7"/>
  <c r="BM142" i="7"/>
  <c r="DS141" i="7"/>
  <c r="CO141" i="7"/>
  <c r="CE141" i="7"/>
  <c r="H83" i="5"/>
  <c r="P83" i="5"/>
  <c r="X83" i="5"/>
  <c r="AF83" i="5"/>
  <c r="AN83" i="5"/>
  <c r="AV83" i="5"/>
  <c r="BD83" i="5"/>
  <c r="BL83" i="5"/>
  <c r="BT83" i="5"/>
  <c r="CB83" i="5"/>
  <c r="CJ83" i="5"/>
  <c r="DH83" i="5"/>
  <c r="DP83" i="5"/>
  <c r="DJ150" i="7"/>
  <c r="BV150" i="7"/>
  <c r="BL150" i="7"/>
  <c r="DR149" i="7"/>
  <c r="CN149" i="7"/>
  <c r="CD149" i="7"/>
  <c r="DO148" i="7"/>
  <c r="DE148" i="7"/>
  <c r="CA148" i="7"/>
  <c r="BQ148" i="7"/>
  <c r="CI147" i="7"/>
  <c r="DJ146" i="7"/>
  <c r="CZ146" i="7"/>
  <c r="BV146" i="7"/>
  <c r="BL146" i="7"/>
  <c r="DR145" i="7"/>
  <c r="CN145" i="7"/>
  <c r="CD145" i="7"/>
  <c r="DO144" i="7"/>
  <c r="DE144" i="7"/>
  <c r="CA144" i="7"/>
  <c r="BQ144" i="7"/>
  <c r="CI143" i="7"/>
  <c r="DJ142" i="7"/>
  <c r="BV142" i="7"/>
  <c r="CN141" i="7"/>
  <c r="I83" i="5"/>
  <c r="Q83" i="5"/>
  <c r="Y83" i="5"/>
  <c r="AG83" i="5"/>
  <c r="AO83" i="5"/>
  <c r="AW83" i="5"/>
  <c r="BE83" i="5"/>
  <c r="BM83" i="5"/>
  <c r="BU83" i="5"/>
  <c r="CK83" i="5"/>
  <c r="CS83" i="5"/>
  <c r="DI83" i="5"/>
  <c r="DM141" i="7"/>
  <c r="DM55" i="5"/>
  <c r="DC142" i="7"/>
  <c r="DC55" i="5"/>
  <c r="CS55" i="5"/>
  <c r="BY141" i="7"/>
  <c r="BY55" i="5"/>
  <c r="BO142" i="7"/>
  <c r="BO55" i="5"/>
  <c r="CO55" i="5"/>
  <c r="DS142" i="7"/>
  <c r="DS55" i="5"/>
  <c r="CE142" i="7"/>
  <c r="CE55" i="5"/>
  <c r="CS147" i="7"/>
  <c r="CS146" i="7"/>
  <c r="CT145" i="7"/>
  <c r="CU144" i="7"/>
  <c r="CV143" i="7"/>
  <c r="CT146" i="7"/>
  <c r="BK55" i="5"/>
  <c r="CY55" i="5"/>
  <c r="BD55" i="5"/>
  <c r="AV55" i="5"/>
  <c r="AN55" i="5"/>
  <c r="AF55" i="5"/>
  <c r="X55" i="5"/>
  <c r="P55" i="5"/>
  <c r="H55" i="5"/>
  <c r="DT55" i="5"/>
  <c r="DT144" i="7"/>
  <c r="DD144" i="7"/>
  <c r="CN55" i="5"/>
  <c r="CN144" i="7"/>
  <c r="CF55" i="5"/>
  <c r="CF144" i="7"/>
  <c r="BP55" i="5"/>
  <c r="BP144" i="7"/>
  <c r="BH55" i="5"/>
  <c r="AZ55" i="5"/>
  <c r="AR55" i="5"/>
  <c r="AJ55" i="5"/>
  <c r="AB55" i="5"/>
  <c r="T55" i="5"/>
  <c r="L55" i="5"/>
  <c r="D55" i="5"/>
  <c r="DN55" i="5"/>
  <c r="DN143" i="7"/>
  <c r="DF143" i="7"/>
  <c r="CX55" i="5"/>
  <c r="CX143" i="7"/>
  <c r="CP55" i="5"/>
  <c r="CP143" i="7"/>
  <c r="BZ55" i="5"/>
  <c r="BZ143" i="7"/>
  <c r="BR55" i="5"/>
  <c r="BR143" i="7"/>
  <c r="BJ55" i="5"/>
  <c r="BJ143" i="7"/>
  <c r="BB55" i="5"/>
  <c r="AT55" i="5"/>
  <c r="AL55" i="5"/>
  <c r="AD55" i="5"/>
  <c r="V55" i="5"/>
  <c r="N55" i="5"/>
  <c r="F55" i="5"/>
  <c r="DP55" i="5"/>
  <c r="DP142" i="7"/>
  <c r="DH142" i="7"/>
  <c r="CZ55" i="5"/>
  <c r="CZ142" i="7"/>
  <c r="CJ55" i="5"/>
  <c r="CJ142" i="7"/>
  <c r="CB55" i="5"/>
  <c r="CB142" i="7"/>
  <c r="BT55" i="5"/>
  <c r="BT142" i="7"/>
  <c r="BL55" i="5"/>
  <c r="BL142" i="7"/>
  <c r="DR55" i="5"/>
  <c r="DR141" i="7"/>
  <c r="DJ55" i="5"/>
  <c r="DJ141" i="7"/>
  <c r="CL55" i="5"/>
  <c r="CL141" i="7"/>
  <c r="CD55" i="5"/>
  <c r="CD141" i="7"/>
  <c r="BV55" i="5"/>
  <c r="BV141" i="7"/>
  <c r="BF55" i="5"/>
  <c r="AX55" i="5"/>
  <c r="AP55" i="5"/>
  <c r="AH55" i="5"/>
  <c r="Z55" i="5"/>
  <c r="R55" i="5"/>
  <c r="J55" i="5"/>
  <c r="CS162" i="7"/>
  <c r="CV160" i="7"/>
  <c r="CS157" i="7"/>
  <c r="CS145" i="7"/>
  <c r="CT144" i="7"/>
  <c r="CU143" i="7"/>
  <c r="CV142" i="7"/>
  <c r="CU142" i="7"/>
  <c r="CV141" i="7"/>
  <c r="BU55" i="5"/>
  <c r="DI55" i="5"/>
  <c r="CS143" i="7"/>
  <c r="CT142" i="7"/>
  <c r="CU141" i="7"/>
  <c r="BW55" i="5"/>
  <c r="BW151" i="7"/>
  <c r="CG55" i="5"/>
  <c r="CG150" i="7"/>
  <c r="BQ55" i="5"/>
  <c r="BQ150" i="7"/>
  <c r="DO55" i="5"/>
  <c r="DO149" i="7"/>
  <c r="CQ55" i="5"/>
  <c r="CQ149" i="7"/>
  <c r="CA55" i="5"/>
  <c r="CA149" i="7"/>
  <c r="DA55" i="5"/>
  <c r="CK55" i="5"/>
  <c r="CK148" i="7"/>
  <c r="BM55" i="5"/>
  <c r="BM148" i="7"/>
  <c r="DK55" i="5"/>
  <c r="DK147" i="7"/>
  <c r="BG55" i="5"/>
  <c r="AY55" i="5"/>
  <c r="AQ55" i="5"/>
  <c r="AI55" i="5"/>
  <c r="AA55" i="5"/>
  <c r="S55" i="5"/>
  <c r="K55" i="5"/>
  <c r="C55" i="5"/>
  <c r="BC55" i="5"/>
  <c r="AU55" i="5"/>
  <c r="AM55" i="5"/>
  <c r="AE55" i="5"/>
  <c r="W55" i="5"/>
  <c r="O55" i="5"/>
  <c r="G55" i="5"/>
  <c r="BE55" i="5"/>
  <c r="AW55" i="5"/>
  <c r="AO55" i="5"/>
  <c r="AG55" i="5"/>
  <c r="Y55" i="5"/>
  <c r="Q55" i="5"/>
  <c r="I55" i="5"/>
  <c r="CQ160" i="7"/>
  <c r="CV147" i="7"/>
  <c r="CS142" i="7"/>
  <c r="CT141" i="7"/>
  <c r="CU147" i="7"/>
  <c r="CV146" i="7"/>
  <c r="CS141" i="7"/>
  <c r="CV26" i="7"/>
  <c r="CV161" i="7"/>
  <c r="CV155" i="7"/>
  <c r="CU161" i="7"/>
  <c r="CU167" i="5"/>
  <c r="CU139" i="5"/>
  <c r="CU26" i="7"/>
  <c r="CW23" i="7"/>
  <c r="CT26" i="7"/>
  <c r="CU111" i="5"/>
  <c r="CT83" i="5"/>
  <c r="CT155" i="7"/>
  <c r="CS167" i="5"/>
  <c r="CS139" i="5"/>
  <c r="CS161" i="7"/>
  <c r="CS111" i="5"/>
  <c r="CV195" i="5"/>
  <c r="CV167" i="5"/>
  <c r="CV139" i="5"/>
  <c r="CV111" i="5"/>
  <c r="CV55" i="5"/>
  <c r="CU55" i="5"/>
  <c r="CT195" i="5"/>
  <c r="CT167" i="5"/>
  <c r="CT139" i="5"/>
  <c r="CT111" i="5"/>
  <c r="CT55" i="5"/>
  <c r="CS26" i="7"/>
  <c r="CW17" i="7"/>
  <c r="B55" i="5"/>
  <c r="BK109" i="7" l="1"/>
  <c r="DL87" i="7"/>
  <c r="DG88" i="7"/>
  <c r="DQ88" i="7"/>
  <c r="DB88" i="7"/>
  <c r="DG87" i="7"/>
  <c r="DG89" i="7"/>
  <c r="CM87" i="7"/>
  <c r="DQ87" i="7"/>
  <c r="DB87" i="7"/>
  <c r="DT26" i="6"/>
  <c r="DT54" i="6" s="1"/>
  <c r="DV14" i="6"/>
  <c r="DV10" i="6"/>
  <c r="DL86" i="7"/>
  <c r="CE109" i="7"/>
  <c r="DM109" i="7"/>
  <c r="CT109" i="7"/>
  <c r="BX87" i="7"/>
  <c r="BU109" i="7"/>
  <c r="DK109" i="7"/>
  <c r="CB109" i="7"/>
  <c r="DH109" i="7"/>
  <c r="BW109" i="7"/>
  <c r="BN88" i="7"/>
  <c r="BV109" i="7"/>
  <c r="BS89" i="7"/>
  <c r="CC88" i="7"/>
  <c r="BY109" i="7"/>
  <c r="CD109" i="7"/>
  <c r="CQ109" i="7"/>
  <c r="CU109" i="7"/>
  <c r="DJ109" i="7"/>
  <c r="CL109" i="7"/>
  <c r="BL109" i="7"/>
  <c r="DI109" i="7"/>
  <c r="BM109" i="7"/>
  <c r="BQ109" i="7"/>
  <c r="CV109" i="7"/>
  <c r="CP109" i="7"/>
  <c r="DV86" i="7"/>
  <c r="DV109" i="7" s="1"/>
  <c r="BS86" i="7"/>
  <c r="CF109" i="7"/>
  <c r="DQ5" i="7"/>
  <c r="DQ26" i="7" s="1"/>
  <c r="CH86" i="7"/>
  <c r="DQ86" i="7"/>
  <c r="DN109" i="7"/>
  <c r="CR86" i="7"/>
  <c r="CC86" i="7"/>
  <c r="CA109" i="7"/>
  <c r="CW86" i="7"/>
  <c r="CM86" i="7"/>
  <c r="DB86" i="7"/>
  <c r="BR109" i="7"/>
  <c r="BN86" i="7"/>
  <c r="CO109" i="7"/>
  <c r="CJ109" i="7"/>
  <c r="CS109" i="7"/>
  <c r="BZ109" i="7"/>
  <c r="CC97" i="7"/>
  <c r="CR88" i="7"/>
  <c r="BO109" i="7"/>
  <c r="BN12" i="7"/>
  <c r="BN26" i="7" s="1"/>
  <c r="DT109" i="7"/>
  <c r="CH89" i="7"/>
  <c r="BJ26" i="7"/>
  <c r="BN87" i="7"/>
  <c r="DM26" i="7"/>
  <c r="DP109" i="7"/>
  <c r="CC87" i="7"/>
  <c r="BN97" i="7"/>
  <c r="BZ26" i="7"/>
  <c r="BJ109" i="7"/>
  <c r="CR89" i="7"/>
  <c r="CN26" i="7"/>
  <c r="BR26" i="7"/>
  <c r="CM3" i="7"/>
  <c r="CM26" i="7" s="1"/>
  <c r="CH6" i="7"/>
  <c r="BP109" i="7"/>
  <c r="DT26" i="7"/>
  <c r="CW89" i="7"/>
  <c r="BX3" i="7"/>
  <c r="BX26" i="7" s="1"/>
  <c r="CR5" i="7"/>
  <c r="CR26" i="7" s="1"/>
  <c r="CN109" i="7"/>
  <c r="DO109" i="7"/>
  <c r="DN26" i="7"/>
  <c r="BX86" i="7"/>
  <c r="DB3" i="7"/>
  <c r="BS88" i="7"/>
  <c r="BT109" i="7"/>
  <c r="CI109" i="7"/>
  <c r="DG86" i="7"/>
  <c r="CI164" i="7"/>
  <c r="CO164" i="7"/>
  <c r="CJ164" i="7"/>
  <c r="BR164" i="7"/>
  <c r="BZ164" i="7"/>
  <c r="BQ164" i="7"/>
  <c r="BT164" i="7"/>
  <c r="CB164" i="7"/>
  <c r="DN164" i="7"/>
  <c r="CD164" i="7"/>
  <c r="CC26" i="7"/>
  <c r="DR26" i="7"/>
  <c r="DV3" i="7"/>
  <c r="DV26" i="7" s="1"/>
  <c r="BP26" i="7"/>
  <c r="CD26" i="7"/>
  <c r="CH3" i="7"/>
  <c r="BS26" i="7"/>
  <c r="CA164" i="7"/>
  <c r="BJ164" i="7"/>
  <c r="CP164" i="7"/>
  <c r="BO164" i="7"/>
  <c r="BK164" i="7"/>
  <c r="DS164" i="7"/>
  <c r="BV164" i="7"/>
  <c r="DR164" i="7"/>
  <c r="CG164" i="7"/>
  <c r="BL164" i="7"/>
  <c r="CS164" i="7"/>
  <c r="BP164" i="7"/>
  <c r="BU164" i="7"/>
  <c r="BM164" i="7"/>
  <c r="CL164" i="7"/>
  <c r="DM164" i="7"/>
  <c r="BW164" i="7"/>
  <c r="CU164" i="7"/>
  <c r="DP164" i="7"/>
  <c r="CF164" i="7"/>
  <c r="DT164" i="7"/>
  <c r="CT164" i="7"/>
  <c r="CK164" i="7"/>
  <c r="DO164" i="7"/>
  <c r="CE164" i="7"/>
  <c r="CN164" i="7"/>
  <c r="BY164" i="7"/>
  <c r="CQ164" i="7"/>
  <c r="CV164" i="7"/>
  <c r="CW26" i="7"/>
  <c r="DV136" i="7" l="1"/>
  <c r="BX109" i="7"/>
  <c r="DL109" i="7"/>
  <c r="BS109" i="7"/>
  <c r="CW109" i="7"/>
  <c r="CH109" i="7"/>
  <c r="DQ109" i="7"/>
  <c r="CC109" i="7"/>
  <c r="CM109" i="7"/>
  <c r="BN109" i="7"/>
  <c r="CR109" i="7"/>
  <c r="CH26" i="7"/>
  <c r="DQ110" i="3" l="1"/>
  <c r="DQ109" i="3"/>
  <c r="DQ108" i="3"/>
  <c r="DQ107" i="3"/>
  <c r="DQ106" i="3"/>
  <c r="DQ105" i="3"/>
  <c r="DQ104" i="3"/>
  <c r="DQ103" i="3"/>
  <c r="DQ102" i="3"/>
  <c r="DQ99" i="3"/>
  <c r="DQ98" i="3"/>
  <c r="DQ97" i="3"/>
  <c r="DQ96" i="3"/>
  <c r="DQ95" i="3"/>
  <c r="DQ94" i="3"/>
  <c r="DQ93" i="3"/>
  <c r="DQ92" i="3"/>
  <c r="DQ91" i="3"/>
  <c r="DQ90" i="3"/>
  <c r="DQ89" i="3"/>
  <c r="DQ88" i="3"/>
  <c r="DQ82" i="3"/>
  <c r="DQ81" i="3"/>
  <c r="DQ80" i="3"/>
  <c r="DQ79" i="3"/>
  <c r="DQ78" i="3"/>
  <c r="DQ77" i="3"/>
  <c r="DQ76" i="3"/>
  <c r="DQ75" i="3"/>
  <c r="DQ74" i="3"/>
  <c r="DQ71" i="3"/>
  <c r="DQ70" i="3"/>
  <c r="DQ69" i="3"/>
  <c r="DQ68" i="3"/>
  <c r="DQ67" i="3"/>
  <c r="DQ66" i="3"/>
  <c r="DQ65" i="3"/>
  <c r="DQ64" i="3"/>
  <c r="DQ63" i="3"/>
  <c r="DQ62" i="3"/>
  <c r="DQ61" i="3"/>
  <c r="DQ60" i="3"/>
  <c r="DQ54" i="3"/>
  <c r="DQ53" i="3"/>
  <c r="DQ52" i="3"/>
  <c r="DQ51" i="3"/>
  <c r="DQ48" i="3"/>
  <c r="DQ47" i="3"/>
  <c r="DQ46" i="3"/>
  <c r="DQ43" i="3"/>
  <c r="DQ42" i="3"/>
  <c r="DQ41" i="3"/>
  <c r="DQ40" i="3"/>
  <c r="DQ39" i="3"/>
  <c r="DQ38" i="3"/>
  <c r="DQ37" i="3"/>
  <c r="DQ36" i="3"/>
  <c r="DQ35" i="3"/>
  <c r="DQ34" i="3"/>
  <c r="DQ33" i="3"/>
  <c r="DQ32" i="3"/>
  <c r="DQ25" i="3"/>
  <c r="DQ24" i="3"/>
  <c r="DQ23" i="3"/>
  <c r="DQ20" i="3"/>
  <c r="DQ19" i="3"/>
  <c r="DQ18" i="3"/>
  <c r="DQ17" i="3"/>
  <c r="DQ14" i="3"/>
  <c r="DQ13" i="3"/>
  <c r="DQ12" i="3"/>
  <c r="DQ11" i="3"/>
  <c r="DQ10" i="3"/>
  <c r="DQ9" i="3"/>
  <c r="DQ8" i="3"/>
  <c r="DQ7" i="3"/>
  <c r="DQ6" i="3"/>
  <c r="DQ5" i="3"/>
  <c r="DQ4" i="3"/>
  <c r="DQ3" i="3"/>
  <c r="DQ194" i="3" l="1"/>
  <c r="DQ193" i="3"/>
  <c r="DQ192" i="3"/>
  <c r="DQ191" i="3"/>
  <c r="DQ190" i="3"/>
  <c r="DQ189" i="3"/>
  <c r="DQ188" i="3"/>
  <c r="DQ187" i="3"/>
  <c r="DQ186" i="3"/>
  <c r="DQ183" i="3"/>
  <c r="DQ182" i="3"/>
  <c r="DQ181" i="3"/>
  <c r="DQ180" i="3"/>
  <c r="DQ179" i="3"/>
  <c r="DQ178" i="3"/>
  <c r="DQ177" i="3"/>
  <c r="DQ176" i="3"/>
  <c r="DQ175" i="3"/>
  <c r="DQ174" i="3"/>
  <c r="DQ173" i="3"/>
  <c r="DQ172" i="3"/>
  <c r="DL194" i="3"/>
  <c r="DL193" i="3"/>
  <c r="DL192" i="3"/>
  <c r="DL191" i="3"/>
  <c r="DL190" i="3"/>
  <c r="DL189" i="3"/>
  <c r="DL188" i="3"/>
  <c r="DL187" i="3"/>
  <c r="DL186" i="3"/>
  <c r="DL183" i="3"/>
  <c r="DL182" i="3"/>
  <c r="DL181" i="3"/>
  <c r="DL180" i="3"/>
  <c r="DL179" i="3"/>
  <c r="DL178" i="3"/>
  <c r="DL177" i="3"/>
  <c r="DL176" i="3"/>
  <c r="DL175" i="3"/>
  <c r="DL174" i="3"/>
  <c r="DL173" i="3"/>
  <c r="DL172" i="3"/>
  <c r="DQ166" i="3"/>
  <c r="DQ165" i="3"/>
  <c r="DQ164" i="3"/>
  <c r="DQ163" i="3"/>
  <c r="DQ162" i="3"/>
  <c r="DQ161" i="3"/>
  <c r="DQ160" i="3"/>
  <c r="DQ159" i="3"/>
  <c r="DQ158" i="3"/>
  <c r="DQ155" i="3"/>
  <c r="DQ154" i="3"/>
  <c r="DQ153" i="3"/>
  <c r="DQ152" i="3"/>
  <c r="DQ151" i="3"/>
  <c r="DQ150" i="3"/>
  <c r="DQ149" i="3"/>
  <c r="DQ148" i="3"/>
  <c r="DQ147" i="3"/>
  <c r="DQ146" i="3"/>
  <c r="DQ145" i="3"/>
  <c r="DQ144" i="3"/>
  <c r="DL166" i="3"/>
  <c r="DL165" i="3"/>
  <c r="DL164" i="3"/>
  <c r="DL163" i="3"/>
  <c r="DL162" i="3"/>
  <c r="DL161" i="3"/>
  <c r="DL160" i="3"/>
  <c r="DL159" i="3"/>
  <c r="DL158" i="3"/>
  <c r="DL155" i="3"/>
  <c r="DL154" i="3"/>
  <c r="DL153" i="3"/>
  <c r="DL152" i="3"/>
  <c r="DL151" i="3"/>
  <c r="DL150" i="3"/>
  <c r="DL149" i="3"/>
  <c r="DL148" i="3"/>
  <c r="DL147" i="3"/>
  <c r="DL146" i="3"/>
  <c r="DL145" i="3"/>
  <c r="DL144" i="3"/>
  <c r="DQ138" i="3"/>
  <c r="DQ137" i="3"/>
  <c r="DQ136" i="3"/>
  <c r="DQ135" i="3"/>
  <c r="DQ134" i="3"/>
  <c r="DQ133" i="3"/>
  <c r="DQ132" i="3"/>
  <c r="DQ131" i="3"/>
  <c r="DQ130" i="3"/>
  <c r="DQ127" i="3"/>
  <c r="DQ126" i="3"/>
  <c r="DQ125" i="3"/>
  <c r="DQ124" i="3"/>
  <c r="DQ123" i="3"/>
  <c r="DQ122" i="3"/>
  <c r="DQ121" i="3"/>
  <c r="DQ120" i="3"/>
  <c r="DQ119" i="3"/>
  <c r="DQ118" i="3"/>
  <c r="DQ117" i="3"/>
  <c r="DQ116" i="3"/>
  <c r="DL138" i="3"/>
  <c r="DL137" i="3"/>
  <c r="DL136" i="3"/>
  <c r="DL132" i="3"/>
  <c r="DL131" i="3"/>
  <c r="DL130" i="3"/>
  <c r="DL127" i="3"/>
  <c r="DL126" i="3"/>
  <c r="DL125" i="3"/>
  <c r="DL124" i="3"/>
  <c r="DL123" i="3"/>
  <c r="DL122" i="3"/>
  <c r="DL121" i="3"/>
  <c r="DL120" i="3"/>
  <c r="DL119" i="3"/>
  <c r="DL118" i="3"/>
  <c r="DL117" i="3"/>
  <c r="DL116" i="3"/>
  <c r="DL110" i="3"/>
  <c r="DL109" i="3"/>
  <c r="DL108" i="3"/>
  <c r="DL107" i="3"/>
  <c r="DL106" i="3"/>
  <c r="DL105" i="3"/>
  <c r="DL104" i="3"/>
  <c r="DL103" i="3"/>
  <c r="DL102" i="3"/>
  <c r="DL99" i="3"/>
  <c r="DL98" i="3"/>
  <c r="DL97" i="3"/>
  <c r="DL96" i="3"/>
  <c r="DL95" i="3"/>
  <c r="DL94" i="3"/>
  <c r="DL93" i="3"/>
  <c r="DL92" i="3"/>
  <c r="DL91" i="3"/>
  <c r="DL90" i="3"/>
  <c r="DL89" i="3"/>
  <c r="DL88" i="3"/>
  <c r="DL82" i="3"/>
  <c r="DL81" i="3"/>
  <c r="DL80" i="3"/>
  <c r="DL79" i="3"/>
  <c r="DL78" i="3"/>
  <c r="DL77" i="3"/>
  <c r="DL76" i="3"/>
  <c r="DL75" i="3"/>
  <c r="DL74" i="3"/>
  <c r="DL71" i="3"/>
  <c r="DL70" i="3"/>
  <c r="DL69" i="3"/>
  <c r="DL68" i="3"/>
  <c r="DL67" i="3"/>
  <c r="DL66" i="3"/>
  <c r="DL65" i="3"/>
  <c r="DL64" i="3"/>
  <c r="DL63" i="3"/>
  <c r="DL62" i="3"/>
  <c r="DL61" i="3"/>
  <c r="DL60" i="3"/>
  <c r="DL54" i="3"/>
  <c r="DL53" i="3"/>
  <c r="DL52" i="3"/>
  <c r="DL48" i="3"/>
  <c r="DL47" i="3"/>
  <c r="DL46" i="3"/>
  <c r="DL43" i="3"/>
  <c r="DL42" i="3"/>
  <c r="DL41" i="3"/>
  <c r="DL40" i="3"/>
  <c r="DL39" i="3"/>
  <c r="DL38" i="3"/>
  <c r="DL37" i="3"/>
  <c r="DL36" i="3"/>
  <c r="DL35" i="3"/>
  <c r="DL34" i="3"/>
  <c r="DL33" i="3"/>
  <c r="DL32" i="3"/>
  <c r="DL25" i="3"/>
  <c r="DL24" i="3"/>
  <c r="DL23" i="3"/>
  <c r="DL19" i="3"/>
  <c r="DL18" i="3"/>
  <c r="DL17" i="3"/>
  <c r="DL14" i="3"/>
  <c r="DL13" i="3"/>
  <c r="DL12" i="3"/>
  <c r="DL11" i="3"/>
  <c r="DL10" i="3"/>
  <c r="DL9" i="3"/>
  <c r="DL8" i="3"/>
  <c r="DL7" i="3"/>
  <c r="DL6" i="3"/>
  <c r="DL5" i="3"/>
  <c r="DL4" i="3"/>
  <c r="DL3" i="3"/>
  <c r="DG194" i="3" l="1"/>
  <c r="DG193" i="3"/>
  <c r="DG192" i="3"/>
  <c r="DG191" i="3"/>
  <c r="DG190" i="3"/>
  <c r="DG189" i="3"/>
  <c r="DG188" i="3"/>
  <c r="DG187" i="3"/>
  <c r="DG186" i="3"/>
  <c r="DG183" i="3"/>
  <c r="DG182" i="3"/>
  <c r="DG181" i="3"/>
  <c r="DG180" i="3"/>
  <c r="DG179" i="3"/>
  <c r="DG178" i="3"/>
  <c r="DG177" i="3"/>
  <c r="DG176" i="3"/>
  <c r="DG175" i="3"/>
  <c r="DG174" i="3"/>
  <c r="DG173" i="3"/>
  <c r="DG172" i="3"/>
  <c r="DG166" i="3"/>
  <c r="DG165" i="3"/>
  <c r="DG164" i="3"/>
  <c r="DG160" i="3"/>
  <c r="DG159" i="3"/>
  <c r="DG158" i="3"/>
  <c r="DG155" i="3"/>
  <c r="DG154" i="3"/>
  <c r="DG153" i="3"/>
  <c r="DG152" i="3"/>
  <c r="DG151" i="3"/>
  <c r="DG150" i="3"/>
  <c r="DG149" i="3"/>
  <c r="DG148" i="3"/>
  <c r="DG147" i="3"/>
  <c r="DG146" i="3"/>
  <c r="DG145" i="3"/>
  <c r="DG144" i="3"/>
  <c r="DG137" i="3"/>
  <c r="DG136" i="3"/>
  <c r="DG130" i="3"/>
  <c r="DG110" i="3"/>
  <c r="DG109" i="3"/>
  <c r="DG108" i="3"/>
  <c r="DG107" i="3"/>
  <c r="DG106" i="3"/>
  <c r="DG105" i="3"/>
  <c r="DG104" i="3"/>
  <c r="DG103" i="3"/>
  <c r="DG102" i="3"/>
  <c r="DG99" i="3"/>
  <c r="DG98" i="3"/>
  <c r="DG97" i="3"/>
  <c r="DG96" i="3"/>
  <c r="DG95" i="3"/>
  <c r="DG94" i="3"/>
  <c r="DG93" i="3"/>
  <c r="DG92" i="3"/>
  <c r="DG91" i="3"/>
  <c r="DG90" i="3"/>
  <c r="DG89" i="3"/>
  <c r="DG88" i="3"/>
  <c r="DG82" i="3"/>
  <c r="DG81" i="3"/>
  <c r="DG80" i="3"/>
  <c r="DG79" i="3"/>
  <c r="DG78" i="3"/>
  <c r="DG77" i="3"/>
  <c r="DG76" i="3"/>
  <c r="DG75" i="3"/>
  <c r="DG74" i="3"/>
  <c r="DG71" i="3"/>
  <c r="DG70" i="3"/>
  <c r="DG69" i="3"/>
  <c r="DG68" i="3"/>
  <c r="DG67" i="3"/>
  <c r="DG66" i="3"/>
  <c r="DG65" i="3"/>
  <c r="DG64" i="3"/>
  <c r="DG63" i="3"/>
  <c r="DG62" i="3"/>
  <c r="DG61" i="3"/>
  <c r="DG60" i="3"/>
  <c r="DG54" i="3" l="1"/>
  <c r="DG53" i="3"/>
  <c r="DG52" i="3"/>
  <c r="DG48" i="3"/>
  <c r="DG47" i="3"/>
  <c r="DG46" i="3"/>
  <c r="DG43" i="3"/>
  <c r="DG42" i="3"/>
  <c r="DG41" i="3"/>
  <c r="DG40" i="3"/>
  <c r="DG39" i="3"/>
  <c r="DG38" i="3"/>
  <c r="DG37" i="3"/>
  <c r="DG36" i="3"/>
  <c r="DG35" i="3"/>
  <c r="DG34" i="3"/>
  <c r="DG33" i="3"/>
  <c r="DG32" i="3"/>
  <c r="DB32" i="3"/>
  <c r="DG25" i="3"/>
  <c r="DG24" i="3"/>
  <c r="DG23" i="3"/>
  <c r="DG22" i="3"/>
  <c r="DH22" i="3" s="1"/>
  <c r="DG21" i="3"/>
  <c r="DH21" i="3" s="1"/>
  <c r="DG20" i="3"/>
  <c r="DH20" i="3" s="1"/>
  <c r="DG19" i="3"/>
  <c r="DG18" i="3"/>
  <c r="DG17" i="3"/>
  <c r="DG14" i="3"/>
  <c r="DG13" i="3"/>
  <c r="DG12" i="3"/>
  <c r="DG11" i="3"/>
  <c r="DG10" i="3"/>
  <c r="DG9" i="3"/>
  <c r="DG8" i="3"/>
  <c r="DG7" i="3"/>
  <c r="DG6" i="3"/>
  <c r="DG5" i="3"/>
  <c r="DG4" i="3"/>
  <c r="DG3" i="3"/>
  <c r="DH22" i="5" l="1"/>
  <c r="DL22" i="3"/>
  <c r="DL21" i="3"/>
  <c r="DH20" i="5"/>
  <c r="DL20" i="3"/>
  <c r="BN194" i="3"/>
  <c r="BN193" i="3"/>
  <c r="BN192" i="3"/>
  <c r="BN191" i="3"/>
  <c r="BN188" i="3"/>
  <c r="BN186" i="3"/>
  <c r="BN178" i="3"/>
  <c r="BN177" i="3"/>
  <c r="BN176" i="3"/>
  <c r="BN175" i="3"/>
  <c r="BN174" i="3"/>
  <c r="BN173" i="3"/>
  <c r="BN172" i="3"/>
  <c r="BS194" i="3"/>
  <c r="BS193" i="3"/>
  <c r="BS192" i="3"/>
  <c r="BS191" i="3"/>
  <c r="BS188" i="3"/>
  <c r="BS186" i="3"/>
  <c r="BS178" i="3"/>
  <c r="BS177" i="3"/>
  <c r="BS176" i="3"/>
  <c r="BS175" i="3"/>
  <c r="BS174" i="3"/>
  <c r="BS173" i="3"/>
  <c r="BS172" i="3"/>
  <c r="BX194" i="3"/>
  <c r="BX193" i="3"/>
  <c r="BX192" i="3"/>
  <c r="BX191" i="3"/>
  <c r="BX188" i="3"/>
  <c r="BX186" i="3"/>
  <c r="BX178" i="3"/>
  <c r="BX177" i="3"/>
  <c r="BX176" i="3"/>
  <c r="BX175" i="3"/>
  <c r="BX174" i="3"/>
  <c r="BX173" i="3"/>
  <c r="BX172" i="3"/>
  <c r="CC194" i="3"/>
  <c r="CC193" i="3"/>
  <c r="CC192" i="3"/>
  <c r="CC191" i="3"/>
  <c r="CC188" i="3"/>
  <c r="CC186" i="3"/>
  <c r="CC178" i="3"/>
  <c r="CC177" i="3"/>
  <c r="CC176" i="3"/>
  <c r="CC175" i="3"/>
  <c r="CC174" i="3"/>
  <c r="CC173" i="3"/>
  <c r="CC172" i="3"/>
  <c r="CH194" i="3"/>
  <c r="CH193" i="3"/>
  <c r="CH192" i="3"/>
  <c r="CH191" i="3"/>
  <c r="CH188" i="3"/>
  <c r="CH186" i="3"/>
  <c r="CH178" i="3"/>
  <c r="CH177" i="3"/>
  <c r="CH176" i="3"/>
  <c r="CH175" i="3"/>
  <c r="CH174" i="3"/>
  <c r="CH173" i="3"/>
  <c r="CH172" i="3"/>
  <c r="CM194" i="3"/>
  <c r="CM193" i="3"/>
  <c r="CM192" i="3"/>
  <c r="CM191" i="3"/>
  <c r="CM188" i="3"/>
  <c r="CM186" i="3"/>
  <c r="CM178" i="3"/>
  <c r="CM177" i="3"/>
  <c r="CM176" i="3"/>
  <c r="CM175" i="3"/>
  <c r="CM174" i="3"/>
  <c r="CM173" i="3"/>
  <c r="CM172" i="3"/>
  <c r="CR194" i="3"/>
  <c r="CR193" i="3"/>
  <c r="CR192" i="3"/>
  <c r="CR191" i="3"/>
  <c r="CR188" i="3"/>
  <c r="CR186" i="3"/>
  <c r="CR178" i="3"/>
  <c r="CR177" i="3"/>
  <c r="CR176" i="3"/>
  <c r="CR175" i="3"/>
  <c r="CR174" i="3"/>
  <c r="CR173" i="3"/>
  <c r="CR172" i="3"/>
  <c r="CW194" i="3"/>
  <c r="CW193" i="3"/>
  <c r="CW192" i="3"/>
  <c r="CW191" i="3"/>
  <c r="CW190" i="3"/>
  <c r="CW189" i="3"/>
  <c r="CW188" i="3"/>
  <c r="CW187" i="3"/>
  <c r="CW186" i="3"/>
  <c r="CW183" i="3"/>
  <c r="CW182" i="3"/>
  <c r="CW181" i="3"/>
  <c r="CW180" i="3"/>
  <c r="CW179" i="3"/>
  <c r="CW178" i="3"/>
  <c r="CW177" i="3"/>
  <c r="CW176" i="3"/>
  <c r="CW175" i="3"/>
  <c r="CW174" i="3"/>
  <c r="CW173" i="3"/>
  <c r="CW172" i="3"/>
  <c r="CV195" i="3"/>
  <c r="CU195" i="3"/>
  <c r="CT195" i="3"/>
  <c r="CS195" i="3"/>
  <c r="CQ195" i="3"/>
  <c r="CP195" i="3"/>
  <c r="CO195" i="3"/>
  <c r="CN195" i="3"/>
  <c r="CL195" i="3"/>
  <c r="CK195" i="3"/>
  <c r="CJ195" i="3"/>
  <c r="CI195" i="3"/>
  <c r="CG195" i="3"/>
  <c r="CF195" i="3"/>
  <c r="CE195" i="3"/>
  <c r="CD195" i="3"/>
  <c r="CB195" i="3"/>
  <c r="CA195" i="3"/>
  <c r="BZ195" i="3"/>
  <c r="BY195" i="3"/>
  <c r="BW195" i="3"/>
  <c r="BV195" i="3"/>
  <c r="BU195" i="3"/>
  <c r="BT195" i="3"/>
  <c r="BR195" i="3"/>
  <c r="BQ195" i="3"/>
  <c r="BP195" i="3"/>
  <c r="BO195" i="3"/>
  <c r="BM195" i="3"/>
  <c r="BL195" i="3"/>
  <c r="BK195" i="3"/>
  <c r="BJ195" i="3"/>
  <c r="BN138" i="3"/>
  <c r="BN137" i="3"/>
  <c r="BN136" i="3"/>
  <c r="BN135" i="3"/>
  <c r="BN134" i="3"/>
  <c r="BN133" i="3"/>
  <c r="BN132" i="3"/>
  <c r="BN131" i="3"/>
  <c r="BN130" i="3"/>
  <c r="BN127" i="3"/>
  <c r="BN126" i="3"/>
  <c r="BN125" i="3"/>
  <c r="BN124" i="3"/>
  <c r="BN123" i="3"/>
  <c r="BN122" i="3"/>
  <c r="BN121" i="3"/>
  <c r="BN120" i="3"/>
  <c r="BN119" i="3"/>
  <c r="BN118" i="3"/>
  <c r="BN117" i="3"/>
  <c r="BN116" i="3"/>
  <c r="BS138" i="3"/>
  <c r="BS137" i="3"/>
  <c r="BS136" i="3"/>
  <c r="BS135" i="3"/>
  <c r="BS134" i="3"/>
  <c r="BS133" i="3"/>
  <c r="BS132" i="3"/>
  <c r="BS131" i="3"/>
  <c r="BS130" i="3"/>
  <c r="BS127" i="3"/>
  <c r="BS126" i="3"/>
  <c r="BS125" i="3"/>
  <c r="BS124" i="3"/>
  <c r="BS123" i="3"/>
  <c r="BS122" i="3"/>
  <c r="BS121" i="3"/>
  <c r="BS120" i="3"/>
  <c r="BS119" i="3"/>
  <c r="BS118" i="3"/>
  <c r="BS117" i="3"/>
  <c r="BS116" i="3"/>
  <c r="BX138" i="3"/>
  <c r="BX137" i="3"/>
  <c r="BX136" i="3"/>
  <c r="BX135" i="3"/>
  <c r="BX134" i="3"/>
  <c r="BX133" i="3"/>
  <c r="BX132" i="3"/>
  <c r="BX131" i="3"/>
  <c r="BX130" i="3"/>
  <c r="BX127" i="3"/>
  <c r="BX126" i="3"/>
  <c r="BX125" i="3"/>
  <c r="BX124" i="3"/>
  <c r="BX123" i="3"/>
  <c r="BX122" i="3"/>
  <c r="BX121" i="3"/>
  <c r="BX120" i="3"/>
  <c r="BX119" i="3"/>
  <c r="BX118" i="3"/>
  <c r="BX117" i="3"/>
  <c r="BX116" i="3"/>
  <c r="CC138" i="3"/>
  <c r="CC137" i="3"/>
  <c r="CC136" i="3"/>
  <c r="CC135" i="3"/>
  <c r="CC134" i="3"/>
  <c r="CC133" i="3"/>
  <c r="CC132" i="3"/>
  <c r="CC131" i="3"/>
  <c r="CC130" i="3"/>
  <c r="CC127" i="3"/>
  <c r="CC126" i="3"/>
  <c r="CC125" i="3"/>
  <c r="CC124" i="3"/>
  <c r="CC123" i="3"/>
  <c r="CC122" i="3"/>
  <c r="CC121" i="3"/>
  <c r="CC120" i="3"/>
  <c r="CC119" i="3"/>
  <c r="CC118" i="3"/>
  <c r="CC117" i="3"/>
  <c r="CC116" i="3"/>
  <c r="CH138" i="3"/>
  <c r="CH137" i="3"/>
  <c r="CH136" i="3"/>
  <c r="CH135" i="3"/>
  <c r="CH134" i="3"/>
  <c r="CH133" i="3"/>
  <c r="CH132" i="3"/>
  <c r="CH131" i="3"/>
  <c r="CH130" i="3"/>
  <c r="CH127" i="3"/>
  <c r="CH126" i="3"/>
  <c r="CH125" i="3"/>
  <c r="CH124" i="3"/>
  <c r="CH123" i="3"/>
  <c r="CH122" i="3"/>
  <c r="CH121" i="3"/>
  <c r="CH120" i="3"/>
  <c r="CH119" i="3"/>
  <c r="CH118" i="3"/>
  <c r="CH117" i="3"/>
  <c r="CH116" i="3"/>
  <c r="CM138" i="3"/>
  <c r="CM137" i="3"/>
  <c r="CM136" i="3"/>
  <c r="CM135" i="3"/>
  <c r="CM134" i="3"/>
  <c r="CM133" i="3"/>
  <c r="CM132" i="3"/>
  <c r="CM131" i="3"/>
  <c r="CM130" i="3"/>
  <c r="CM127" i="3"/>
  <c r="CM126" i="3"/>
  <c r="CM125" i="3"/>
  <c r="CM124" i="3"/>
  <c r="CM123" i="3"/>
  <c r="CM122" i="3"/>
  <c r="CM121" i="3"/>
  <c r="CM120" i="3"/>
  <c r="CM119" i="3"/>
  <c r="CM118" i="3"/>
  <c r="CM117" i="3"/>
  <c r="CM116" i="3"/>
  <c r="CR138" i="3"/>
  <c r="CR137" i="3"/>
  <c r="CR136" i="3"/>
  <c r="CR135" i="3"/>
  <c r="CR134" i="3"/>
  <c r="CR133" i="3"/>
  <c r="CR132" i="3"/>
  <c r="CR131" i="3"/>
  <c r="CR130" i="3"/>
  <c r="CR127" i="3"/>
  <c r="CR126" i="3"/>
  <c r="CR125" i="3"/>
  <c r="CR124" i="3"/>
  <c r="CR123" i="3"/>
  <c r="CR122" i="3"/>
  <c r="CR121" i="3"/>
  <c r="CR120" i="3"/>
  <c r="CR119" i="3"/>
  <c r="CR118" i="3"/>
  <c r="CR117" i="3"/>
  <c r="CR116" i="3"/>
  <c r="CW138" i="3"/>
  <c r="CW137" i="3"/>
  <c r="CW136" i="3"/>
  <c r="CW135" i="3"/>
  <c r="CW134" i="3"/>
  <c r="CW133" i="3"/>
  <c r="CW132" i="3"/>
  <c r="CW131" i="3"/>
  <c r="CW130" i="3"/>
  <c r="CW127" i="3"/>
  <c r="CW126" i="3"/>
  <c r="CW125" i="3"/>
  <c r="CW124" i="3"/>
  <c r="CW123" i="3"/>
  <c r="CW122" i="3"/>
  <c r="CW121" i="3"/>
  <c r="CW120" i="3"/>
  <c r="CW119" i="3"/>
  <c r="CW118" i="3"/>
  <c r="CW117" i="3"/>
  <c r="CW116" i="3"/>
  <c r="CV139" i="3"/>
  <c r="CU139" i="3"/>
  <c r="CT139" i="3"/>
  <c r="CS139" i="3"/>
  <c r="CQ139" i="3"/>
  <c r="CP139" i="3"/>
  <c r="CO139" i="3"/>
  <c r="CN139" i="3"/>
  <c r="CL139" i="3"/>
  <c r="CK139" i="3"/>
  <c r="CJ139" i="3"/>
  <c r="CI139" i="3"/>
  <c r="CG139" i="3"/>
  <c r="CF139" i="3"/>
  <c r="CE139" i="3"/>
  <c r="CD139" i="3"/>
  <c r="CB139" i="3"/>
  <c r="CA139" i="3"/>
  <c r="BZ139" i="3"/>
  <c r="BY139" i="3"/>
  <c r="BW139" i="3"/>
  <c r="BV139" i="3"/>
  <c r="BU139" i="3"/>
  <c r="BT139" i="3"/>
  <c r="BR139" i="3"/>
  <c r="BQ139" i="3"/>
  <c r="BP139" i="3"/>
  <c r="BO139" i="3"/>
  <c r="BM139" i="3"/>
  <c r="BL139" i="3"/>
  <c r="BK139" i="3"/>
  <c r="BJ139" i="3"/>
  <c r="BN166" i="3"/>
  <c r="BN165" i="3"/>
  <c r="BN164" i="3"/>
  <c r="BN163" i="3"/>
  <c r="BN162" i="3"/>
  <c r="BN161" i="3"/>
  <c r="BN160" i="3"/>
  <c r="BN159" i="3"/>
  <c r="BN158" i="3"/>
  <c r="BN155" i="3"/>
  <c r="BN154" i="3"/>
  <c r="BN153" i="3"/>
  <c r="BN152" i="3"/>
  <c r="BN151" i="3"/>
  <c r="BN150" i="3"/>
  <c r="BN149" i="3"/>
  <c r="BN148" i="3"/>
  <c r="BN147" i="3"/>
  <c r="BN146" i="3"/>
  <c r="BN145" i="3"/>
  <c r="BN144" i="3"/>
  <c r="BS166" i="3"/>
  <c r="BS165" i="3"/>
  <c r="BS164" i="3"/>
  <c r="BS163" i="3"/>
  <c r="BS162" i="3"/>
  <c r="BS161" i="3"/>
  <c r="BS160" i="3"/>
  <c r="BS159" i="3"/>
  <c r="BS158" i="3"/>
  <c r="BS155" i="3"/>
  <c r="BS154" i="3"/>
  <c r="BS153" i="3"/>
  <c r="BS152" i="3"/>
  <c r="BS151" i="3"/>
  <c r="BS150" i="3"/>
  <c r="BS149" i="3"/>
  <c r="BS148" i="3"/>
  <c r="BS147" i="3"/>
  <c r="BS146" i="3"/>
  <c r="BS145" i="3"/>
  <c r="BS144" i="3"/>
  <c r="BX166" i="3"/>
  <c r="BX165" i="3"/>
  <c r="BX164" i="3"/>
  <c r="BX163" i="3"/>
  <c r="BX162" i="3"/>
  <c r="BX161" i="3"/>
  <c r="BX160" i="3"/>
  <c r="BX159" i="3"/>
  <c r="BX158" i="3"/>
  <c r="BX155" i="3"/>
  <c r="BX154" i="3"/>
  <c r="BX153" i="3"/>
  <c r="BX152" i="3"/>
  <c r="BX151" i="3"/>
  <c r="BX150" i="3"/>
  <c r="BX149" i="3"/>
  <c r="BX148" i="3"/>
  <c r="BX147" i="3"/>
  <c r="BX146" i="3"/>
  <c r="BX145" i="3"/>
  <c r="BX144" i="3"/>
  <c r="CC166" i="3"/>
  <c r="CC165" i="3"/>
  <c r="CC164" i="3"/>
  <c r="CC163" i="3"/>
  <c r="CC162" i="3"/>
  <c r="CC161" i="3"/>
  <c r="CC160" i="3"/>
  <c r="CC159" i="3"/>
  <c r="CC158" i="3"/>
  <c r="CC155" i="3"/>
  <c r="CC154" i="3"/>
  <c r="CC153" i="3"/>
  <c r="CC152" i="3"/>
  <c r="CC151" i="3"/>
  <c r="CC150" i="3"/>
  <c r="CC149" i="3"/>
  <c r="CC148" i="3"/>
  <c r="CC147" i="3"/>
  <c r="CC146" i="3"/>
  <c r="CC145" i="3"/>
  <c r="CC144" i="3"/>
  <c r="CH166" i="3"/>
  <c r="CH165" i="3"/>
  <c r="CH164" i="3"/>
  <c r="CH163" i="3"/>
  <c r="CH162" i="3"/>
  <c r="CH161" i="3"/>
  <c r="CH160" i="3"/>
  <c r="CH159" i="3"/>
  <c r="CH158" i="3"/>
  <c r="CH155" i="3"/>
  <c r="CH154" i="3"/>
  <c r="CH153" i="3"/>
  <c r="CH152" i="3"/>
  <c r="CH151" i="3"/>
  <c r="CH150" i="3"/>
  <c r="CH149" i="3"/>
  <c r="CH148" i="3"/>
  <c r="CH147" i="3"/>
  <c r="CH146" i="3"/>
  <c r="CH145" i="3"/>
  <c r="CH144" i="3"/>
  <c r="CM166" i="3"/>
  <c r="CM165" i="3"/>
  <c r="CM164" i="3"/>
  <c r="CM163" i="3"/>
  <c r="CM162" i="3"/>
  <c r="CM161" i="3"/>
  <c r="CM160" i="3"/>
  <c r="CM159" i="3"/>
  <c r="CM158" i="3"/>
  <c r="CM155" i="3"/>
  <c r="CM154" i="3"/>
  <c r="CM153" i="3"/>
  <c r="CM152" i="3"/>
  <c r="CM151" i="3"/>
  <c r="CM150" i="3"/>
  <c r="CM149" i="3"/>
  <c r="CM148" i="3"/>
  <c r="CM147" i="3"/>
  <c r="CM146" i="3"/>
  <c r="CM145" i="3"/>
  <c r="CM144" i="3"/>
  <c r="CR166" i="3"/>
  <c r="CR165" i="3"/>
  <c r="CR164" i="3"/>
  <c r="CR163" i="3"/>
  <c r="CR162" i="3"/>
  <c r="CR161" i="3"/>
  <c r="CR160" i="3"/>
  <c r="CR159" i="3"/>
  <c r="CR158" i="3"/>
  <c r="CR155" i="3"/>
  <c r="CR154" i="3"/>
  <c r="CR153" i="3"/>
  <c r="CR152" i="3"/>
  <c r="CR151" i="3"/>
  <c r="CR150" i="3"/>
  <c r="CR149" i="3"/>
  <c r="CR148" i="3"/>
  <c r="CR147" i="3"/>
  <c r="CR146" i="3"/>
  <c r="CR145" i="3"/>
  <c r="CR144" i="3"/>
  <c r="CW166" i="3"/>
  <c r="CW165" i="3"/>
  <c r="CW164" i="3"/>
  <c r="CW163" i="3"/>
  <c r="CW162" i="3"/>
  <c r="CW161" i="3"/>
  <c r="CW160" i="3"/>
  <c r="CW159" i="3"/>
  <c r="CW158" i="3"/>
  <c r="CW155" i="3"/>
  <c r="CW154" i="3"/>
  <c r="CW153" i="3"/>
  <c r="CW152" i="3"/>
  <c r="CW151" i="3"/>
  <c r="CW150" i="3"/>
  <c r="CW149" i="3"/>
  <c r="CW148" i="3"/>
  <c r="CW147" i="3"/>
  <c r="CW146" i="3"/>
  <c r="CW145" i="3"/>
  <c r="CW144" i="3"/>
  <c r="CV167" i="3"/>
  <c r="CU167" i="3"/>
  <c r="CT167" i="3"/>
  <c r="CS167" i="3"/>
  <c r="CQ167" i="3"/>
  <c r="CP167" i="3"/>
  <c r="CO167" i="3"/>
  <c r="CN167" i="3"/>
  <c r="CL167" i="3"/>
  <c r="CK167" i="3"/>
  <c r="CJ167" i="3"/>
  <c r="CI167" i="3"/>
  <c r="CG167" i="3"/>
  <c r="CF167" i="3"/>
  <c r="CE167" i="3"/>
  <c r="CD167" i="3"/>
  <c r="CB167" i="3"/>
  <c r="CA167" i="3"/>
  <c r="BZ167" i="3"/>
  <c r="BY167" i="3"/>
  <c r="BW167" i="3"/>
  <c r="BV167" i="3"/>
  <c r="BU167" i="3"/>
  <c r="BT167" i="3"/>
  <c r="BR167" i="3"/>
  <c r="BQ167" i="3"/>
  <c r="BP167" i="3"/>
  <c r="BO167" i="3"/>
  <c r="BM167" i="3"/>
  <c r="BL167" i="3"/>
  <c r="BK167" i="3"/>
  <c r="BJ167" i="3"/>
  <c r="BN110" i="3"/>
  <c r="BN109" i="3"/>
  <c r="BN108" i="3"/>
  <c r="BN107" i="3"/>
  <c r="BN106" i="3"/>
  <c r="BN105" i="3"/>
  <c r="BN104" i="3"/>
  <c r="BN103" i="3"/>
  <c r="BN102" i="3"/>
  <c r="BN99" i="3"/>
  <c r="BN98" i="3"/>
  <c r="BN97" i="3"/>
  <c r="BN96" i="3"/>
  <c r="BN95" i="3"/>
  <c r="BN94" i="3"/>
  <c r="BN93" i="3"/>
  <c r="BN92" i="3"/>
  <c r="BN91" i="3"/>
  <c r="BN90" i="3"/>
  <c r="BN89" i="3"/>
  <c r="BN88" i="3"/>
  <c r="BS110" i="3"/>
  <c r="BS109" i="3"/>
  <c r="BS108" i="3"/>
  <c r="BS107" i="3"/>
  <c r="BS106" i="3"/>
  <c r="BS105" i="3"/>
  <c r="BS104" i="3"/>
  <c r="BS103" i="3"/>
  <c r="BS102" i="3"/>
  <c r="BS99" i="3"/>
  <c r="BS98" i="3"/>
  <c r="BS97" i="3"/>
  <c r="BS96" i="3"/>
  <c r="BS95" i="3"/>
  <c r="BS94" i="3"/>
  <c r="BS93" i="3"/>
  <c r="BS92" i="3"/>
  <c r="BS91" i="3"/>
  <c r="BS90" i="3"/>
  <c r="BS89" i="3"/>
  <c r="BS88" i="3"/>
  <c r="BX110" i="3"/>
  <c r="BX109" i="3"/>
  <c r="BX108" i="3"/>
  <c r="BX107" i="3"/>
  <c r="BX106" i="3"/>
  <c r="BX105" i="3"/>
  <c r="BX104" i="3"/>
  <c r="BX103" i="3"/>
  <c r="BX102" i="3"/>
  <c r="BX99" i="3"/>
  <c r="BX98" i="3"/>
  <c r="BX97" i="3"/>
  <c r="BX96" i="3"/>
  <c r="BX95" i="3"/>
  <c r="BX94" i="3"/>
  <c r="BX93" i="3"/>
  <c r="BX92" i="3"/>
  <c r="BX91" i="3"/>
  <c r="BX90" i="3"/>
  <c r="BX89" i="3"/>
  <c r="BX88" i="3"/>
  <c r="CC110" i="3"/>
  <c r="CC109" i="3"/>
  <c r="CC108" i="3"/>
  <c r="CC107" i="3"/>
  <c r="CC106" i="3"/>
  <c r="CC105" i="3"/>
  <c r="CC104" i="3"/>
  <c r="CC103" i="3"/>
  <c r="CC102" i="3"/>
  <c r="CC99" i="3"/>
  <c r="CC98" i="3"/>
  <c r="CC97" i="3"/>
  <c r="CC96" i="3"/>
  <c r="CC95" i="3"/>
  <c r="CC94" i="3"/>
  <c r="CC93" i="3"/>
  <c r="CC92" i="3"/>
  <c r="CC91" i="3"/>
  <c r="CC90" i="3"/>
  <c r="CC89" i="3"/>
  <c r="CC88" i="3"/>
  <c r="CH110" i="3"/>
  <c r="CH109" i="3"/>
  <c r="CH108" i="3"/>
  <c r="CH107" i="3"/>
  <c r="CH106" i="3"/>
  <c r="CH105" i="3"/>
  <c r="CH104" i="3"/>
  <c r="CH103" i="3"/>
  <c r="CH102" i="3"/>
  <c r="CH99" i="3"/>
  <c r="CH98" i="3"/>
  <c r="CH97" i="3"/>
  <c r="CH96" i="3"/>
  <c r="CH95" i="3"/>
  <c r="CH94" i="3"/>
  <c r="CH93" i="3"/>
  <c r="CH92" i="3"/>
  <c r="CH91" i="3"/>
  <c r="CH90" i="3"/>
  <c r="CH89" i="3"/>
  <c r="CH88" i="3"/>
  <c r="CM110" i="3"/>
  <c r="CM109" i="3"/>
  <c r="CM108" i="3"/>
  <c r="CM107" i="3"/>
  <c r="CM106" i="3"/>
  <c r="CM105" i="3"/>
  <c r="CM104" i="3"/>
  <c r="CM103" i="3"/>
  <c r="CM102" i="3"/>
  <c r="CM99" i="3"/>
  <c r="CM98" i="3"/>
  <c r="CM97" i="3"/>
  <c r="CM96" i="3"/>
  <c r="CM95" i="3"/>
  <c r="CM94" i="3"/>
  <c r="CM93" i="3"/>
  <c r="CM92" i="3"/>
  <c r="CM91" i="3"/>
  <c r="CM90" i="3"/>
  <c r="CM89" i="3"/>
  <c r="CM88" i="3"/>
  <c r="CR110" i="3"/>
  <c r="CR109" i="3"/>
  <c r="CR108" i="3"/>
  <c r="CR107" i="3"/>
  <c r="CR106" i="3"/>
  <c r="CR105" i="3"/>
  <c r="CR104" i="3"/>
  <c r="CR103" i="3"/>
  <c r="CR102" i="3"/>
  <c r="CR99" i="3"/>
  <c r="CR98" i="3"/>
  <c r="CR97" i="3"/>
  <c r="CR96" i="3"/>
  <c r="CR95" i="3"/>
  <c r="CR94" i="3"/>
  <c r="CR93" i="3"/>
  <c r="CR92" i="3"/>
  <c r="CR91" i="3"/>
  <c r="CR90" i="3"/>
  <c r="CR89" i="3"/>
  <c r="CR88" i="3"/>
  <c r="CW110" i="3"/>
  <c r="CW109" i="3"/>
  <c r="CW108" i="3"/>
  <c r="CW107" i="3"/>
  <c r="CW106" i="3"/>
  <c r="CW105" i="3"/>
  <c r="CW104" i="3"/>
  <c r="CW103" i="3"/>
  <c r="CW102" i="3"/>
  <c r="CW99" i="3"/>
  <c r="CW98" i="3"/>
  <c r="CW97" i="3"/>
  <c r="CW96" i="3"/>
  <c r="CW95" i="3"/>
  <c r="CW94" i="3"/>
  <c r="CW93" i="3"/>
  <c r="CW92" i="3"/>
  <c r="CW91" i="3"/>
  <c r="CW90" i="3"/>
  <c r="CW89" i="3"/>
  <c r="CW88" i="3"/>
  <c r="CV111" i="3"/>
  <c r="CU111" i="3"/>
  <c r="CT111" i="3"/>
  <c r="CS111" i="3"/>
  <c r="CQ111" i="3"/>
  <c r="CP111" i="3"/>
  <c r="CO111" i="3"/>
  <c r="CN111" i="3"/>
  <c r="CL111" i="3"/>
  <c r="CK111" i="3"/>
  <c r="CJ111" i="3"/>
  <c r="CI111" i="3"/>
  <c r="CG111" i="3"/>
  <c r="CF111" i="3"/>
  <c r="CE111" i="3"/>
  <c r="CD111" i="3"/>
  <c r="CB111" i="3"/>
  <c r="CA111" i="3"/>
  <c r="BZ111" i="3"/>
  <c r="BY111" i="3"/>
  <c r="BW111" i="3"/>
  <c r="BV111" i="3"/>
  <c r="BU111" i="3"/>
  <c r="BT111" i="3"/>
  <c r="BR111" i="3"/>
  <c r="BQ111" i="3"/>
  <c r="BP111" i="3"/>
  <c r="BO111" i="3"/>
  <c r="BM111" i="3"/>
  <c r="BL111" i="3"/>
  <c r="BK111" i="3"/>
  <c r="BJ111" i="3"/>
  <c r="BN82" i="3"/>
  <c r="BN82" i="5" s="1"/>
  <c r="BN81" i="3"/>
  <c r="BN81" i="5" s="1"/>
  <c r="BN80" i="3"/>
  <c r="BN80" i="5" s="1"/>
  <c r="BN79" i="3"/>
  <c r="BN79" i="5" s="1"/>
  <c r="BN78" i="3"/>
  <c r="BN77" i="3"/>
  <c r="BN76" i="3"/>
  <c r="BN76" i="5" s="1"/>
  <c r="BN74" i="3"/>
  <c r="BN74" i="5" s="1"/>
  <c r="BN71" i="3"/>
  <c r="BN70" i="3"/>
  <c r="BN69" i="3"/>
  <c r="BN68" i="3"/>
  <c r="BN67" i="3"/>
  <c r="BN66" i="3"/>
  <c r="BN66" i="5" s="1"/>
  <c r="BN65" i="3"/>
  <c r="BN65" i="5" s="1"/>
  <c r="BN64" i="3"/>
  <c r="BN64" i="5" s="1"/>
  <c r="BN63" i="3"/>
  <c r="BN63" i="5" s="1"/>
  <c r="BN62" i="3"/>
  <c r="BN62" i="5" s="1"/>
  <c r="BN61" i="3"/>
  <c r="BN61" i="5" s="1"/>
  <c r="BN60" i="3"/>
  <c r="BN60" i="5" s="1"/>
  <c r="BS82" i="3"/>
  <c r="BS82" i="5" s="1"/>
  <c r="BS81" i="3"/>
  <c r="BS81" i="5" s="1"/>
  <c r="BS80" i="3"/>
  <c r="BS80" i="5" s="1"/>
  <c r="BS79" i="3"/>
  <c r="BS79" i="5" s="1"/>
  <c r="BS78" i="3"/>
  <c r="BS77" i="3"/>
  <c r="BS76" i="3"/>
  <c r="BS76" i="5" s="1"/>
  <c r="BS74" i="3"/>
  <c r="BS74" i="5" s="1"/>
  <c r="BS71" i="3"/>
  <c r="BS70" i="3"/>
  <c r="BS69" i="3"/>
  <c r="BS68" i="3"/>
  <c r="BS67" i="3"/>
  <c r="BS66" i="3"/>
  <c r="BS66" i="5" s="1"/>
  <c r="BS65" i="3"/>
  <c r="BS65" i="5" s="1"/>
  <c r="BS64" i="3"/>
  <c r="BS64" i="5" s="1"/>
  <c r="BS63" i="3"/>
  <c r="BS63" i="5" s="1"/>
  <c r="BS62" i="3"/>
  <c r="BS62" i="5" s="1"/>
  <c r="BS61" i="3"/>
  <c r="BS61" i="5" s="1"/>
  <c r="BS60" i="3"/>
  <c r="BS60" i="5" s="1"/>
  <c r="BX82" i="3"/>
  <c r="BX82" i="5" s="1"/>
  <c r="BX81" i="3"/>
  <c r="BX81" i="5" s="1"/>
  <c r="BX80" i="3"/>
  <c r="BX80" i="5" s="1"/>
  <c r="BX79" i="3"/>
  <c r="BX79" i="5" s="1"/>
  <c r="BX78" i="3"/>
  <c r="BX77" i="3"/>
  <c r="BX76" i="3"/>
  <c r="BX76" i="5" s="1"/>
  <c r="BX74" i="3"/>
  <c r="BX74" i="5" s="1"/>
  <c r="BX71" i="3"/>
  <c r="BX70" i="3"/>
  <c r="BX69" i="3"/>
  <c r="BX68" i="3"/>
  <c r="BX67" i="3"/>
  <c r="BX66" i="3"/>
  <c r="BX66" i="5" s="1"/>
  <c r="BX65" i="3"/>
  <c r="BX65" i="5" s="1"/>
  <c r="BX64" i="3"/>
  <c r="BX64" i="5" s="1"/>
  <c r="BX63" i="3"/>
  <c r="BX63" i="5" s="1"/>
  <c r="BX62" i="3"/>
  <c r="BX62" i="5" s="1"/>
  <c r="BX61" i="3"/>
  <c r="BX61" i="5" s="1"/>
  <c r="BX60" i="3"/>
  <c r="BX60" i="5" s="1"/>
  <c r="CC82" i="3"/>
  <c r="CC82" i="5" s="1"/>
  <c r="CC81" i="3"/>
  <c r="CC81" i="5" s="1"/>
  <c r="CC80" i="3"/>
  <c r="CC80" i="5" s="1"/>
  <c r="CC79" i="3"/>
  <c r="CC79" i="5" s="1"/>
  <c r="CC78" i="3"/>
  <c r="CC77" i="3"/>
  <c r="CC76" i="3"/>
  <c r="CC76" i="5" s="1"/>
  <c r="CC74" i="3"/>
  <c r="CC74" i="5" s="1"/>
  <c r="CC71" i="3"/>
  <c r="CC70" i="3"/>
  <c r="CC69" i="3"/>
  <c r="CC68" i="3"/>
  <c r="CC67" i="3"/>
  <c r="CC66" i="3"/>
  <c r="CC66" i="5" s="1"/>
  <c r="CC65" i="3"/>
  <c r="CC65" i="5" s="1"/>
  <c r="CC64" i="3"/>
  <c r="CC64" i="5" s="1"/>
  <c r="CC63" i="3"/>
  <c r="CC63" i="5" s="1"/>
  <c r="CC62" i="3"/>
  <c r="CC62" i="5" s="1"/>
  <c r="CC61" i="3"/>
  <c r="CC61" i="5" s="1"/>
  <c r="CC60" i="3"/>
  <c r="CC60" i="5" s="1"/>
  <c r="CH82" i="3"/>
  <c r="CH82" i="5" s="1"/>
  <c r="CH81" i="3"/>
  <c r="CH81" i="5" s="1"/>
  <c r="CH80" i="3"/>
  <c r="CH80" i="5" s="1"/>
  <c r="CH79" i="3"/>
  <c r="CH79" i="5" s="1"/>
  <c r="CH78" i="3"/>
  <c r="CH77" i="3"/>
  <c r="CH76" i="3"/>
  <c r="CH76" i="5" s="1"/>
  <c r="CH74" i="3"/>
  <c r="CH74" i="5" s="1"/>
  <c r="CH71" i="3"/>
  <c r="CH70" i="3"/>
  <c r="CH69" i="3"/>
  <c r="CH68" i="3"/>
  <c r="CH67" i="3"/>
  <c r="CH66" i="3"/>
  <c r="CH66" i="5" s="1"/>
  <c r="CH65" i="3"/>
  <c r="CH65" i="5" s="1"/>
  <c r="CH64" i="3"/>
  <c r="CH64" i="5" s="1"/>
  <c r="CH63" i="3"/>
  <c r="CH63" i="5" s="1"/>
  <c r="CH62" i="3"/>
  <c r="CH62" i="5" s="1"/>
  <c r="CH61" i="3"/>
  <c r="CH60" i="3"/>
  <c r="CH60" i="5" s="1"/>
  <c r="CM82" i="3"/>
  <c r="CM82" i="5" s="1"/>
  <c r="CM81" i="3"/>
  <c r="CM81" i="5" s="1"/>
  <c r="CM80" i="3"/>
  <c r="CM80" i="5" s="1"/>
  <c r="CM79" i="3"/>
  <c r="CM79" i="5" s="1"/>
  <c r="CM78" i="3"/>
  <c r="CM77" i="3"/>
  <c r="CM76" i="3"/>
  <c r="CM76" i="5" s="1"/>
  <c r="CM74" i="3"/>
  <c r="CM74" i="5" s="1"/>
  <c r="CM71" i="3"/>
  <c r="CM70" i="3"/>
  <c r="CM69" i="3"/>
  <c r="CM68" i="3"/>
  <c r="CM67" i="3"/>
  <c r="CM66" i="3"/>
  <c r="CM65" i="3"/>
  <c r="CM65" i="5" s="1"/>
  <c r="CM64" i="3"/>
  <c r="CM64" i="5" s="1"/>
  <c r="CM63" i="3"/>
  <c r="CM63" i="5" s="1"/>
  <c r="CM62" i="3"/>
  <c r="CM62" i="5" s="1"/>
  <c r="CM61" i="3"/>
  <c r="CM61" i="5" s="1"/>
  <c r="CM60" i="3"/>
  <c r="CM60" i="5" s="1"/>
  <c r="CR82" i="3"/>
  <c r="CR82" i="5" s="1"/>
  <c r="CR81" i="3"/>
  <c r="CR81" i="5" s="1"/>
  <c r="CR80" i="3"/>
  <c r="CR80" i="5" s="1"/>
  <c r="CR79" i="3"/>
  <c r="CR79" i="5" s="1"/>
  <c r="CR78" i="3"/>
  <c r="CR78" i="5" s="1"/>
  <c r="CR77" i="3"/>
  <c r="CR77" i="5" s="1"/>
  <c r="CR76" i="3"/>
  <c r="CR76" i="5" s="1"/>
  <c r="CR75" i="5"/>
  <c r="CR74" i="3"/>
  <c r="CR74" i="5" s="1"/>
  <c r="CR71" i="3"/>
  <c r="CR71" i="5" s="1"/>
  <c r="CR70" i="3"/>
  <c r="CR70" i="5" s="1"/>
  <c r="CR69" i="3"/>
  <c r="CR69" i="5" s="1"/>
  <c r="CR68" i="3"/>
  <c r="CR68" i="5" s="1"/>
  <c r="CR67" i="3"/>
  <c r="CR67" i="5" s="1"/>
  <c r="CR66" i="3"/>
  <c r="CR66" i="5" s="1"/>
  <c r="CR65" i="3"/>
  <c r="CR65" i="5" s="1"/>
  <c r="CR64" i="3"/>
  <c r="CR64" i="5" s="1"/>
  <c r="CR63" i="3"/>
  <c r="CR62" i="3"/>
  <c r="CR62" i="5" s="1"/>
  <c r="CR61" i="3"/>
  <c r="CR61" i="5" s="1"/>
  <c r="CR60" i="3"/>
  <c r="CR60" i="5" s="1"/>
  <c r="CW82" i="3"/>
  <c r="CW82" i="5" s="1"/>
  <c r="CW81" i="3"/>
  <c r="CW81" i="5" s="1"/>
  <c r="CW80" i="3"/>
  <c r="CW80" i="5" s="1"/>
  <c r="CW79" i="3"/>
  <c r="CW79" i="5" s="1"/>
  <c r="CW78" i="3"/>
  <c r="CW77" i="3"/>
  <c r="CW76" i="3"/>
  <c r="CW76" i="5" s="1"/>
  <c r="CW75" i="3"/>
  <c r="CW74" i="3"/>
  <c r="CW74" i="5" s="1"/>
  <c r="CW71" i="3"/>
  <c r="CW70" i="3"/>
  <c r="CW69" i="3"/>
  <c r="CW68" i="3"/>
  <c r="CW67" i="3"/>
  <c r="CW66" i="3"/>
  <c r="CW66" i="5" s="1"/>
  <c r="CW65" i="3"/>
  <c r="CW65" i="5" s="1"/>
  <c r="CW64" i="3"/>
  <c r="CW64" i="5" s="1"/>
  <c r="CW63" i="3"/>
  <c r="CW63" i="5" s="1"/>
  <c r="CW62" i="3"/>
  <c r="CW62" i="5" s="1"/>
  <c r="CW61" i="3"/>
  <c r="CW61" i="5" s="1"/>
  <c r="CW60" i="3"/>
  <c r="CW60" i="5" s="1"/>
  <c r="CV83" i="3"/>
  <c r="CU83" i="3"/>
  <c r="CT83" i="3"/>
  <c r="CS83" i="3"/>
  <c r="CQ83" i="3"/>
  <c r="CP83" i="3"/>
  <c r="CO83" i="3"/>
  <c r="CN83" i="3"/>
  <c r="CL83" i="3"/>
  <c r="CK83" i="3"/>
  <c r="CJ83" i="3"/>
  <c r="CI83" i="3"/>
  <c r="CG83" i="3"/>
  <c r="CF83" i="3"/>
  <c r="CE83" i="3"/>
  <c r="CD83" i="3"/>
  <c r="CB83" i="3"/>
  <c r="CA83" i="3"/>
  <c r="BZ83" i="3"/>
  <c r="BY83" i="3"/>
  <c r="BW83" i="3"/>
  <c r="BV83" i="3"/>
  <c r="BU83" i="3"/>
  <c r="BT83" i="3"/>
  <c r="BR83" i="3"/>
  <c r="BQ83" i="3"/>
  <c r="BP83" i="3"/>
  <c r="BO83" i="3"/>
  <c r="BM83" i="3"/>
  <c r="BL83" i="3"/>
  <c r="BK83" i="3"/>
  <c r="BJ83" i="3"/>
  <c r="BN54" i="3"/>
  <c r="BN53" i="3"/>
  <c r="BN52" i="3"/>
  <c r="BN51" i="3"/>
  <c r="BN48" i="3"/>
  <c r="BN47" i="3"/>
  <c r="BN46" i="3"/>
  <c r="BN43" i="3"/>
  <c r="BN42" i="3"/>
  <c r="BN41" i="3"/>
  <c r="BN40" i="3"/>
  <c r="BN39" i="3"/>
  <c r="BN38" i="3"/>
  <c r="BN37" i="3"/>
  <c r="BN36" i="3"/>
  <c r="BN35" i="3"/>
  <c r="BN34" i="3"/>
  <c r="BN33" i="3"/>
  <c r="BN32" i="3"/>
  <c r="BS54" i="3"/>
  <c r="BS53" i="3"/>
  <c r="BS52" i="3"/>
  <c r="BS51" i="3"/>
  <c r="BS48" i="3"/>
  <c r="BS47" i="3"/>
  <c r="BS46" i="3"/>
  <c r="BS43" i="3"/>
  <c r="BS42" i="3"/>
  <c r="BS41" i="3"/>
  <c r="BS40" i="3"/>
  <c r="BS39" i="3"/>
  <c r="BS38" i="3"/>
  <c r="BS37" i="3"/>
  <c r="BS36" i="3"/>
  <c r="BS35" i="3"/>
  <c r="BS34" i="3"/>
  <c r="BS33" i="3"/>
  <c r="BS32" i="3"/>
  <c r="BX54" i="3"/>
  <c r="BX53" i="3"/>
  <c r="BX52" i="3"/>
  <c r="BX51" i="3"/>
  <c r="BX48" i="3"/>
  <c r="BX47" i="3"/>
  <c r="BX46" i="3"/>
  <c r="BX43" i="3"/>
  <c r="BX42" i="3"/>
  <c r="BX41" i="3"/>
  <c r="BX40" i="3"/>
  <c r="BX39" i="3"/>
  <c r="BX38" i="3"/>
  <c r="BX37" i="3"/>
  <c r="BX36" i="3"/>
  <c r="BX35" i="3"/>
  <c r="BX34" i="3"/>
  <c r="BX33" i="3"/>
  <c r="BX32" i="3"/>
  <c r="CC54" i="3"/>
  <c r="CC53" i="3"/>
  <c r="CC52" i="3"/>
  <c r="CC51" i="3"/>
  <c r="CC48" i="3"/>
  <c r="CC47" i="3"/>
  <c r="CC46" i="3"/>
  <c r="CC43" i="3"/>
  <c r="CC42" i="3"/>
  <c r="CC41" i="3"/>
  <c r="CC40" i="3"/>
  <c r="CC39" i="3"/>
  <c r="CC38" i="3"/>
  <c r="CC37" i="3"/>
  <c r="CC36" i="3"/>
  <c r="CC35" i="3"/>
  <c r="CC34" i="3"/>
  <c r="CC33" i="3"/>
  <c r="CC32" i="3"/>
  <c r="CH54" i="3"/>
  <c r="CH53" i="3"/>
  <c r="CH52" i="3"/>
  <c r="CH51" i="3"/>
  <c r="CH48" i="3"/>
  <c r="CH47" i="3"/>
  <c r="CH46" i="3"/>
  <c r="CH43" i="3"/>
  <c r="CH42" i="3"/>
  <c r="CH41" i="3"/>
  <c r="CH40" i="3"/>
  <c r="CH39" i="3"/>
  <c r="CH38" i="3"/>
  <c r="CH37" i="3"/>
  <c r="CH36" i="3"/>
  <c r="CH35" i="3"/>
  <c r="CH34" i="3"/>
  <c r="CH33" i="3"/>
  <c r="CH32" i="3"/>
  <c r="CM54" i="3"/>
  <c r="CM53" i="3"/>
  <c r="CM52" i="3"/>
  <c r="CM51" i="3"/>
  <c r="CM48" i="3"/>
  <c r="CM47" i="3"/>
  <c r="CM46" i="3"/>
  <c r="CM43" i="3"/>
  <c r="CM42" i="3"/>
  <c r="CM41" i="3"/>
  <c r="CM40" i="3"/>
  <c r="CM39" i="3"/>
  <c r="CM38" i="3"/>
  <c r="CM37" i="3"/>
  <c r="CM36" i="3"/>
  <c r="CM35" i="3"/>
  <c r="CM34" i="3"/>
  <c r="CM33" i="3"/>
  <c r="CM32" i="3"/>
  <c r="CR54" i="3"/>
  <c r="CR53" i="3"/>
  <c r="CR52" i="3"/>
  <c r="CR51" i="3"/>
  <c r="CR48" i="3"/>
  <c r="CR47" i="3"/>
  <c r="CR46" i="3"/>
  <c r="CR43" i="3"/>
  <c r="CR42" i="3"/>
  <c r="CR41" i="3"/>
  <c r="CR40" i="3"/>
  <c r="CR39" i="3"/>
  <c r="CR38" i="3"/>
  <c r="CR37" i="3"/>
  <c r="CR36" i="3"/>
  <c r="CR35" i="3"/>
  <c r="CR34" i="3"/>
  <c r="CR33" i="3"/>
  <c r="CR32" i="3"/>
  <c r="CW54" i="3"/>
  <c r="CW53" i="3"/>
  <c r="CW52" i="3"/>
  <c r="CW51" i="3"/>
  <c r="CW48" i="3"/>
  <c r="CW47" i="3"/>
  <c r="CW46" i="3"/>
  <c r="CW43" i="3"/>
  <c r="CW42" i="3"/>
  <c r="CW41" i="3"/>
  <c r="CW40" i="3"/>
  <c r="CW39" i="3"/>
  <c r="CW38" i="3"/>
  <c r="CW37" i="3"/>
  <c r="CW36" i="3"/>
  <c r="CW35" i="3"/>
  <c r="CW34" i="3"/>
  <c r="CW33" i="3"/>
  <c r="CW32" i="3"/>
  <c r="CV55" i="3"/>
  <c r="CU55" i="3"/>
  <c r="CT55" i="3"/>
  <c r="CS55" i="3"/>
  <c r="CQ55" i="3"/>
  <c r="CP55" i="3"/>
  <c r="CO55" i="3"/>
  <c r="CN55" i="3"/>
  <c r="CL55" i="3"/>
  <c r="CK55" i="3"/>
  <c r="CJ55" i="3"/>
  <c r="CI55" i="3"/>
  <c r="CG55" i="3"/>
  <c r="CF55" i="3"/>
  <c r="CE55" i="3"/>
  <c r="CD55" i="3"/>
  <c r="CB55" i="3"/>
  <c r="CA55" i="3"/>
  <c r="BZ55" i="3"/>
  <c r="BY55" i="3"/>
  <c r="BW55" i="3"/>
  <c r="BV55" i="3"/>
  <c r="BU55" i="3"/>
  <c r="BT55" i="3"/>
  <c r="BR55" i="3"/>
  <c r="BQ55" i="3"/>
  <c r="BP55" i="3"/>
  <c r="BO55" i="3"/>
  <c r="BM55" i="3"/>
  <c r="BL55" i="3"/>
  <c r="BK55" i="3"/>
  <c r="BJ55" i="3"/>
  <c r="BN25" i="3"/>
  <c r="BN24" i="3"/>
  <c r="BN23" i="3"/>
  <c r="BN22" i="3"/>
  <c r="BN21" i="3"/>
  <c r="BN20" i="3"/>
  <c r="BN19" i="3"/>
  <c r="BN17" i="3"/>
  <c r="BN14" i="3"/>
  <c r="BN13" i="3"/>
  <c r="BN12" i="3"/>
  <c r="BN11" i="3"/>
  <c r="BN10" i="3"/>
  <c r="BN9" i="3"/>
  <c r="BN8" i="3"/>
  <c r="BN7" i="3"/>
  <c r="BN6" i="3"/>
  <c r="BN5" i="3"/>
  <c r="BN4" i="3"/>
  <c r="BN3" i="3"/>
  <c r="BS25" i="3"/>
  <c r="BS24" i="3"/>
  <c r="BS23" i="3"/>
  <c r="BS22" i="3"/>
  <c r="BS21" i="3"/>
  <c r="BS20" i="3"/>
  <c r="BS19" i="3"/>
  <c r="BS17" i="3"/>
  <c r="BS14" i="3"/>
  <c r="BS13" i="3"/>
  <c r="BS12" i="3"/>
  <c r="BS11" i="3"/>
  <c r="BS10" i="3"/>
  <c r="BS9" i="3"/>
  <c r="BS8" i="3"/>
  <c r="BS7" i="3"/>
  <c r="BS6" i="3"/>
  <c r="BS5" i="3"/>
  <c r="BS4" i="3"/>
  <c r="BS3" i="3"/>
  <c r="BX25" i="3"/>
  <c r="BX24" i="3"/>
  <c r="BX23" i="3"/>
  <c r="BX22" i="3"/>
  <c r="BX21" i="3"/>
  <c r="BX20" i="3"/>
  <c r="BX19" i="3"/>
  <c r="BX17" i="3"/>
  <c r="BX14" i="3"/>
  <c r="BX13" i="3"/>
  <c r="BX12" i="3"/>
  <c r="BX11" i="3"/>
  <c r="BX10" i="3"/>
  <c r="BX9" i="3"/>
  <c r="BX8" i="3"/>
  <c r="BX7" i="3"/>
  <c r="BX6" i="3"/>
  <c r="BX5" i="3"/>
  <c r="BX4" i="3"/>
  <c r="BX3" i="3"/>
  <c r="CC25" i="3"/>
  <c r="CC24" i="3"/>
  <c r="CC23" i="3"/>
  <c r="CC22" i="3"/>
  <c r="CC21" i="3"/>
  <c r="CC20" i="3"/>
  <c r="CC19" i="3"/>
  <c r="CC17" i="3"/>
  <c r="CC14" i="3"/>
  <c r="CC13" i="3"/>
  <c r="CC12" i="3"/>
  <c r="CC11" i="3"/>
  <c r="CC10" i="3"/>
  <c r="CC9" i="3"/>
  <c r="CC8" i="3"/>
  <c r="CC7" i="3"/>
  <c r="CC6" i="3"/>
  <c r="CC5" i="3"/>
  <c r="CC4" i="3"/>
  <c r="CC3" i="3"/>
  <c r="CH25" i="3"/>
  <c r="CH24" i="3"/>
  <c r="CH23" i="3"/>
  <c r="CH22" i="3"/>
  <c r="CH21" i="3"/>
  <c r="CH20" i="3"/>
  <c r="CH19" i="3"/>
  <c r="CH17" i="3"/>
  <c r="CH14" i="3"/>
  <c r="CH13" i="3"/>
  <c r="CH12" i="3"/>
  <c r="CH11" i="3"/>
  <c r="CH10" i="3"/>
  <c r="CH9" i="3"/>
  <c r="CH8" i="3"/>
  <c r="CH7" i="3"/>
  <c r="CH6" i="3"/>
  <c r="CH5" i="3"/>
  <c r="CH4" i="3"/>
  <c r="CH3" i="3"/>
  <c r="CM25" i="3"/>
  <c r="CM24" i="3"/>
  <c r="CM23" i="3"/>
  <c r="CM22" i="3"/>
  <c r="CM21" i="3"/>
  <c r="CM20" i="3"/>
  <c r="CM19" i="3"/>
  <c r="CM17" i="3"/>
  <c r="CM14" i="3"/>
  <c r="CM13" i="3"/>
  <c r="CM12" i="3"/>
  <c r="CM11" i="3"/>
  <c r="CM10" i="3"/>
  <c r="CM9" i="3"/>
  <c r="CM8" i="3"/>
  <c r="CM7" i="3"/>
  <c r="CM6" i="3"/>
  <c r="CM5" i="3"/>
  <c r="CM4" i="3"/>
  <c r="CM3" i="3"/>
  <c r="CR25" i="3"/>
  <c r="CR24" i="3"/>
  <c r="CR23" i="3"/>
  <c r="CR22" i="3"/>
  <c r="CR21" i="3"/>
  <c r="CR20" i="3"/>
  <c r="CR19" i="3"/>
  <c r="CR17" i="3"/>
  <c r="CR14" i="3"/>
  <c r="CR13" i="3"/>
  <c r="CR12" i="3"/>
  <c r="CR11" i="3"/>
  <c r="CR10" i="3"/>
  <c r="CR9" i="3"/>
  <c r="CR8" i="3"/>
  <c r="CR7" i="3"/>
  <c r="CR6" i="3"/>
  <c r="CR5" i="3"/>
  <c r="CR4" i="3"/>
  <c r="CR3" i="3"/>
  <c r="CW25" i="3"/>
  <c r="CW24" i="3"/>
  <c r="CW23" i="3"/>
  <c r="CW22" i="3"/>
  <c r="CW21" i="3"/>
  <c r="CW20" i="3"/>
  <c r="CW19" i="3"/>
  <c r="CW17" i="3"/>
  <c r="CW14" i="3"/>
  <c r="CW13" i="3"/>
  <c r="CW12" i="3"/>
  <c r="CW11" i="3"/>
  <c r="CW10" i="3"/>
  <c r="CW9" i="3"/>
  <c r="CW8" i="3"/>
  <c r="CW7" i="3"/>
  <c r="CW6" i="3"/>
  <c r="CW5" i="3"/>
  <c r="CW4" i="3"/>
  <c r="CW3" i="3"/>
  <c r="CV26" i="3"/>
  <c r="CU26" i="3"/>
  <c r="CT26" i="3"/>
  <c r="CS26" i="3"/>
  <c r="CQ26" i="3"/>
  <c r="CP26" i="3"/>
  <c r="CO26" i="3"/>
  <c r="CN26" i="3"/>
  <c r="CL26" i="3"/>
  <c r="CK26" i="3"/>
  <c r="CJ26" i="3"/>
  <c r="CI26" i="3"/>
  <c r="CG26" i="3"/>
  <c r="CF26" i="3"/>
  <c r="CE26" i="3"/>
  <c r="CD26" i="3"/>
  <c r="CB26" i="3"/>
  <c r="CA26" i="3"/>
  <c r="BZ26" i="3"/>
  <c r="BY26" i="3"/>
  <c r="BW26" i="3"/>
  <c r="BV26" i="3"/>
  <c r="BU26" i="3"/>
  <c r="BT26" i="3"/>
  <c r="BR26" i="3"/>
  <c r="BQ26" i="3"/>
  <c r="BP26" i="3"/>
  <c r="BO26" i="3"/>
  <c r="BM26" i="3"/>
  <c r="BL26" i="3"/>
  <c r="BK26" i="3"/>
  <c r="BJ26" i="3"/>
  <c r="DM21" i="3" l="1"/>
  <c r="DN21" i="3" s="1"/>
  <c r="DM22" i="3"/>
  <c r="CM167" i="3"/>
  <c r="CR83" i="3"/>
  <c r="CR63" i="5"/>
  <c r="CM83" i="3"/>
  <c r="CM66" i="5"/>
  <c r="CH83" i="3"/>
  <c r="CH61" i="5"/>
  <c r="CR111" i="3"/>
  <c r="CW111" i="3"/>
  <c r="CW83" i="3"/>
  <c r="BS83" i="3"/>
  <c r="CC83" i="3"/>
  <c r="BX83" i="3"/>
  <c r="CH111" i="3"/>
  <c r="CC111" i="3"/>
  <c r="BS167" i="3"/>
  <c r="CH139" i="3"/>
  <c r="CC139" i="3"/>
  <c r="CW167" i="3"/>
  <c r="BN83" i="3"/>
  <c r="CM111" i="3"/>
  <c r="BX111" i="3"/>
  <c r="BN111" i="3"/>
  <c r="BN167" i="3"/>
  <c r="CW139" i="3"/>
  <c r="BS139" i="3"/>
  <c r="CH167" i="3"/>
  <c r="BX139" i="3"/>
  <c r="BX195" i="3"/>
  <c r="BS111" i="3"/>
  <c r="CR167" i="3"/>
  <c r="BN139" i="3"/>
  <c r="CC167" i="3"/>
  <c r="BX167" i="3"/>
  <c r="CR139" i="3"/>
  <c r="CM139" i="3"/>
  <c r="CM195" i="3"/>
  <c r="CH195" i="3"/>
  <c r="CW195" i="3"/>
  <c r="CC195" i="3"/>
  <c r="BN195" i="3"/>
  <c r="CR195" i="3"/>
  <c r="BS195" i="3"/>
  <c r="CC55" i="3"/>
  <c r="CH26" i="3"/>
  <c r="CC26" i="3"/>
  <c r="CM26" i="3"/>
  <c r="CW55" i="3"/>
  <c r="BX26" i="3"/>
  <c r="CH55" i="3"/>
  <c r="CR26" i="3"/>
  <c r="BS55" i="3"/>
  <c r="CR55" i="3"/>
  <c r="BN55" i="3"/>
  <c r="BS26" i="3"/>
  <c r="BX55" i="3"/>
  <c r="CM55" i="3"/>
  <c r="CW26" i="3"/>
  <c r="BN26" i="3"/>
  <c r="DM22" i="5" l="1"/>
  <c r="DN22" i="3"/>
  <c r="DQ21" i="3"/>
  <c r="CR83" i="5"/>
  <c r="DA23" i="3"/>
  <c r="DA23" i="5" s="1"/>
  <c r="DO22" i="3" l="1"/>
  <c r="DO22" i="5" s="1"/>
  <c r="DN22" i="5"/>
  <c r="DA108" i="3"/>
  <c r="DP22" i="3" l="1"/>
  <c r="DP22" i="5" s="1"/>
  <c r="DB82" i="3"/>
  <c r="DB81" i="3"/>
  <c r="DB80" i="3"/>
  <c r="DB79" i="3"/>
  <c r="DB78" i="3"/>
  <c r="DB77" i="3"/>
  <c r="DB76" i="3"/>
  <c r="DB75" i="3"/>
  <c r="DB74" i="3"/>
  <c r="DB71" i="3"/>
  <c r="DB70" i="3"/>
  <c r="DB69" i="3"/>
  <c r="DB68" i="3"/>
  <c r="DB67" i="3"/>
  <c r="DB66" i="3"/>
  <c r="DB65" i="3"/>
  <c r="DB64" i="3"/>
  <c r="DB63" i="3"/>
  <c r="DB62" i="3"/>
  <c r="DB61" i="3"/>
  <c r="DB60" i="3"/>
  <c r="DB194" i="3"/>
  <c r="DB193" i="3"/>
  <c r="DB192" i="3"/>
  <c r="DB191" i="3"/>
  <c r="DB190" i="3"/>
  <c r="DB189" i="3"/>
  <c r="DB188" i="3"/>
  <c r="DB187" i="3"/>
  <c r="DB186" i="3"/>
  <c r="DB183" i="3"/>
  <c r="DB182" i="3"/>
  <c r="DB181" i="3"/>
  <c r="DB180" i="3"/>
  <c r="DB179" i="3"/>
  <c r="DB178" i="3"/>
  <c r="DB177" i="3"/>
  <c r="DB176" i="3"/>
  <c r="DB175" i="3"/>
  <c r="DB174" i="3"/>
  <c r="DB173" i="3"/>
  <c r="DB172" i="3"/>
  <c r="DB138" i="3"/>
  <c r="DB137" i="3"/>
  <c r="DB136" i="3"/>
  <c r="DB135" i="3"/>
  <c r="DB134" i="3"/>
  <c r="DB133" i="3"/>
  <c r="DB132" i="3"/>
  <c r="DB131" i="3"/>
  <c r="DB130" i="3"/>
  <c r="DB127" i="3"/>
  <c r="DB126" i="3"/>
  <c r="DB125" i="3"/>
  <c r="DB124" i="3"/>
  <c r="DB123" i="3"/>
  <c r="DB122" i="3"/>
  <c r="DB121" i="3"/>
  <c r="DB120" i="3"/>
  <c r="DB119" i="3"/>
  <c r="DB118" i="3"/>
  <c r="DB117" i="3"/>
  <c r="DB116" i="3"/>
  <c r="DB166" i="3"/>
  <c r="DB165" i="3"/>
  <c r="DB164" i="3"/>
  <c r="DB163" i="3"/>
  <c r="DB162" i="3"/>
  <c r="DB161" i="3"/>
  <c r="DB160" i="3"/>
  <c r="DB159" i="3"/>
  <c r="DB158" i="3"/>
  <c r="DB155" i="3"/>
  <c r="DB154" i="3"/>
  <c r="DB153" i="3"/>
  <c r="DB152" i="3"/>
  <c r="DB151" i="3"/>
  <c r="DB150" i="3"/>
  <c r="DB149" i="3"/>
  <c r="DB148" i="3"/>
  <c r="DB147" i="3"/>
  <c r="DB146" i="3"/>
  <c r="DB145" i="3"/>
  <c r="DB144" i="3"/>
  <c r="DB110" i="3"/>
  <c r="DB109" i="3"/>
  <c r="DB108" i="3"/>
  <c r="DB107" i="3"/>
  <c r="DB106" i="3"/>
  <c r="DB105" i="3"/>
  <c r="DB104" i="3"/>
  <c r="DB103" i="3"/>
  <c r="DB102" i="3"/>
  <c r="DB99" i="3"/>
  <c r="DB98" i="3"/>
  <c r="DB97" i="3"/>
  <c r="DB96" i="3"/>
  <c r="DB95" i="3"/>
  <c r="DB94" i="3"/>
  <c r="DB93" i="3"/>
  <c r="DB92" i="3"/>
  <c r="DB91" i="3"/>
  <c r="DB90" i="3"/>
  <c r="DB89" i="3"/>
  <c r="DB88" i="3"/>
  <c r="DB54" i="3"/>
  <c r="DB53" i="3"/>
  <c r="DB52" i="3"/>
  <c r="DB51" i="3"/>
  <c r="DB48" i="3"/>
  <c r="DB47" i="3"/>
  <c r="DB46" i="3"/>
  <c r="DB43" i="3"/>
  <c r="DB42" i="3"/>
  <c r="DB41" i="3"/>
  <c r="DB40" i="3"/>
  <c r="DB39" i="3"/>
  <c r="DB38" i="3"/>
  <c r="DB37" i="3"/>
  <c r="DB36" i="3"/>
  <c r="DB35" i="3"/>
  <c r="DB34" i="3"/>
  <c r="DB33" i="3"/>
  <c r="DB25" i="3"/>
  <c r="DB24" i="3"/>
  <c r="DB23" i="3"/>
  <c r="DB22" i="3"/>
  <c r="DB21" i="3"/>
  <c r="DB20" i="3"/>
  <c r="DB19" i="3"/>
  <c r="DB17" i="3"/>
  <c r="DB14" i="3"/>
  <c r="DB13" i="3"/>
  <c r="DB12" i="3"/>
  <c r="DB11" i="3"/>
  <c r="DB10" i="3"/>
  <c r="DB9" i="3"/>
  <c r="DB8" i="3"/>
  <c r="DB7" i="3"/>
  <c r="DB6" i="3"/>
  <c r="DB5" i="3"/>
  <c r="DB4" i="3"/>
  <c r="DB3" i="3"/>
  <c r="DQ22" i="3" l="1"/>
  <c r="DC116" i="3"/>
  <c r="DC121" i="3"/>
  <c r="DC118" i="3"/>
  <c r="DC119" i="3"/>
  <c r="DC120" i="3"/>
  <c r="DD51" i="3"/>
  <c r="DC123" i="3"/>
  <c r="DC124" i="3"/>
  <c r="DC134" i="3"/>
  <c r="DC117" i="3"/>
  <c r="DD117" i="3" s="1"/>
  <c r="DD117" i="5" s="1"/>
  <c r="DC125" i="3"/>
  <c r="DC135" i="3"/>
  <c r="DC161" i="3"/>
  <c r="DD161" i="3" s="1"/>
  <c r="DC126" i="3"/>
  <c r="DD126" i="3" s="1"/>
  <c r="DD126" i="5" s="1"/>
  <c r="DD13" i="7" s="1"/>
  <c r="DC162" i="3"/>
  <c r="DC127" i="3"/>
  <c r="DC133" i="3"/>
  <c r="DC163" i="3"/>
  <c r="DD163" i="3"/>
  <c r="DC138" i="3"/>
  <c r="DG131" i="3"/>
  <c r="DC122" i="3"/>
  <c r="DC132" i="3"/>
  <c r="DD132" i="3" s="1"/>
  <c r="DD132" i="5" s="1"/>
  <c r="DD19" i="7" s="1"/>
  <c r="CX83" i="3"/>
  <c r="CY83" i="3"/>
  <c r="CY195" i="3"/>
  <c r="CX195" i="3"/>
  <c r="CX139" i="3"/>
  <c r="CY139" i="3"/>
  <c r="CX167" i="3"/>
  <c r="CY167" i="3"/>
  <c r="CX111" i="3"/>
  <c r="CY111" i="3"/>
  <c r="CX55" i="3"/>
  <c r="CY55" i="3"/>
  <c r="CY26" i="3"/>
  <c r="CX26" i="3"/>
  <c r="DE161" i="3" l="1"/>
  <c r="DF161" i="3" s="1"/>
  <c r="DE163" i="3"/>
  <c r="DD162" i="3"/>
  <c r="DD124" i="3"/>
  <c r="DD124" i="5" s="1"/>
  <c r="DD11" i="7" s="1"/>
  <c r="DC124" i="5"/>
  <c r="DC11" i="7" s="1"/>
  <c r="DC119" i="5"/>
  <c r="DC6" i="7" s="1"/>
  <c r="DG6" i="7" s="1"/>
  <c r="DG119" i="3"/>
  <c r="DD123" i="3"/>
  <c r="DD123" i="5" s="1"/>
  <c r="DD10" i="7" s="1"/>
  <c r="DC123" i="5"/>
  <c r="DC10" i="7" s="1"/>
  <c r="DD133" i="3"/>
  <c r="DG133" i="3" s="1"/>
  <c r="DD135" i="3"/>
  <c r="DG135" i="3" s="1"/>
  <c r="DC118" i="5"/>
  <c r="DC5" i="7" s="1"/>
  <c r="DG5" i="7" s="1"/>
  <c r="DG118" i="3"/>
  <c r="DC138" i="5"/>
  <c r="DC25" i="7" s="1"/>
  <c r="DC132" i="5"/>
  <c r="DC19" i="7" s="1"/>
  <c r="DG19" i="7" s="1"/>
  <c r="DG132" i="3"/>
  <c r="DD127" i="3"/>
  <c r="DD127" i="5" s="1"/>
  <c r="DD14" i="7" s="1"/>
  <c r="DC127" i="5"/>
  <c r="DC14" i="7" s="1"/>
  <c r="DD125" i="3"/>
  <c r="DD125" i="5" s="1"/>
  <c r="DD12" i="7" s="1"/>
  <c r="DC125" i="5"/>
  <c r="DC12" i="7" s="1"/>
  <c r="DD4" i="7"/>
  <c r="DC121" i="5"/>
  <c r="DC8" i="7" s="1"/>
  <c r="DG8" i="7" s="1"/>
  <c r="DG121" i="3"/>
  <c r="DC117" i="5"/>
  <c r="DC4" i="7" s="1"/>
  <c r="DG117" i="3"/>
  <c r="DD122" i="3"/>
  <c r="DD122" i="5" s="1"/>
  <c r="DD9" i="7" s="1"/>
  <c r="DC122" i="5"/>
  <c r="DC9" i="7" s="1"/>
  <c r="DD138" i="3"/>
  <c r="DD138" i="5" s="1"/>
  <c r="DD25" i="7" s="1"/>
  <c r="DC126" i="5"/>
  <c r="DC13" i="7" s="1"/>
  <c r="DG13" i="7" s="1"/>
  <c r="DG126" i="3"/>
  <c r="DD134" i="3"/>
  <c r="DG134" i="3" s="1"/>
  <c r="DC120" i="5"/>
  <c r="DC7" i="7" s="1"/>
  <c r="DG7" i="7" s="1"/>
  <c r="DG120" i="3"/>
  <c r="DC116" i="5"/>
  <c r="DG116" i="3"/>
  <c r="DE51" i="3"/>
  <c r="DD51" i="5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DG123" i="3" l="1"/>
  <c r="DG127" i="3"/>
  <c r="DG122" i="3"/>
  <c r="DG124" i="3"/>
  <c r="DG4" i="7"/>
  <c r="DG9" i="7"/>
  <c r="DG11" i="7"/>
  <c r="DG14" i="7"/>
  <c r="DG10" i="7"/>
  <c r="DF163" i="3"/>
  <c r="DE162" i="3"/>
  <c r="DG161" i="3"/>
  <c r="DC3" i="7"/>
  <c r="DH135" i="3"/>
  <c r="DH134" i="3"/>
  <c r="DG125" i="3"/>
  <c r="DG138" i="3"/>
  <c r="DG12" i="7"/>
  <c r="DG25" i="7"/>
  <c r="DH133" i="3"/>
  <c r="DD55" i="5"/>
  <c r="DF51" i="3"/>
  <c r="DE51" i="5"/>
  <c r="BN67" i="5"/>
  <c r="BS67" i="5"/>
  <c r="BX67" i="5"/>
  <c r="CC67" i="5"/>
  <c r="CH67" i="5"/>
  <c r="CM67" i="5"/>
  <c r="CW67" i="5"/>
  <c r="BN68" i="5"/>
  <c r="BS68" i="5"/>
  <c r="BX68" i="5"/>
  <c r="CC68" i="5"/>
  <c r="CH68" i="5"/>
  <c r="CM68" i="5"/>
  <c r="CW68" i="5"/>
  <c r="BN69" i="5"/>
  <c r="BS69" i="5"/>
  <c r="BX69" i="5"/>
  <c r="CC69" i="5"/>
  <c r="CH69" i="5"/>
  <c r="CM69" i="5"/>
  <c r="CW69" i="5"/>
  <c r="BN70" i="5"/>
  <c r="BS70" i="5"/>
  <c r="BX70" i="5"/>
  <c r="CC70" i="5"/>
  <c r="CH70" i="5"/>
  <c r="CM70" i="5"/>
  <c r="CW70" i="5"/>
  <c r="BN71" i="5"/>
  <c r="BS71" i="5"/>
  <c r="BX71" i="5"/>
  <c r="CC71" i="5"/>
  <c r="CH71" i="5"/>
  <c r="CM71" i="5"/>
  <c r="CW71" i="5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D167" i="3"/>
  <c r="DC167" i="3"/>
  <c r="DB167" i="3"/>
  <c r="DA167" i="3"/>
  <c r="CZ167" i="3"/>
  <c r="DG163" i="3" l="1"/>
  <c r="DF162" i="3"/>
  <c r="DG162" i="3" s="1"/>
  <c r="DE167" i="3"/>
  <c r="DH135" i="5"/>
  <c r="DH22" i="7" s="1"/>
  <c r="DH133" i="5"/>
  <c r="DL133" i="3"/>
  <c r="DH134" i="5"/>
  <c r="DH21" i="7" s="1"/>
  <c r="DL21" i="7" s="1"/>
  <c r="DL134" i="3"/>
  <c r="DG3" i="7"/>
  <c r="DJ135" i="3"/>
  <c r="DJ135" i="5" s="1"/>
  <c r="DE55" i="5"/>
  <c r="DF51" i="5"/>
  <c r="DG51" i="3"/>
  <c r="DG55" i="3" s="1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C83" i="3"/>
  <c r="DB83" i="3"/>
  <c r="DA83" i="3"/>
  <c r="CZ83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DT139" i="3"/>
  <c r="DS139" i="3"/>
  <c r="DR139" i="3"/>
  <c r="DQ139" i="3"/>
  <c r="DP139" i="3"/>
  <c r="DO139" i="3"/>
  <c r="DN139" i="3"/>
  <c r="DM139" i="3"/>
  <c r="DK139" i="3"/>
  <c r="DI139" i="3"/>
  <c r="DH139" i="3"/>
  <c r="DG139" i="3"/>
  <c r="DF139" i="3"/>
  <c r="DE139" i="3"/>
  <c r="DD139" i="3"/>
  <c r="DC139" i="3"/>
  <c r="DB139" i="3"/>
  <c r="DA139" i="3"/>
  <c r="CZ139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DT55" i="3"/>
  <c r="DS55" i="3"/>
  <c r="DR55" i="3"/>
  <c r="DQ55" i="3"/>
  <c r="DP55" i="3"/>
  <c r="DO55" i="3"/>
  <c r="DN55" i="3"/>
  <c r="DM55" i="3"/>
  <c r="DK55" i="3"/>
  <c r="DJ55" i="3"/>
  <c r="DI55" i="3"/>
  <c r="DF55" i="3"/>
  <c r="DE55" i="3"/>
  <c r="DD55" i="3"/>
  <c r="DC55" i="3"/>
  <c r="DB55" i="3"/>
  <c r="DA55" i="3"/>
  <c r="CZ55" i="3"/>
  <c r="CZ26" i="3"/>
  <c r="DF167" i="3" l="1"/>
  <c r="DG167" i="3"/>
  <c r="DH20" i="7"/>
  <c r="DH139" i="5"/>
  <c r="DJ139" i="3"/>
  <c r="DJ22" i="7"/>
  <c r="DJ26" i="7" s="1"/>
  <c r="DJ139" i="5"/>
  <c r="DL135" i="3"/>
  <c r="DH51" i="3"/>
  <c r="DF55" i="5"/>
  <c r="DT83" i="4"/>
  <c r="DS83" i="4"/>
  <c r="DR83" i="4"/>
  <c r="DP83" i="4"/>
  <c r="DO83" i="4"/>
  <c r="DN83" i="4"/>
  <c r="DM83" i="4"/>
  <c r="DK83" i="4"/>
  <c r="DJ83" i="4"/>
  <c r="DI83" i="4"/>
  <c r="DH83" i="4"/>
  <c r="CV83" i="4"/>
  <c r="CU83" i="4"/>
  <c r="CT83" i="4"/>
  <c r="CS83" i="4"/>
  <c r="CQ83" i="4"/>
  <c r="CP83" i="4"/>
  <c r="CO83" i="4"/>
  <c r="CN83" i="4"/>
  <c r="CL83" i="4"/>
  <c r="CK83" i="4"/>
  <c r="CJ83" i="4"/>
  <c r="CI83" i="4"/>
  <c r="CG83" i="4"/>
  <c r="CF83" i="4"/>
  <c r="CE83" i="4"/>
  <c r="CD83" i="4"/>
  <c r="CB83" i="4"/>
  <c r="CA83" i="4"/>
  <c r="BZ83" i="4"/>
  <c r="BY83" i="4"/>
  <c r="BW83" i="4"/>
  <c r="BV83" i="4"/>
  <c r="BU83" i="4"/>
  <c r="BT83" i="4"/>
  <c r="BR83" i="4"/>
  <c r="BQ83" i="4"/>
  <c r="BP83" i="4"/>
  <c r="BO83" i="4"/>
  <c r="BM83" i="4"/>
  <c r="BL83" i="4"/>
  <c r="BK83" i="4"/>
  <c r="BJ83" i="4"/>
  <c r="DQ82" i="4"/>
  <c r="DQ82" i="5" s="1"/>
  <c r="DL82" i="4"/>
  <c r="DL82" i="5" s="1"/>
  <c r="DQ81" i="4"/>
  <c r="DQ81" i="5" s="1"/>
  <c r="DL81" i="4"/>
  <c r="DL81" i="5" s="1"/>
  <c r="DQ80" i="4"/>
  <c r="DQ80" i="5" s="1"/>
  <c r="DL80" i="4"/>
  <c r="DL80" i="5" s="1"/>
  <c r="DQ79" i="4"/>
  <c r="DQ79" i="5" s="1"/>
  <c r="DL79" i="4"/>
  <c r="DL79" i="5" s="1"/>
  <c r="DQ78" i="4"/>
  <c r="DQ78" i="5" s="1"/>
  <c r="DL78" i="4"/>
  <c r="DL78" i="5" s="1"/>
  <c r="CW78" i="5"/>
  <c r="CM78" i="5"/>
  <c r="CH78" i="5"/>
  <c r="CC78" i="5"/>
  <c r="BX78" i="5"/>
  <c r="BS78" i="5"/>
  <c r="BN78" i="5"/>
  <c r="DQ77" i="4"/>
  <c r="DQ77" i="5" s="1"/>
  <c r="DL77" i="4"/>
  <c r="DL77" i="5" s="1"/>
  <c r="CW77" i="5"/>
  <c r="CM77" i="5"/>
  <c r="CH77" i="5"/>
  <c r="CC77" i="5"/>
  <c r="BX77" i="5"/>
  <c r="BS77" i="5"/>
  <c r="BN77" i="5"/>
  <c r="DQ76" i="4"/>
  <c r="DQ76" i="5" s="1"/>
  <c r="DL76" i="4"/>
  <c r="DL76" i="5" s="1"/>
  <c r="DG76" i="4"/>
  <c r="DG76" i="5" s="1"/>
  <c r="DB76" i="4"/>
  <c r="DB76" i="5" s="1"/>
  <c r="DQ75" i="4"/>
  <c r="DQ75" i="5" s="1"/>
  <c r="DL75" i="4"/>
  <c r="DL75" i="5" s="1"/>
  <c r="DG75" i="4"/>
  <c r="DG75" i="5" s="1"/>
  <c r="DB75" i="4"/>
  <c r="DB75" i="5" s="1"/>
  <c r="CW75" i="5"/>
  <c r="CM75" i="5"/>
  <c r="CH75" i="5"/>
  <c r="CC75" i="5"/>
  <c r="BX75" i="5"/>
  <c r="BS75" i="5"/>
  <c r="BN75" i="5"/>
  <c r="DQ74" i="4"/>
  <c r="DQ74" i="5" s="1"/>
  <c r="DL74" i="4"/>
  <c r="DL74" i="5" s="1"/>
  <c r="DG74" i="4"/>
  <c r="DG74" i="5" s="1"/>
  <c r="DB74" i="4"/>
  <c r="DB74" i="5" s="1"/>
  <c r="DQ71" i="4"/>
  <c r="DQ71" i="5" s="1"/>
  <c r="DL71" i="4"/>
  <c r="DL71" i="5" s="1"/>
  <c r="CX71" i="5"/>
  <c r="DQ70" i="4"/>
  <c r="DQ70" i="5" s="1"/>
  <c r="DL70" i="4"/>
  <c r="DL70" i="5" s="1"/>
  <c r="CX70" i="5"/>
  <c r="DQ69" i="4"/>
  <c r="DQ69" i="5" s="1"/>
  <c r="DL69" i="4"/>
  <c r="DL69" i="5" s="1"/>
  <c r="CX69" i="5"/>
  <c r="DQ68" i="4"/>
  <c r="DQ68" i="5" s="1"/>
  <c r="DL68" i="4"/>
  <c r="DL68" i="5" s="1"/>
  <c r="DG68" i="4"/>
  <c r="DG68" i="5" s="1"/>
  <c r="CX68" i="5"/>
  <c r="DQ67" i="4"/>
  <c r="DQ67" i="5" s="1"/>
  <c r="DL67" i="4"/>
  <c r="DL67" i="5" s="1"/>
  <c r="DG67" i="4"/>
  <c r="DG67" i="5" s="1"/>
  <c r="CX67" i="5"/>
  <c r="DQ66" i="4"/>
  <c r="DQ66" i="5" s="1"/>
  <c r="DL66" i="4"/>
  <c r="DL66" i="5" s="1"/>
  <c r="DG66" i="4"/>
  <c r="DG66" i="5" s="1"/>
  <c r="DB66" i="4"/>
  <c r="DB66" i="5" s="1"/>
  <c r="DQ65" i="4"/>
  <c r="DQ65" i="5" s="1"/>
  <c r="DL65" i="4"/>
  <c r="DL65" i="5" s="1"/>
  <c r="DG65" i="4"/>
  <c r="DG65" i="5" s="1"/>
  <c r="DB65" i="4"/>
  <c r="DB65" i="5" s="1"/>
  <c r="DQ64" i="4"/>
  <c r="DQ64" i="5" s="1"/>
  <c r="DL64" i="4"/>
  <c r="DL64" i="5" s="1"/>
  <c r="DG64" i="4"/>
  <c r="DG64" i="5" s="1"/>
  <c r="DB64" i="4"/>
  <c r="DB64" i="5" s="1"/>
  <c r="DQ63" i="4"/>
  <c r="DQ63" i="5" s="1"/>
  <c r="DL63" i="4"/>
  <c r="DL63" i="5" s="1"/>
  <c r="DG63" i="4"/>
  <c r="DG63" i="5" s="1"/>
  <c r="DB63" i="4"/>
  <c r="DB63" i="5" s="1"/>
  <c r="DQ62" i="4"/>
  <c r="DQ62" i="5" s="1"/>
  <c r="DL62" i="4"/>
  <c r="DL62" i="5" s="1"/>
  <c r="DG62" i="4"/>
  <c r="DG62" i="5" s="1"/>
  <c r="DB62" i="4"/>
  <c r="DB62" i="5" s="1"/>
  <c r="DQ61" i="4"/>
  <c r="DQ61" i="5" s="1"/>
  <c r="DL61" i="4"/>
  <c r="DL61" i="5" s="1"/>
  <c r="DG61" i="4"/>
  <c r="DG61" i="5" s="1"/>
  <c r="DB61" i="4"/>
  <c r="DB61" i="5" s="1"/>
  <c r="DQ60" i="4"/>
  <c r="DQ60" i="5" s="1"/>
  <c r="DL60" i="4"/>
  <c r="DL60" i="5" s="1"/>
  <c r="DG60" i="4"/>
  <c r="DG60" i="5" s="1"/>
  <c r="DB60" i="4"/>
  <c r="DB60" i="5" s="1"/>
  <c r="CW83" i="5" l="1"/>
  <c r="CM83" i="5"/>
  <c r="CH83" i="5"/>
  <c r="BN83" i="5"/>
  <c r="BS83" i="5"/>
  <c r="DQ83" i="5"/>
  <c r="BX83" i="5"/>
  <c r="CC83" i="5"/>
  <c r="DL83" i="5"/>
  <c r="DL22" i="7"/>
  <c r="DL20" i="7"/>
  <c r="DH26" i="7"/>
  <c r="DL139" i="3"/>
  <c r="DH51" i="5"/>
  <c r="DL51" i="3"/>
  <c r="DH55" i="3"/>
  <c r="DQ83" i="4"/>
  <c r="DL83" i="4"/>
  <c r="CW83" i="4"/>
  <c r="CY70" i="5"/>
  <c r="CY67" i="5"/>
  <c r="CY69" i="5"/>
  <c r="CY71" i="5"/>
  <c r="CR83" i="4"/>
  <c r="CX78" i="5"/>
  <c r="CX81" i="4"/>
  <c r="CX82" i="4"/>
  <c r="CX82" i="5" s="1"/>
  <c r="CZ67" i="5" l="1"/>
  <c r="DL26" i="7"/>
  <c r="CY81" i="4"/>
  <c r="CY81" i="5" s="1"/>
  <c r="CX81" i="5"/>
  <c r="CY80" i="5"/>
  <c r="CX80" i="5"/>
  <c r="CY79" i="5"/>
  <c r="CX79" i="5"/>
  <c r="CY77" i="5"/>
  <c r="CX77" i="5"/>
  <c r="DL55" i="3"/>
  <c r="DH55" i="5"/>
  <c r="CZ69" i="5"/>
  <c r="CZ71" i="5"/>
  <c r="CZ70" i="5"/>
  <c r="CX83" i="4"/>
  <c r="CY78" i="5"/>
  <c r="CY82" i="4"/>
  <c r="CY82" i="5" s="1"/>
  <c r="DB68" i="4"/>
  <c r="DB68" i="5" s="1"/>
  <c r="CZ81" i="4" l="1"/>
  <c r="CZ81" i="5" s="1"/>
  <c r="DA77" i="5"/>
  <c r="DB67" i="5"/>
  <c r="CY83" i="5"/>
  <c r="CZ79" i="5"/>
  <c r="CZ80" i="5"/>
  <c r="CX83" i="5"/>
  <c r="DA71" i="5"/>
  <c r="CZ82" i="4"/>
  <c r="CZ82" i="5" s="1"/>
  <c r="CY83" i="4"/>
  <c r="DA81" i="4" l="1"/>
  <c r="DB81" i="4" s="1"/>
  <c r="DB81" i="5" s="1"/>
  <c r="CZ77" i="5"/>
  <c r="DA79" i="5"/>
  <c r="DA69" i="5"/>
  <c r="DB69" i="5"/>
  <c r="DA78" i="5"/>
  <c r="CZ78" i="5"/>
  <c r="DC77" i="5"/>
  <c r="DB70" i="5"/>
  <c r="DA70" i="5"/>
  <c r="CZ83" i="4"/>
  <c r="DA82" i="4"/>
  <c r="DA82" i="5" s="1"/>
  <c r="DB71" i="5"/>
  <c r="DA81" i="5" l="1"/>
  <c r="DB79" i="5"/>
  <c r="DC69" i="5"/>
  <c r="DC150" i="7" s="1"/>
  <c r="DC70" i="5"/>
  <c r="DC151" i="7" s="1"/>
  <c r="DA80" i="5"/>
  <c r="DA83" i="5" s="1"/>
  <c r="DB80" i="5"/>
  <c r="DC81" i="4"/>
  <c r="DC81" i="5" s="1"/>
  <c r="CZ83" i="5"/>
  <c r="DC71" i="5"/>
  <c r="DC152" i="7" s="1"/>
  <c r="DB77" i="5"/>
  <c r="DB82" i="4"/>
  <c r="DB82" i="5" s="1"/>
  <c r="DA83" i="4"/>
  <c r="DB186" i="4"/>
  <c r="DB186" i="5" s="1"/>
  <c r="DC79" i="5" l="1"/>
  <c r="DD69" i="5"/>
  <c r="DD150" i="7" s="1"/>
  <c r="DD81" i="4"/>
  <c r="DD81" i="5" s="1"/>
  <c r="DD71" i="5"/>
  <c r="DD152" i="7" s="1"/>
  <c r="DD70" i="5"/>
  <c r="DD151" i="7" s="1"/>
  <c r="DD77" i="5"/>
  <c r="DE77" i="5"/>
  <c r="DB78" i="5"/>
  <c r="DB83" i="5" s="1"/>
  <c r="DC78" i="5"/>
  <c r="DC82" i="4"/>
  <c r="DC82" i="5" s="1"/>
  <c r="DB83" i="4"/>
  <c r="DQ230" i="4"/>
  <c r="DQ230" i="5" s="1"/>
  <c r="DQ229" i="4"/>
  <c r="DQ229" i="5" s="1"/>
  <c r="DQ228" i="4"/>
  <c r="DQ228" i="5" s="1"/>
  <c r="DQ227" i="4"/>
  <c r="DQ227" i="5" s="1"/>
  <c r="DQ226" i="4"/>
  <c r="DQ226" i="5" s="1"/>
  <c r="DQ225" i="4"/>
  <c r="DQ225" i="5" s="1"/>
  <c r="DQ224" i="4"/>
  <c r="DQ224" i="5" s="1"/>
  <c r="DQ223" i="4"/>
  <c r="DQ223" i="5" s="1"/>
  <c r="DQ222" i="4"/>
  <c r="DQ222" i="5" s="1"/>
  <c r="DQ221" i="4"/>
  <c r="DQ221" i="5" s="1"/>
  <c r="DQ220" i="4"/>
  <c r="DQ220" i="5" s="1"/>
  <c r="DQ219" i="4"/>
  <c r="DL230" i="5"/>
  <c r="DL229" i="5"/>
  <c r="DL228" i="5"/>
  <c r="DL227" i="5"/>
  <c r="DL226" i="5"/>
  <c r="DL225" i="5"/>
  <c r="DL224" i="5"/>
  <c r="DL223" i="5"/>
  <c r="DL222" i="5"/>
  <c r="DL221" i="5"/>
  <c r="DL220" i="5"/>
  <c r="DG226" i="4"/>
  <c r="DG226" i="5" s="1"/>
  <c r="DG225" i="4"/>
  <c r="DG225" i="5" s="1"/>
  <c r="DG224" i="4"/>
  <c r="DG224" i="5" s="1"/>
  <c r="DG223" i="4"/>
  <c r="DG223" i="5" s="1"/>
  <c r="DG222" i="4"/>
  <c r="DG222" i="5" s="1"/>
  <c r="DG221" i="4"/>
  <c r="DG221" i="5" s="1"/>
  <c r="DG220" i="4"/>
  <c r="DG220" i="5" s="1"/>
  <c r="DG219" i="4"/>
  <c r="DB225" i="4"/>
  <c r="DB225" i="5" s="1"/>
  <c r="DB224" i="4"/>
  <c r="DB224" i="5" s="1"/>
  <c r="DB223" i="4"/>
  <c r="DB223" i="5" s="1"/>
  <c r="DB222" i="4"/>
  <c r="DB222" i="5" s="1"/>
  <c r="DB221" i="4"/>
  <c r="DB221" i="5" s="1"/>
  <c r="DB220" i="4"/>
  <c r="DB220" i="5" s="1"/>
  <c r="DB219" i="4"/>
  <c r="CW230" i="4"/>
  <c r="CW230" i="5" s="1"/>
  <c r="CW229" i="4"/>
  <c r="CW229" i="5" s="1"/>
  <c r="CW228" i="4"/>
  <c r="CW228" i="5" s="1"/>
  <c r="CW227" i="4"/>
  <c r="CW227" i="5" s="1"/>
  <c r="CW226" i="4"/>
  <c r="CW226" i="5" s="1"/>
  <c r="CW225" i="4"/>
  <c r="CW225" i="5" s="1"/>
  <c r="CW224" i="4"/>
  <c r="CW224" i="5" s="1"/>
  <c r="CW223" i="4"/>
  <c r="CW223" i="5" s="1"/>
  <c r="CW222" i="4"/>
  <c r="CW222" i="5" s="1"/>
  <c r="CW221" i="4"/>
  <c r="CW221" i="5" s="1"/>
  <c r="CW220" i="4"/>
  <c r="CW220" i="5" s="1"/>
  <c r="CW219" i="4"/>
  <c r="CR230" i="4"/>
  <c r="CR230" i="5" s="1"/>
  <c r="CR229" i="4"/>
  <c r="CR229" i="5" s="1"/>
  <c r="CR228" i="4"/>
  <c r="CR228" i="5" s="1"/>
  <c r="CR227" i="4"/>
  <c r="CR227" i="5" s="1"/>
  <c r="CR226" i="4"/>
  <c r="CR226" i="5" s="1"/>
  <c r="CR225" i="4"/>
  <c r="CR225" i="5" s="1"/>
  <c r="CR224" i="4"/>
  <c r="CR224" i="5" s="1"/>
  <c r="CR223" i="4"/>
  <c r="CR223" i="5" s="1"/>
  <c r="CR222" i="4"/>
  <c r="CR222" i="5" s="1"/>
  <c r="CR221" i="4"/>
  <c r="CR221" i="5" s="1"/>
  <c r="CR220" i="4"/>
  <c r="CR220" i="5" s="1"/>
  <c r="CR219" i="4"/>
  <c r="CM230" i="4"/>
  <c r="CM230" i="5" s="1"/>
  <c r="CM229" i="4"/>
  <c r="CM229" i="5" s="1"/>
  <c r="CM228" i="4"/>
  <c r="CM228" i="5" s="1"/>
  <c r="CM227" i="4"/>
  <c r="CM227" i="5" s="1"/>
  <c r="CM226" i="4"/>
  <c r="CM226" i="5" s="1"/>
  <c r="CM225" i="4"/>
  <c r="CM225" i="5" s="1"/>
  <c r="CM224" i="4"/>
  <c r="CM224" i="5" s="1"/>
  <c r="CM223" i="4"/>
  <c r="CM223" i="5" s="1"/>
  <c r="CM222" i="4"/>
  <c r="CM222" i="5" s="1"/>
  <c r="CM221" i="4"/>
  <c r="CM221" i="5" s="1"/>
  <c r="CM220" i="4"/>
  <c r="CM220" i="5" s="1"/>
  <c r="CM219" i="4"/>
  <c r="CH230" i="4"/>
  <c r="CH230" i="5" s="1"/>
  <c r="CH229" i="4"/>
  <c r="CH229" i="5" s="1"/>
  <c r="CH228" i="4"/>
  <c r="CH228" i="5" s="1"/>
  <c r="CH227" i="4"/>
  <c r="CH227" i="5" s="1"/>
  <c r="CH226" i="4"/>
  <c r="CH226" i="5" s="1"/>
  <c r="CH225" i="4"/>
  <c r="CH225" i="5" s="1"/>
  <c r="CH224" i="4"/>
  <c r="CH224" i="5" s="1"/>
  <c r="CH223" i="4"/>
  <c r="CH223" i="5" s="1"/>
  <c r="CH222" i="4"/>
  <c r="CH222" i="5" s="1"/>
  <c r="CH221" i="4"/>
  <c r="CH221" i="5" s="1"/>
  <c r="CH220" i="4"/>
  <c r="CH220" i="5" s="1"/>
  <c r="CH219" i="4"/>
  <c r="CC230" i="4"/>
  <c r="CC230" i="5" s="1"/>
  <c r="CC229" i="4"/>
  <c r="CC229" i="5" s="1"/>
  <c r="CC228" i="4"/>
  <c r="CC228" i="5" s="1"/>
  <c r="CC227" i="4"/>
  <c r="CC227" i="5" s="1"/>
  <c r="CC226" i="4"/>
  <c r="CC226" i="5" s="1"/>
  <c r="CC225" i="4"/>
  <c r="CC225" i="5" s="1"/>
  <c r="CC224" i="4"/>
  <c r="CC224" i="5" s="1"/>
  <c r="CC223" i="4"/>
  <c r="CC223" i="5" s="1"/>
  <c r="CC222" i="4"/>
  <c r="CC222" i="5" s="1"/>
  <c r="CC221" i="4"/>
  <c r="CC221" i="5" s="1"/>
  <c r="CC220" i="4"/>
  <c r="CC220" i="5" s="1"/>
  <c r="CC219" i="4"/>
  <c r="BX230" i="4"/>
  <c r="BX230" i="5" s="1"/>
  <c r="BX229" i="4"/>
  <c r="BX229" i="5" s="1"/>
  <c r="BX228" i="4"/>
  <c r="BX228" i="5" s="1"/>
  <c r="BX227" i="4"/>
  <c r="BX227" i="5" s="1"/>
  <c r="BX226" i="4"/>
  <c r="BX226" i="5" s="1"/>
  <c r="BX225" i="4"/>
  <c r="BX225" i="5" s="1"/>
  <c r="BX224" i="4"/>
  <c r="BX224" i="5" s="1"/>
  <c r="BX223" i="4"/>
  <c r="BX223" i="5" s="1"/>
  <c r="BX222" i="4"/>
  <c r="BX222" i="5" s="1"/>
  <c r="BX221" i="4"/>
  <c r="BX221" i="5" s="1"/>
  <c r="BX220" i="4"/>
  <c r="BX220" i="5" s="1"/>
  <c r="BX219" i="4"/>
  <c r="BS230" i="4"/>
  <c r="BS230" i="5" s="1"/>
  <c r="BS229" i="4"/>
  <c r="BS229" i="5" s="1"/>
  <c r="BS228" i="4"/>
  <c r="BS228" i="5" s="1"/>
  <c r="BS227" i="4"/>
  <c r="BS227" i="5" s="1"/>
  <c r="BS226" i="4"/>
  <c r="BS226" i="5" s="1"/>
  <c r="BS225" i="4"/>
  <c r="BS225" i="5" s="1"/>
  <c r="BS224" i="4"/>
  <c r="BS224" i="5" s="1"/>
  <c r="BS223" i="4"/>
  <c r="BS223" i="5" s="1"/>
  <c r="BS222" i="4"/>
  <c r="BS222" i="5" s="1"/>
  <c r="BS221" i="4"/>
  <c r="BS221" i="5" s="1"/>
  <c r="BS220" i="4"/>
  <c r="BS220" i="5" s="1"/>
  <c r="BS219" i="4"/>
  <c r="BN230" i="4"/>
  <c r="BN230" i="5" s="1"/>
  <c r="BN229" i="4"/>
  <c r="BN229" i="5" s="1"/>
  <c r="BN228" i="4"/>
  <c r="BN228" i="5" s="1"/>
  <c r="BN227" i="4"/>
  <c r="BN227" i="5" s="1"/>
  <c r="BN226" i="4"/>
  <c r="BN226" i="5" s="1"/>
  <c r="BN225" i="4"/>
  <c r="BN225" i="5" s="1"/>
  <c r="BN224" i="4"/>
  <c r="BN224" i="5" s="1"/>
  <c r="BN223" i="4"/>
  <c r="BN223" i="5" s="1"/>
  <c r="BN222" i="4"/>
  <c r="BN222" i="5" s="1"/>
  <c r="BN221" i="4"/>
  <c r="BN221" i="5" s="1"/>
  <c r="BN220" i="4"/>
  <c r="BN220" i="5" s="1"/>
  <c r="BN219" i="4"/>
  <c r="DQ211" i="4"/>
  <c r="DQ211" i="5" s="1"/>
  <c r="DQ210" i="4"/>
  <c r="DQ210" i="5" s="1"/>
  <c r="DQ209" i="4"/>
  <c r="DQ209" i="5" s="1"/>
  <c r="DQ208" i="4"/>
  <c r="DQ208" i="5" s="1"/>
  <c r="DQ207" i="4"/>
  <c r="DQ207" i="5" s="1"/>
  <c r="DQ206" i="4"/>
  <c r="DQ206" i="5" s="1"/>
  <c r="DQ205" i="4"/>
  <c r="DQ205" i="5" s="1"/>
  <c r="DQ204" i="4"/>
  <c r="DQ204" i="5" s="1"/>
  <c r="DQ203" i="4"/>
  <c r="DQ203" i="5" s="1"/>
  <c r="DQ202" i="4"/>
  <c r="DQ202" i="5" s="1"/>
  <c r="DQ201" i="4"/>
  <c r="DQ201" i="5" s="1"/>
  <c r="DQ200" i="4"/>
  <c r="DL211" i="4"/>
  <c r="DL211" i="5" s="1"/>
  <c r="DL210" i="4"/>
  <c r="DL210" i="5" s="1"/>
  <c r="DL209" i="4"/>
  <c r="DL209" i="5" s="1"/>
  <c r="DL208" i="4"/>
  <c r="DL208" i="5" s="1"/>
  <c r="DL207" i="4"/>
  <c r="DL207" i="5" s="1"/>
  <c r="DL206" i="4"/>
  <c r="DL206" i="5" s="1"/>
  <c r="DL205" i="4"/>
  <c r="DL205" i="5" s="1"/>
  <c r="DL204" i="4"/>
  <c r="DL204" i="5" s="1"/>
  <c r="DL203" i="4"/>
  <c r="DL203" i="5" s="1"/>
  <c r="DL202" i="4"/>
  <c r="DL202" i="5" s="1"/>
  <c r="DL201" i="4"/>
  <c r="DL201" i="5" s="1"/>
  <c r="DL200" i="4"/>
  <c r="DG206" i="4"/>
  <c r="DG206" i="5" s="1"/>
  <c r="DG205" i="4"/>
  <c r="DG205" i="5" s="1"/>
  <c r="DG204" i="4"/>
  <c r="DG204" i="5" s="1"/>
  <c r="DG203" i="4"/>
  <c r="DG203" i="5" s="1"/>
  <c r="DG202" i="4"/>
  <c r="DG202" i="5" s="1"/>
  <c r="DG201" i="4"/>
  <c r="DG201" i="5" s="1"/>
  <c r="DG200" i="4"/>
  <c r="DB206" i="4"/>
  <c r="DB206" i="5" s="1"/>
  <c r="DB205" i="4"/>
  <c r="DB205" i="5" s="1"/>
  <c r="DB204" i="4"/>
  <c r="DB204" i="5" s="1"/>
  <c r="DB203" i="4"/>
  <c r="DB203" i="5" s="1"/>
  <c r="DB202" i="4"/>
  <c r="DB202" i="5" s="1"/>
  <c r="DB201" i="4"/>
  <c r="DB201" i="5" s="1"/>
  <c r="DB200" i="4"/>
  <c r="CW211" i="4"/>
  <c r="CW211" i="5" s="1"/>
  <c r="CW210" i="4"/>
  <c r="CW210" i="5" s="1"/>
  <c r="CW209" i="4"/>
  <c r="CW209" i="5" s="1"/>
  <c r="CW208" i="4"/>
  <c r="CW208" i="5" s="1"/>
  <c r="CW207" i="4"/>
  <c r="CW207" i="5" s="1"/>
  <c r="CW206" i="4"/>
  <c r="CW206" i="5" s="1"/>
  <c r="CW205" i="4"/>
  <c r="CW205" i="5" s="1"/>
  <c r="CW204" i="4"/>
  <c r="CW204" i="5" s="1"/>
  <c r="CW203" i="4"/>
  <c r="CW203" i="5" s="1"/>
  <c r="CW202" i="4"/>
  <c r="CW202" i="5" s="1"/>
  <c r="CW201" i="4"/>
  <c r="CW201" i="5" s="1"/>
  <c r="CW200" i="4"/>
  <c r="CR211" i="4"/>
  <c r="CR211" i="5" s="1"/>
  <c r="CR210" i="4"/>
  <c r="CR210" i="5" s="1"/>
  <c r="CR209" i="4"/>
  <c r="CR209" i="5" s="1"/>
  <c r="CR208" i="4"/>
  <c r="CR208" i="5" s="1"/>
  <c r="CR207" i="4"/>
  <c r="CR207" i="5" s="1"/>
  <c r="CR206" i="4"/>
  <c r="CR206" i="5" s="1"/>
  <c r="CR205" i="4"/>
  <c r="CR205" i="5" s="1"/>
  <c r="CR204" i="4"/>
  <c r="CR204" i="5" s="1"/>
  <c r="CR203" i="4"/>
  <c r="CR203" i="5" s="1"/>
  <c r="CR202" i="4"/>
  <c r="CR202" i="5" s="1"/>
  <c r="CR201" i="4"/>
  <c r="CR201" i="5" s="1"/>
  <c r="CR200" i="4"/>
  <c r="CM211" i="4"/>
  <c r="CM211" i="5" s="1"/>
  <c r="CM210" i="4"/>
  <c r="CM210" i="5" s="1"/>
  <c r="CM209" i="4"/>
  <c r="CM209" i="5" s="1"/>
  <c r="CM208" i="4"/>
  <c r="CM208" i="5" s="1"/>
  <c r="CM207" i="4"/>
  <c r="CM207" i="5" s="1"/>
  <c r="CM206" i="4"/>
  <c r="CM206" i="5" s="1"/>
  <c r="CM205" i="4"/>
  <c r="CM205" i="5" s="1"/>
  <c r="CM204" i="4"/>
  <c r="CM204" i="5" s="1"/>
  <c r="CM203" i="4"/>
  <c r="CM203" i="5" s="1"/>
  <c r="CM202" i="4"/>
  <c r="CM202" i="5" s="1"/>
  <c r="CM201" i="4"/>
  <c r="CM201" i="5" s="1"/>
  <c r="CM200" i="4"/>
  <c r="CH211" i="4"/>
  <c r="CH211" i="5" s="1"/>
  <c r="CH210" i="4"/>
  <c r="CH210" i="5" s="1"/>
  <c r="CH209" i="4"/>
  <c r="CH209" i="5" s="1"/>
  <c r="CH208" i="4"/>
  <c r="CH208" i="5" s="1"/>
  <c r="CH207" i="4"/>
  <c r="CH207" i="5" s="1"/>
  <c r="CH206" i="4"/>
  <c r="CH206" i="5" s="1"/>
  <c r="CH205" i="4"/>
  <c r="CH205" i="5" s="1"/>
  <c r="CH204" i="4"/>
  <c r="CH204" i="5" s="1"/>
  <c r="CH203" i="4"/>
  <c r="CH203" i="5" s="1"/>
  <c r="CH202" i="4"/>
  <c r="CH202" i="5" s="1"/>
  <c r="CH201" i="4"/>
  <c r="CH201" i="5" s="1"/>
  <c r="CH200" i="4"/>
  <c r="CC211" i="4"/>
  <c r="CC211" i="5" s="1"/>
  <c r="CC210" i="4"/>
  <c r="CC210" i="5" s="1"/>
  <c r="CC209" i="4"/>
  <c r="CC209" i="5" s="1"/>
  <c r="CC208" i="4"/>
  <c r="CC208" i="5" s="1"/>
  <c r="CC207" i="4"/>
  <c r="CC207" i="5" s="1"/>
  <c r="CC206" i="4"/>
  <c r="CC206" i="5" s="1"/>
  <c r="CC205" i="4"/>
  <c r="CC205" i="5" s="1"/>
  <c r="CC204" i="4"/>
  <c r="CC204" i="5" s="1"/>
  <c r="CC203" i="4"/>
  <c r="CC203" i="5" s="1"/>
  <c r="CC202" i="4"/>
  <c r="CC202" i="5" s="1"/>
  <c r="CC201" i="4"/>
  <c r="CC201" i="5" s="1"/>
  <c r="CC200" i="4"/>
  <c r="BX211" i="4"/>
  <c r="BX211" i="5" s="1"/>
  <c r="BX210" i="4"/>
  <c r="BX210" i="5" s="1"/>
  <c r="BX209" i="4"/>
  <c r="BX209" i="5" s="1"/>
  <c r="BX208" i="4"/>
  <c r="BX208" i="5" s="1"/>
  <c r="BX207" i="4"/>
  <c r="BX207" i="5" s="1"/>
  <c r="BX206" i="4"/>
  <c r="BX206" i="5" s="1"/>
  <c r="BX205" i="4"/>
  <c r="BX205" i="5" s="1"/>
  <c r="BX204" i="4"/>
  <c r="BX204" i="5" s="1"/>
  <c r="BX203" i="4"/>
  <c r="BX203" i="5" s="1"/>
  <c r="BX202" i="4"/>
  <c r="BX202" i="5" s="1"/>
  <c r="BX201" i="4"/>
  <c r="BX201" i="5" s="1"/>
  <c r="BX200" i="4"/>
  <c r="BS211" i="4"/>
  <c r="BS211" i="5" s="1"/>
  <c r="BS210" i="4"/>
  <c r="BS210" i="5" s="1"/>
  <c r="BS209" i="4"/>
  <c r="BS209" i="5" s="1"/>
  <c r="BS208" i="4"/>
  <c r="BS208" i="5" s="1"/>
  <c r="BS207" i="4"/>
  <c r="BS207" i="5" s="1"/>
  <c r="BS206" i="4"/>
  <c r="BS206" i="5" s="1"/>
  <c r="BS205" i="4"/>
  <c r="BS205" i="5" s="1"/>
  <c r="BS204" i="4"/>
  <c r="BS204" i="5" s="1"/>
  <c r="BS203" i="4"/>
  <c r="BS203" i="5" s="1"/>
  <c r="BS202" i="4"/>
  <c r="BS202" i="5" s="1"/>
  <c r="BS201" i="4"/>
  <c r="BS201" i="5" s="1"/>
  <c r="BS200" i="4"/>
  <c r="BN211" i="4"/>
  <c r="BN211" i="5" s="1"/>
  <c r="BN210" i="4"/>
  <c r="BN210" i="5" s="1"/>
  <c r="BN209" i="4"/>
  <c r="BN209" i="5" s="1"/>
  <c r="BN208" i="4"/>
  <c r="BN208" i="5" s="1"/>
  <c r="BN207" i="4"/>
  <c r="BN207" i="5" s="1"/>
  <c r="BN206" i="4"/>
  <c r="BN206" i="5" s="1"/>
  <c r="BN205" i="4"/>
  <c r="BN205" i="5" s="1"/>
  <c r="BN204" i="4"/>
  <c r="BN204" i="5" s="1"/>
  <c r="BN203" i="4"/>
  <c r="BN203" i="5" s="1"/>
  <c r="BN202" i="4"/>
  <c r="BN202" i="5" s="1"/>
  <c r="BN201" i="4"/>
  <c r="BN201" i="5" s="1"/>
  <c r="BN200" i="4"/>
  <c r="DQ194" i="4"/>
  <c r="DQ194" i="5" s="1"/>
  <c r="DQ193" i="4"/>
  <c r="DQ193" i="5" s="1"/>
  <c r="DQ192" i="4"/>
  <c r="DQ192" i="5" s="1"/>
  <c r="DQ191" i="4"/>
  <c r="DQ191" i="5" s="1"/>
  <c r="DQ190" i="4"/>
  <c r="DQ190" i="5" s="1"/>
  <c r="DQ189" i="4"/>
  <c r="DQ189" i="5" s="1"/>
  <c r="DQ188" i="4"/>
  <c r="DQ188" i="5" s="1"/>
  <c r="DQ187" i="4"/>
  <c r="DQ187" i="5" s="1"/>
  <c r="DQ186" i="4"/>
  <c r="DQ186" i="5" s="1"/>
  <c r="DQ183" i="4"/>
  <c r="DQ183" i="5" s="1"/>
  <c r="DQ182" i="4"/>
  <c r="DQ182" i="5" s="1"/>
  <c r="DQ181" i="4"/>
  <c r="DQ181" i="5" s="1"/>
  <c r="DQ180" i="4"/>
  <c r="DQ180" i="5" s="1"/>
  <c r="DQ179" i="4"/>
  <c r="DQ179" i="5" s="1"/>
  <c r="DQ178" i="4"/>
  <c r="DQ178" i="5" s="1"/>
  <c r="DQ177" i="4"/>
  <c r="DQ177" i="5" s="1"/>
  <c r="DQ176" i="4"/>
  <c r="DQ176" i="5" s="1"/>
  <c r="DQ175" i="4"/>
  <c r="DQ175" i="5" s="1"/>
  <c r="DQ174" i="4"/>
  <c r="DQ174" i="5" s="1"/>
  <c r="DQ173" i="4"/>
  <c r="DQ173" i="5" s="1"/>
  <c r="DQ172" i="4"/>
  <c r="DQ172" i="5" s="1"/>
  <c r="DL194" i="4"/>
  <c r="DL194" i="5" s="1"/>
  <c r="DL193" i="4"/>
  <c r="DL193" i="5" s="1"/>
  <c r="DL192" i="4"/>
  <c r="DL192" i="5" s="1"/>
  <c r="DL191" i="4"/>
  <c r="DL191" i="5" s="1"/>
  <c r="DL190" i="4"/>
  <c r="DL190" i="5" s="1"/>
  <c r="DL189" i="4"/>
  <c r="DL189" i="5" s="1"/>
  <c r="DL188" i="4"/>
  <c r="DL188" i="5" s="1"/>
  <c r="DL187" i="4"/>
  <c r="DL187" i="5" s="1"/>
  <c r="DL186" i="4"/>
  <c r="DL186" i="5" s="1"/>
  <c r="DL183" i="4"/>
  <c r="DL183" i="5" s="1"/>
  <c r="DL182" i="4"/>
  <c r="DL182" i="5" s="1"/>
  <c r="DL181" i="4"/>
  <c r="DL181" i="5" s="1"/>
  <c r="DL180" i="4"/>
  <c r="DL180" i="5" s="1"/>
  <c r="DL179" i="4"/>
  <c r="DL179" i="5" s="1"/>
  <c r="DL178" i="4"/>
  <c r="DL178" i="5" s="1"/>
  <c r="DL177" i="4"/>
  <c r="DL177" i="5" s="1"/>
  <c r="DL176" i="4"/>
  <c r="DL176" i="5" s="1"/>
  <c r="DL175" i="4"/>
  <c r="DL175" i="5" s="1"/>
  <c r="DL174" i="4"/>
  <c r="DL174" i="5" s="1"/>
  <c r="DL173" i="4"/>
  <c r="DL173" i="5" s="1"/>
  <c r="DL172" i="4"/>
  <c r="DL172" i="5" s="1"/>
  <c r="DG188" i="4"/>
  <c r="DG188" i="5" s="1"/>
  <c r="DG187" i="4"/>
  <c r="DG187" i="5" s="1"/>
  <c r="DG186" i="4"/>
  <c r="DG186" i="5" s="1"/>
  <c r="DG183" i="4"/>
  <c r="DG183" i="5" s="1"/>
  <c r="DG182" i="4"/>
  <c r="DG182" i="5" s="1"/>
  <c r="DG181" i="4"/>
  <c r="DG181" i="5" s="1"/>
  <c r="DG180" i="4"/>
  <c r="DG180" i="5" s="1"/>
  <c r="DG179" i="4"/>
  <c r="DG179" i="5" s="1"/>
  <c r="DG178" i="4"/>
  <c r="DG178" i="5" s="1"/>
  <c r="DG177" i="4"/>
  <c r="DG177" i="5" s="1"/>
  <c r="DG176" i="4"/>
  <c r="DG176" i="5" s="1"/>
  <c r="DG175" i="4"/>
  <c r="DG175" i="5" s="1"/>
  <c r="DG174" i="4"/>
  <c r="DG174" i="5" s="1"/>
  <c r="DG173" i="4"/>
  <c r="DG173" i="5" s="1"/>
  <c r="DG172" i="4"/>
  <c r="DG172" i="5" s="1"/>
  <c r="DB188" i="4"/>
  <c r="DB188" i="5" s="1"/>
  <c r="DB187" i="4"/>
  <c r="DB187" i="5" s="1"/>
  <c r="DB178" i="4"/>
  <c r="DB178" i="5" s="1"/>
  <c r="DB177" i="4"/>
  <c r="DB177" i="5" s="1"/>
  <c r="DB176" i="4"/>
  <c r="DB176" i="5" s="1"/>
  <c r="DB175" i="4"/>
  <c r="DB175" i="5" s="1"/>
  <c r="DB174" i="4"/>
  <c r="DB174" i="5" s="1"/>
  <c r="DB173" i="4"/>
  <c r="DB173" i="5" s="1"/>
  <c r="DB172" i="4"/>
  <c r="DB172" i="5" s="1"/>
  <c r="CW194" i="4"/>
  <c r="CW194" i="5" s="1"/>
  <c r="CW193" i="4"/>
  <c r="CW193" i="5" s="1"/>
  <c r="CW192" i="4"/>
  <c r="CW192" i="5" s="1"/>
  <c r="CW191" i="4"/>
  <c r="CW191" i="5" s="1"/>
  <c r="CW190" i="4"/>
  <c r="CW190" i="5" s="1"/>
  <c r="CW189" i="4"/>
  <c r="CW189" i="5" s="1"/>
  <c r="CW188" i="4"/>
  <c r="CW188" i="5" s="1"/>
  <c r="CW187" i="4"/>
  <c r="CW187" i="5" s="1"/>
  <c r="CW186" i="4"/>
  <c r="CW186" i="5" s="1"/>
  <c r="CW183" i="4"/>
  <c r="CW183" i="5" s="1"/>
  <c r="CW182" i="4"/>
  <c r="CW182" i="5" s="1"/>
  <c r="CW181" i="4"/>
  <c r="CW181" i="5" s="1"/>
  <c r="CW180" i="4"/>
  <c r="CW180" i="5" s="1"/>
  <c r="CW179" i="4"/>
  <c r="CW179" i="5" s="1"/>
  <c r="CW178" i="4"/>
  <c r="CW178" i="5" s="1"/>
  <c r="CW177" i="4"/>
  <c r="CW177" i="5" s="1"/>
  <c r="CW176" i="4"/>
  <c r="CW176" i="5" s="1"/>
  <c r="CW175" i="4"/>
  <c r="CW175" i="5" s="1"/>
  <c r="CW174" i="4"/>
  <c r="CW174" i="5" s="1"/>
  <c r="CW173" i="4"/>
  <c r="CW173" i="5" s="1"/>
  <c r="CW172" i="4"/>
  <c r="CW172" i="5" s="1"/>
  <c r="CR194" i="4"/>
  <c r="CR194" i="5" s="1"/>
  <c r="CR193" i="4"/>
  <c r="CR193" i="5" s="1"/>
  <c r="CR192" i="4"/>
  <c r="CR192" i="5" s="1"/>
  <c r="CR191" i="4"/>
  <c r="CR191" i="5" s="1"/>
  <c r="CR190" i="4"/>
  <c r="CR190" i="5" s="1"/>
  <c r="CR189" i="4"/>
  <c r="CR189" i="5" s="1"/>
  <c r="CR188" i="4"/>
  <c r="CR188" i="5" s="1"/>
  <c r="CR187" i="4"/>
  <c r="CR187" i="5" s="1"/>
  <c r="CR186" i="4"/>
  <c r="CR186" i="5" s="1"/>
  <c r="CR183" i="4"/>
  <c r="CR183" i="5" s="1"/>
  <c r="CR182" i="4"/>
  <c r="CR182" i="5" s="1"/>
  <c r="CR181" i="4"/>
  <c r="CR181" i="5" s="1"/>
  <c r="CR180" i="4"/>
  <c r="CR180" i="5" s="1"/>
  <c r="CR179" i="4"/>
  <c r="CR179" i="5" s="1"/>
  <c r="CR178" i="4"/>
  <c r="CR178" i="5" s="1"/>
  <c r="CR177" i="4"/>
  <c r="CR177" i="5" s="1"/>
  <c r="CR176" i="4"/>
  <c r="CR176" i="5" s="1"/>
  <c r="CR175" i="4"/>
  <c r="CR175" i="5" s="1"/>
  <c r="CR174" i="4"/>
  <c r="CR174" i="5" s="1"/>
  <c r="CR173" i="4"/>
  <c r="CR173" i="5" s="1"/>
  <c r="CR172" i="4"/>
  <c r="CR172" i="5" s="1"/>
  <c r="CM194" i="4"/>
  <c r="CM194" i="5" s="1"/>
  <c r="CM193" i="4"/>
  <c r="CM193" i="5" s="1"/>
  <c r="CM192" i="4"/>
  <c r="CM192" i="5" s="1"/>
  <c r="CM191" i="4"/>
  <c r="CM191" i="5" s="1"/>
  <c r="CM190" i="4"/>
  <c r="CM190" i="5" s="1"/>
  <c r="CM189" i="4"/>
  <c r="CM189" i="5" s="1"/>
  <c r="CM188" i="4"/>
  <c r="CM188" i="5" s="1"/>
  <c r="CM187" i="4"/>
  <c r="CM187" i="5" s="1"/>
  <c r="CM186" i="4"/>
  <c r="CM186" i="5" s="1"/>
  <c r="CM183" i="4"/>
  <c r="CM183" i="5" s="1"/>
  <c r="CM182" i="4"/>
  <c r="CM182" i="5" s="1"/>
  <c r="CM181" i="4"/>
  <c r="CM181" i="5" s="1"/>
  <c r="CM180" i="4"/>
  <c r="CM180" i="5" s="1"/>
  <c r="CM179" i="4"/>
  <c r="CM179" i="5" s="1"/>
  <c r="CM178" i="4"/>
  <c r="CM178" i="5" s="1"/>
  <c r="CM177" i="4"/>
  <c r="CM177" i="5" s="1"/>
  <c r="CM176" i="4"/>
  <c r="CM176" i="5" s="1"/>
  <c r="CM175" i="4"/>
  <c r="CM175" i="5" s="1"/>
  <c r="CM174" i="4"/>
  <c r="CM174" i="5" s="1"/>
  <c r="CM173" i="4"/>
  <c r="CM173" i="5" s="1"/>
  <c r="CM172" i="4"/>
  <c r="CM172" i="5" s="1"/>
  <c r="CH194" i="4"/>
  <c r="CH194" i="5" s="1"/>
  <c r="CH193" i="4"/>
  <c r="CH193" i="5" s="1"/>
  <c r="CH192" i="4"/>
  <c r="CH192" i="5" s="1"/>
  <c r="CH191" i="4"/>
  <c r="CH191" i="5" s="1"/>
  <c r="CH190" i="4"/>
  <c r="CH190" i="5" s="1"/>
  <c r="CH189" i="4"/>
  <c r="CH189" i="5" s="1"/>
  <c r="CH188" i="4"/>
  <c r="CH188" i="5" s="1"/>
  <c r="CH187" i="4"/>
  <c r="CH187" i="5" s="1"/>
  <c r="CH186" i="4"/>
  <c r="CH186" i="5" s="1"/>
  <c r="CH183" i="4"/>
  <c r="CH183" i="5" s="1"/>
  <c r="CH182" i="4"/>
  <c r="CH182" i="5" s="1"/>
  <c r="CH181" i="4"/>
  <c r="CH181" i="5" s="1"/>
  <c r="CH180" i="4"/>
  <c r="CH180" i="5" s="1"/>
  <c r="CH179" i="4"/>
  <c r="CH179" i="5" s="1"/>
  <c r="CH178" i="4"/>
  <c r="CH178" i="5" s="1"/>
  <c r="CH177" i="4"/>
  <c r="CH177" i="5" s="1"/>
  <c r="CH176" i="4"/>
  <c r="CH176" i="5" s="1"/>
  <c r="CH175" i="4"/>
  <c r="CH175" i="5" s="1"/>
  <c r="CH174" i="4"/>
  <c r="CH174" i="5" s="1"/>
  <c r="CH173" i="4"/>
  <c r="CH173" i="5" s="1"/>
  <c r="CH172" i="4"/>
  <c r="CH172" i="5" s="1"/>
  <c r="CC194" i="4"/>
  <c r="CC194" i="5" s="1"/>
  <c r="CC193" i="4"/>
  <c r="CC193" i="5" s="1"/>
  <c r="CC192" i="4"/>
  <c r="CC192" i="5" s="1"/>
  <c r="CC191" i="4"/>
  <c r="CC191" i="5" s="1"/>
  <c r="CC190" i="4"/>
  <c r="CC190" i="5" s="1"/>
  <c r="CC189" i="4"/>
  <c r="CC189" i="5" s="1"/>
  <c r="CC188" i="4"/>
  <c r="CC188" i="5" s="1"/>
  <c r="CC187" i="4"/>
  <c r="CC187" i="5" s="1"/>
  <c r="CC186" i="4"/>
  <c r="CC186" i="5" s="1"/>
  <c r="CC183" i="4"/>
  <c r="CC183" i="5" s="1"/>
  <c r="CC182" i="4"/>
  <c r="CC182" i="5" s="1"/>
  <c r="CC181" i="4"/>
  <c r="CC181" i="5" s="1"/>
  <c r="CC180" i="4"/>
  <c r="CC180" i="5" s="1"/>
  <c r="CC179" i="4"/>
  <c r="CC179" i="5" s="1"/>
  <c r="CC178" i="4"/>
  <c r="CC178" i="5" s="1"/>
  <c r="CC177" i="4"/>
  <c r="CC177" i="5" s="1"/>
  <c r="CC176" i="4"/>
  <c r="CC176" i="5" s="1"/>
  <c r="CC175" i="4"/>
  <c r="CC175" i="5" s="1"/>
  <c r="CC174" i="4"/>
  <c r="CC174" i="5" s="1"/>
  <c r="CC173" i="4"/>
  <c r="CC173" i="5" s="1"/>
  <c r="CC172" i="4"/>
  <c r="CC172" i="5" s="1"/>
  <c r="BX194" i="4"/>
  <c r="BX194" i="5" s="1"/>
  <c r="BX193" i="4"/>
  <c r="BX193" i="5" s="1"/>
  <c r="BX192" i="4"/>
  <c r="BX192" i="5" s="1"/>
  <c r="BX191" i="4"/>
  <c r="BX191" i="5" s="1"/>
  <c r="BX190" i="4"/>
  <c r="BX190" i="5" s="1"/>
  <c r="BX189" i="4"/>
  <c r="BX189" i="5" s="1"/>
  <c r="BX188" i="4"/>
  <c r="BX188" i="5" s="1"/>
  <c r="BX187" i="4"/>
  <c r="BX187" i="5" s="1"/>
  <c r="BX186" i="4"/>
  <c r="BX186" i="5" s="1"/>
  <c r="BX183" i="4"/>
  <c r="BX183" i="5" s="1"/>
  <c r="BX182" i="4"/>
  <c r="BX182" i="5" s="1"/>
  <c r="BX181" i="4"/>
  <c r="BX181" i="5" s="1"/>
  <c r="BX180" i="4"/>
  <c r="BX180" i="5" s="1"/>
  <c r="BX179" i="4"/>
  <c r="BX179" i="5" s="1"/>
  <c r="BX178" i="4"/>
  <c r="BX178" i="5" s="1"/>
  <c r="BX177" i="4"/>
  <c r="BX177" i="5" s="1"/>
  <c r="BX176" i="4"/>
  <c r="BX176" i="5" s="1"/>
  <c r="BX175" i="4"/>
  <c r="BX175" i="5" s="1"/>
  <c r="BX174" i="4"/>
  <c r="BX174" i="5" s="1"/>
  <c r="BX173" i="4"/>
  <c r="BX173" i="5" s="1"/>
  <c r="BX172" i="4"/>
  <c r="BX172" i="5" s="1"/>
  <c r="BS194" i="4"/>
  <c r="BS194" i="5" s="1"/>
  <c r="BS193" i="4"/>
  <c r="BS193" i="5" s="1"/>
  <c r="BS192" i="4"/>
  <c r="BS192" i="5" s="1"/>
  <c r="BS191" i="4"/>
  <c r="BS191" i="5" s="1"/>
  <c r="BS190" i="4"/>
  <c r="BS190" i="5" s="1"/>
  <c r="BS189" i="4"/>
  <c r="BS189" i="5" s="1"/>
  <c r="BS188" i="4"/>
  <c r="BS188" i="5" s="1"/>
  <c r="BS187" i="4"/>
  <c r="BS187" i="5" s="1"/>
  <c r="BS186" i="4"/>
  <c r="BS186" i="5" s="1"/>
  <c r="BS183" i="4"/>
  <c r="BS183" i="5" s="1"/>
  <c r="BS182" i="4"/>
  <c r="BS182" i="5" s="1"/>
  <c r="BS181" i="4"/>
  <c r="BS181" i="5" s="1"/>
  <c r="BS180" i="4"/>
  <c r="BS180" i="5" s="1"/>
  <c r="BS179" i="4"/>
  <c r="BS179" i="5" s="1"/>
  <c r="BS178" i="4"/>
  <c r="BS178" i="5" s="1"/>
  <c r="BS177" i="4"/>
  <c r="BS177" i="5" s="1"/>
  <c r="BS176" i="4"/>
  <c r="BS176" i="5" s="1"/>
  <c r="BS175" i="4"/>
  <c r="BS175" i="5" s="1"/>
  <c r="BS174" i="4"/>
  <c r="BS174" i="5" s="1"/>
  <c r="BS173" i="4"/>
  <c r="BS173" i="5" s="1"/>
  <c r="BS172" i="4"/>
  <c r="BS172" i="5" s="1"/>
  <c r="BN194" i="4"/>
  <c r="BN194" i="5" s="1"/>
  <c r="BN193" i="4"/>
  <c r="BN193" i="5" s="1"/>
  <c r="BN192" i="4"/>
  <c r="BN192" i="5" s="1"/>
  <c r="BN191" i="4"/>
  <c r="BN191" i="5" s="1"/>
  <c r="BN190" i="4"/>
  <c r="BN190" i="5" s="1"/>
  <c r="BN189" i="4"/>
  <c r="BN189" i="5" s="1"/>
  <c r="BN188" i="4"/>
  <c r="BN188" i="5" s="1"/>
  <c r="BN187" i="4"/>
  <c r="BN187" i="5" s="1"/>
  <c r="BN186" i="4"/>
  <c r="BN186" i="5" s="1"/>
  <c r="BN183" i="4"/>
  <c r="BN183" i="5" s="1"/>
  <c r="BN182" i="4"/>
  <c r="BN182" i="5" s="1"/>
  <c r="BN181" i="4"/>
  <c r="BN181" i="5" s="1"/>
  <c r="BN180" i="4"/>
  <c r="BN180" i="5" s="1"/>
  <c r="BN179" i="4"/>
  <c r="BN179" i="5" s="1"/>
  <c r="BN178" i="4"/>
  <c r="BN178" i="5" s="1"/>
  <c r="BN177" i="4"/>
  <c r="BN177" i="5" s="1"/>
  <c r="BN176" i="4"/>
  <c r="BN176" i="5" s="1"/>
  <c r="BN175" i="4"/>
  <c r="BN175" i="5" s="1"/>
  <c r="BN174" i="4"/>
  <c r="BN174" i="5" s="1"/>
  <c r="BN173" i="4"/>
  <c r="BN173" i="5" s="1"/>
  <c r="BN172" i="4"/>
  <c r="BN172" i="5" s="1"/>
  <c r="DQ166" i="4"/>
  <c r="DQ166" i="5" s="1"/>
  <c r="DQ165" i="4"/>
  <c r="DQ165" i="5" s="1"/>
  <c r="DQ164" i="4"/>
  <c r="DQ164" i="5" s="1"/>
  <c r="DQ163" i="4"/>
  <c r="DQ163" i="5" s="1"/>
  <c r="DQ162" i="4"/>
  <c r="DQ162" i="5" s="1"/>
  <c r="DQ161" i="4"/>
  <c r="DQ161" i="5" s="1"/>
  <c r="DQ160" i="4"/>
  <c r="DQ160" i="5" s="1"/>
  <c r="DQ159" i="4"/>
  <c r="DQ159" i="5" s="1"/>
  <c r="DQ158" i="4"/>
  <c r="DQ158" i="5" s="1"/>
  <c r="DQ155" i="4"/>
  <c r="DQ155" i="5" s="1"/>
  <c r="DQ154" i="4"/>
  <c r="DQ154" i="5" s="1"/>
  <c r="DQ153" i="4"/>
  <c r="DQ153" i="5" s="1"/>
  <c r="DQ152" i="4"/>
  <c r="DQ152" i="5" s="1"/>
  <c r="DQ151" i="4"/>
  <c r="DQ151" i="5" s="1"/>
  <c r="DQ150" i="4"/>
  <c r="DQ150" i="5" s="1"/>
  <c r="DQ149" i="4"/>
  <c r="DQ149" i="5" s="1"/>
  <c r="DQ148" i="4"/>
  <c r="DQ148" i="5" s="1"/>
  <c r="DQ147" i="4"/>
  <c r="DQ147" i="5" s="1"/>
  <c r="DQ146" i="4"/>
  <c r="DQ146" i="5" s="1"/>
  <c r="DQ145" i="4"/>
  <c r="DQ145" i="5" s="1"/>
  <c r="DQ144" i="4"/>
  <c r="DQ144" i="5" s="1"/>
  <c r="DL166" i="4"/>
  <c r="DL166" i="5" s="1"/>
  <c r="DL160" i="4"/>
  <c r="DL160" i="5" s="1"/>
  <c r="DL159" i="4"/>
  <c r="DL159" i="5" s="1"/>
  <c r="DL158" i="4"/>
  <c r="DL158" i="5" s="1"/>
  <c r="DL155" i="4"/>
  <c r="DL155" i="5" s="1"/>
  <c r="DL154" i="4"/>
  <c r="DL154" i="5" s="1"/>
  <c r="DL153" i="4"/>
  <c r="DL153" i="5" s="1"/>
  <c r="DL152" i="4"/>
  <c r="DL152" i="5" s="1"/>
  <c r="DL151" i="4"/>
  <c r="DL151" i="5" s="1"/>
  <c r="DL150" i="4"/>
  <c r="DL150" i="5" s="1"/>
  <c r="DL149" i="4"/>
  <c r="DL149" i="5" s="1"/>
  <c r="DL148" i="4"/>
  <c r="DL148" i="5" s="1"/>
  <c r="DL147" i="4"/>
  <c r="DL147" i="5" s="1"/>
  <c r="DL146" i="4"/>
  <c r="DL146" i="5" s="1"/>
  <c r="DL145" i="4"/>
  <c r="DL145" i="5" s="1"/>
  <c r="DL144" i="4"/>
  <c r="DL144" i="5" s="1"/>
  <c r="DG166" i="4"/>
  <c r="DG166" i="5" s="1"/>
  <c r="DG160" i="4"/>
  <c r="DG160" i="5" s="1"/>
  <c r="DG159" i="4"/>
  <c r="DG159" i="5" s="1"/>
  <c r="DG158" i="4"/>
  <c r="DG158" i="5" s="1"/>
  <c r="DG155" i="4"/>
  <c r="DG155" i="5" s="1"/>
  <c r="DG154" i="4"/>
  <c r="DG154" i="5" s="1"/>
  <c r="DG153" i="4"/>
  <c r="DG153" i="5" s="1"/>
  <c r="DG152" i="4"/>
  <c r="DG152" i="5" s="1"/>
  <c r="DG151" i="4"/>
  <c r="DG151" i="5" s="1"/>
  <c r="DG150" i="4"/>
  <c r="DG150" i="5" s="1"/>
  <c r="DG149" i="4"/>
  <c r="DG149" i="5" s="1"/>
  <c r="DG148" i="4"/>
  <c r="DG148" i="5" s="1"/>
  <c r="DG147" i="4"/>
  <c r="DG147" i="5" s="1"/>
  <c r="DG146" i="4"/>
  <c r="DG146" i="5" s="1"/>
  <c r="DG145" i="4"/>
  <c r="DG145" i="5" s="1"/>
  <c r="DG144" i="4"/>
  <c r="DG144" i="5" s="1"/>
  <c r="DB166" i="4"/>
  <c r="DB166" i="5" s="1"/>
  <c r="DB160" i="4"/>
  <c r="DB160" i="5" s="1"/>
  <c r="DB159" i="4"/>
  <c r="DB159" i="5" s="1"/>
  <c r="DB158" i="4"/>
  <c r="DB158" i="5" s="1"/>
  <c r="DB150" i="4"/>
  <c r="DB150" i="5" s="1"/>
  <c r="DB149" i="4"/>
  <c r="DB149" i="5" s="1"/>
  <c r="DB148" i="4"/>
  <c r="DB148" i="5" s="1"/>
  <c r="DB147" i="4"/>
  <c r="DB147" i="5" s="1"/>
  <c r="DB146" i="4"/>
  <c r="DB146" i="5" s="1"/>
  <c r="DB145" i="4"/>
  <c r="DB145" i="5" s="1"/>
  <c r="DB144" i="4"/>
  <c r="DB144" i="5" s="1"/>
  <c r="CW166" i="4"/>
  <c r="CW166" i="5" s="1"/>
  <c r="CW165" i="4"/>
  <c r="CW165" i="5" s="1"/>
  <c r="CW164" i="4"/>
  <c r="CW164" i="5" s="1"/>
  <c r="CW163" i="4"/>
  <c r="CW163" i="5" s="1"/>
  <c r="CW162" i="4"/>
  <c r="CW162" i="5" s="1"/>
  <c r="CW161" i="4"/>
  <c r="CW161" i="5" s="1"/>
  <c r="CW160" i="4"/>
  <c r="CW160" i="5" s="1"/>
  <c r="CW159" i="4"/>
  <c r="CW159" i="5" s="1"/>
  <c r="CW158" i="4"/>
  <c r="CW158" i="5" s="1"/>
  <c r="CW155" i="4"/>
  <c r="CW155" i="5" s="1"/>
  <c r="CW154" i="4"/>
  <c r="CW154" i="5" s="1"/>
  <c r="CW153" i="4"/>
  <c r="CW153" i="5" s="1"/>
  <c r="CW152" i="4"/>
  <c r="CW152" i="5" s="1"/>
  <c r="CW151" i="4"/>
  <c r="CW151" i="5" s="1"/>
  <c r="CW150" i="4"/>
  <c r="CW150" i="5" s="1"/>
  <c r="CW149" i="4"/>
  <c r="CW149" i="5" s="1"/>
  <c r="CW148" i="4"/>
  <c r="CW148" i="5" s="1"/>
  <c r="CW147" i="4"/>
  <c r="CW147" i="5" s="1"/>
  <c r="CW146" i="4"/>
  <c r="CW146" i="5" s="1"/>
  <c r="CW145" i="4"/>
  <c r="CW145" i="5" s="1"/>
  <c r="CW144" i="4"/>
  <c r="CW144" i="5" s="1"/>
  <c r="CR166" i="4"/>
  <c r="CR166" i="5" s="1"/>
  <c r="CR165" i="4"/>
  <c r="CR165" i="5" s="1"/>
  <c r="CR164" i="4"/>
  <c r="CR164" i="5" s="1"/>
  <c r="CR163" i="4"/>
  <c r="CR163" i="5" s="1"/>
  <c r="CR162" i="4"/>
  <c r="CR162" i="5" s="1"/>
  <c r="CR161" i="4"/>
  <c r="CR161" i="5" s="1"/>
  <c r="CR160" i="4"/>
  <c r="CR160" i="5" s="1"/>
  <c r="CR159" i="4"/>
  <c r="CR159" i="5" s="1"/>
  <c r="CR158" i="4"/>
  <c r="CR158" i="5" s="1"/>
  <c r="CR155" i="4"/>
  <c r="CR155" i="5" s="1"/>
  <c r="CR154" i="4"/>
  <c r="CR154" i="5" s="1"/>
  <c r="CR153" i="4"/>
  <c r="CR153" i="5" s="1"/>
  <c r="CR152" i="4"/>
  <c r="CR152" i="5" s="1"/>
  <c r="CR151" i="4"/>
  <c r="CR151" i="5" s="1"/>
  <c r="CR150" i="4"/>
  <c r="CR150" i="5" s="1"/>
  <c r="CR149" i="4"/>
  <c r="CR149" i="5" s="1"/>
  <c r="CR148" i="4"/>
  <c r="CR148" i="5" s="1"/>
  <c r="CR147" i="4"/>
  <c r="CR147" i="5" s="1"/>
  <c r="CR146" i="4"/>
  <c r="CR146" i="5" s="1"/>
  <c r="CR145" i="4"/>
  <c r="CR145" i="5" s="1"/>
  <c r="CR144" i="4"/>
  <c r="CR144" i="5" s="1"/>
  <c r="CM166" i="4"/>
  <c r="CM166" i="5" s="1"/>
  <c r="CM165" i="4"/>
  <c r="CM165" i="5" s="1"/>
  <c r="CM164" i="4"/>
  <c r="CM164" i="5" s="1"/>
  <c r="CM163" i="4"/>
  <c r="CM163" i="5" s="1"/>
  <c r="CM162" i="4"/>
  <c r="CM162" i="5" s="1"/>
  <c r="CM161" i="4"/>
  <c r="CM161" i="5" s="1"/>
  <c r="CM160" i="4"/>
  <c r="CM160" i="5" s="1"/>
  <c r="CM159" i="4"/>
  <c r="CM159" i="5" s="1"/>
  <c r="CM158" i="4"/>
  <c r="CM158" i="5" s="1"/>
  <c r="CM155" i="4"/>
  <c r="CM155" i="5" s="1"/>
  <c r="CM154" i="4"/>
  <c r="CM154" i="5" s="1"/>
  <c r="CM153" i="4"/>
  <c r="CM153" i="5" s="1"/>
  <c r="CM152" i="4"/>
  <c r="CM152" i="5" s="1"/>
  <c r="CM151" i="4"/>
  <c r="CM151" i="5" s="1"/>
  <c r="CM150" i="4"/>
  <c r="CM150" i="5" s="1"/>
  <c r="CM149" i="4"/>
  <c r="CM149" i="5" s="1"/>
  <c r="CM148" i="4"/>
  <c r="CM148" i="5" s="1"/>
  <c r="CM147" i="4"/>
  <c r="CM147" i="5" s="1"/>
  <c r="CM146" i="4"/>
  <c r="CM146" i="5" s="1"/>
  <c r="CM145" i="4"/>
  <c r="CM145" i="5" s="1"/>
  <c r="CM144" i="4"/>
  <c r="CM144" i="5" s="1"/>
  <c r="CH166" i="4"/>
  <c r="CH166" i="5" s="1"/>
  <c r="CH165" i="4"/>
  <c r="CH165" i="5" s="1"/>
  <c r="CH164" i="4"/>
  <c r="CH164" i="5" s="1"/>
  <c r="CH163" i="4"/>
  <c r="CH163" i="5" s="1"/>
  <c r="CH162" i="4"/>
  <c r="CH162" i="5" s="1"/>
  <c r="CH161" i="4"/>
  <c r="CH161" i="5" s="1"/>
  <c r="CH160" i="4"/>
  <c r="CH160" i="5" s="1"/>
  <c r="CH159" i="4"/>
  <c r="CH159" i="5" s="1"/>
  <c r="CH158" i="4"/>
  <c r="CH158" i="5" s="1"/>
  <c r="CH155" i="4"/>
  <c r="CH155" i="5" s="1"/>
  <c r="CH154" i="4"/>
  <c r="CH154" i="5" s="1"/>
  <c r="CH153" i="4"/>
  <c r="CH153" i="5" s="1"/>
  <c r="CH152" i="4"/>
  <c r="CH152" i="5" s="1"/>
  <c r="CH151" i="4"/>
  <c r="CH151" i="5" s="1"/>
  <c r="CH150" i="4"/>
  <c r="CH150" i="5" s="1"/>
  <c r="CH149" i="4"/>
  <c r="CH149" i="5" s="1"/>
  <c r="CH148" i="4"/>
  <c r="CH148" i="5" s="1"/>
  <c r="CH147" i="4"/>
  <c r="CH147" i="5" s="1"/>
  <c r="CH146" i="4"/>
  <c r="CH146" i="5" s="1"/>
  <c r="CH145" i="4"/>
  <c r="CH145" i="5" s="1"/>
  <c r="CH144" i="4"/>
  <c r="CH144" i="5" s="1"/>
  <c r="CC166" i="4"/>
  <c r="CC166" i="5" s="1"/>
  <c r="CC165" i="4"/>
  <c r="CC165" i="5" s="1"/>
  <c r="CC164" i="4"/>
  <c r="CC164" i="5" s="1"/>
  <c r="CC163" i="4"/>
  <c r="CC163" i="5" s="1"/>
  <c r="CC162" i="4"/>
  <c r="CC162" i="5" s="1"/>
  <c r="CC161" i="4"/>
  <c r="CC161" i="5" s="1"/>
  <c r="CC160" i="4"/>
  <c r="CC160" i="5" s="1"/>
  <c r="CC159" i="4"/>
  <c r="CC159" i="5" s="1"/>
  <c r="CC158" i="4"/>
  <c r="CC158" i="5" s="1"/>
  <c r="CC155" i="4"/>
  <c r="CC155" i="5" s="1"/>
  <c r="CC154" i="4"/>
  <c r="CC154" i="5" s="1"/>
  <c r="CC153" i="4"/>
  <c r="CC153" i="5" s="1"/>
  <c r="CC152" i="4"/>
  <c r="CC152" i="5" s="1"/>
  <c r="CC151" i="4"/>
  <c r="CC151" i="5" s="1"/>
  <c r="CC150" i="4"/>
  <c r="CC150" i="5" s="1"/>
  <c r="CC149" i="4"/>
  <c r="CC149" i="5" s="1"/>
  <c r="CC148" i="4"/>
  <c r="CC148" i="5" s="1"/>
  <c r="CC147" i="4"/>
  <c r="CC147" i="5" s="1"/>
  <c r="CC146" i="4"/>
  <c r="CC146" i="5" s="1"/>
  <c r="CC145" i="4"/>
  <c r="CC145" i="5" s="1"/>
  <c r="CC144" i="4"/>
  <c r="CC144" i="5" s="1"/>
  <c r="BX166" i="4"/>
  <c r="BX166" i="5" s="1"/>
  <c r="BX165" i="4"/>
  <c r="BX165" i="5" s="1"/>
  <c r="BX164" i="4"/>
  <c r="BX164" i="5" s="1"/>
  <c r="BX163" i="4"/>
  <c r="BX163" i="5" s="1"/>
  <c r="BX162" i="4"/>
  <c r="BX162" i="5" s="1"/>
  <c r="BX161" i="4"/>
  <c r="BX161" i="5" s="1"/>
  <c r="BX160" i="4"/>
  <c r="BX160" i="5" s="1"/>
  <c r="BX159" i="4"/>
  <c r="BX159" i="5" s="1"/>
  <c r="BX158" i="4"/>
  <c r="BX158" i="5" s="1"/>
  <c r="BX155" i="4"/>
  <c r="BX155" i="5" s="1"/>
  <c r="BX154" i="4"/>
  <c r="BX154" i="5" s="1"/>
  <c r="BX153" i="4"/>
  <c r="BX153" i="5" s="1"/>
  <c r="BX152" i="4"/>
  <c r="BX152" i="5" s="1"/>
  <c r="BX151" i="4"/>
  <c r="BX151" i="5" s="1"/>
  <c r="BX150" i="4"/>
  <c r="BX150" i="5" s="1"/>
  <c r="BX149" i="4"/>
  <c r="BX149" i="5" s="1"/>
  <c r="BX148" i="4"/>
  <c r="BX148" i="5" s="1"/>
  <c r="BX147" i="4"/>
  <c r="BX147" i="5" s="1"/>
  <c r="BX146" i="4"/>
  <c r="BX146" i="5" s="1"/>
  <c r="BX145" i="4"/>
  <c r="BX145" i="5" s="1"/>
  <c r="BX144" i="4"/>
  <c r="BX144" i="5" s="1"/>
  <c r="BS166" i="4"/>
  <c r="BS166" i="5" s="1"/>
  <c r="BS165" i="4"/>
  <c r="BS165" i="5" s="1"/>
  <c r="BS164" i="4"/>
  <c r="BS164" i="5" s="1"/>
  <c r="BS163" i="4"/>
  <c r="BS163" i="5" s="1"/>
  <c r="BS162" i="4"/>
  <c r="BS162" i="5" s="1"/>
  <c r="BS161" i="4"/>
  <c r="BS161" i="5" s="1"/>
  <c r="BS160" i="4"/>
  <c r="BS160" i="5" s="1"/>
  <c r="BS159" i="4"/>
  <c r="BS159" i="5" s="1"/>
  <c r="BS158" i="4"/>
  <c r="BS158" i="5" s="1"/>
  <c r="BS155" i="4"/>
  <c r="BS155" i="5" s="1"/>
  <c r="BS154" i="4"/>
  <c r="BS154" i="5" s="1"/>
  <c r="BS153" i="4"/>
  <c r="BS153" i="5" s="1"/>
  <c r="BS152" i="4"/>
  <c r="BS152" i="5" s="1"/>
  <c r="BS151" i="4"/>
  <c r="BS151" i="5" s="1"/>
  <c r="BS150" i="4"/>
  <c r="BS150" i="5" s="1"/>
  <c r="BS149" i="4"/>
  <c r="BS149" i="5" s="1"/>
  <c r="BS148" i="4"/>
  <c r="BS148" i="5" s="1"/>
  <c r="BS147" i="4"/>
  <c r="BS147" i="5" s="1"/>
  <c r="BS146" i="4"/>
  <c r="BS146" i="5" s="1"/>
  <c r="BS145" i="4"/>
  <c r="BS145" i="5" s="1"/>
  <c r="BS144" i="4"/>
  <c r="BS144" i="5" s="1"/>
  <c r="BN166" i="4"/>
  <c r="BN166" i="5" s="1"/>
  <c r="BN165" i="4"/>
  <c r="BN165" i="5" s="1"/>
  <c r="BN164" i="4"/>
  <c r="BN164" i="5" s="1"/>
  <c r="BN163" i="4"/>
  <c r="BN163" i="5" s="1"/>
  <c r="BN162" i="4"/>
  <c r="BN162" i="5" s="1"/>
  <c r="BN161" i="4"/>
  <c r="BN161" i="5" s="1"/>
  <c r="BN160" i="4"/>
  <c r="BN160" i="5" s="1"/>
  <c r="BN159" i="4"/>
  <c r="BN159" i="5" s="1"/>
  <c r="BN158" i="4"/>
  <c r="BN158" i="5" s="1"/>
  <c r="BN155" i="4"/>
  <c r="BN155" i="5" s="1"/>
  <c r="BN154" i="4"/>
  <c r="BN154" i="5" s="1"/>
  <c r="BN153" i="4"/>
  <c r="BN153" i="5" s="1"/>
  <c r="BN152" i="4"/>
  <c r="BN152" i="5" s="1"/>
  <c r="BN151" i="4"/>
  <c r="BN151" i="5" s="1"/>
  <c r="BN150" i="4"/>
  <c r="BN150" i="5" s="1"/>
  <c r="BN149" i="4"/>
  <c r="BN149" i="5" s="1"/>
  <c r="BN148" i="4"/>
  <c r="BN148" i="5" s="1"/>
  <c r="BN147" i="4"/>
  <c r="BN147" i="5" s="1"/>
  <c r="BN146" i="4"/>
  <c r="BN146" i="5" s="1"/>
  <c r="BN145" i="4"/>
  <c r="BN145" i="5" s="1"/>
  <c r="BN144" i="4"/>
  <c r="BN144" i="5" s="1"/>
  <c r="DQ138" i="4"/>
  <c r="DQ138" i="5" s="1"/>
  <c r="DQ137" i="4"/>
  <c r="DQ137" i="5" s="1"/>
  <c r="DQ136" i="4"/>
  <c r="DQ136" i="5" s="1"/>
  <c r="DQ135" i="4"/>
  <c r="DQ135" i="5" s="1"/>
  <c r="DQ134" i="4"/>
  <c r="DQ134" i="5" s="1"/>
  <c r="DQ133" i="4"/>
  <c r="DQ133" i="5" s="1"/>
  <c r="DQ132" i="4"/>
  <c r="DQ132" i="5" s="1"/>
  <c r="DQ131" i="4"/>
  <c r="DQ131" i="5" s="1"/>
  <c r="DQ130" i="4"/>
  <c r="DQ130" i="5" s="1"/>
  <c r="DQ127" i="4"/>
  <c r="DQ127" i="5" s="1"/>
  <c r="DQ126" i="4"/>
  <c r="DQ126" i="5" s="1"/>
  <c r="DQ125" i="4"/>
  <c r="DQ125" i="5" s="1"/>
  <c r="DQ124" i="4"/>
  <c r="DQ124" i="5" s="1"/>
  <c r="DQ123" i="4"/>
  <c r="DQ123" i="5" s="1"/>
  <c r="DQ122" i="4"/>
  <c r="DQ122" i="5" s="1"/>
  <c r="DQ121" i="4"/>
  <c r="DQ121" i="5" s="1"/>
  <c r="DQ120" i="4"/>
  <c r="DQ120" i="5" s="1"/>
  <c r="DQ119" i="4"/>
  <c r="DQ119" i="5" s="1"/>
  <c r="DQ118" i="4"/>
  <c r="DQ118" i="5" s="1"/>
  <c r="DQ117" i="4"/>
  <c r="DQ117" i="5" s="1"/>
  <c r="DQ116" i="4"/>
  <c r="DQ116" i="5" s="1"/>
  <c r="DL138" i="4"/>
  <c r="DL138" i="5" s="1"/>
  <c r="DL137" i="4"/>
  <c r="DL137" i="5" s="1"/>
  <c r="DL136" i="4"/>
  <c r="DL136" i="5" s="1"/>
  <c r="DL135" i="4"/>
  <c r="DL135" i="5" s="1"/>
  <c r="DL134" i="4"/>
  <c r="DL134" i="5" s="1"/>
  <c r="DL133" i="4"/>
  <c r="DL133" i="5" s="1"/>
  <c r="DL132" i="4"/>
  <c r="DL132" i="5" s="1"/>
  <c r="DL131" i="4"/>
  <c r="DL131" i="5" s="1"/>
  <c r="DL130" i="4"/>
  <c r="DL130" i="5" s="1"/>
  <c r="DL127" i="4"/>
  <c r="DL127" i="5" s="1"/>
  <c r="DL126" i="4"/>
  <c r="DL126" i="5" s="1"/>
  <c r="DL125" i="4"/>
  <c r="DL125" i="5" s="1"/>
  <c r="DL124" i="4"/>
  <c r="DL124" i="5" s="1"/>
  <c r="DL123" i="4"/>
  <c r="DL123" i="5" s="1"/>
  <c r="DL122" i="4"/>
  <c r="DL122" i="5" s="1"/>
  <c r="DL121" i="4"/>
  <c r="DL121" i="5" s="1"/>
  <c r="DL120" i="4"/>
  <c r="DL120" i="5" s="1"/>
  <c r="DL119" i="4"/>
  <c r="DL119" i="5" s="1"/>
  <c r="DL118" i="4"/>
  <c r="DL118" i="5" s="1"/>
  <c r="DL117" i="4"/>
  <c r="DL117" i="5" s="1"/>
  <c r="DL116" i="4"/>
  <c r="DL116" i="5" s="1"/>
  <c r="DG138" i="4"/>
  <c r="DG138" i="5" s="1"/>
  <c r="DG132" i="4"/>
  <c r="DG132" i="5" s="1"/>
  <c r="DG131" i="4"/>
  <c r="DG131" i="5" s="1"/>
  <c r="DG130" i="4"/>
  <c r="DG130" i="5" s="1"/>
  <c r="DG127" i="4"/>
  <c r="DG127" i="5" s="1"/>
  <c r="DG126" i="4"/>
  <c r="DG126" i="5" s="1"/>
  <c r="DG125" i="4"/>
  <c r="DG125" i="5" s="1"/>
  <c r="DG124" i="4"/>
  <c r="DG124" i="5" s="1"/>
  <c r="DG123" i="4"/>
  <c r="DG123" i="5" s="1"/>
  <c r="DG122" i="4"/>
  <c r="DG122" i="5" s="1"/>
  <c r="DG121" i="4"/>
  <c r="DG121" i="5" s="1"/>
  <c r="DG120" i="4"/>
  <c r="DG120" i="5" s="1"/>
  <c r="DG119" i="4"/>
  <c r="DG119" i="5" s="1"/>
  <c r="DG118" i="4"/>
  <c r="DG118" i="5" s="1"/>
  <c r="DG117" i="4"/>
  <c r="DG117" i="5" s="1"/>
  <c r="DG116" i="4"/>
  <c r="DG116" i="5" s="1"/>
  <c r="DB138" i="4"/>
  <c r="DB138" i="5" s="1"/>
  <c r="DB132" i="4"/>
  <c r="DB132" i="5" s="1"/>
  <c r="DB131" i="4"/>
  <c r="DB131" i="5" s="1"/>
  <c r="DB130" i="4"/>
  <c r="DB130" i="5" s="1"/>
  <c r="DB127" i="4"/>
  <c r="DB127" i="5" s="1"/>
  <c r="DB126" i="4"/>
  <c r="DB126" i="5" s="1"/>
  <c r="DB125" i="4"/>
  <c r="DB125" i="5" s="1"/>
  <c r="DB124" i="4"/>
  <c r="DB124" i="5" s="1"/>
  <c r="DB123" i="4"/>
  <c r="DB123" i="5" s="1"/>
  <c r="DB122" i="4"/>
  <c r="DB122" i="5" s="1"/>
  <c r="DB121" i="4"/>
  <c r="DB121" i="5" s="1"/>
  <c r="DB120" i="4"/>
  <c r="DB120" i="5" s="1"/>
  <c r="DB119" i="4"/>
  <c r="DB119" i="5" s="1"/>
  <c r="DB118" i="4"/>
  <c r="DB118" i="5" s="1"/>
  <c r="DB117" i="4"/>
  <c r="DB117" i="5" s="1"/>
  <c r="DB116" i="4"/>
  <c r="DB116" i="5" s="1"/>
  <c r="CW138" i="4"/>
  <c r="CW138" i="5" s="1"/>
  <c r="CW137" i="4"/>
  <c r="CW137" i="5" s="1"/>
  <c r="CW136" i="4"/>
  <c r="CW136" i="5" s="1"/>
  <c r="CW135" i="4"/>
  <c r="CW135" i="5" s="1"/>
  <c r="CW134" i="4"/>
  <c r="CW134" i="5" s="1"/>
  <c r="CW133" i="4"/>
  <c r="CW133" i="5" s="1"/>
  <c r="CW132" i="4"/>
  <c r="CW132" i="5" s="1"/>
  <c r="CW131" i="4"/>
  <c r="CW131" i="5" s="1"/>
  <c r="CW130" i="4"/>
  <c r="CW130" i="5" s="1"/>
  <c r="CW127" i="4"/>
  <c r="CW127" i="5" s="1"/>
  <c r="CW126" i="4"/>
  <c r="CW126" i="5" s="1"/>
  <c r="CW125" i="4"/>
  <c r="CW125" i="5" s="1"/>
  <c r="CW124" i="4"/>
  <c r="CW124" i="5" s="1"/>
  <c r="CW123" i="4"/>
  <c r="CW123" i="5" s="1"/>
  <c r="CW122" i="4"/>
  <c r="CW122" i="5" s="1"/>
  <c r="CW121" i="4"/>
  <c r="CW121" i="5" s="1"/>
  <c r="CW120" i="4"/>
  <c r="CW120" i="5" s="1"/>
  <c r="CW119" i="4"/>
  <c r="CW119" i="5" s="1"/>
  <c r="CW118" i="4"/>
  <c r="CW118" i="5" s="1"/>
  <c r="CW117" i="4"/>
  <c r="CW117" i="5" s="1"/>
  <c r="CW116" i="4"/>
  <c r="CW116" i="5" s="1"/>
  <c r="CR138" i="4"/>
  <c r="CR138" i="5" s="1"/>
  <c r="CR137" i="4"/>
  <c r="CR137" i="5" s="1"/>
  <c r="CR136" i="4"/>
  <c r="CR136" i="5" s="1"/>
  <c r="CR135" i="4"/>
  <c r="CR135" i="5" s="1"/>
  <c r="CR134" i="4"/>
  <c r="CR134" i="5" s="1"/>
  <c r="CR133" i="4"/>
  <c r="CR133" i="5" s="1"/>
  <c r="CR132" i="4"/>
  <c r="CR132" i="5" s="1"/>
  <c r="CR131" i="4"/>
  <c r="CR131" i="5" s="1"/>
  <c r="CR130" i="4"/>
  <c r="CR130" i="5" s="1"/>
  <c r="CR127" i="4"/>
  <c r="CR127" i="5" s="1"/>
  <c r="CR126" i="4"/>
  <c r="CR126" i="5" s="1"/>
  <c r="CR125" i="4"/>
  <c r="CR125" i="5" s="1"/>
  <c r="CR124" i="4"/>
  <c r="CR124" i="5" s="1"/>
  <c r="CR123" i="4"/>
  <c r="CR123" i="5" s="1"/>
  <c r="CR122" i="4"/>
  <c r="CR122" i="5" s="1"/>
  <c r="CR121" i="4"/>
  <c r="CR121" i="5" s="1"/>
  <c r="CR120" i="4"/>
  <c r="CR120" i="5" s="1"/>
  <c r="CR119" i="4"/>
  <c r="CR119" i="5" s="1"/>
  <c r="CR118" i="4"/>
  <c r="CR118" i="5" s="1"/>
  <c r="CR117" i="4"/>
  <c r="CR117" i="5" s="1"/>
  <c r="CR116" i="4"/>
  <c r="CR116" i="5" s="1"/>
  <c r="CM138" i="4"/>
  <c r="CM138" i="5" s="1"/>
  <c r="CM137" i="4"/>
  <c r="CM137" i="5" s="1"/>
  <c r="CM136" i="4"/>
  <c r="CM136" i="5" s="1"/>
  <c r="CM135" i="4"/>
  <c r="CM135" i="5" s="1"/>
  <c r="CM134" i="4"/>
  <c r="CM134" i="5" s="1"/>
  <c r="CM133" i="4"/>
  <c r="CM133" i="5" s="1"/>
  <c r="CM132" i="4"/>
  <c r="CM132" i="5" s="1"/>
  <c r="CM131" i="4"/>
  <c r="CM131" i="5" s="1"/>
  <c r="CM130" i="4"/>
  <c r="CM130" i="5" s="1"/>
  <c r="CM127" i="4"/>
  <c r="CM127" i="5" s="1"/>
  <c r="CM126" i="4"/>
  <c r="CM126" i="5" s="1"/>
  <c r="CM125" i="4"/>
  <c r="CM125" i="5" s="1"/>
  <c r="CM124" i="4"/>
  <c r="CM124" i="5" s="1"/>
  <c r="CM123" i="4"/>
  <c r="CM123" i="5" s="1"/>
  <c r="CM122" i="4"/>
  <c r="CM122" i="5" s="1"/>
  <c r="CM121" i="4"/>
  <c r="CM121" i="5" s="1"/>
  <c r="CM120" i="4"/>
  <c r="CM120" i="5" s="1"/>
  <c r="CM119" i="4"/>
  <c r="CM119" i="5" s="1"/>
  <c r="CM118" i="4"/>
  <c r="CM118" i="5" s="1"/>
  <c r="CM117" i="4"/>
  <c r="CM117" i="5" s="1"/>
  <c r="CM116" i="4"/>
  <c r="CM116" i="5" s="1"/>
  <c r="CH138" i="4"/>
  <c r="CH138" i="5" s="1"/>
  <c r="CH137" i="4"/>
  <c r="CH137" i="5" s="1"/>
  <c r="CH136" i="4"/>
  <c r="CH136" i="5" s="1"/>
  <c r="CH135" i="4"/>
  <c r="CH135" i="5" s="1"/>
  <c r="CH134" i="4"/>
  <c r="CH134" i="5" s="1"/>
  <c r="CH133" i="4"/>
  <c r="CH133" i="5" s="1"/>
  <c r="CH132" i="4"/>
  <c r="CH132" i="5" s="1"/>
  <c r="CH131" i="4"/>
  <c r="CH131" i="5" s="1"/>
  <c r="CH130" i="4"/>
  <c r="CH130" i="5" s="1"/>
  <c r="CH127" i="4"/>
  <c r="CH127" i="5" s="1"/>
  <c r="CH126" i="4"/>
  <c r="CH126" i="5" s="1"/>
  <c r="CH125" i="4"/>
  <c r="CH125" i="5" s="1"/>
  <c r="CH124" i="4"/>
  <c r="CH124" i="5" s="1"/>
  <c r="CH123" i="4"/>
  <c r="CH123" i="5" s="1"/>
  <c r="CH122" i="4"/>
  <c r="CH122" i="5" s="1"/>
  <c r="CH121" i="4"/>
  <c r="CH121" i="5" s="1"/>
  <c r="CH120" i="4"/>
  <c r="CH120" i="5" s="1"/>
  <c r="CH119" i="4"/>
  <c r="CH119" i="5" s="1"/>
  <c r="CH118" i="4"/>
  <c r="CH118" i="5" s="1"/>
  <c r="CH117" i="4"/>
  <c r="CH117" i="5" s="1"/>
  <c r="CH116" i="4"/>
  <c r="CH116" i="5" s="1"/>
  <c r="CC138" i="4"/>
  <c r="CC138" i="5" s="1"/>
  <c r="CC137" i="4"/>
  <c r="CC137" i="5" s="1"/>
  <c r="CC136" i="4"/>
  <c r="CC136" i="5" s="1"/>
  <c r="CC135" i="4"/>
  <c r="CC135" i="5" s="1"/>
  <c r="CC134" i="4"/>
  <c r="CC134" i="5" s="1"/>
  <c r="CC133" i="4"/>
  <c r="CC133" i="5" s="1"/>
  <c r="CC132" i="4"/>
  <c r="CC132" i="5" s="1"/>
  <c r="CC131" i="4"/>
  <c r="CC131" i="5" s="1"/>
  <c r="CC130" i="4"/>
  <c r="CC130" i="5" s="1"/>
  <c r="CC127" i="4"/>
  <c r="CC127" i="5" s="1"/>
  <c r="CC126" i="4"/>
  <c r="CC126" i="5" s="1"/>
  <c r="CC125" i="4"/>
  <c r="CC125" i="5" s="1"/>
  <c r="CC124" i="4"/>
  <c r="CC124" i="5" s="1"/>
  <c r="CC123" i="4"/>
  <c r="CC123" i="5" s="1"/>
  <c r="CC122" i="4"/>
  <c r="CC122" i="5" s="1"/>
  <c r="CC121" i="4"/>
  <c r="CC121" i="5" s="1"/>
  <c r="CC120" i="4"/>
  <c r="CC120" i="5" s="1"/>
  <c r="CC119" i="4"/>
  <c r="CC119" i="5" s="1"/>
  <c r="CC118" i="4"/>
  <c r="CC118" i="5" s="1"/>
  <c r="CC117" i="4"/>
  <c r="CC117" i="5" s="1"/>
  <c r="CC116" i="4"/>
  <c r="CC116" i="5" s="1"/>
  <c r="BX138" i="4"/>
  <c r="BX138" i="5" s="1"/>
  <c r="BX137" i="4"/>
  <c r="BX137" i="5" s="1"/>
  <c r="BX136" i="4"/>
  <c r="BX136" i="5" s="1"/>
  <c r="BX135" i="4"/>
  <c r="BX135" i="5" s="1"/>
  <c r="BX134" i="4"/>
  <c r="BX134" i="5" s="1"/>
  <c r="BX133" i="4"/>
  <c r="BX133" i="5" s="1"/>
  <c r="BX132" i="4"/>
  <c r="BX132" i="5" s="1"/>
  <c r="BX131" i="4"/>
  <c r="BX131" i="5" s="1"/>
  <c r="BX130" i="4"/>
  <c r="BX130" i="5" s="1"/>
  <c r="BX127" i="4"/>
  <c r="BX127" i="5" s="1"/>
  <c r="BX126" i="4"/>
  <c r="BX126" i="5" s="1"/>
  <c r="BX125" i="4"/>
  <c r="BX125" i="5" s="1"/>
  <c r="BX124" i="4"/>
  <c r="BX124" i="5" s="1"/>
  <c r="BX123" i="4"/>
  <c r="BX123" i="5" s="1"/>
  <c r="BX122" i="4"/>
  <c r="BX122" i="5" s="1"/>
  <c r="BX121" i="4"/>
  <c r="BX121" i="5" s="1"/>
  <c r="BX120" i="4"/>
  <c r="BX120" i="5" s="1"/>
  <c r="BX119" i="4"/>
  <c r="BX119" i="5" s="1"/>
  <c r="BX118" i="4"/>
  <c r="BX118" i="5" s="1"/>
  <c r="BX117" i="4"/>
  <c r="BX117" i="5" s="1"/>
  <c r="BX116" i="4"/>
  <c r="BX116" i="5" s="1"/>
  <c r="BS138" i="4"/>
  <c r="BS138" i="5" s="1"/>
  <c r="BS137" i="4"/>
  <c r="BS137" i="5" s="1"/>
  <c r="BS136" i="4"/>
  <c r="BS136" i="5" s="1"/>
  <c r="BS135" i="4"/>
  <c r="BS135" i="5" s="1"/>
  <c r="BS134" i="4"/>
  <c r="BS134" i="5" s="1"/>
  <c r="BS133" i="4"/>
  <c r="BS133" i="5" s="1"/>
  <c r="BS132" i="4"/>
  <c r="BS132" i="5" s="1"/>
  <c r="BS131" i="4"/>
  <c r="BS131" i="5" s="1"/>
  <c r="BS130" i="4"/>
  <c r="BS130" i="5" s="1"/>
  <c r="BS127" i="4"/>
  <c r="BS127" i="5" s="1"/>
  <c r="BS126" i="4"/>
  <c r="BS126" i="5" s="1"/>
  <c r="BS125" i="4"/>
  <c r="BS125" i="5" s="1"/>
  <c r="BS124" i="4"/>
  <c r="BS124" i="5" s="1"/>
  <c r="BS123" i="4"/>
  <c r="BS123" i="5" s="1"/>
  <c r="BS122" i="4"/>
  <c r="BS122" i="5" s="1"/>
  <c r="BS121" i="4"/>
  <c r="BS121" i="5" s="1"/>
  <c r="BS120" i="4"/>
  <c r="BS120" i="5" s="1"/>
  <c r="BS119" i="4"/>
  <c r="BS119" i="5" s="1"/>
  <c r="BS118" i="4"/>
  <c r="BS118" i="5" s="1"/>
  <c r="BS117" i="4"/>
  <c r="BS117" i="5" s="1"/>
  <c r="BS116" i="4"/>
  <c r="BS116" i="5" s="1"/>
  <c r="BN138" i="4"/>
  <c r="BN138" i="5" s="1"/>
  <c r="BN137" i="4"/>
  <c r="BN137" i="5" s="1"/>
  <c r="BN136" i="4"/>
  <c r="BN136" i="5" s="1"/>
  <c r="BN135" i="4"/>
  <c r="BN135" i="5" s="1"/>
  <c r="BN134" i="4"/>
  <c r="BN134" i="5" s="1"/>
  <c r="BN133" i="4"/>
  <c r="BN133" i="5" s="1"/>
  <c r="BN132" i="4"/>
  <c r="BN132" i="5" s="1"/>
  <c r="BN131" i="4"/>
  <c r="BN131" i="5" s="1"/>
  <c r="BN130" i="4"/>
  <c r="BN130" i="5" s="1"/>
  <c r="BN127" i="4"/>
  <c r="BN127" i="5" s="1"/>
  <c r="BN126" i="4"/>
  <c r="BN126" i="5" s="1"/>
  <c r="BN125" i="4"/>
  <c r="BN125" i="5" s="1"/>
  <c r="BN124" i="4"/>
  <c r="BN124" i="5" s="1"/>
  <c r="BN123" i="4"/>
  <c r="BN123" i="5" s="1"/>
  <c r="BN122" i="4"/>
  <c r="BN122" i="5" s="1"/>
  <c r="BN121" i="4"/>
  <c r="BN121" i="5" s="1"/>
  <c r="BN120" i="4"/>
  <c r="BN120" i="5" s="1"/>
  <c r="BN119" i="4"/>
  <c r="BN119" i="5" s="1"/>
  <c r="BN118" i="4"/>
  <c r="BN118" i="5" s="1"/>
  <c r="BN117" i="4"/>
  <c r="BN117" i="5" s="1"/>
  <c r="BN116" i="4"/>
  <c r="BN116" i="5" s="1"/>
  <c r="DQ110" i="4"/>
  <c r="DQ110" i="5" s="1"/>
  <c r="DQ109" i="4"/>
  <c r="DQ109" i="5" s="1"/>
  <c r="DQ108" i="4"/>
  <c r="DQ108" i="5" s="1"/>
  <c r="DQ107" i="4"/>
  <c r="DQ107" i="5" s="1"/>
  <c r="DQ106" i="4"/>
  <c r="DQ106" i="5" s="1"/>
  <c r="DQ105" i="4"/>
  <c r="DQ105" i="5" s="1"/>
  <c r="DQ104" i="4"/>
  <c r="DQ104" i="5" s="1"/>
  <c r="DQ103" i="4"/>
  <c r="DQ103" i="5" s="1"/>
  <c r="DQ102" i="4"/>
  <c r="DQ102" i="5" s="1"/>
  <c r="DQ99" i="4"/>
  <c r="DQ99" i="5" s="1"/>
  <c r="DQ98" i="4"/>
  <c r="DQ98" i="5" s="1"/>
  <c r="DQ97" i="4"/>
  <c r="DQ97" i="5" s="1"/>
  <c r="DQ96" i="4"/>
  <c r="DQ96" i="5" s="1"/>
  <c r="DQ95" i="4"/>
  <c r="DQ95" i="5" s="1"/>
  <c r="DQ94" i="4"/>
  <c r="DQ94" i="5" s="1"/>
  <c r="DQ93" i="4"/>
  <c r="DQ93" i="5" s="1"/>
  <c r="DQ92" i="4"/>
  <c r="DQ92" i="5" s="1"/>
  <c r="DQ91" i="4"/>
  <c r="DQ91" i="5" s="1"/>
  <c r="DQ90" i="4"/>
  <c r="DQ90" i="5" s="1"/>
  <c r="DQ89" i="4"/>
  <c r="DQ89" i="5" s="1"/>
  <c r="DQ88" i="4"/>
  <c r="DQ88" i="5" s="1"/>
  <c r="DL110" i="4"/>
  <c r="DL110" i="5" s="1"/>
  <c r="DL109" i="4"/>
  <c r="DL109" i="5" s="1"/>
  <c r="DL108" i="4"/>
  <c r="DL108" i="5" s="1"/>
  <c r="DL107" i="4"/>
  <c r="DL107" i="5" s="1"/>
  <c r="DL106" i="4"/>
  <c r="DL106" i="5" s="1"/>
  <c r="DL105" i="4"/>
  <c r="DL105" i="5" s="1"/>
  <c r="DL104" i="4"/>
  <c r="DL104" i="5" s="1"/>
  <c r="DL103" i="4"/>
  <c r="DL103" i="5" s="1"/>
  <c r="DL102" i="4"/>
  <c r="DL102" i="5" s="1"/>
  <c r="DL99" i="4"/>
  <c r="DL99" i="5" s="1"/>
  <c r="DL98" i="4"/>
  <c r="DL98" i="5" s="1"/>
  <c r="DL97" i="4"/>
  <c r="DL97" i="5" s="1"/>
  <c r="DL96" i="4"/>
  <c r="DL96" i="5" s="1"/>
  <c r="DL95" i="4"/>
  <c r="DL95" i="5" s="1"/>
  <c r="DL94" i="4"/>
  <c r="DL94" i="5" s="1"/>
  <c r="DL93" i="4"/>
  <c r="DL93" i="5" s="1"/>
  <c r="DL92" i="4"/>
  <c r="DL92" i="5" s="1"/>
  <c r="DL91" i="4"/>
  <c r="DL91" i="5" s="1"/>
  <c r="DL90" i="4"/>
  <c r="DL90" i="5" s="1"/>
  <c r="DL89" i="4"/>
  <c r="DL89" i="5" s="1"/>
  <c r="DL88" i="4"/>
  <c r="DL88" i="5" s="1"/>
  <c r="DG110" i="4"/>
  <c r="DG110" i="5" s="1"/>
  <c r="DG104" i="4"/>
  <c r="DG104" i="5" s="1"/>
  <c r="DG103" i="4"/>
  <c r="DG103" i="5" s="1"/>
  <c r="DG102" i="4"/>
  <c r="DG102" i="5" s="1"/>
  <c r="DG99" i="4"/>
  <c r="DG99" i="5" s="1"/>
  <c r="DG98" i="4"/>
  <c r="DG98" i="5" s="1"/>
  <c r="DG97" i="4"/>
  <c r="DG97" i="5" s="1"/>
  <c r="DG96" i="4"/>
  <c r="DG96" i="5" s="1"/>
  <c r="DG95" i="4"/>
  <c r="DG95" i="5" s="1"/>
  <c r="DG94" i="4"/>
  <c r="DG94" i="5" s="1"/>
  <c r="DG93" i="4"/>
  <c r="DG93" i="5" s="1"/>
  <c r="DG92" i="4"/>
  <c r="DG92" i="5" s="1"/>
  <c r="DG91" i="4"/>
  <c r="DG91" i="5" s="1"/>
  <c r="DG90" i="4"/>
  <c r="DG90" i="5" s="1"/>
  <c r="DG89" i="4"/>
  <c r="DG89" i="5" s="1"/>
  <c r="DG88" i="4"/>
  <c r="DG88" i="5" s="1"/>
  <c r="DB110" i="4"/>
  <c r="DB110" i="5" s="1"/>
  <c r="DB104" i="4"/>
  <c r="DB104" i="5" s="1"/>
  <c r="DB103" i="4"/>
  <c r="DB103" i="5" s="1"/>
  <c r="DB102" i="4"/>
  <c r="DB102" i="5" s="1"/>
  <c r="DB94" i="4"/>
  <c r="DB94" i="5" s="1"/>
  <c r="DB93" i="4"/>
  <c r="DB93" i="5" s="1"/>
  <c r="DB92" i="4"/>
  <c r="DB92" i="5" s="1"/>
  <c r="DB91" i="4"/>
  <c r="DB91" i="5" s="1"/>
  <c r="DB90" i="4"/>
  <c r="DB90" i="5" s="1"/>
  <c r="DB89" i="4"/>
  <c r="DB89" i="5" s="1"/>
  <c r="DB88" i="4"/>
  <c r="DB88" i="5" s="1"/>
  <c r="CW110" i="4"/>
  <c r="CW110" i="5" s="1"/>
  <c r="CW109" i="4"/>
  <c r="CW109" i="5" s="1"/>
  <c r="CW108" i="4"/>
  <c r="CW108" i="5" s="1"/>
  <c r="CW107" i="4"/>
  <c r="CW107" i="5" s="1"/>
  <c r="CW106" i="4"/>
  <c r="CW106" i="5" s="1"/>
  <c r="CW105" i="4"/>
  <c r="CW105" i="5" s="1"/>
  <c r="CW104" i="4"/>
  <c r="CW104" i="5" s="1"/>
  <c r="CW103" i="4"/>
  <c r="CW103" i="5" s="1"/>
  <c r="CW102" i="4"/>
  <c r="CW102" i="5" s="1"/>
  <c r="CW99" i="4"/>
  <c r="CW99" i="5" s="1"/>
  <c r="CW98" i="4"/>
  <c r="CW98" i="5" s="1"/>
  <c r="CW97" i="4"/>
  <c r="CW97" i="5" s="1"/>
  <c r="CW96" i="4"/>
  <c r="CW96" i="5" s="1"/>
  <c r="CW95" i="4"/>
  <c r="CW95" i="5" s="1"/>
  <c r="CW94" i="4"/>
  <c r="CW94" i="5" s="1"/>
  <c r="CW93" i="4"/>
  <c r="CW93" i="5" s="1"/>
  <c r="CW92" i="4"/>
  <c r="CW92" i="5" s="1"/>
  <c r="CW91" i="4"/>
  <c r="CW91" i="5" s="1"/>
  <c r="CW90" i="4"/>
  <c r="CW90" i="5" s="1"/>
  <c r="CW89" i="4"/>
  <c r="CW89" i="5" s="1"/>
  <c r="CW88" i="4"/>
  <c r="CW88" i="5" s="1"/>
  <c r="CR110" i="4"/>
  <c r="CR110" i="5" s="1"/>
  <c r="CR109" i="4"/>
  <c r="CR109" i="5" s="1"/>
  <c r="CR108" i="4"/>
  <c r="CR108" i="5" s="1"/>
  <c r="CR107" i="4"/>
  <c r="CR107" i="5" s="1"/>
  <c r="CR106" i="4"/>
  <c r="CR106" i="5" s="1"/>
  <c r="CR105" i="4"/>
  <c r="CR105" i="5" s="1"/>
  <c r="CR104" i="4"/>
  <c r="CR104" i="5" s="1"/>
  <c r="CR103" i="4"/>
  <c r="CR103" i="5" s="1"/>
  <c r="CR102" i="4"/>
  <c r="CR102" i="5" s="1"/>
  <c r="CR99" i="4"/>
  <c r="CR99" i="5" s="1"/>
  <c r="CR98" i="4"/>
  <c r="CR98" i="5" s="1"/>
  <c r="CR97" i="4"/>
  <c r="CR97" i="5" s="1"/>
  <c r="CR96" i="4"/>
  <c r="CR96" i="5" s="1"/>
  <c r="CR95" i="4"/>
  <c r="CR95" i="5" s="1"/>
  <c r="CR94" i="4"/>
  <c r="CR94" i="5" s="1"/>
  <c r="CR93" i="4"/>
  <c r="CR93" i="5" s="1"/>
  <c r="CR92" i="4"/>
  <c r="CR92" i="5" s="1"/>
  <c r="CR91" i="4"/>
  <c r="CR91" i="5" s="1"/>
  <c r="CR90" i="4"/>
  <c r="CR90" i="5" s="1"/>
  <c r="CR89" i="4"/>
  <c r="CR89" i="5" s="1"/>
  <c r="CR88" i="4"/>
  <c r="CR88" i="5" s="1"/>
  <c r="CM110" i="4"/>
  <c r="CM110" i="5" s="1"/>
  <c r="CM109" i="4"/>
  <c r="CM109" i="5" s="1"/>
  <c r="CM108" i="4"/>
  <c r="CM108" i="5" s="1"/>
  <c r="CM107" i="4"/>
  <c r="CM107" i="5" s="1"/>
  <c r="CM106" i="4"/>
  <c r="CM106" i="5" s="1"/>
  <c r="CM105" i="4"/>
  <c r="CM105" i="5" s="1"/>
  <c r="CM104" i="4"/>
  <c r="CM104" i="5" s="1"/>
  <c r="CM103" i="4"/>
  <c r="CM103" i="5" s="1"/>
  <c r="CM102" i="4"/>
  <c r="CM102" i="5" s="1"/>
  <c r="CM99" i="4"/>
  <c r="CM99" i="5" s="1"/>
  <c r="CM98" i="4"/>
  <c r="CM98" i="5" s="1"/>
  <c r="CM97" i="4"/>
  <c r="CM97" i="5" s="1"/>
  <c r="CM96" i="4"/>
  <c r="CM96" i="5" s="1"/>
  <c r="CM95" i="4"/>
  <c r="CM95" i="5" s="1"/>
  <c r="CM94" i="4"/>
  <c r="CM94" i="5" s="1"/>
  <c r="CM93" i="4"/>
  <c r="CM93" i="5" s="1"/>
  <c r="CM92" i="4"/>
  <c r="CM92" i="5" s="1"/>
  <c r="CM91" i="4"/>
  <c r="CM91" i="5" s="1"/>
  <c r="CM90" i="4"/>
  <c r="CM90" i="5" s="1"/>
  <c r="CM89" i="4"/>
  <c r="CM89" i="5" s="1"/>
  <c r="CM88" i="4"/>
  <c r="CM88" i="5" s="1"/>
  <c r="CH110" i="4"/>
  <c r="CH110" i="5" s="1"/>
  <c r="CH109" i="4"/>
  <c r="CH109" i="5" s="1"/>
  <c r="CH108" i="4"/>
  <c r="CH108" i="5" s="1"/>
  <c r="CH107" i="4"/>
  <c r="CH107" i="5" s="1"/>
  <c r="CH106" i="4"/>
  <c r="CH106" i="5" s="1"/>
  <c r="CH105" i="4"/>
  <c r="CH105" i="5" s="1"/>
  <c r="CH104" i="4"/>
  <c r="CH104" i="5" s="1"/>
  <c r="CH103" i="4"/>
  <c r="CH103" i="5" s="1"/>
  <c r="CH102" i="4"/>
  <c r="CH102" i="5" s="1"/>
  <c r="CH99" i="4"/>
  <c r="CH99" i="5" s="1"/>
  <c r="CH98" i="4"/>
  <c r="CH98" i="5" s="1"/>
  <c r="CH97" i="4"/>
  <c r="CH97" i="5" s="1"/>
  <c r="CH96" i="4"/>
  <c r="CH96" i="5" s="1"/>
  <c r="CH95" i="4"/>
  <c r="CH95" i="5" s="1"/>
  <c r="CH94" i="4"/>
  <c r="CH94" i="5" s="1"/>
  <c r="CH93" i="4"/>
  <c r="CH93" i="5" s="1"/>
  <c r="CH92" i="4"/>
  <c r="CH92" i="5" s="1"/>
  <c r="CH91" i="4"/>
  <c r="CH91" i="5" s="1"/>
  <c r="CH90" i="4"/>
  <c r="CH90" i="5" s="1"/>
  <c r="CH89" i="4"/>
  <c r="CH89" i="5" s="1"/>
  <c r="CH88" i="4"/>
  <c r="CH88" i="5" s="1"/>
  <c r="CC110" i="4"/>
  <c r="CC110" i="5" s="1"/>
  <c r="CC109" i="4"/>
  <c r="CC109" i="5" s="1"/>
  <c r="CC108" i="4"/>
  <c r="CC108" i="5" s="1"/>
  <c r="CC107" i="4"/>
  <c r="CC107" i="5" s="1"/>
  <c r="CC106" i="4"/>
  <c r="CC106" i="5" s="1"/>
  <c r="CC105" i="4"/>
  <c r="CC105" i="5" s="1"/>
  <c r="CC104" i="4"/>
  <c r="CC104" i="5" s="1"/>
  <c r="CC103" i="4"/>
  <c r="CC103" i="5" s="1"/>
  <c r="CC102" i="4"/>
  <c r="CC102" i="5" s="1"/>
  <c r="CC99" i="4"/>
  <c r="CC99" i="5" s="1"/>
  <c r="CC98" i="4"/>
  <c r="CC98" i="5" s="1"/>
  <c r="CC97" i="4"/>
  <c r="CC97" i="5" s="1"/>
  <c r="CC96" i="4"/>
  <c r="CC96" i="5" s="1"/>
  <c r="CC95" i="4"/>
  <c r="CC95" i="5" s="1"/>
  <c r="CC94" i="4"/>
  <c r="CC94" i="5" s="1"/>
  <c r="CC93" i="4"/>
  <c r="CC93" i="5" s="1"/>
  <c r="CC92" i="4"/>
  <c r="CC92" i="5" s="1"/>
  <c r="CC91" i="4"/>
  <c r="CC91" i="5" s="1"/>
  <c r="CC90" i="4"/>
  <c r="CC90" i="5" s="1"/>
  <c r="CC89" i="4"/>
  <c r="CC89" i="5" s="1"/>
  <c r="CC88" i="4"/>
  <c r="CC88" i="5" s="1"/>
  <c r="BX110" i="4"/>
  <c r="BX110" i="5" s="1"/>
  <c r="BX109" i="4"/>
  <c r="BX109" i="5" s="1"/>
  <c r="BX108" i="4"/>
  <c r="BX108" i="5" s="1"/>
  <c r="BX107" i="4"/>
  <c r="BX107" i="5" s="1"/>
  <c r="BX106" i="4"/>
  <c r="BX106" i="5" s="1"/>
  <c r="BX105" i="4"/>
  <c r="BX105" i="5" s="1"/>
  <c r="BX104" i="4"/>
  <c r="BX104" i="5" s="1"/>
  <c r="BX103" i="4"/>
  <c r="BX103" i="5" s="1"/>
  <c r="BX102" i="4"/>
  <c r="BX102" i="5" s="1"/>
  <c r="BX99" i="4"/>
  <c r="BX99" i="5" s="1"/>
  <c r="BX98" i="4"/>
  <c r="BX98" i="5" s="1"/>
  <c r="BX97" i="4"/>
  <c r="BX97" i="5" s="1"/>
  <c r="BX96" i="4"/>
  <c r="BX96" i="5" s="1"/>
  <c r="BX95" i="4"/>
  <c r="BX95" i="5" s="1"/>
  <c r="BX94" i="4"/>
  <c r="BX94" i="5" s="1"/>
  <c r="BX93" i="4"/>
  <c r="BX93" i="5" s="1"/>
  <c r="BX92" i="4"/>
  <c r="BX92" i="5" s="1"/>
  <c r="BX91" i="4"/>
  <c r="BX91" i="5" s="1"/>
  <c r="BX90" i="4"/>
  <c r="BX90" i="5" s="1"/>
  <c r="BX89" i="4"/>
  <c r="BX89" i="5" s="1"/>
  <c r="BX88" i="4"/>
  <c r="BX88" i="5" s="1"/>
  <c r="BS110" i="4"/>
  <c r="BS110" i="5" s="1"/>
  <c r="BS109" i="4"/>
  <c r="BS109" i="5" s="1"/>
  <c r="BS108" i="4"/>
  <c r="BS108" i="5" s="1"/>
  <c r="BS107" i="4"/>
  <c r="BS107" i="5" s="1"/>
  <c r="BS106" i="4"/>
  <c r="BS106" i="5" s="1"/>
  <c r="BS105" i="4"/>
  <c r="BS105" i="5" s="1"/>
  <c r="BS104" i="4"/>
  <c r="BS104" i="5" s="1"/>
  <c r="BS103" i="4"/>
  <c r="BS103" i="5" s="1"/>
  <c r="BS102" i="4"/>
  <c r="BS102" i="5" s="1"/>
  <c r="BS99" i="4"/>
  <c r="BS99" i="5" s="1"/>
  <c r="BS98" i="4"/>
  <c r="BS98" i="5" s="1"/>
  <c r="BS97" i="4"/>
  <c r="BS97" i="5" s="1"/>
  <c r="BS96" i="4"/>
  <c r="BS96" i="5" s="1"/>
  <c r="BS95" i="4"/>
  <c r="BS95" i="5" s="1"/>
  <c r="BS94" i="4"/>
  <c r="BS94" i="5" s="1"/>
  <c r="BS93" i="4"/>
  <c r="BS93" i="5" s="1"/>
  <c r="BS92" i="4"/>
  <c r="BS92" i="5" s="1"/>
  <c r="BS91" i="4"/>
  <c r="BS91" i="5" s="1"/>
  <c r="BS90" i="4"/>
  <c r="BS90" i="5" s="1"/>
  <c r="BS89" i="4"/>
  <c r="BS89" i="5" s="1"/>
  <c r="BS88" i="4"/>
  <c r="BS88" i="5" s="1"/>
  <c r="BN110" i="4"/>
  <c r="BN110" i="5" s="1"/>
  <c r="BN109" i="4"/>
  <c r="BN109" i="5" s="1"/>
  <c r="BN108" i="4"/>
  <c r="BN108" i="5" s="1"/>
  <c r="BN107" i="4"/>
  <c r="BN107" i="5" s="1"/>
  <c r="BN106" i="4"/>
  <c r="BN106" i="5" s="1"/>
  <c r="BN105" i="4"/>
  <c r="BN105" i="5" s="1"/>
  <c r="BN104" i="4"/>
  <c r="BN104" i="5" s="1"/>
  <c r="BN103" i="4"/>
  <c r="BN103" i="5" s="1"/>
  <c r="BN102" i="4"/>
  <c r="BN102" i="5" s="1"/>
  <c r="BN99" i="4"/>
  <c r="BN99" i="5" s="1"/>
  <c r="BN98" i="4"/>
  <c r="BN98" i="5" s="1"/>
  <c r="BN97" i="4"/>
  <c r="BN97" i="5" s="1"/>
  <c r="BN96" i="4"/>
  <c r="BN96" i="5" s="1"/>
  <c r="BN95" i="4"/>
  <c r="BN95" i="5" s="1"/>
  <c r="BN94" i="4"/>
  <c r="BN94" i="5" s="1"/>
  <c r="BN93" i="4"/>
  <c r="BN93" i="5" s="1"/>
  <c r="BN92" i="4"/>
  <c r="BN92" i="5" s="1"/>
  <c r="BN91" i="4"/>
  <c r="BN91" i="5" s="1"/>
  <c r="BN90" i="4"/>
  <c r="BN90" i="5" s="1"/>
  <c r="BN89" i="4"/>
  <c r="BN89" i="5" s="1"/>
  <c r="BN88" i="4"/>
  <c r="BN88" i="5" s="1"/>
  <c r="BN54" i="5"/>
  <c r="BN53" i="5"/>
  <c r="BN52" i="5"/>
  <c r="BN50" i="5"/>
  <c r="BN49" i="5"/>
  <c r="BN48" i="5"/>
  <c r="BN47" i="5"/>
  <c r="BN46" i="5"/>
  <c r="BN32" i="4"/>
  <c r="DQ50" i="4"/>
  <c r="DL50" i="4"/>
  <c r="DG50" i="4"/>
  <c r="DB50" i="4"/>
  <c r="CW50" i="4"/>
  <c r="CR50" i="4"/>
  <c r="CM50" i="4"/>
  <c r="CH50" i="4"/>
  <c r="CC50" i="4"/>
  <c r="BX50" i="4"/>
  <c r="BS50" i="4"/>
  <c r="DQ49" i="4"/>
  <c r="DL49" i="4"/>
  <c r="DG49" i="4"/>
  <c r="DB49" i="4"/>
  <c r="CW49" i="4"/>
  <c r="CR49" i="4"/>
  <c r="CM49" i="4"/>
  <c r="CH49" i="4"/>
  <c r="CC49" i="4"/>
  <c r="BX49" i="4"/>
  <c r="BS49" i="4"/>
  <c r="DQ47" i="4"/>
  <c r="DQ47" i="5" s="1"/>
  <c r="DL47" i="4"/>
  <c r="DL47" i="5" s="1"/>
  <c r="DG47" i="4"/>
  <c r="DG47" i="5" s="1"/>
  <c r="DB47" i="4"/>
  <c r="DB47" i="5" s="1"/>
  <c r="CW47" i="4"/>
  <c r="CW47" i="5" s="1"/>
  <c r="CR47" i="4"/>
  <c r="CR47" i="5" s="1"/>
  <c r="CM47" i="4"/>
  <c r="CM47" i="5" s="1"/>
  <c r="CH47" i="4"/>
  <c r="CH47" i="5" s="1"/>
  <c r="CC47" i="4"/>
  <c r="CC47" i="5" s="1"/>
  <c r="BX47" i="4"/>
  <c r="BX47" i="5" s="1"/>
  <c r="BS47" i="4"/>
  <c r="BS47" i="5" s="1"/>
  <c r="DT195" i="4"/>
  <c r="DS195" i="4"/>
  <c r="DR195" i="4"/>
  <c r="DP195" i="4"/>
  <c r="DO195" i="4"/>
  <c r="DN195" i="4"/>
  <c r="DM195" i="4"/>
  <c r="DK195" i="4"/>
  <c r="DJ195" i="4"/>
  <c r="DI195" i="4"/>
  <c r="DH195" i="4"/>
  <c r="CV195" i="4"/>
  <c r="CU195" i="4"/>
  <c r="CT195" i="4"/>
  <c r="CS195" i="4"/>
  <c r="CQ195" i="4"/>
  <c r="CP195" i="4"/>
  <c r="CO195" i="4"/>
  <c r="CN195" i="4"/>
  <c r="CL195" i="4"/>
  <c r="CK195" i="4"/>
  <c r="CJ195" i="4"/>
  <c r="CI195" i="4"/>
  <c r="CG195" i="4"/>
  <c r="CF195" i="4"/>
  <c r="CE195" i="4"/>
  <c r="CD195" i="4"/>
  <c r="CB195" i="4"/>
  <c r="CA195" i="4"/>
  <c r="BZ195" i="4"/>
  <c r="BY195" i="4"/>
  <c r="BW195" i="4"/>
  <c r="BV195" i="4"/>
  <c r="BU195" i="4"/>
  <c r="BT195" i="4"/>
  <c r="BR195" i="4"/>
  <c r="BQ195" i="4"/>
  <c r="BP195" i="4"/>
  <c r="BO195" i="4"/>
  <c r="BM195" i="4"/>
  <c r="BL195" i="4"/>
  <c r="BK195" i="4"/>
  <c r="BJ195" i="4"/>
  <c r="DT167" i="4"/>
  <c r="DS167" i="4"/>
  <c r="DR167" i="4"/>
  <c r="DP167" i="4"/>
  <c r="DO167" i="4"/>
  <c r="DN167" i="4"/>
  <c r="DM167" i="4"/>
  <c r="CV167" i="4"/>
  <c r="CU167" i="4"/>
  <c r="CT167" i="4"/>
  <c r="CS167" i="4"/>
  <c r="CQ167" i="4"/>
  <c r="CP167" i="4"/>
  <c r="CO167" i="4"/>
  <c r="CN167" i="4"/>
  <c r="CL167" i="4"/>
  <c r="CK167" i="4"/>
  <c r="CJ167" i="4"/>
  <c r="CI167" i="4"/>
  <c r="CG167" i="4"/>
  <c r="CF167" i="4"/>
  <c r="CE167" i="4"/>
  <c r="CD167" i="4"/>
  <c r="CB167" i="4"/>
  <c r="CA167" i="4"/>
  <c r="BZ167" i="4"/>
  <c r="BY167" i="4"/>
  <c r="BW167" i="4"/>
  <c r="BV167" i="4"/>
  <c r="BU167" i="4"/>
  <c r="BT167" i="4"/>
  <c r="BR167" i="4"/>
  <c r="BQ167" i="4"/>
  <c r="BP167" i="4"/>
  <c r="BO167" i="4"/>
  <c r="BM167" i="4"/>
  <c r="BL167" i="4"/>
  <c r="BK167" i="4"/>
  <c r="BJ167" i="4"/>
  <c r="DT139" i="4"/>
  <c r="DS139" i="4"/>
  <c r="DR139" i="4"/>
  <c r="DP139" i="4"/>
  <c r="DO139" i="4"/>
  <c r="DN139" i="4"/>
  <c r="DM139" i="4"/>
  <c r="DK139" i="4"/>
  <c r="DJ139" i="4"/>
  <c r="DI139" i="4"/>
  <c r="DH139" i="4"/>
  <c r="CV139" i="4"/>
  <c r="CU139" i="4"/>
  <c r="CT139" i="4"/>
  <c r="CS139" i="4"/>
  <c r="CQ139" i="4"/>
  <c r="CP139" i="4"/>
  <c r="CO139" i="4"/>
  <c r="CN139" i="4"/>
  <c r="CL139" i="4"/>
  <c r="CK139" i="4"/>
  <c r="CJ139" i="4"/>
  <c r="CI139" i="4"/>
  <c r="CG139" i="4"/>
  <c r="CF139" i="4"/>
  <c r="CE139" i="4"/>
  <c r="CD139" i="4"/>
  <c r="CB139" i="4"/>
  <c r="CA139" i="4"/>
  <c r="BZ139" i="4"/>
  <c r="BY139" i="4"/>
  <c r="BW139" i="4"/>
  <c r="BV139" i="4"/>
  <c r="BU139" i="4"/>
  <c r="BT139" i="4"/>
  <c r="BR139" i="4"/>
  <c r="BQ139" i="4"/>
  <c r="BP139" i="4"/>
  <c r="BO139" i="4"/>
  <c r="BM139" i="4"/>
  <c r="BL139" i="4"/>
  <c r="BK139" i="4"/>
  <c r="BJ139" i="4"/>
  <c r="DT111" i="4"/>
  <c r="DS111" i="4"/>
  <c r="DR111" i="4"/>
  <c r="DP111" i="4"/>
  <c r="DO111" i="4"/>
  <c r="DN111" i="4"/>
  <c r="DM111" i="4"/>
  <c r="DK111" i="4"/>
  <c r="DJ111" i="4"/>
  <c r="DI111" i="4"/>
  <c r="DH111" i="4"/>
  <c r="CV111" i="4"/>
  <c r="CU111" i="4"/>
  <c r="CT111" i="4"/>
  <c r="CS111" i="4"/>
  <c r="CQ111" i="4"/>
  <c r="CP111" i="4"/>
  <c r="CO111" i="4"/>
  <c r="CN111" i="4"/>
  <c r="CL111" i="4"/>
  <c r="CK111" i="4"/>
  <c r="CJ111" i="4"/>
  <c r="CI111" i="4"/>
  <c r="CG111" i="4"/>
  <c r="CF111" i="4"/>
  <c r="CE111" i="4"/>
  <c r="CD111" i="4"/>
  <c r="CB111" i="4"/>
  <c r="CA111" i="4"/>
  <c r="BZ111" i="4"/>
  <c r="BY111" i="4"/>
  <c r="BW111" i="4"/>
  <c r="BV111" i="4"/>
  <c r="BU111" i="4"/>
  <c r="BT111" i="4"/>
  <c r="BR111" i="4"/>
  <c r="BQ111" i="4"/>
  <c r="BP111" i="4"/>
  <c r="BO111" i="4"/>
  <c r="BM111" i="4"/>
  <c r="BL111" i="4"/>
  <c r="BK111" i="4"/>
  <c r="BJ111" i="4"/>
  <c r="DQ54" i="4"/>
  <c r="DQ54" i="5" s="1"/>
  <c r="DQ53" i="4"/>
  <c r="DQ53" i="5" s="1"/>
  <c r="DQ52" i="4"/>
  <c r="DQ52" i="5" s="1"/>
  <c r="DQ51" i="4"/>
  <c r="DQ48" i="4"/>
  <c r="DQ48" i="5" s="1"/>
  <c r="DQ46" i="4"/>
  <c r="DQ46" i="5" s="1"/>
  <c r="DQ43" i="4"/>
  <c r="DQ42" i="4"/>
  <c r="DQ41" i="4"/>
  <c r="DQ40" i="4"/>
  <c r="DQ39" i="4"/>
  <c r="DQ38" i="4"/>
  <c r="DQ37" i="4"/>
  <c r="DQ36" i="4"/>
  <c r="DQ35" i="4"/>
  <c r="DQ34" i="4"/>
  <c r="DQ33" i="4"/>
  <c r="DQ32" i="4"/>
  <c r="DL54" i="4"/>
  <c r="DL54" i="5" s="1"/>
  <c r="DL53" i="4"/>
  <c r="DL53" i="5" s="1"/>
  <c r="DL52" i="4"/>
  <c r="DL51" i="4"/>
  <c r="DL48" i="4"/>
  <c r="DL48" i="5" s="1"/>
  <c r="DL46" i="4"/>
  <c r="DL46" i="5" s="1"/>
  <c r="DL43" i="4"/>
  <c r="DL42" i="4"/>
  <c r="DL41" i="4"/>
  <c r="DL40" i="4"/>
  <c r="DL39" i="4"/>
  <c r="DL38" i="4"/>
  <c r="DL37" i="4"/>
  <c r="DL36" i="4"/>
  <c r="DL35" i="4"/>
  <c r="DL34" i="4"/>
  <c r="DL33" i="4"/>
  <c r="DL32" i="4"/>
  <c r="DG54" i="4"/>
  <c r="DG54" i="5" s="1"/>
  <c r="DG53" i="4"/>
  <c r="DG53" i="5" s="1"/>
  <c r="DG52" i="4"/>
  <c r="DG52" i="5" s="1"/>
  <c r="DG51" i="4"/>
  <c r="DG48" i="4"/>
  <c r="DG48" i="5" s="1"/>
  <c r="DG46" i="4"/>
  <c r="DG46" i="5" s="1"/>
  <c r="DG43" i="4"/>
  <c r="DG42" i="4"/>
  <c r="DG41" i="4"/>
  <c r="DG41" i="5" s="1"/>
  <c r="DG40" i="4"/>
  <c r="DG39" i="4"/>
  <c r="DG38" i="4"/>
  <c r="DG38" i="5" s="1"/>
  <c r="DG37" i="4"/>
  <c r="DG36" i="4"/>
  <c r="DG35" i="4"/>
  <c r="DG34" i="4"/>
  <c r="DG33" i="4"/>
  <c r="DG32" i="4"/>
  <c r="DB54" i="4"/>
  <c r="DB54" i="5" s="1"/>
  <c r="DB53" i="4"/>
  <c r="DB53" i="5" s="1"/>
  <c r="DB52" i="4"/>
  <c r="DB52" i="5" s="1"/>
  <c r="DB51" i="4"/>
  <c r="DB48" i="4"/>
  <c r="DB48" i="5" s="1"/>
  <c r="DB46" i="4"/>
  <c r="DB46" i="5" s="1"/>
  <c r="DB43" i="4"/>
  <c r="DB42" i="4"/>
  <c r="DB41" i="4"/>
  <c r="DB41" i="5" s="1"/>
  <c r="DB40" i="4"/>
  <c r="DB40" i="5" s="1"/>
  <c r="DB39" i="4"/>
  <c r="DB38" i="4"/>
  <c r="DB37" i="4"/>
  <c r="DB36" i="4"/>
  <c r="DB35" i="4"/>
  <c r="DB34" i="4"/>
  <c r="DB33" i="4"/>
  <c r="DB32" i="4"/>
  <c r="DB32" i="5" s="1"/>
  <c r="CW54" i="4"/>
  <c r="CW54" i="5" s="1"/>
  <c r="CW53" i="4"/>
  <c r="CW53" i="5" s="1"/>
  <c r="CW52" i="4"/>
  <c r="CW52" i="5" s="1"/>
  <c r="CW51" i="4"/>
  <c r="CW48" i="4"/>
  <c r="CW46" i="4"/>
  <c r="CW46" i="5" s="1"/>
  <c r="CW43" i="4"/>
  <c r="CW42" i="4"/>
  <c r="CW42" i="5" s="1"/>
  <c r="CW41" i="4"/>
  <c r="CW40" i="4"/>
  <c r="CW39" i="4"/>
  <c r="CW38" i="4"/>
  <c r="CW37" i="4"/>
  <c r="CW36" i="4"/>
  <c r="CW35" i="4"/>
  <c r="CW34" i="4"/>
  <c r="CW34" i="5" s="1"/>
  <c r="CW33" i="4"/>
  <c r="CW32" i="4"/>
  <c r="CR54" i="4"/>
  <c r="CR54" i="5" s="1"/>
  <c r="CR53" i="4"/>
  <c r="CR53" i="5" s="1"/>
  <c r="CR52" i="4"/>
  <c r="CR51" i="4"/>
  <c r="CR48" i="4"/>
  <c r="CR46" i="4"/>
  <c r="CR46" i="5" s="1"/>
  <c r="CR43" i="4"/>
  <c r="CR42" i="4"/>
  <c r="CR41" i="4"/>
  <c r="CR40" i="4"/>
  <c r="CR39" i="4"/>
  <c r="CR38" i="4"/>
  <c r="CR37" i="4"/>
  <c r="CR36" i="4"/>
  <c r="CR36" i="5" s="1"/>
  <c r="CR35" i="4"/>
  <c r="CR34" i="4"/>
  <c r="CR33" i="4"/>
  <c r="CR32" i="4"/>
  <c r="CM54" i="4"/>
  <c r="CM54" i="5" s="1"/>
  <c r="CM53" i="4"/>
  <c r="CM53" i="5" s="1"/>
  <c r="CM52" i="4"/>
  <c r="CM52" i="5" s="1"/>
  <c r="CM51" i="4"/>
  <c r="CM51" i="5" s="1"/>
  <c r="CM48" i="4"/>
  <c r="CM46" i="4"/>
  <c r="CM46" i="5" s="1"/>
  <c r="CM43" i="4"/>
  <c r="CM42" i="4"/>
  <c r="CM41" i="4"/>
  <c r="CM40" i="4"/>
  <c r="CM39" i="4"/>
  <c r="CM38" i="4"/>
  <c r="CM38" i="5" s="1"/>
  <c r="CM37" i="4"/>
  <c r="CM36" i="4"/>
  <c r="CM35" i="4"/>
  <c r="CM34" i="4"/>
  <c r="CM33" i="4"/>
  <c r="CM32" i="4"/>
  <c r="CH54" i="4"/>
  <c r="CH54" i="5" s="1"/>
  <c r="CH53" i="4"/>
  <c r="CH53" i="5" s="1"/>
  <c r="CH52" i="4"/>
  <c r="CH52" i="5" s="1"/>
  <c r="CH51" i="4"/>
  <c r="CH48" i="4"/>
  <c r="CH46" i="4"/>
  <c r="CH46" i="5" s="1"/>
  <c r="CH43" i="4"/>
  <c r="CH42" i="4"/>
  <c r="CH41" i="4"/>
  <c r="CH40" i="4"/>
  <c r="CH40" i="5" s="1"/>
  <c r="CH39" i="4"/>
  <c r="CH38" i="4"/>
  <c r="CH37" i="4"/>
  <c r="CH36" i="4"/>
  <c r="CH35" i="4"/>
  <c r="CH34" i="4"/>
  <c r="CH33" i="4"/>
  <c r="CH32" i="4"/>
  <c r="CH32" i="5" s="1"/>
  <c r="CC54" i="4"/>
  <c r="CC54" i="5" s="1"/>
  <c r="CC53" i="4"/>
  <c r="CC53" i="5" s="1"/>
  <c r="CC52" i="4"/>
  <c r="CC51" i="4"/>
  <c r="CC48" i="4"/>
  <c r="CC46" i="4"/>
  <c r="CC46" i="5" s="1"/>
  <c r="CC43" i="4"/>
  <c r="CC42" i="4"/>
  <c r="CC42" i="5" s="1"/>
  <c r="CC41" i="4"/>
  <c r="CC40" i="4"/>
  <c r="CC39" i="4"/>
  <c r="CC38" i="4"/>
  <c r="CC37" i="4"/>
  <c r="CC36" i="4"/>
  <c r="CC35" i="4"/>
  <c r="CC34" i="4"/>
  <c r="CC34" i="5" s="1"/>
  <c r="CC33" i="4"/>
  <c r="CC32" i="4"/>
  <c r="BX54" i="4"/>
  <c r="BX54" i="5" s="1"/>
  <c r="BX53" i="4"/>
  <c r="BX53" i="5" s="1"/>
  <c r="BX52" i="4"/>
  <c r="BX51" i="4"/>
  <c r="BX48" i="4"/>
  <c r="BX46" i="4"/>
  <c r="BX46" i="5" s="1"/>
  <c r="BX43" i="4"/>
  <c r="BX42" i="4"/>
  <c r="BX41" i="4"/>
  <c r="BX40" i="4"/>
  <c r="BX39" i="4"/>
  <c r="BX38" i="4"/>
  <c r="BX37" i="4"/>
  <c r="BX36" i="4"/>
  <c r="BX36" i="5" s="1"/>
  <c r="BX35" i="4"/>
  <c r="BX34" i="4"/>
  <c r="BX33" i="4"/>
  <c r="BX32" i="4"/>
  <c r="BS54" i="4"/>
  <c r="BS54" i="5" s="1"/>
  <c r="BS53" i="4"/>
  <c r="BS53" i="5" s="1"/>
  <c r="BS52" i="4"/>
  <c r="BS52" i="5" s="1"/>
  <c r="BS51" i="4"/>
  <c r="BS51" i="5" s="1"/>
  <c r="BS48" i="4"/>
  <c r="BS46" i="4"/>
  <c r="BS46" i="5" s="1"/>
  <c r="BS43" i="4"/>
  <c r="BS42" i="4"/>
  <c r="BS41" i="4"/>
  <c r="BS40" i="4"/>
  <c r="BS39" i="4"/>
  <c r="BS38" i="4"/>
  <c r="BS37" i="4"/>
  <c r="BS36" i="4"/>
  <c r="BS35" i="4"/>
  <c r="BS34" i="4"/>
  <c r="BS33" i="4"/>
  <c r="BS32" i="4"/>
  <c r="DT55" i="4"/>
  <c r="DT5" i="5" s="1"/>
  <c r="DS55" i="4"/>
  <c r="DS5" i="5" s="1"/>
  <c r="DR55" i="4"/>
  <c r="DR5" i="5" s="1"/>
  <c r="DP55" i="4"/>
  <c r="DP5" i="5" s="1"/>
  <c r="DO55" i="4"/>
  <c r="DO5" i="5" s="1"/>
  <c r="DN55" i="4"/>
  <c r="DN5" i="5" s="1"/>
  <c r="DM55" i="4"/>
  <c r="DM5" i="5" s="1"/>
  <c r="DK55" i="4"/>
  <c r="DK5" i="5" s="1"/>
  <c r="DJ55" i="4"/>
  <c r="DJ5" i="5" s="1"/>
  <c r="DI55" i="4"/>
  <c r="DI5" i="5" s="1"/>
  <c r="DH55" i="4"/>
  <c r="DH5" i="5" s="1"/>
  <c r="DF55" i="4"/>
  <c r="DF5" i="5" s="1"/>
  <c r="DE55" i="4"/>
  <c r="DE5" i="5" s="1"/>
  <c r="DD55" i="4"/>
  <c r="DD5" i="5" s="1"/>
  <c r="DC55" i="4"/>
  <c r="DC5" i="5" s="1"/>
  <c r="DA55" i="4"/>
  <c r="DA5" i="5" s="1"/>
  <c r="CZ55" i="4"/>
  <c r="CZ5" i="5" s="1"/>
  <c r="CY55" i="4"/>
  <c r="CY5" i="5" s="1"/>
  <c r="CX55" i="4"/>
  <c r="CX5" i="5" s="1"/>
  <c r="CV55" i="4"/>
  <c r="CV5" i="5" s="1"/>
  <c r="CU55" i="4"/>
  <c r="CU5" i="5" s="1"/>
  <c r="CT55" i="4"/>
  <c r="CT5" i="5" s="1"/>
  <c r="CS55" i="4"/>
  <c r="CS5" i="5" s="1"/>
  <c r="CQ55" i="4"/>
  <c r="CQ5" i="5" s="1"/>
  <c r="CP55" i="4"/>
  <c r="CP5" i="5" s="1"/>
  <c r="CO55" i="4"/>
  <c r="CO5" i="5" s="1"/>
  <c r="CN55" i="4"/>
  <c r="CN5" i="5" s="1"/>
  <c r="CL55" i="4"/>
  <c r="CL5" i="5" s="1"/>
  <c r="CK55" i="4"/>
  <c r="CK5" i="5" s="1"/>
  <c r="CJ55" i="4"/>
  <c r="CJ5" i="5" s="1"/>
  <c r="CI55" i="4"/>
  <c r="CI5" i="5" s="1"/>
  <c r="CG55" i="4"/>
  <c r="CG5" i="5" s="1"/>
  <c r="CF55" i="4"/>
  <c r="CF5" i="5" s="1"/>
  <c r="CE55" i="4"/>
  <c r="CE5" i="5" s="1"/>
  <c r="CD55" i="4"/>
  <c r="CD5" i="5" s="1"/>
  <c r="CB55" i="4"/>
  <c r="CB5" i="5" s="1"/>
  <c r="CA55" i="4"/>
  <c r="CA5" i="5" s="1"/>
  <c r="BZ55" i="4"/>
  <c r="BZ5" i="5" s="1"/>
  <c r="BY55" i="4"/>
  <c r="BY5" i="5" s="1"/>
  <c r="BW55" i="4"/>
  <c r="BW5" i="5" s="1"/>
  <c r="BV55" i="4"/>
  <c r="BV5" i="5" s="1"/>
  <c r="BU55" i="4"/>
  <c r="BU5" i="5" s="1"/>
  <c r="BT55" i="4"/>
  <c r="BT5" i="5" s="1"/>
  <c r="BR55" i="4"/>
  <c r="BR5" i="5" s="1"/>
  <c r="BQ55" i="4"/>
  <c r="BQ5" i="5" s="1"/>
  <c r="BP55" i="4"/>
  <c r="BP5" i="5" s="1"/>
  <c r="BO55" i="4"/>
  <c r="BO5" i="5" s="1"/>
  <c r="BM55" i="4"/>
  <c r="BM5" i="5" s="1"/>
  <c r="BL55" i="4"/>
  <c r="BL5" i="5" s="1"/>
  <c r="BK55" i="4"/>
  <c r="BK5" i="5" s="1"/>
  <c r="BJ55" i="4"/>
  <c r="BJ5" i="5" s="1"/>
  <c r="DQ25" i="4"/>
  <c r="DQ25" i="5" s="1"/>
  <c r="DQ24" i="4"/>
  <c r="DQ23" i="4"/>
  <c r="DQ22" i="4"/>
  <c r="DQ21" i="4"/>
  <c r="DQ20" i="4"/>
  <c r="DQ20" i="5" s="1"/>
  <c r="DQ19" i="4"/>
  <c r="DQ19" i="5" s="1"/>
  <c r="DQ18" i="4"/>
  <c r="DQ18" i="5" s="1"/>
  <c r="DQ17" i="4"/>
  <c r="DQ17" i="5" s="1"/>
  <c r="DQ14" i="4"/>
  <c r="DQ14" i="5" s="1"/>
  <c r="DQ13" i="4"/>
  <c r="DQ13" i="5" s="1"/>
  <c r="DQ12" i="4"/>
  <c r="DQ12" i="5" s="1"/>
  <c r="DQ11" i="4"/>
  <c r="DQ11" i="5" s="1"/>
  <c r="DQ10" i="4"/>
  <c r="DQ10" i="5" s="1"/>
  <c r="DQ9" i="4"/>
  <c r="DQ9" i="5" s="1"/>
  <c r="DQ8" i="4"/>
  <c r="DQ8" i="5" s="1"/>
  <c r="DQ7" i="4"/>
  <c r="DQ7" i="5" s="1"/>
  <c r="DQ6" i="4"/>
  <c r="DQ6" i="5" s="1"/>
  <c r="DQ5" i="4"/>
  <c r="DQ4" i="4"/>
  <c r="DQ4" i="5" s="1"/>
  <c r="DQ3" i="4"/>
  <c r="DQ3" i="5" s="1"/>
  <c r="DL25" i="4"/>
  <c r="DL25" i="5" s="1"/>
  <c r="DL24" i="4"/>
  <c r="DL24" i="5" s="1"/>
  <c r="DL23" i="4"/>
  <c r="DL22" i="4"/>
  <c r="DL21" i="4"/>
  <c r="DL20" i="4"/>
  <c r="DL20" i="5" s="1"/>
  <c r="DL19" i="4"/>
  <c r="DL19" i="5" s="1"/>
  <c r="DL18" i="4"/>
  <c r="DL18" i="5" s="1"/>
  <c r="DL17" i="4"/>
  <c r="DL17" i="5" s="1"/>
  <c r="DL14" i="4"/>
  <c r="DL14" i="5" s="1"/>
  <c r="DL13" i="4"/>
  <c r="DL13" i="5" s="1"/>
  <c r="DL12" i="4"/>
  <c r="DL12" i="5" s="1"/>
  <c r="DL11" i="4"/>
  <c r="DL11" i="5" s="1"/>
  <c r="DL10" i="4"/>
  <c r="DL10" i="5" s="1"/>
  <c r="DL9" i="4"/>
  <c r="DL9" i="5" s="1"/>
  <c r="DL8" i="4"/>
  <c r="DL8" i="5" s="1"/>
  <c r="DL7" i="4"/>
  <c r="DL7" i="5" s="1"/>
  <c r="DL6" i="4"/>
  <c r="DL6" i="5" s="1"/>
  <c r="DL5" i="4"/>
  <c r="DL4" i="4"/>
  <c r="DL4" i="5" s="1"/>
  <c r="DL3" i="4"/>
  <c r="DL3" i="5" s="1"/>
  <c r="DG25" i="4"/>
  <c r="DG24" i="4"/>
  <c r="DG22" i="4"/>
  <c r="DG21" i="4"/>
  <c r="DG20" i="4"/>
  <c r="DG19" i="4"/>
  <c r="DG18" i="4"/>
  <c r="DG17" i="4"/>
  <c r="DG14" i="4"/>
  <c r="DG13" i="4"/>
  <c r="DG12" i="4"/>
  <c r="DG11" i="4"/>
  <c r="DG10" i="4"/>
  <c r="DG9" i="4"/>
  <c r="DG8" i="4"/>
  <c r="DG7" i="4"/>
  <c r="DG6" i="4"/>
  <c r="DG5" i="4"/>
  <c r="DG4" i="4"/>
  <c r="DG3" i="4"/>
  <c r="DB25" i="4"/>
  <c r="DB25" i="5" s="1"/>
  <c r="DB24" i="4"/>
  <c r="DB23" i="5"/>
  <c r="DB22" i="4"/>
  <c r="DB21" i="4"/>
  <c r="DB20" i="4"/>
  <c r="DB20" i="5" s="1"/>
  <c r="DB19" i="4"/>
  <c r="DB18" i="4"/>
  <c r="DB18" i="5" s="1"/>
  <c r="DB17" i="4"/>
  <c r="DB17" i="5" s="1"/>
  <c r="DB14" i="4"/>
  <c r="DB14" i="5" s="1"/>
  <c r="DB13" i="4"/>
  <c r="DB13" i="5" s="1"/>
  <c r="DB12" i="4"/>
  <c r="DB12" i="5" s="1"/>
  <c r="DB11" i="4"/>
  <c r="DB11" i="5" s="1"/>
  <c r="DB10" i="4"/>
  <c r="DB10" i="5" s="1"/>
  <c r="DB9" i="4"/>
  <c r="DB9" i="5" s="1"/>
  <c r="DB8" i="4"/>
  <c r="DB8" i="5" s="1"/>
  <c r="DB7" i="4"/>
  <c r="DB7" i="5" s="1"/>
  <c r="DB6" i="4"/>
  <c r="DB6" i="5" s="1"/>
  <c r="DB5" i="4"/>
  <c r="DB4" i="4"/>
  <c r="DB4" i="5" s="1"/>
  <c r="DB3" i="4"/>
  <c r="DB3" i="5" s="1"/>
  <c r="CW25" i="4"/>
  <c r="CW24" i="4"/>
  <c r="CW23" i="4"/>
  <c r="CW23" i="5" s="1"/>
  <c r="CW22" i="4"/>
  <c r="CW22" i="5" s="1"/>
  <c r="CW21" i="4"/>
  <c r="CW20" i="4"/>
  <c r="CW20" i="5" s="1"/>
  <c r="CW19" i="4"/>
  <c r="CW19" i="5" s="1"/>
  <c r="CW18" i="4"/>
  <c r="CW18" i="5" s="1"/>
  <c r="CW17" i="4"/>
  <c r="CW17" i="5" s="1"/>
  <c r="CW14" i="4"/>
  <c r="CW14" i="5" s="1"/>
  <c r="CW13" i="4"/>
  <c r="CW13" i="5" s="1"/>
  <c r="CW12" i="4"/>
  <c r="CW12" i="5" s="1"/>
  <c r="CW11" i="4"/>
  <c r="CW11" i="5" s="1"/>
  <c r="CW10" i="4"/>
  <c r="CW10" i="5" s="1"/>
  <c r="CW9" i="4"/>
  <c r="CW9" i="5" s="1"/>
  <c r="CW8" i="4"/>
  <c r="CW7" i="4"/>
  <c r="CW7" i="5" s="1"/>
  <c r="CW6" i="4"/>
  <c r="CW6" i="5" s="1"/>
  <c r="CW5" i="4"/>
  <c r="CW4" i="4"/>
  <c r="CW4" i="5" s="1"/>
  <c r="CW3" i="4"/>
  <c r="CW3" i="5" s="1"/>
  <c r="CR25" i="4"/>
  <c r="CR25" i="5" s="1"/>
  <c r="CR24" i="4"/>
  <c r="CR23" i="4"/>
  <c r="CR22" i="4"/>
  <c r="CR22" i="5" s="1"/>
  <c r="CR21" i="4"/>
  <c r="CR20" i="4"/>
  <c r="CR20" i="5" s="1"/>
  <c r="CR19" i="4"/>
  <c r="CR19" i="5" s="1"/>
  <c r="CR18" i="4"/>
  <c r="CR18" i="5" s="1"/>
  <c r="CR17" i="4"/>
  <c r="CR17" i="5" s="1"/>
  <c r="CR14" i="4"/>
  <c r="CR13" i="4"/>
  <c r="CR13" i="5" s="1"/>
  <c r="CR12" i="4"/>
  <c r="CR12" i="5" s="1"/>
  <c r="CR11" i="4"/>
  <c r="CR11" i="5" s="1"/>
  <c r="CR10" i="4"/>
  <c r="CR10" i="5" s="1"/>
  <c r="CR9" i="4"/>
  <c r="CR9" i="5" s="1"/>
  <c r="CR8" i="4"/>
  <c r="CR8" i="5" s="1"/>
  <c r="CR7" i="4"/>
  <c r="CR6" i="4"/>
  <c r="CR6" i="5" s="1"/>
  <c r="CR5" i="4"/>
  <c r="CR4" i="4"/>
  <c r="CR4" i="5" s="1"/>
  <c r="CR3" i="4"/>
  <c r="CR3" i="5" s="1"/>
  <c r="CM25" i="4"/>
  <c r="CM25" i="5" s="1"/>
  <c r="CM24" i="4"/>
  <c r="CM24" i="5" s="1"/>
  <c r="CM23" i="4"/>
  <c r="CM23" i="5" s="1"/>
  <c r="CM22" i="4"/>
  <c r="CM21" i="4"/>
  <c r="CM20" i="4"/>
  <c r="CM20" i="5" s="1"/>
  <c r="CM19" i="4"/>
  <c r="CM19" i="5" s="1"/>
  <c r="CM18" i="4"/>
  <c r="CM17" i="4"/>
  <c r="CM17" i="5" s="1"/>
  <c r="CM14" i="4"/>
  <c r="CM14" i="5" s="1"/>
  <c r="CM13" i="4"/>
  <c r="CM13" i="5" s="1"/>
  <c r="CM12" i="4"/>
  <c r="CM12" i="5" s="1"/>
  <c r="CM11" i="4"/>
  <c r="CM11" i="5" s="1"/>
  <c r="CM10" i="4"/>
  <c r="CM10" i="5" s="1"/>
  <c r="CM9" i="4"/>
  <c r="CM9" i="5" s="1"/>
  <c r="CM8" i="4"/>
  <c r="CM8" i="5" s="1"/>
  <c r="CM7" i="4"/>
  <c r="CM7" i="5" s="1"/>
  <c r="CM6" i="4"/>
  <c r="CM6" i="5" s="1"/>
  <c r="CM5" i="4"/>
  <c r="CM4" i="4"/>
  <c r="CM4" i="5" s="1"/>
  <c r="CM3" i="4"/>
  <c r="CM3" i="5" s="1"/>
  <c r="CH25" i="4"/>
  <c r="CH24" i="4"/>
  <c r="CH23" i="4"/>
  <c r="CH22" i="4"/>
  <c r="CH22" i="5" s="1"/>
  <c r="CH21" i="4"/>
  <c r="CH20" i="4"/>
  <c r="CH20" i="5" s="1"/>
  <c r="CH19" i="4"/>
  <c r="CH18" i="4"/>
  <c r="CH18" i="5" s="1"/>
  <c r="CH17" i="4"/>
  <c r="CH17" i="5" s="1"/>
  <c r="CH14" i="4"/>
  <c r="CH14" i="5" s="1"/>
  <c r="CH13" i="4"/>
  <c r="CH13" i="5" s="1"/>
  <c r="CH12" i="4"/>
  <c r="CH12" i="5" s="1"/>
  <c r="CH11" i="4"/>
  <c r="CH11" i="5" s="1"/>
  <c r="CH10" i="4"/>
  <c r="CH10" i="5" s="1"/>
  <c r="CH9" i="4"/>
  <c r="CH9" i="5" s="1"/>
  <c r="CH8" i="4"/>
  <c r="CH8" i="5" s="1"/>
  <c r="CH7" i="4"/>
  <c r="CH7" i="5" s="1"/>
  <c r="CH6" i="4"/>
  <c r="CH6" i="5" s="1"/>
  <c r="CH5" i="4"/>
  <c r="CH4" i="4"/>
  <c r="CH4" i="5" s="1"/>
  <c r="CH3" i="4"/>
  <c r="CH3" i="5" s="1"/>
  <c r="CC25" i="4"/>
  <c r="CC25" i="5" s="1"/>
  <c r="CC24" i="4"/>
  <c r="CC24" i="5" s="1"/>
  <c r="CC23" i="4"/>
  <c r="CC22" i="4"/>
  <c r="CC21" i="4"/>
  <c r="CC20" i="4"/>
  <c r="CC20" i="5" s="1"/>
  <c r="CC19" i="4"/>
  <c r="CC19" i="5" s="1"/>
  <c r="CC18" i="4"/>
  <c r="CC18" i="5" s="1"/>
  <c r="CC17" i="4"/>
  <c r="CC17" i="5" s="1"/>
  <c r="CC14" i="4"/>
  <c r="CC14" i="5" s="1"/>
  <c r="CC13" i="4"/>
  <c r="CC13" i="5" s="1"/>
  <c r="CC12" i="4"/>
  <c r="CC11" i="4"/>
  <c r="CC11" i="5" s="1"/>
  <c r="CC10" i="4"/>
  <c r="CC10" i="5" s="1"/>
  <c r="CC9" i="4"/>
  <c r="CC9" i="5" s="1"/>
  <c r="CC8" i="4"/>
  <c r="CC8" i="5" s="1"/>
  <c r="CC7" i="4"/>
  <c r="CC7" i="5" s="1"/>
  <c r="CC6" i="4"/>
  <c r="CC6" i="5" s="1"/>
  <c r="CC5" i="4"/>
  <c r="CC4" i="4"/>
  <c r="CC4" i="5" s="1"/>
  <c r="CC3" i="4"/>
  <c r="CC3" i="5" s="1"/>
  <c r="BX25" i="4"/>
  <c r="BX24" i="4"/>
  <c r="BX23" i="4"/>
  <c r="BX23" i="5" s="1"/>
  <c r="BX22" i="4"/>
  <c r="BX21" i="4"/>
  <c r="BX20" i="4"/>
  <c r="BX20" i="5" s="1"/>
  <c r="BX19" i="4"/>
  <c r="BX19" i="5" s="1"/>
  <c r="BX18" i="4"/>
  <c r="BX18" i="5" s="1"/>
  <c r="BX17" i="4"/>
  <c r="BX17" i="5" s="1"/>
  <c r="BX14" i="4"/>
  <c r="BX13" i="4"/>
  <c r="BX13" i="5" s="1"/>
  <c r="BX12" i="4"/>
  <c r="BX12" i="5" s="1"/>
  <c r="BX11" i="4"/>
  <c r="BX11" i="5" s="1"/>
  <c r="BX10" i="4"/>
  <c r="BX10" i="5" s="1"/>
  <c r="BX9" i="4"/>
  <c r="BX9" i="5" s="1"/>
  <c r="BX8" i="4"/>
  <c r="BX8" i="5" s="1"/>
  <c r="BX7" i="4"/>
  <c r="BX6" i="4"/>
  <c r="BX6" i="5" s="1"/>
  <c r="BX5" i="4"/>
  <c r="BX4" i="4"/>
  <c r="BX4" i="5" s="1"/>
  <c r="BX3" i="4"/>
  <c r="BX3" i="5" s="1"/>
  <c r="BS25" i="4"/>
  <c r="BS24" i="4"/>
  <c r="BS23" i="4"/>
  <c r="BS22" i="4"/>
  <c r="BS22" i="5" s="1"/>
  <c r="BS21" i="4"/>
  <c r="BS20" i="4"/>
  <c r="BS20" i="5" s="1"/>
  <c r="BS19" i="4"/>
  <c r="BS19" i="5" s="1"/>
  <c r="BS18" i="4"/>
  <c r="BS17" i="4"/>
  <c r="BS17" i="5" s="1"/>
  <c r="BS14" i="4"/>
  <c r="BS14" i="5" s="1"/>
  <c r="BS13" i="4"/>
  <c r="BS13" i="5" s="1"/>
  <c r="BS12" i="4"/>
  <c r="BS12" i="5" s="1"/>
  <c r="BS11" i="4"/>
  <c r="BS11" i="5" s="1"/>
  <c r="BS10" i="4"/>
  <c r="BS10" i="5" s="1"/>
  <c r="BS9" i="4"/>
  <c r="BS9" i="5" s="1"/>
  <c r="BS8" i="4"/>
  <c r="BS8" i="5" s="1"/>
  <c r="BS7" i="4"/>
  <c r="BS7" i="5" s="1"/>
  <c r="BS6" i="4"/>
  <c r="BS6" i="5" s="1"/>
  <c r="BS5" i="4"/>
  <c r="BS4" i="4"/>
  <c r="BS4" i="5" s="1"/>
  <c r="BS3" i="4"/>
  <c r="BS3" i="5" s="1"/>
  <c r="BN25" i="4"/>
  <c r="BN25" i="5" s="1"/>
  <c r="BN24" i="4"/>
  <c r="BN23" i="4"/>
  <c r="BN22" i="4"/>
  <c r="BN40" i="5" s="1"/>
  <c r="BN21" i="4"/>
  <c r="BN39" i="5" s="1"/>
  <c r="BN20" i="4"/>
  <c r="BN20" i="5" s="1"/>
  <c r="BN19" i="4"/>
  <c r="BN19" i="5" s="1"/>
  <c r="BN18" i="4"/>
  <c r="BN18" i="5" s="1"/>
  <c r="BN17" i="4"/>
  <c r="BN17" i="5" s="1"/>
  <c r="BN14" i="4"/>
  <c r="BN14" i="5" s="1"/>
  <c r="BN13" i="4"/>
  <c r="BN13" i="5" s="1"/>
  <c r="BN12" i="4"/>
  <c r="BN12" i="5" s="1"/>
  <c r="BN11" i="4"/>
  <c r="BN11" i="5" s="1"/>
  <c r="BN10" i="4"/>
  <c r="BN10" i="5" s="1"/>
  <c r="BN9" i="4"/>
  <c r="BN9" i="5" s="1"/>
  <c r="BN8" i="4"/>
  <c r="BN8" i="5" s="1"/>
  <c r="BN7" i="4"/>
  <c r="BN7" i="5" s="1"/>
  <c r="BN6" i="4"/>
  <c r="BN6" i="5" s="1"/>
  <c r="BN5" i="4"/>
  <c r="BN4" i="4"/>
  <c r="BN4" i="5" s="1"/>
  <c r="BN3" i="4"/>
  <c r="BN3" i="5" s="1"/>
  <c r="DR26" i="4"/>
  <c r="DR21" i="5" s="1"/>
  <c r="DP26" i="4"/>
  <c r="DP21" i="5" s="1"/>
  <c r="DO26" i="4"/>
  <c r="DO21" i="5" s="1"/>
  <c r="DN26" i="4"/>
  <c r="DN21" i="5" s="1"/>
  <c r="DM26" i="4"/>
  <c r="DM21" i="5" s="1"/>
  <c r="DK26" i="4"/>
  <c r="DK21" i="5" s="1"/>
  <c r="DH26" i="4"/>
  <c r="DH21" i="5" s="1"/>
  <c r="DF26" i="4"/>
  <c r="DF21" i="5" s="1"/>
  <c r="DE26" i="4"/>
  <c r="DE21" i="5" s="1"/>
  <c r="DD26" i="4"/>
  <c r="DD21" i="5" s="1"/>
  <c r="DC26" i="4"/>
  <c r="DC21" i="5" s="1"/>
  <c r="DA26" i="4"/>
  <c r="DA21" i="5" s="1"/>
  <c r="CX26" i="4"/>
  <c r="CX21" i="5" s="1"/>
  <c r="CV26" i="4"/>
  <c r="CV21" i="5" s="1"/>
  <c r="CU26" i="4"/>
  <c r="CU21" i="5" s="1"/>
  <c r="CT26" i="4"/>
  <c r="CT21" i="5" s="1"/>
  <c r="CS26" i="4"/>
  <c r="CS21" i="5" s="1"/>
  <c r="CQ26" i="4"/>
  <c r="CQ21" i="5" s="1"/>
  <c r="CN26" i="4"/>
  <c r="CN21" i="5" s="1"/>
  <c r="CL26" i="4"/>
  <c r="CL21" i="5" s="1"/>
  <c r="CK26" i="4"/>
  <c r="CK21" i="5" s="1"/>
  <c r="CJ26" i="4"/>
  <c r="CJ21" i="5" s="1"/>
  <c r="CI26" i="4"/>
  <c r="CI21" i="5" s="1"/>
  <c r="CG26" i="4"/>
  <c r="CG21" i="5" s="1"/>
  <c r="CD26" i="4"/>
  <c r="CD21" i="5" s="1"/>
  <c r="CB26" i="4"/>
  <c r="CB21" i="5" s="1"/>
  <c r="CA26" i="4"/>
  <c r="CA21" i="5" s="1"/>
  <c r="BZ26" i="4"/>
  <c r="BZ21" i="5" s="1"/>
  <c r="BY26" i="4"/>
  <c r="BY21" i="5" s="1"/>
  <c r="BW26" i="4"/>
  <c r="BW21" i="5" s="1"/>
  <c r="BT26" i="4"/>
  <c r="BT21" i="5" s="1"/>
  <c r="BR26" i="4"/>
  <c r="BR21" i="5" s="1"/>
  <c r="BQ26" i="4"/>
  <c r="BQ21" i="5" s="1"/>
  <c r="BP26" i="4"/>
  <c r="BP21" i="5" s="1"/>
  <c r="BO26" i="4"/>
  <c r="BO21" i="5" s="1"/>
  <c r="BM26" i="4"/>
  <c r="BM21" i="5" s="1"/>
  <c r="BJ26" i="4"/>
  <c r="BJ21" i="5" s="1"/>
  <c r="BM26" i="5" l="1"/>
  <c r="BW26" i="5"/>
  <c r="CG26" i="5"/>
  <c r="CQ26" i="5"/>
  <c r="DA26" i="5"/>
  <c r="DK26" i="5"/>
  <c r="BO26" i="5"/>
  <c r="BY26" i="5"/>
  <c r="CI26" i="5"/>
  <c r="CS26" i="5"/>
  <c r="DC26" i="5"/>
  <c r="DM26" i="5"/>
  <c r="BP26" i="5"/>
  <c r="BZ26" i="5"/>
  <c r="CJ26" i="5"/>
  <c r="CT26" i="5"/>
  <c r="DD26" i="5"/>
  <c r="DN26" i="5"/>
  <c r="BQ26" i="5"/>
  <c r="CA26" i="5"/>
  <c r="CK26" i="5"/>
  <c r="CU26" i="5"/>
  <c r="DE26" i="5"/>
  <c r="DO26" i="5"/>
  <c r="BR26" i="5"/>
  <c r="CB26" i="5"/>
  <c r="CL26" i="5"/>
  <c r="CV26" i="5"/>
  <c r="DF26" i="5"/>
  <c r="DP26" i="5"/>
  <c r="BJ26" i="5"/>
  <c r="BT26" i="5"/>
  <c r="CD26" i="5"/>
  <c r="CN26" i="5"/>
  <c r="CX26" i="5"/>
  <c r="DH26" i="5"/>
  <c r="DR26" i="5"/>
  <c r="BX14" i="5"/>
  <c r="BN23" i="5"/>
  <c r="BS18" i="5"/>
  <c r="CH19" i="5"/>
  <c r="CM22" i="5"/>
  <c r="CR7" i="5"/>
  <c r="DL22" i="5"/>
  <c r="BS36" i="5"/>
  <c r="BS145" i="7" s="1"/>
  <c r="BX34" i="5"/>
  <c r="BX143" i="7" s="1"/>
  <c r="BX42" i="5"/>
  <c r="BX151" i="7" s="1"/>
  <c r="CC32" i="5"/>
  <c r="CC141" i="7" s="1"/>
  <c r="CC40" i="5"/>
  <c r="CC149" i="7" s="1"/>
  <c r="CH38" i="5"/>
  <c r="CH51" i="5"/>
  <c r="CH160" i="7" s="1"/>
  <c r="CM36" i="5"/>
  <c r="CR34" i="5"/>
  <c r="CR143" i="7" s="1"/>
  <c r="CR42" i="5"/>
  <c r="CR151" i="7" s="1"/>
  <c r="CW32" i="5"/>
  <c r="CW40" i="5"/>
  <c r="CW149" i="7" s="1"/>
  <c r="DB38" i="5"/>
  <c r="DB147" i="7" s="1"/>
  <c r="DB51" i="5"/>
  <c r="DG36" i="5"/>
  <c r="DG145" i="7" s="1"/>
  <c r="DL34" i="5"/>
  <c r="DL143" i="7" s="1"/>
  <c r="DL42" i="5"/>
  <c r="DL151" i="7" s="1"/>
  <c r="DQ32" i="5"/>
  <c r="DQ40" i="5"/>
  <c r="DQ149" i="7" s="1"/>
  <c r="CH49" i="5"/>
  <c r="CH158" i="7" s="1"/>
  <c r="BS50" i="5"/>
  <c r="BS159" i="7" s="1"/>
  <c r="DG50" i="5"/>
  <c r="BN37" i="5"/>
  <c r="BX24" i="5"/>
  <c r="BN24" i="5"/>
  <c r="BX22" i="5"/>
  <c r="DB24" i="5"/>
  <c r="DL23" i="5"/>
  <c r="BS37" i="5"/>
  <c r="BS146" i="7" s="1"/>
  <c r="BS48" i="5"/>
  <c r="BX35" i="5"/>
  <c r="BX144" i="7" s="1"/>
  <c r="BX44" i="5"/>
  <c r="BX153" i="7" s="1"/>
  <c r="BX43" i="5"/>
  <c r="BX152" i="7" s="1"/>
  <c r="CC33" i="5"/>
  <c r="CC142" i="7" s="1"/>
  <c r="CC15" i="5"/>
  <c r="CC41" i="5"/>
  <c r="CC150" i="7" s="1"/>
  <c r="CH39" i="5"/>
  <c r="CH148" i="7" s="1"/>
  <c r="CM37" i="5"/>
  <c r="CM146" i="7" s="1"/>
  <c r="CM48" i="5"/>
  <c r="CM157" i="7" s="1"/>
  <c r="CR35" i="5"/>
  <c r="CR144" i="7" s="1"/>
  <c r="CR44" i="5"/>
  <c r="CR153" i="7" s="1"/>
  <c r="CR43" i="5"/>
  <c r="CR152" i="7" s="1"/>
  <c r="CW33" i="5"/>
  <c r="CW142" i="7" s="1"/>
  <c r="CW15" i="5"/>
  <c r="CW41" i="5"/>
  <c r="CW150" i="7" s="1"/>
  <c r="DB39" i="5"/>
  <c r="DG37" i="5"/>
  <c r="DG146" i="7" s="1"/>
  <c r="DL35" i="5"/>
  <c r="DL144" i="7" s="1"/>
  <c r="DL44" i="5"/>
  <c r="DL153" i="7" s="1"/>
  <c r="DL43" i="5"/>
  <c r="DL152" i="7" s="1"/>
  <c r="DQ33" i="5"/>
  <c r="DQ142" i="7" s="1"/>
  <c r="DQ15" i="5"/>
  <c r="DQ41" i="5"/>
  <c r="DQ150" i="7" s="1"/>
  <c r="CM49" i="5"/>
  <c r="CM158" i="7" s="1"/>
  <c r="BX50" i="5"/>
  <c r="BX159" i="7" s="1"/>
  <c r="DL50" i="5"/>
  <c r="BN38" i="5"/>
  <c r="BN147" i="7" s="1"/>
  <c r="DG51" i="5"/>
  <c r="DL36" i="5"/>
  <c r="DL145" i="7" s="1"/>
  <c r="DQ34" i="5"/>
  <c r="DQ143" i="7" s="1"/>
  <c r="DQ42" i="5"/>
  <c r="DQ151" i="7" s="1"/>
  <c r="CR49" i="5"/>
  <c r="CR158" i="7" s="1"/>
  <c r="CC50" i="5"/>
  <c r="CC159" i="7" s="1"/>
  <c r="DQ50" i="5"/>
  <c r="DQ159" i="7" s="1"/>
  <c r="BS39" i="5"/>
  <c r="BS148" i="7" s="1"/>
  <c r="BX37" i="5"/>
  <c r="BX48" i="5"/>
  <c r="BX157" i="7" s="1"/>
  <c r="CC35" i="5"/>
  <c r="CC144" i="7" s="1"/>
  <c r="CC44" i="5"/>
  <c r="CC153" i="7" s="1"/>
  <c r="CC43" i="5"/>
  <c r="CC152" i="7" s="1"/>
  <c r="CH33" i="5"/>
  <c r="CH142" i="7" s="1"/>
  <c r="CH15" i="5"/>
  <c r="CH41" i="5"/>
  <c r="CH150" i="7" s="1"/>
  <c r="CM39" i="5"/>
  <c r="CM148" i="7" s="1"/>
  <c r="CR37" i="5"/>
  <c r="CR48" i="5"/>
  <c r="CR157" i="7" s="1"/>
  <c r="CW35" i="5"/>
  <c r="CW144" i="7" s="1"/>
  <c r="CW44" i="5"/>
  <c r="CW153" i="7" s="1"/>
  <c r="CW43" i="5"/>
  <c r="CW152" i="7" s="1"/>
  <c r="DB33" i="5"/>
  <c r="DB142" i="7" s="1"/>
  <c r="DB15" i="5"/>
  <c r="DG39" i="5"/>
  <c r="DG148" i="7" s="1"/>
  <c r="DL37" i="5"/>
  <c r="DL146" i="7" s="1"/>
  <c r="DQ35" i="5"/>
  <c r="DQ144" i="7" s="1"/>
  <c r="DQ44" i="5"/>
  <c r="DQ153" i="7" s="1"/>
  <c r="DQ43" i="5"/>
  <c r="DQ152" i="7" s="1"/>
  <c r="CW49" i="5"/>
  <c r="CW158" i="7" s="1"/>
  <c r="CH50" i="5"/>
  <c r="CH159" i="7" s="1"/>
  <c r="BN32" i="5"/>
  <c r="BN141" i="7" s="1"/>
  <c r="BS38" i="5"/>
  <c r="BS147" i="7" s="1"/>
  <c r="CO26" i="4"/>
  <c r="CO21" i="5" s="1"/>
  <c r="CO26" i="5" s="1"/>
  <c r="CY26" i="4"/>
  <c r="CY21" i="5" s="1"/>
  <c r="CY26" i="5" s="1"/>
  <c r="DI26" i="4"/>
  <c r="DI21" i="5" s="1"/>
  <c r="DI26" i="5" s="1"/>
  <c r="DS26" i="4"/>
  <c r="DS21" i="5" s="1"/>
  <c r="DS26" i="5" s="1"/>
  <c r="BX7" i="5"/>
  <c r="BX25" i="5"/>
  <c r="CH23" i="5"/>
  <c r="CM18" i="5"/>
  <c r="CW24" i="5"/>
  <c r="DB19" i="5"/>
  <c r="BS32" i="5"/>
  <c r="BS141" i="7" s="1"/>
  <c r="BS40" i="5"/>
  <c r="BS149" i="7" s="1"/>
  <c r="BX38" i="5"/>
  <c r="BX147" i="7" s="1"/>
  <c r="BX51" i="5"/>
  <c r="BX160" i="7" s="1"/>
  <c r="CC36" i="5"/>
  <c r="CC145" i="7" s="1"/>
  <c r="CH34" i="5"/>
  <c r="CH143" i="7" s="1"/>
  <c r="CH42" i="5"/>
  <c r="CH151" i="7" s="1"/>
  <c r="CM32" i="5"/>
  <c r="CM141" i="7" s="1"/>
  <c r="CM40" i="5"/>
  <c r="CM149" i="7" s="1"/>
  <c r="CR38" i="5"/>
  <c r="CR147" i="7" s="1"/>
  <c r="CR51" i="5"/>
  <c r="CR160" i="7" s="1"/>
  <c r="CW36" i="5"/>
  <c r="CW145" i="7" s="1"/>
  <c r="DB34" i="5"/>
  <c r="DB143" i="7" s="1"/>
  <c r="DB42" i="5"/>
  <c r="DG32" i="5"/>
  <c r="DG141" i="7" s="1"/>
  <c r="DG40" i="5"/>
  <c r="DG149" i="7" s="1"/>
  <c r="DL38" i="5"/>
  <c r="DL147" i="7" s="1"/>
  <c r="DL51" i="5"/>
  <c r="DQ36" i="5"/>
  <c r="DQ145" i="7" s="1"/>
  <c r="DB49" i="5"/>
  <c r="CM50" i="5"/>
  <c r="CM159" i="7" s="1"/>
  <c r="BN33" i="5"/>
  <c r="BN142" i="7" s="1"/>
  <c r="BN41" i="5"/>
  <c r="BN150" i="7" s="1"/>
  <c r="BN51" i="5"/>
  <c r="BN160" i="7" s="1"/>
  <c r="BK26" i="4"/>
  <c r="BK21" i="5" s="1"/>
  <c r="BK26" i="5" s="1"/>
  <c r="BL26" i="4"/>
  <c r="BL21" i="5" s="1"/>
  <c r="BL26" i="5" s="1"/>
  <c r="CP26" i="4"/>
  <c r="CP21" i="5" s="1"/>
  <c r="CP26" i="5" s="1"/>
  <c r="DJ26" i="4"/>
  <c r="DJ21" i="5" s="1"/>
  <c r="DJ26" i="5" s="1"/>
  <c r="DT26" i="4"/>
  <c r="DT21" i="5" s="1"/>
  <c r="DT26" i="5" s="1"/>
  <c r="BS23" i="5"/>
  <c r="CH24" i="5"/>
  <c r="CW25" i="5"/>
  <c r="DQ22" i="5"/>
  <c r="BS33" i="5"/>
  <c r="BS142" i="7" s="1"/>
  <c r="BS15" i="5"/>
  <c r="BS41" i="5"/>
  <c r="BS150" i="7" s="1"/>
  <c r="BX39" i="5"/>
  <c r="BX148" i="7" s="1"/>
  <c r="BX52" i="5"/>
  <c r="BX161" i="7" s="1"/>
  <c r="CC37" i="5"/>
  <c r="CC48" i="5"/>
  <c r="CC157" i="7" s="1"/>
  <c r="CH35" i="5"/>
  <c r="CH144" i="7" s="1"/>
  <c r="CH44" i="5"/>
  <c r="CH153" i="7" s="1"/>
  <c r="CH43" i="5"/>
  <c r="CH152" i="7" s="1"/>
  <c r="CM33" i="5"/>
  <c r="CM142" i="7" s="1"/>
  <c r="CM15" i="5"/>
  <c r="CM41" i="5"/>
  <c r="CM150" i="7" s="1"/>
  <c r="CR39" i="5"/>
  <c r="CR148" i="7" s="1"/>
  <c r="CR52" i="5"/>
  <c r="CR161" i="7" s="1"/>
  <c r="CW37" i="5"/>
  <c r="CW146" i="7" s="1"/>
  <c r="CW48" i="5"/>
  <c r="CW157" i="7" s="1"/>
  <c r="DB35" i="5"/>
  <c r="DB144" i="7" s="1"/>
  <c r="DB44" i="5"/>
  <c r="DB153" i="7" s="1"/>
  <c r="DB43" i="5"/>
  <c r="DG33" i="5"/>
  <c r="DG142" i="7" s="1"/>
  <c r="DG15" i="5"/>
  <c r="DL39" i="5"/>
  <c r="DL148" i="7" s="1"/>
  <c r="DL52" i="5"/>
  <c r="DQ37" i="5"/>
  <c r="DQ146" i="7" s="1"/>
  <c r="BS49" i="5"/>
  <c r="BS158" i="7" s="1"/>
  <c r="DG49" i="5"/>
  <c r="CR50" i="5"/>
  <c r="CR159" i="7" s="1"/>
  <c r="BN34" i="5"/>
  <c r="BN143" i="7" s="1"/>
  <c r="BN42" i="5"/>
  <c r="BN151" i="7" s="1"/>
  <c r="BU26" i="4"/>
  <c r="BU21" i="5" s="1"/>
  <c r="BU26" i="5" s="1"/>
  <c r="BV26" i="4"/>
  <c r="BV21" i="5" s="1"/>
  <c r="BV26" i="5" s="1"/>
  <c r="BS24" i="5"/>
  <c r="CC12" i="5"/>
  <c r="CC22" i="5"/>
  <c r="CH25" i="5"/>
  <c r="CR23" i="5"/>
  <c r="CW8" i="5"/>
  <c r="DQ23" i="5"/>
  <c r="BS34" i="5"/>
  <c r="BS143" i="7" s="1"/>
  <c r="BS42" i="5"/>
  <c r="BS151" i="7" s="1"/>
  <c r="BX32" i="5"/>
  <c r="BX40" i="5"/>
  <c r="BX149" i="7" s="1"/>
  <c r="CC38" i="5"/>
  <c r="CC147" i="7" s="1"/>
  <c r="CC51" i="5"/>
  <c r="CC160" i="7" s="1"/>
  <c r="CH36" i="5"/>
  <c r="CH145" i="7" s="1"/>
  <c r="CM34" i="5"/>
  <c r="CM143" i="7" s="1"/>
  <c r="CM42" i="5"/>
  <c r="CM151" i="7" s="1"/>
  <c r="CR32" i="5"/>
  <c r="CR141" i="7" s="1"/>
  <c r="CR40" i="5"/>
  <c r="CR149" i="7" s="1"/>
  <c r="CW38" i="5"/>
  <c r="CW147" i="7" s="1"/>
  <c r="CW51" i="5"/>
  <c r="CW160" i="7" s="1"/>
  <c r="DB36" i="5"/>
  <c r="DB145" i="7" s="1"/>
  <c r="DG34" i="5"/>
  <c r="DG143" i="7" s="1"/>
  <c r="DG42" i="5"/>
  <c r="DL32" i="5"/>
  <c r="DL141" i="7" s="1"/>
  <c r="DL40" i="5"/>
  <c r="DL149" i="7" s="1"/>
  <c r="DQ38" i="5"/>
  <c r="DQ147" i="7" s="1"/>
  <c r="DQ51" i="5"/>
  <c r="DQ160" i="7" s="1"/>
  <c r="BX49" i="5"/>
  <c r="BX158" i="7" s="1"/>
  <c r="DL49" i="5"/>
  <c r="CW50" i="5"/>
  <c r="CW159" i="7" s="1"/>
  <c r="BN35" i="5"/>
  <c r="BN144" i="7" s="1"/>
  <c r="BN43" i="5"/>
  <c r="BN152" i="7" s="1"/>
  <c r="CE26" i="4"/>
  <c r="CE21" i="5" s="1"/>
  <c r="CE26" i="5" s="1"/>
  <c r="CF26" i="4"/>
  <c r="CF21" i="5" s="1"/>
  <c r="CF26" i="5" s="1"/>
  <c r="CZ26" i="4"/>
  <c r="CZ21" i="5" s="1"/>
  <c r="CZ26" i="5" s="1"/>
  <c r="BN22" i="5"/>
  <c r="BS25" i="5"/>
  <c r="CC23" i="5"/>
  <c r="CR14" i="5"/>
  <c r="CR24" i="5"/>
  <c r="DB22" i="5"/>
  <c r="DQ24" i="5"/>
  <c r="BS35" i="5"/>
  <c r="BS44" i="5"/>
  <c r="BS153" i="7" s="1"/>
  <c r="BS43" i="5"/>
  <c r="BS152" i="7" s="1"/>
  <c r="BX33" i="5"/>
  <c r="BX142" i="7" s="1"/>
  <c r="BX15" i="5"/>
  <c r="BX41" i="5"/>
  <c r="BX150" i="7" s="1"/>
  <c r="CC39" i="5"/>
  <c r="CC148" i="7" s="1"/>
  <c r="CC52" i="5"/>
  <c r="CC161" i="7" s="1"/>
  <c r="CH37" i="5"/>
  <c r="CH146" i="7" s="1"/>
  <c r="CH48" i="5"/>
  <c r="CH157" i="7" s="1"/>
  <c r="CM35" i="5"/>
  <c r="CM144" i="7" s="1"/>
  <c r="CM44" i="5"/>
  <c r="CM153" i="7" s="1"/>
  <c r="CM43" i="5"/>
  <c r="CM152" i="7" s="1"/>
  <c r="CR33" i="5"/>
  <c r="CR142" i="7" s="1"/>
  <c r="CR15" i="5"/>
  <c r="CR41" i="5"/>
  <c r="CR150" i="7" s="1"/>
  <c r="CW39" i="5"/>
  <c r="CW148" i="7" s="1"/>
  <c r="DB37" i="5"/>
  <c r="DB146" i="7" s="1"/>
  <c r="DG35" i="5"/>
  <c r="DG144" i="7" s="1"/>
  <c r="DG44" i="5"/>
  <c r="DG153" i="7" s="1"/>
  <c r="DG43" i="5"/>
  <c r="DL33" i="5"/>
  <c r="DL142" i="7" s="1"/>
  <c r="DL15" i="5"/>
  <c r="DL41" i="5"/>
  <c r="DL150" i="7" s="1"/>
  <c r="DQ39" i="5"/>
  <c r="DQ148" i="7" s="1"/>
  <c r="CC49" i="5"/>
  <c r="CC158" i="7" s="1"/>
  <c r="DQ49" i="5"/>
  <c r="DQ158" i="7" s="1"/>
  <c r="DB50" i="5"/>
  <c r="BN36" i="5"/>
  <c r="BN145" i="7" s="1"/>
  <c r="DE79" i="5"/>
  <c r="DE71" i="5"/>
  <c r="DE152" i="7" s="1"/>
  <c r="DG4" i="5"/>
  <c r="DG12" i="5"/>
  <c r="DG22" i="5"/>
  <c r="DG13" i="5"/>
  <c r="DG23" i="5"/>
  <c r="DG6" i="5"/>
  <c r="DG14" i="5"/>
  <c r="DG24" i="5"/>
  <c r="DG7" i="5"/>
  <c r="DG17" i="5"/>
  <c r="DG8" i="5"/>
  <c r="DG18" i="5"/>
  <c r="DG9" i="5"/>
  <c r="DG19" i="5"/>
  <c r="DG10" i="5"/>
  <c r="DG20" i="5"/>
  <c r="DG3" i="5"/>
  <c r="DG11" i="5"/>
  <c r="DG25" i="5"/>
  <c r="CM161" i="7"/>
  <c r="DG219" i="5"/>
  <c r="DL233" i="4"/>
  <c r="DL219" i="5"/>
  <c r="DL233" i="5" s="1"/>
  <c r="BN233" i="4"/>
  <c r="BN219" i="5"/>
  <c r="BN233" i="5" s="1"/>
  <c r="BX233" i="4"/>
  <c r="BX219" i="5"/>
  <c r="BX233" i="5" s="1"/>
  <c r="CH233" i="4"/>
  <c r="CH219" i="5"/>
  <c r="CH233" i="5" s="1"/>
  <c r="CR219" i="5"/>
  <c r="CR233" i="5" s="1"/>
  <c r="CR233" i="4"/>
  <c r="DB219" i="5"/>
  <c r="DQ233" i="4"/>
  <c r="DQ219" i="5"/>
  <c r="DQ233" i="5" s="1"/>
  <c r="BS233" i="4"/>
  <c r="BS219" i="5"/>
  <c r="BS233" i="5" s="1"/>
  <c r="CC233" i="4"/>
  <c r="CC219" i="5"/>
  <c r="CC233" i="5" s="1"/>
  <c r="CM233" i="4"/>
  <c r="CM219" i="5"/>
  <c r="CM233" i="5" s="1"/>
  <c r="CW233" i="4"/>
  <c r="CW219" i="5"/>
  <c r="CW233" i="5" s="1"/>
  <c r="BS214" i="4"/>
  <c r="BS200" i="5"/>
  <c r="CC214" i="4"/>
  <c r="CC200" i="5"/>
  <c r="CM214" i="4"/>
  <c r="CM200" i="5"/>
  <c r="CW214" i="4"/>
  <c r="CW200" i="5"/>
  <c r="DL214" i="4"/>
  <c r="DL200" i="5"/>
  <c r="DG200" i="5"/>
  <c r="BN214" i="4"/>
  <c r="BN200" i="5"/>
  <c r="BX214" i="4"/>
  <c r="BX200" i="5"/>
  <c r="CH214" i="4"/>
  <c r="CH200" i="5"/>
  <c r="CR200" i="5"/>
  <c r="CR214" i="4"/>
  <c r="DB200" i="5"/>
  <c r="DQ214" i="4"/>
  <c r="DQ200" i="5"/>
  <c r="CM156" i="7"/>
  <c r="CM162" i="7"/>
  <c r="CC156" i="7"/>
  <c r="BN155" i="7"/>
  <c r="BN163" i="7"/>
  <c r="CH149" i="7"/>
  <c r="DE81" i="4"/>
  <c r="DE81" i="5" s="1"/>
  <c r="DE69" i="5"/>
  <c r="DE150" i="7" s="1"/>
  <c r="CC155" i="7"/>
  <c r="DQ161" i="7"/>
  <c r="CC162" i="7"/>
  <c r="CH147" i="7"/>
  <c r="BS157" i="7"/>
  <c r="DQ163" i="7"/>
  <c r="CR156" i="7"/>
  <c r="CC195" i="5"/>
  <c r="DL195" i="5"/>
  <c r="DQ155" i="7"/>
  <c r="CM195" i="5"/>
  <c r="DQ157" i="7"/>
  <c r="BX195" i="5"/>
  <c r="CC167" i="5"/>
  <c r="DB155" i="7"/>
  <c r="BN195" i="5"/>
  <c r="DB157" i="7"/>
  <c r="CH195" i="5"/>
  <c r="DQ162" i="7"/>
  <c r="BS195" i="5"/>
  <c r="DQ195" i="5"/>
  <c r="CW195" i="5"/>
  <c r="BX139" i="5"/>
  <c r="BS155" i="7"/>
  <c r="CC163" i="7"/>
  <c r="CW163" i="7"/>
  <c r="BS156" i="7"/>
  <c r="BN148" i="7"/>
  <c r="BN158" i="7"/>
  <c r="BX167" i="5"/>
  <c r="DL163" i="7"/>
  <c r="DQ167" i="5"/>
  <c r="CM167" i="5"/>
  <c r="CH162" i="7"/>
  <c r="CM147" i="7"/>
  <c r="DL155" i="7"/>
  <c r="BX156" i="7"/>
  <c r="BS161" i="7"/>
  <c r="BX146" i="7"/>
  <c r="CH167" i="5"/>
  <c r="DG155" i="7"/>
  <c r="BS167" i="5"/>
  <c r="DE70" i="5"/>
  <c r="DE151" i="7" s="1"/>
  <c r="CW156" i="7"/>
  <c r="BN167" i="5"/>
  <c r="BN162" i="7"/>
  <c r="CW167" i="5"/>
  <c r="DG157" i="7"/>
  <c r="CC143" i="7"/>
  <c r="CC151" i="7"/>
  <c r="CM160" i="7"/>
  <c r="DG147" i="7"/>
  <c r="DL156" i="7"/>
  <c r="BN149" i="7"/>
  <c r="BN159" i="7"/>
  <c r="BS139" i="5"/>
  <c r="DQ139" i="5"/>
  <c r="CH139" i="5"/>
  <c r="CH163" i="7"/>
  <c r="DL157" i="7"/>
  <c r="CW139" i="5"/>
  <c r="DD82" i="4"/>
  <c r="DD82" i="5" s="1"/>
  <c r="BS162" i="7"/>
  <c r="CH156" i="7"/>
  <c r="BN161" i="7"/>
  <c r="CH111" i="5"/>
  <c r="CC139" i="5"/>
  <c r="DB156" i="7"/>
  <c r="DG156" i="7"/>
  <c r="BS163" i="7"/>
  <c r="BN139" i="5"/>
  <c r="DL139" i="5"/>
  <c r="CH155" i="7"/>
  <c r="CR162" i="7"/>
  <c r="CM139" i="5"/>
  <c r="DC80" i="5"/>
  <c r="DC83" i="5" s="1"/>
  <c r="BX162" i="7"/>
  <c r="CW111" i="5"/>
  <c r="BX163" i="7"/>
  <c r="CW161" i="7"/>
  <c r="BN156" i="7"/>
  <c r="CC111" i="5"/>
  <c r="CM145" i="7"/>
  <c r="CM155" i="7"/>
  <c r="CW162" i="7"/>
  <c r="BN157" i="7"/>
  <c r="BN111" i="5"/>
  <c r="DQ111" i="5"/>
  <c r="BS111" i="5"/>
  <c r="CH161" i="7"/>
  <c r="CM111" i="5"/>
  <c r="DF71" i="5"/>
  <c r="DF152" i="7" s="1"/>
  <c r="CM163" i="7"/>
  <c r="BS160" i="7"/>
  <c r="BX145" i="7"/>
  <c r="BX155" i="7"/>
  <c r="CW143" i="7"/>
  <c r="CW151" i="7"/>
  <c r="BX111" i="5"/>
  <c r="DQ156" i="7"/>
  <c r="DL111" i="5"/>
  <c r="DC83" i="4"/>
  <c r="DQ141" i="7"/>
  <c r="CH141" i="7"/>
  <c r="DB141" i="7"/>
  <c r="CR145" i="7"/>
  <c r="CR195" i="5"/>
  <c r="CR167" i="5"/>
  <c r="CR139" i="5"/>
  <c r="CR163" i="7"/>
  <c r="CR111" i="5"/>
  <c r="CR155" i="7"/>
  <c r="CW155" i="7"/>
  <c r="CC139" i="4"/>
  <c r="DQ139" i="4"/>
  <c r="CH167" i="4"/>
  <c r="CR167" i="4"/>
  <c r="CH139" i="4"/>
  <c r="CX192" i="4"/>
  <c r="CX95" i="4"/>
  <c r="CX95" i="5" s="1"/>
  <c r="CW139" i="4"/>
  <c r="CX134" i="4"/>
  <c r="CX134" i="5" s="1"/>
  <c r="CX21" i="7" s="1"/>
  <c r="BX195" i="4"/>
  <c r="CW195" i="4"/>
  <c r="CX180" i="4"/>
  <c r="CX180" i="5" s="1"/>
  <c r="CX190" i="4"/>
  <c r="CX190" i="5" s="1"/>
  <c r="CX105" i="4"/>
  <c r="CX151" i="4"/>
  <c r="CX151" i="5" s="1"/>
  <c r="CX183" i="4"/>
  <c r="DQ195" i="4"/>
  <c r="CR111" i="4"/>
  <c r="CW111" i="4"/>
  <c r="CX135" i="4"/>
  <c r="CX181" i="4"/>
  <c r="CX181" i="5" s="1"/>
  <c r="CX191" i="4"/>
  <c r="CX136" i="4"/>
  <c r="CX136" i="5" s="1"/>
  <c r="CX23" i="7" s="1"/>
  <c r="CX161" i="4"/>
  <c r="CX161" i="5" s="1"/>
  <c r="CX96" i="4"/>
  <c r="CX106" i="4"/>
  <c r="BS139" i="4"/>
  <c r="CX152" i="4"/>
  <c r="CX152" i="5" s="1"/>
  <c r="CX162" i="4"/>
  <c r="CX194" i="4"/>
  <c r="CX194" i="5" s="1"/>
  <c r="CX163" i="7" s="1"/>
  <c r="CX208" i="4"/>
  <c r="CX182" i="4"/>
  <c r="BX111" i="4"/>
  <c r="CX97" i="4"/>
  <c r="CX107" i="4"/>
  <c r="CX107" i="5" s="1"/>
  <c r="BX167" i="4"/>
  <c r="CX153" i="4"/>
  <c r="CX163" i="4"/>
  <c r="CX163" i="5" s="1"/>
  <c r="CX209" i="4"/>
  <c r="CX228" i="5"/>
  <c r="CX137" i="4"/>
  <c r="CX137" i="5" s="1"/>
  <c r="CX24" i="7" s="1"/>
  <c r="CX207" i="4"/>
  <c r="CX98" i="4"/>
  <c r="CX98" i="5" s="1"/>
  <c r="CX108" i="4"/>
  <c r="CX154" i="4"/>
  <c r="CX164" i="4"/>
  <c r="CX164" i="5" s="1"/>
  <c r="CH195" i="4"/>
  <c r="CX210" i="4"/>
  <c r="CX210" i="5" s="1"/>
  <c r="CX96" i="7" s="1"/>
  <c r="CX229" i="5"/>
  <c r="CX193" i="4"/>
  <c r="CX99" i="4"/>
  <c r="CX99" i="5" s="1"/>
  <c r="CX109" i="4"/>
  <c r="CX133" i="4"/>
  <c r="CX133" i="5" s="1"/>
  <c r="CX155" i="4"/>
  <c r="CX165" i="4"/>
  <c r="CX165" i="5" s="1"/>
  <c r="CX179" i="4"/>
  <c r="CX189" i="4"/>
  <c r="CX211" i="4"/>
  <c r="DL195" i="4"/>
  <c r="BS167" i="4"/>
  <c r="CM139" i="4"/>
  <c r="DL26" i="4"/>
  <c r="DL21" i="5" s="1"/>
  <c r="CM195" i="4"/>
  <c r="BS195" i="4"/>
  <c r="CC195" i="4"/>
  <c r="BN167" i="4"/>
  <c r="CM167" i="4"/>
  <c r="CW167" i="4"/>
  <c r="CR139" i="4"/>
  <c r="BN111" i="4"/>
  <c r="DL111" i="4"/>
  <c r="CM111" i="4"/>
  <c r="BS111" i="4"/>
  <c r="BX55" i="4"/>
  <c r="BX5" i="5" s="1"/>
  <c r="CR195" i="4"/>
  <c r="BN195" i="4"/>
  <c r="CC167" i="4"/>
  <c r="DQ167" i="4"/>
  <c r="BN139" i="4"/>
  <c r="BX139" i="4"/>
  <c r="DL139" i="4"/>
  <c r="CC111" i="4"/>
  <c r="DQ111" i="4"/>
  <c r="CH111" i="4"/>
  <c r="BN55" i="4"/>
  <c r="BN5" i="5" s="1"/>
  <c r="DB55" i="4"/>
  <c r="DB5" i="5" s="1"/>
  <c r="CH55" i="4"/>
  <c r="CH5" i="5" s="1"/>
  <c r="CR55" i="4"/>
  <c r="CR5" i="5" s="1"/>
  <c r="CW55" i="4"/>
  <c r="CW26" i="4" s="1"/>
  <c r="CW21" i="5" s="1"/>
  <c r="CC55" i="4"/>
  <c r="CC5" i="5" s="1"/>
  <c r="CM55" i="4"/>
  <c r="CM5" i="5" s="1"/>
  <c r="BS55" i="4"/>
  <c r="BS5" i="5" s="1"/>
  <c r="DQ55" i="4"/>
  <c r="DQ5" i="5" s="1"/>
  <c r="DG55" i="4"/>
  <c r="DG26" i="4" s="1"/>
  <c r="DG21" i="5" s="1"/>
  <c r="DL55" i="4"/>
  <c r="DL5" i="5" s="1"/>
  <c r="CH26" i="4"/>
  <c r="CH21" i="5" s="1"/>
  <c r="BS26" i="4"/>
  <c r="BS21" i="5" s="1"/>
  <c r="CR26" i="4"/>
  <c r="CR21" i="5" s="1"/>
  <c r="CM26" i="4"/>
  <c r="CM21" i="5" s="1"/>
  <c r="CC26" i="4"/>
  <c r="CC21" i="5" s="1"/>
  <c r="BX26" i="4"/>
  <c r="BX21" i="5" s="1"/>
  <c r="BS55" i="5" l="1"/>
  <c r="BS144" i="7"/>
  <c r="BS164" i="7" s="1"/>
  <c r="DB55" i="5"/>
  <c r="CC55" i="5"/>
  <c r="CR55" i="5"/>
  <c r="CX108" i="5"/>
  <c r="DB108" i="4"/>
  <c r="DL55" i="5"/>
  <c r="DG55" i="5"/>
  <c r="CC146" i="7"/>
  <c r="CC164" i="7" s="1"/>
  <c r="BX55" i="5"/>
  <c r="CH55" i="5"/>
  <c r="BN55" i="5"/>
  <c r="DL26" i="5"/>
  <c r="CX192" i="5"/>
  <c r="CW55" i="5"/>
  <c r="CR146" i="7"/>
  <c r="CR164" i="7" s="1"/>
  <c r="CW141" i="7"/>
  <c r="CW164" i="7" s="1"/>
  <c r="CM55" i="5"/>
  <c r="CC26" i="5"/>
  <c r="DQ55" i="5"/>
  <c r="BN146" i="7"/>
  <c r="BN164" i="7" s="1"/>
  <c r="BX141" i="7"/>
  <c r="BX164" i="7" s="1"/>
  <c r="CH26" i="5"/>
  <c r="BS26" i="5"/>
  <c r="CM26" i="5"/>
  <c r="BX26" i="5"/>
  <c r="CR26" i="5"/>
  <c r="DG5" i="5"/>
  <c r="DG26" i="5" s="1"/>
  <c r="CW5" i="5"/>
  <c r="CW26" i="5" s="1"/>
  <c r="BN26" i="4"/>
  <c r="BN21" i="5" s="1"/>
  <c r="BN26" i="5" s="1"/>
  <c r="DQ26" i="4"/>
  <c r="DQ21" i="5" s="1"/>
  <c r="DQ26" i="5" s="1"/>
  <c r="DB26" i="4"/>
  <c r="DB21" i="5" s="1"/>
  <c r="DB26" i="5" s="1"/>
  <c r="DD79" i="5"/>
  <c r="DF81" i="4"/>
  <c r="DF81" i="5" s="1"/>
  <c r="DF79" i="5"/>
  <c r="DQ214" i="5"/>
  <c r="CM214" i="5"/>
  <c r="BN214" i="5"/>
  <c r="CC214" i="5"/>
  <c r="CR214" i="5"/>
  <c r="DL214" i="5"/>
  <c r="BS214" i="5"/>
  <c r="CH214" i="5"/>
  <c r="CW214" i="5"/>
  <c r="BX214" i="5"/>
  <c r="CY227" i="5"/>
  <c r="CX227" i="5"/>
  <c r="CY228" i="5"/>
  <c r="CX233" i="4"/>
  <c r="CX226" i="5"/>
  <c r="CY230" i="5"/>
  <c r="CX230" i="5"/>
  <c r="CX214" i="4"/>
  <c r="CY137" i="4"/>
  <c r="CY137" i="5" s="1"/>
  <c r="CY24" i="7" s="1"/>
  <c r="DE82" i="4"/>
  <c r="DF82" i="4" s="1"/>
  <c r="DG82" i="4" s="1"/>
  <c r="DF69" i="5"/>
  <c r="DF150" i="7" s="1"/>
  <c r="CY209" i="4"/>
  <c r="CY209" i="5" s="1"/>
  <c r="CY95" i="7" s="1"/>
  <c r="CX209" i="5"/>
  <c r="CX95" i="7" s="1"/>
  <c r="CY208" i="4"/>
  <c r="CY208" i="5" s="1"/>
  <c r="CY94" i="7" s="1"/>
  <c r="CX208" i="5"/>
  <c r="CX94" i="7" s="1"/>
  <c r="CY165" i="4"/>
  <c r="CY165" i="5" s="1"/>
  <c r="CY207" i="4"/>
  <c r="CZ207" i="4" s="1"/>
  <c r="CX207" i="5"/>
  <c r="CY211" i="4"/>
  <c r="CY211" i="5" s="1"/>
  <c r="CY97" i="7" s="1"/>
  <c r="CX211" i="5"/>
  <c r="CX97" i="7" s="1"/>
  <c r="CY193" i="4"/>
  <c r="CY193" i="5" s="1"/>
  <c r="CX193" i="5"/>
  <c r="CY182" i="4"/>
  <c r="CY182" i="5" s="1"/>
  <c r="CX182" i="5"/>
  <c r="CY191" i="4"/>
  <c r="CY191" i="5" s="1"/>
  <c r="CX191" i="5"/>
  <c r="CX160" i="7" s="1"/>
  <c r="CY189" i="4"/>
  <c r="CY189" i="5" s="1"/>
  <c r="CX189" i="5"/>
  <c r="CY164" i="4"/>
  <c r="CY164" i="5" s="1"/>
  <c r="CY192" i="4"/>
  <c r="CY192" i="5" s="1"/>
  <c r="CY179" i="4"/>
  <c r="CY179" i="5" s="1"/>
  <c r="CX179" i="5"/>
  <c r="CX148" i="7" s="1"/>
  <c r="CY183" i="4"/>
  <c r="CY183" i="5" s="1"/>
  <c r="CX183" i="5"/>
  <c r="CY155" i="4"/>
  <c r="CY155" i="5" s="1"/>
  <c r="CX155" i="5"/>
  <c r="DF70" i="5"/>
  <c r="DF151" i="7" s="1"/>
  <c r="CY153" i="4"/>
  <c r="CY153" i="5" s="1"/>
  <c r="CX153" i="5"/>
  <c r="CY154" i="4"/>
  <c r="CX154" i="5"/>
  <c r="CY162" i="4"/>
  <c r="CY162" i="5" s="1"/>
  <c r="CX162" i="5"/>
  <c r="CY134" i="4"/>
  <c r="CY134" i="5" s="1"/>
  <c r="CY21" i="7" s="1"/>
  <c r="CX20" i="7"/>
  <c r="CY135" i="4"/>
  <c r="CY135" i="5" s="1"/>
  <c r="CY22" i="7" s="1"/>
  <c r="CX135" i="5"/>
  <c r="CX22" i="7" s="1"/>
  <c r="CM164" i="7"/>
  <c r="DE80" i="5"/>
  <c r="DD80" i="5"/>
  <c r="CH164" i="7"/>
  <c r="CY105" i="4"/>
  <c r="CY105" i="5" s="1"/>
  <c r="CX105" i="5"/>
  <c r="DG71" i="4"/>
  <c r="DG71" i="5" s="1"/>
  <c r="DG152" i="7" s="1"/>
  <c r="DQ164" i="7"/>
  <c r="CY97" i="4"/>
  <c r="CY97" i="5" s="1"/>
  <c r="CX97" i="5"/>
  <c r="CY106" i="4"/>
  <c r="CY106" i="5" s="1"/>
  <c r="CX106" i="5"/>
  <c r="CY109" i="4"/>
  <c r="CY109" i="5" s="1"/>
  <c r="CX109" i="5"/>
  <c r="CY96" i="4"/>
  <c r="CY96" i="5" s="1"/>
  <c r="CY149" i="7" s="1"/>
  <c r="CX96" i="5"/>
  <c r="CX149" i="7" s="1"/>
  <c r="CY95" i="4"/>
  <c r="CY95" i="5" s="1"/>
  <c r="DE78" i="5"/>
  <c r="DG77" i="5"/>
  <c r="DF77" i="5"/>
  <c r="DD78" i="5"/>
  <c r="DD83" i="4"/>
  <c r="CY163" i="4"/>
  <c r="CY181" i="4"/>
  <c r="CY181" i="5" s="1"/>
  <c r="CX167" i="4"/>
  <c r="CX111" i="4"/>
  <c r="DB99" i="4"/>
  <c r="DB99" i="5" s="1"/>
  <c r="CX139" i="4"/>
  <c r="CY133" i="4"/>
  <c r="CY133" i="5" s="1"/>
  <c r="CY190" i="4"/>
  <c r="CY190" i="5" s="1"/>
  <c r="CY136" i="4"/>
  <c r="CY136" i="5" s="1"/>
  <c r="CY23" i="7" s="1"/>
  <c r="CY108" i="5"/>
  <c r="CY161" i="4"/>
  <c r="CY161" i="5" s="1"/>
  <c r="CX195" i="4"/>
  <c r="CY229" i="5"/>
  <c r="CY210" i="4"/>
  <c r="CY210" i="5" s="1"/>
  <c r="CY96" i="7" s="1"/>
  <c r="CY98" i="4"/>
  <c r="CY98" i="5" s="1"/>
  <c r="CY107" i="4"/>
  <c r="CY107" i="5" s="1"/>
  <c r="CY194" i="4"/>
  <c r="DB152" i="4"/>
  <c r="DB152" i="5" s="1"/>
  <c r="CY151" i="4"/>
  <c r="CY151" i="5" s="1"/>
  <c r="DE112" i="2"/>
  <c r="DE18" i="2"/>
  <c r="DE68" i="2" s="1"/>
  <c r="DG81" i="4" l="1"/>
  <c r="DG81" i="5" s="1"/>
  <c r="CX161" i="7"/>
  <c r="DB192" i="4"/>
  <c r="DB183" i="4"/>
  <c r="DB183" i="5" s="1"/>
  <c r="DE82" i="5"/>
  <c r="DE83" i="5" s="1"/>
  <c r="CZ191" i="4"/>
  <c r="CZ191" i="5" s="1"/>
  <c r="DG79" i="5"/>
  <c r="CZ228" i="5"/>
  <c r="CZ153" i="4"/>
  <c r="CZ153" i="5" s="1"/>
  <c r="CZ165" i="4"/>
  <c r="CZ165" i="5" s="1"/>
  <c r="CZ137" i="4"/>
  <c r="CZ137" i="5" s="1"/>
  <c r="CZ24" i="7" s="1"/>
  <c r="CZ227" i="5"/>
  <c r="CZ182" i="4"/>
  <c r="CZ182" i="5" s="1"/>
  <c r="CZ179" i="4"/>
  <c r="DB179" i="4" s="1"/>
  <c r="DB179" i="5" s="1"/>
  <c r="CZ164" i="4"/>
  <c r="CZ164" i="5" s="1"/>
  <c r="CX233" i="5"/>
  <c r="CX214" i="5"/>
  <c r="CX151" i="7"/>
  <c r="CX158" i="7"/>
  <c r="CX150" i="7"/>
  <c r="DG69" i="4"/>
  <c r="DG69" i="5" s="1"/>
  <c r="DG150" i="7" s="1"/>
  <c r="CY233" i="4"/>
  <c r="CY226" i="5"/>
  <c r="CY233" i="5" s="1"/>
  <c r="CZ207" i="5"/>
  <c r="CY207" i="5"/>
  <c r="CY214" i="4"/>
  <c r="CX162" i="7"/>
  <c r="CZ192" i="5"/>
  <c r="CX152" i="7"/>
  <c r="CZ135" i="4"/>
  <c r="CZ135" i="5" s="1"/>
  <c r="CZ22" i="7" s="1"/>
  <c r="CY152" i="7"/>
  <c r="CZ193" i="4"/>
  <c r="DA193" i="4" s="1"/>
  <c r="CZ209" i="4"/>
  <c r="CZ209" i="5" s="1"/>
  <c r="CZ95" i="7" s="1"/>
  <c r="DG70" i="4"/>
  <c r="DG70" i="5" s="1"/>
  <c r="DG151" i="7" s="1"/>
  <c r="CX93" i="7"/>
  <c r="CZ208" i="4"/>
  <c r="CZ162" i="4"/>
  <c r="DA162" i="4" s="1"/>
  <c r="CX167" i="5"/>
  <c r="CY195" i="4"/>
  <c r="CZ211" i="4"/>
  <c r="CY159" i="7"/>
  <c r="CY161" i="7"/>
  <c r="CY162" i="7"/>
  <c r="CZ155" i="4"/>
  <c r="CZ155" i="5" s="1"/>
  <c r="CZ152" i="7" s="1"/>
  <c r="CZ106" i="4"/>
  <c r="DA106" i="4" s="1"/>
  <c r="DA106" i="5" s="1"/>
  <c r="CY150" i="7"/>
  <c r="CX195" i="5"/>
  <c r="CZ194" i="4"/>
  <c r="CY194" i="5"/>
  <c r="CY163" i="7" s="1"/>
  <c r="CZ189" i="4"/>
  <c r="CZ189" i="5" s="1"/>
  <c r="CZ105" i="4"/>
  <c r="CZ105" i="5" s="1"/>
  <c r="CZ134" i="4"/>
  <c r="CZ134" i="5" s="1"/>
  <c r="CZ21" i="7" s="1"/>
  <c r="CX159" i="7"/>
  <c r="CY158" i="7"/>
  <c r="DB95" i="4"/>
  <c r="DB95" i="5" s="1"/>
  <c r="CX139" i="5"/>
  <c r="CZ163" i="4"/>
  <c r="CZ163" i="5" s="1"/>
  <c r="CY163" i="5"/>
  <c r="CY160" i="7" s="1"/>
  <c r="DF80" i="5"/>
  <c r="CZ154" i="4"/>
  <c r="CY154" i="5"/>
  <c r="DB97" i="4"/>
  <c r="DB97" i="5" s="1"/>
  <c r="CZ109" i="4"/>
  <c r="CZ109" i="5" s="1"/>
  <c r="CX26" i="7"/>
  <c r="DE83" i="4"/>
  <c r="CY20" i="7"/>
  <c r="CY26" i="7" s="1"/>
  <c r="CY139" i="5"/>
  <c r="DB96" i="4"/>
  <c r="DB96" i="5" s="1"/>
  <c r="CY111" i="5"/>
  <c r="CY148" i="7"/>
  <c r="CX111" i="5"/>
  <c r="DG78" i="5"/>
  <c r="DF78" i="5"/>
  <c r="DD83" i="5"/>
  <c r="DF82" i="5"/>
  <c r="DG82" i="5"/>
  <c r="CZ133" i="4"/>
  <c r="CZ133" i="5" s="1"/>
  <c r="CZ161" i="4"/>
  <c r="CZ161" i="5" s="1"/>
  <c r="CZ107" i="4"/>
  <c r="CZ107" i="5" s="1"/>
  <c r="CY111" i="4"/>
  <c r="DA228" i="5"/>
  <c r="DB98" i="4"/>
  <c r="DB98" i="5" s="1"/>
  <c r="CZ210" i="4"/>
  <c r="CZ210" i="5" s="1"/>
  <c r="CZ96" i="7" s="1"/>
  <c r="CZ181" i="4"/>
  <c r="CZ108" i="5"/>
  <c r="CY139" i="4"/>
  <c r="CY167" i="4"/>
  <c r="CZ151" i="4"/>
  <c r="DA207" i="4"/>
  <c r="CZ190" i="4"/>
  <c r="CZ136" i="4"/>
  <c r="CZ136" i="5" s="1"/>
  <c r="CZ23" i="7" s="1"/>
  <c r="CZ229" i="5"/>
  <c r="DQ112" i="2"/>
  <c r="DA191" i="4" l="1"/>
  <c r="DA191" i="5" s="1"/>
  <c r="DA137" i="4"/>
  <c r="DA137" i="5" s="1"/>
  <c r="DA24" i="7" s="1"/>
  <c r="DB24" i="7" s="1"/>
  <c r="DA164" i="4"/>
  <c r="DA164" i="5" s="1"/>
  <c r="DA153" i="4"/>
  <c r="DB153" i="4" s="1"/>
  <c r="DB153" i="5" s="1"/>
  <c r="DA165" i="4"/>
  <c r="DA165" i="5" s="1"/>
  <c r="DB182" i="4"/>
  <c r="DB182" i="5" s="1"/>
  <c r="CZ179" i="5"/>
  <c r="DA135" i="4"/>
  <c r="DB135" i="4" s="1"/>
  <c r="DB135" i="5" s="1"/>
  <c r="CZ162" i="5"/>
  <c r="DA134" i="4"/>
  <c r="DA134" i="5" s="1"/>
  <c r="DA21" i="7" s="1"/>
  <c r="DB21" i="7" s="1"/>
  <c r="CZ93" i="7"/>
  <c r="CY93" i="7"/>
  <c r="CY109" i="7" s="1"/>
  <c r="CY214" i="5"/>
  <c r="CZ161" i="7"/>
  <c r="CX164" i="7"/>
  <c r="DA227" i="5"/>
  <c r="CZ230" i="5"/>
  <c r="CZ233" i="4"/>
  <c r="CZ226" i="5"/>
  <c r="CZ214" i="4"/>
  <c r="DA207" i="5"/>
  <c r="DA209" i="4"/>
  <c r="DB209" i="4" s="1"/>
  <c r="DB209" i="5" s="1"/>
  <c r="DA192" i="5"/>
  <c r="DA155" i="4"/>
  <c r="DA155" i="5" s="1"/>
  <c r="DA152" i="7" s="1"/>
  <c r="CZ160" i="7"/>
  <c r="DA133" i="4"/>
  <c r="DA133" i="5" s="1"/>
  <c r="DA20" i="7" s="1"/>
  <c r="DA162" i="5"/>
  <c r="DB162" i="4"/>
  <c r="DC162" i="4" s="1"/>
  <c r="CY167" i="5"/>
  <c r="DA211" i="4"/>
  <c r="CZ211" i="5"/>
  <c r="CZ97" i="7" s="1"/>
  <c r="DA208" i="4"/>
  <c r="CZ208" i="5"/>
  <c r="CZ193" i="5"/>
  <c r="CZ162" i="7" s="1"/>
  <c r="DA105" i="4"/>
  <c r="DA105" i="5" s="1"/>
  <c r="CX109" i="7"/>
  <c r="DG80" i="5"/>
  <c r="DG83" i="5" s="1"/>
  <c r="DA109" i="4"/>
  <c r="DA109" i="5" s="1"/>
  <c r="DA189" i="4"/>
  <c r="DA189" i="5" s="1"/>
  <c r="CZ158" i="7"/>
  <c r="DA194" i="4"/>
  <c r="CZ194" i="5"/>
  <c r="CZ163" i="7" s="1"/>
  <c r="DB181" i="4"/>
  <c r="DB181" i="5" s="1"/>
  <c r="CZ181" i="5"/>
  <c r="CZ150" i="7" s="1"/>
  <c r="CY195" i="5"/>
  <c r="DA190" i="4"/>
  <c r="DA190" i="5" s="1"/>
  <c r="CZ190" i="5"/>
  <c r="CZ106" i="5"/>
  <c r="CZ111" i="5" s="1"/>
  <c r="DB193" i="4"/>
  <c r="DA193" i="5"/>
  <c r="DA154" i="4"/>
  <c r="DA154" i="5" s="1"/>
  <c r="DA151" i="7" s="1"/>
  <c r="CZ154" i="5"/>
  <c r="CZ151" i="7" s="1"/>
  <c r="CZ167" i="4"/>
  <c r="CZ151" i="5"/>
  <c r="DA163" i="4"/>
  <c r="DA163" i="5" s="1"/>
  <c r="CY151" i="7"/>
  <c r="CY164" i="7" s="1"/>
  <c r="DA161" i="4"/>
  <c r="DF83" i="4"/>
  <c r="CZ20" i="7"/>
  <c r="CZ139" i="5"/>
  <c r="DB106" i="4"/>
  <c r="DF83" i="5"/>
  <c r="DB137" i="4"/>
  <c r="CZ139" i="4"/>
  <c r="DA107" i="4"/>
  <c r="CZ111" i="4"/>
  <c r="DA136" i="4"/>
  <c r="DA136" i="5" s="1"/>
  <c r="DA23" i="7" s="1"/>
  <c r="DB23" i="7" s="1"/>
  <c r="DA229" i="5"/>
  <c r="DB227" i="4"/>
  <c r="DB227" i="5" s="1"/>
  <c r="DB228" i="4"/>
  <c r="DB228" i="5" s="1"/>
  <c r="DA210" i="4"/>
  <c r="DA151" i="4"/>
  <c r="DA151" i="5" s="1"/>
  <c r="DB180" i="4"/>
  <c r="DB180" i="5" s="1"/>
  <c r="DB149" i="7" s="1"/>
  <c r="CZ195" i="4"/>
  <c r="DB207" i="4"/>
  <c r="DQ18" i="2"/>
  <c r="DQ68" i="2" s="1"/>
  <c r="DB191" i="4" l="1"/>
  <c r="DC191" i="4" s="1"/>
  <c r="DC191" i="5" s="1"/>
  <c r="DA135" i="5"/>
  <c r="DA22" i="7" s="1"/>
  <c r="DB22" i="7" s="1"/>
  <c r="DC135" i="4"/>
  <c r="DC135" i="5" s="1"/>
  <c r="DC22" i="7" s="1"/>
  <c r="DB165" i="4"/>
  <c r="DB165" i="5" s="1"/>
  <c r="DB133" i="4"/>
  <c r="DC133" i="4" s="1"/>
  <c r="DC133" i="5" s="1"/>
  <c r="DB164" i="4"/>
  <c r="DC164" i="4" s="1"/>
  <c r="DC164" i="5" s="1"/>
  <c r="DA153" i="5"/>
  <c r="DA150" i="7" s="1"/>
  <c r="DB190" i="4"/>
  <c r="DC190" i="4" s="1"/>
  <c r="DC190" i="5" s="1"/>
  <c r="DB134" i="4"/>
  <c r="DB134" i="5" s="1"/>
  <c r="CZ214" i="5"/>
  <c r="DB155" i="4"/>
  <c r="DB155" i="5" s="1"/>
  <c r="DB152" i="7" s="1"/>
  <c r="CZ233" i="5"/>
  <c r="DB191" i="5"/>
  <c r="DA233" i="4"/>
  <c r="DB105" i="4"/>
  <c r="DC105" i="4" s="1"/>
  <c r="DC105" i="5" s="1"/>
  <c r="DA214" i="4"/>
  <c r="DB162" i="5"/>
  <c r="DB192" i="5"/>
  <c r="DA93" i="7"/>
  <c r="DB93" i="7" s="1"/>
  <c r="DA230" i="5"/>
  <c r="DA233" i="5" s="1"/>
  <c r="DB230" i="4"/>
  <c r="DB207" i="5"/>
  <c r="DA209" i="5"/>
  <c r="DA95" i="7" s="1"/>
  <c r="DB95" i="7" s="1"/>
  <c r="CZ195" i="5"/>
  <c r="DB109" i="4"/>
  <c r="DB109" i="5" s="1"/>
  <c r="DA162" i="7"/>
  <c r="DG83" i="4"/>
  <c r="DA159" i="7"/>
  <c r="DB189" i="4"/>
  <c r="DB189" i="5" s="1"/>
  <c r="CZ94" i="7"/>
  <c r="DB208" i="4"/>
  <c r="DB208" i="5" s="1"/>
  <c r="DA208" i="5"/>
  <c r="DA210" i="5"/>
  <c r="DA96" i="7" s="1"/>
  <c r="DB96" i="7" s="1"/>
  <c r="DA211" i="5"/>
  <c r="DA97" i="7" s="1"/>
  <c r="DB97" i="7" s="1"/>
  <c r="DB211" i="4"/>
  <c r="DC209" i="4"/>
  <c r="DA195" i="4"/>
  <c r="DB150" i="7"/>
  <c r="DB193" i="5"/>
  <c r="DC193" i="4"/>
  <c r="DA194" i="5"/>
  <c r="DA163" i="7" s="1"/>
  <c r="DB194" i="4"/>
  <c r="DC194" i="5" s="1"/>
  <c r="DC163" i="7" s="1"/>
  <c r="DD191" i="4"/>
  <c r="DB163" i="4"/>
  <c r="DB163" i="5" s="1"/>
  <c r="CZ159" i="7"/>
  <c r="DD135" i="4"/>
  <c r="DD135" i="5" s="1"/>
  <c r="DD22" i="7" s="1"/>
  <c r="DB154" i="4"/>
  <c r="DB154" i="5" s="1"/>
  <c r="DB151" i="7" s="1"/>
  <c r="CZ167" i="5"/>
  <c r="CZ148" i="7"/>
  <c r="DB161" i="4"/>
  <c r="DB161" i="5" s="1"/>
  <c r="DA161" i="5"/>
  <c r="DA158" i="7" s="1"/>
  <c r="DD162" i="4"/>
  <c r="DC162" i="5"/>
  <c r="DA148" i="7"/>
  <c r="DC137" i="4"/>
  <c r="DC137" i="5" s="1"/>
  <c r="DC24" i="7" s="1"/>
  <c r="DB137" i="5"/>
  <c r="CZ26" i="7"/>
  <c r="DB20" i="7"/>
  <c r="DC106" i="4"/>
  <c r="DB106" i="5"/>
  <c r="DA111" i="4"/>
  <c r="DA108" i="5"/>
  <c r="DA161" i="7" s="1"/>
  <c r="DB107" i="4"/>
  <c r="DB107" i="5" s="1"/>
  <c r="DA107" i="5"/>
  <c r="DA139" i="4"/>
  <c r="DB136" i="4"/>
  <c r="DB136" i="5" s="1"/>
  <c r="DB229" i="4"/>
  <c r="DB229" i="5" s="1"/>
  <c r="DB210" i="4"/>
  <c r="DC207" i="4"/>
  <c r="DA167" i="4"/>
  <c r="DB151" i="4"/>
  <c r="DB226" i="4"/>
  <c r="DL112" i="2"/>
  <c r="DI104" i="2"/>
  <c r="DA26" i="7" l="1"/>
  <c r="DA139" i="5"/>
  <c r="DB26" i="7"/>
  <c r="DB133" i="5"/>
  <c r="DB139" i="5" s="1"/>
  <c r="DC134" i="4"/>
  <c r="DD134" i="4" s="1"/>
  <c r="DD134" i="5" s="1"/>
  <c r="DD21" i="7" s="1"/>
  <c r="DC165" i="4"/>
  <c r="DC165" i="5" s="1"/>
  <c r="DB164" i="5"/>
  <c r="DC189" i="4"/>
  <c r="DC189" i="5" s="1"/>
  <c r="DB190" i="5"/>
  <c r="DB159" i="7" s="1"/>
  <c r="DD190" i="4"/>
  <c r="DD190" i="5" s="1"/>
  <c r="DC109" i="4"/>
  <c r="DC109" i="5" s="1"/>
  <c r="DB105" i="5"/>
  <c r="DB158" i="7" s="1"/>
  <c r="DB195" i="4"/>
  <c r="DA214" i="5"/>
  <c r="CZ164" i="7"/>
  <c r="DA195" i="5"/>
  <c r="DB226" i="5"/>
  <c r="DB233" i="4"/>
  <c r="DC228" i="5"/>
  <c r="DC229" i="5"/>
  <c r="DC230" i="5"/>
  <c r="DB230" i="5"/>
  <c r="DC227" i="5"/>
  <c r="DC207" i="5"/>
  <c r="DB214" i="4"/>
  <c r="DA167" i="5"/>
  <c r="DE135" i="4"/>
  <c r="DE135" i="5" s="1"/>
  <c r="DE22" i="7" s="1"/>
  <c r="DB162" i="7"/>
  <c r="DC211" i="4"/>
  <c r="DB211" i="5"/>
  <c r="CZ109" i="7"/>
  <c r="DA94" i="7"/>
  <c r="DA109" i="7" s="1"/>
  <c r="DC163" i="4"/>
  <c r="DC163" i="5" s="1"/>
  <c r="DC210" i="4"/>
  <c r="DC210" i="5" s="1"/>
  <c r="DC96" i="7" s="1"/>
  <c r="DB210" i="5"/>
  <c r="DB160" i="7"/>
  <c r="DD133" i="4"/>
  <c r="DD133" i="5" s="1"/>
  <c r="DD20" i="7" s="1"/>
  <c r="DC209" i="5"/>
  <c r="DC95" i="7" s="1"/>
  <c r="DD209" i="4"/>
  <c r="DC208" i="4"/>
  <c r="DE191" i="4"/>
  <c r="DE191" i="5" s="1"/>
  <c r="DD191" i="5"/>
  <c r="DD193" i="4"/>
  <c r="DC193" i="5"/>
  <c r="DD164" i="4"/>
  <c r="DE164" i="4" s="1"/>
  <c r="DF164" i="4" s="1"/>
  <c r="DB194" i="5"/>
  <c r="DB139" i="4"/>
  <c r="DB167" i="4"/>
  <c r="DB151" i="5"/>
  <c r="DD137" i="4"/>
  <c r="DD137" i="5" s="1"/>
  <c r="DD24" i="7" s="1"/>
  <c r="DD162" i="5"/>
  <c r="DE162" i="4"/>
  <c r="DC107" i="4"/>
  <c r="DC107" i="5" s="1"/>
  <c r="DC161" i="4"/>
  <c r="DC20" i="7"/>
  <c r="DD105" i="4"/>
  <c r="DD105" i="5" s="1"/>
  <c r="DC106" i="5"/>
  <c r="DC159" i="7" s="1"/>
  <c r="DD106" i="4"/>
  <c r="DD108" i="5"/>
  <c r="DC108" i="5"/>
  <c r="DB111" i="4"/>
  <c r="DB108" i="5"/>
  <c r="DA160" i="7"/>
  <c r="DA164" i="7" s="1"/>
  <c r="DA111" i="5"/>
  <c r="DC136" i="4"/>
  <c r="DC136" i="5" s="1"/>
  <c r="DC23" i="7" s="1"/>
  <c r="DL18" i="2"/>
  <c r="DL68" i="2" s="1"/>
  <c r="DE134" i="4" l="1"/>
  <c r="DF134" i="4" s="1"/>
  <c r="DC134" i="5"/>
  <c r="DC21" i="7" s="1"/>
  <c r="DC26" i="7" s="1"/>
  <c r="DB94" i="7"/>
  <c r="DB109" i="7" s="1"/>
  <c r="DD165" i="4"/>
  <c r="DE165" i="4" s="1"/>
  <c r="DE165" i="5" s="1"/>
  <c r="DB161" i="7"/>
  <c r="DF135" i="4"/>
  <c r="DF135" i="5" s="1"/>
  <c r="DF22" i="7" s="1"/>
  <c r="DG22" i="7" s="1"/>
  <c r="DD109" i="4"/>
  <c r="DD109" i="5" s="1"/>
  <c r="DC162" i="7"/>
  <c r="DE190" i="4"/>
  <c r="DF190" i="4" s="1"/>
  <c r="DF190" i="5" s="1"/>
  <c r="DC195" i="4"/>
  <c r="DD189" i="4"/>
  <c r="DD189" i="5" s="1"/>
  <c r="DD210" i="4"/>
  <c r="DE210" i="4" s="1"/>
  <c r="DC233" i="5"/>
  <c r="DB233" i="5"/>
  <c r="DE133" i="4"/>
  <c r="DE133" i="5" s="1"/>
  <c r="DE20" i="7" s="1"/>
  <c r="DD107" i="4"/>
  <c r="DD107" i="5" s="1"/>
  <c r="DC192" i="5"/>
  <c r="DC161" i="7" s="1"/>
  <c r="DB214" i="5"/>
  <c r="DC214" i="4"/>
  <c r="DC93" i="7"/>
  <c r="DD229" i="5"/>
  <c r="DD228" i="5"/>
  <c r="DG228" i="4"/>
  <c r="DG228" i="5" s="1"/>
  <c r="DC233" i="4"/>
  <c r="DD164" i="5"/>
  <c r="DE208" i="4"/>
  <c r="DG208" i="4" s="1"/>
  <c r="DG208" i="5" s="1"/>
  <c r="DC208" i="5"/>
  <c r="DC211" i="5"/>
  <c r="DC97" i="7" s="1"/>
  <c r="DD163" i="4"/>
  <c r="DD163" i="5" s="1"/>
  <c r="DC160" i="7"/>
  <c r="DE209" i="4"/>
  <c r="DE209" i="5" s="1"/>
  <c r="DE95" i="7" s="1"/>
  <c r="DD209" i="5"/>
  <c r="DD211" i="4"/>
  <c r="DD194" i="5"/>
  <c r="DD163" i="7" s="1"/>
  <c r="DB163" i="7"/>
  <c r="DB195" i="5"/>
  <c r="DE193" i="4"/>
  <c r="DD193" i="5"/>
  <c r="DF191" i="4"/>
  <c r="DE137" i="4"/>
  <c r="DE137" i="5" s="1"/>
  <c r="DE24" i="7" s="1"/>
  <c r="DF162" i="4"/>
  <c r="DG162" i="4" s="1"/>
  <c r="DG162" i="5" s="1"/>
  <c r="DE162" i="5"/>
  <c r="DG164" i="4"/>
  <c r="DG164" i="5" s="1"/>
  <c r="DF164" i="5"/>
  <c r="DC161" i="5"/>
  <c r="DD161" i="4"/>
  <c r="DE161" i="4" s="1"/>
  <c r="DE164" i="5"/>
  <c r="DB167" i="5"/>
  <c r="DB148" i="7"/>
  <c r="DC111" i="4"/>
  <c r="DC167" i="4"/>
  <c r="DE108" i="5"/>
  <c r="DB111" i="5"/>
  <c r="DC111" i="5"/>
  <c r="DD106" i="5"/>
  <c r="DE106" i="4"/>
  <c r="DE106" i="5" s="1"/>
  <c r="DC139" i="4"/>
  <c r="DD136" i="4"/>
  <c r="DE109" i="4" l="1"/>
  <c r="DE109" i="5" s="1"/>
  <c r="DF165" i="4"/>
  <c r="DG165" i="4" s="1"/>
  <c r="DG165" i="5" s="1"/>
  <c r="DE134" i="5"/>
  <c r="DE21" i="7" s="1"/>
  <c r="DC139" i="5"/>
  <c r="DD195" i="4"/>
  <c r="DG135" i="4"/>
  <c r="DG135" i="5" s="1"/>
  <c r="DD165" i="5"/>
  <c r="DD162" i="7" s="1"/>
  <c r="DG93" i="7"/>
  <c r="DE189" i="4"/>
  <c r="DE189" i="5" s="1"/>
  <c r="DD214" i="4"/>
  <c r="DE190" i="5"/>
  <c r="DE159" i="7" s="1"/>
  <c r="DF137" i="4"/>
  <c r="DF137" i="5" s="1"/>
  <c r="DF24" i="7" s="1"/>
  <c r="DG24" i="7" s="1"/>
  <c r="DD160" i="7"/>
  <c r="DE107" i="4"/>
  <c r="DE107" i="5" s="1"/>
  <c r="DD111" i="4"/>
  <c r="DG229" i="4"/>
  <c r="DG229" i="5" s="1"/>
  <c r="DD230" i="5"/>
  <c r="DD233" i="5" s="1"/>
  <c r="DE163" i="4"/>
  <c r="DE167" i="4" s="1"/>
  <c r="DF133" i="4"/>
  <c r="DF133" i="5" s="1"/>
  <c r="DF20" i="7" s="1"/>
  <c r="DG20" i="7" s="1"/>
  <c r="DD210" i="5"/>
  <c r="DD96" i="7" s="1"/>
  <c r="DC195" i="5"/>
  <c r="DD192" i="5"/>
  <c r="DD161" i="7" s="1"/>
  <c r="DC214" i="5"/>
  <c r="DE233" i="4"/>
  <c r="DE230" i="5"/>
  <c r="DE233" i="5" s="1"/>
  <c r="DD233" i="4"/>
  <c r="DE208" i="5"/>
  <c r="DH164" i="4"/>
  <c r="DH164" i="5" s="1"/>
  <c r="DH161" i="7" s="1"/>
  <c r="DB164" i="7"/>
  <c r="DE210" i="5"/>
  <c r="DE96" i="7" s="1"/>
  <c r="DF210" i="4"/>
  <c r="DF210" i="5" s="1"/>
  <c r="DF96" i="7" s="1"/>
  <c r="DD211" i="5"/>
  <c r="DD97" i="7" s="1"/>
  <c r="DD95" i="7"/>
  <c r="DC94" i="7"/>
  <c r="DE211" i="4"/>
  <c r="DE214" i="4" s="1"/>
  <c r="DG190" i="4"/>
  <c r="DG190" i="5" s="1"/>
  <c r="DF209" i="4"/>
  <c r="DG191" i="4"/>
  <c r="DG191" i="5" s="1"/>
  <c r="DF191" i="5"/>
  <c r="DH165" i="4"/>
  <c r="DI165" i="4" s="1"/>
  <c r="DE193" i="5"/>
  <c r="DG193" i="4"/>
  <c r="DG193" i="5" s="1"/>
  <c r="DG194" i="4"/>
  <c r="DG194" i="5" s="1"/>
  <c r="DG163" i="7" s="1"/>
  <c r="DE194" i="5"/>
  <c r="DE163" i="7" s="1"/>
  <c r="DG106" i="4"/>
  <c r="DG106" i="5" s="1"/>
  <c r="DF162" i="5"/>
  <c r="DF159" i="7" s="1"/>
  <c r="DF161" i="4"/>
  <c r="DE161" i="5"/>
  <c r="DH162" i="4"/>
  <c r="DI162" i="4" s="1"/>
  <c r="DD161" i="5"/>
  <c r="DC167" i="5"/>
  <c r="DC158" i="7"/>
  <c r="DC164" i="7" s="1"/>
  <c r="DG108" i="5"/>
  <c r="DD167" i="4"/>
  <c r="DG109" i="4"/>
  <c r="DG109" i="5" s="1"/>
  <c r="DF134" i="5"/>
  <c r="DG134" i="4"/>
  <c r="DG134" i="5" s="1"/>
  <c r="DD139" i="4"/>
  <c r="DD136" i="5"/>
  <c r="DD159" i="7"/>
  <c r="DD111" i="5"/>
  <c r="DE136" i="4"/>
  <c r="DE136" i="5" s="1"/>
  <c r="DF111" i="4"/>
  <c r="DG105" i="4"/>
  <c r="DG105" i="5" s="1"/>
  <c r="DG227" i="4"/>
  <c r="DF165" i="5" l="1"/>
  <c r="DF162" i="7" s="1"/>
  <c r="DE162" i="7"/>
  <c r="DE111" i="5"/>
  <c r="DE111" i="4"/>
  <c r="DG137" i="4"/>
  <c r="DG137" i="5" s="1"/>
  <c r="DG96" i="7"/>
  <c r="DD109" i="7"/>
  <c r="DG107" i="4"/>
  <c r="DG107" i="5" s="1"/>
  <c r="DG111" i="5" s="1"/>
  <c r="DE195" i="4"/>
  <c r="DG189" i="4"/>
  <c r="DG189" i="5" s="1"/>
  <c r="DD195" i="5"/>
  <c r="DG133" i="4"/>
  <c r="DG133" i="5" s="1"/>
  <c r="DE163" i="5"/>
  <c r="DE160" i="7" s="1"/>
  <c r="DF163" i="4"/>
  <c r="DG163" i="4" s="1"/>
  <c r="DG163" i="5" s="1"/>
  <c r="DF195" i="4"/>
  <c r="DE192" i="5"/>
  <c r="DE161" i="7" s="1"/>
  <c r="DI164" i="4"/>
  <c r="DI164" i="5" s="1"/>
  <c r="DI161" i="7" s="1"/>
  <c r="DE94" i="7"/>
  <c r="DG94" i="7" s="1"/>
  <c r="DD214" i="5"/>
  <c r="DG227" i="5"/>
  <c r="DG230" i="4"/>
  <c r="DG230" i="5" s="1"/>
  <c r="DF233" i="4"/>
  <c r="DF230" i="5"/>
  <c r="DF233" i="5" s="1"/>
  <c r="DG162" i="7"/>
  <c r="DG210" i="4"/>
  <c r="DG210" i="5" s="1"/>
  <c r="DF211" i="4"/>
  <c r="DF211" i="5" s="1"/>
  <c r="DF97" i="7" s="1"/>
  <c r="DE211" i="5"/>
  <c r="DE214" i="5" s="1"/>
  <c r="DG209" i="4"/>
  <c r="DG209" i="5" s="1"/>
  <c r="DF209" i="5"/>
  <c r="DC109" i="7"/>
  <c r="DH165" i="5"/>
  <c r="DH162" i="7" s="1"/>
  <c r="DF194" i="5"/>
  <c r="DF163" i="7" s="1"/>
  <c r="DG159" i="7"/>
  <c r="DI165" i="5"/>
  <c r="DI162" i="7" s="1"/>
  <c r="DJ165" i="4"/>
  <c r="DJ165" i="5" s="1"/>
  <c r="DJ162" i="7" s="1"/>
  <c r="DE158" i="7"/>
  <c r="DH162" i="5"/>
  <c r="DH159" i="7" s="1"/>
  <c r="DG161" i="4"/>
  <c r="DF161" i="5"/>
  <c r="DD167" i="5"/>
  <c r="DD158" i="7"/>
  <c r="DD164" i="7" s="1"/>
  <c r="DJ162" i="4"/>
  <c r="DJ162" i="5" s="1"/>
  <c r="DJ159" i="7" s="1"/>
  <c r="DI162" i="5"/>
  <c r="DI159" i="7" s="1"/>
  <c r="DF21" i="7"/>
  <c r="DE23" i="7"/>
  <c r="DE26" i="7" s="1"/>
  <c r="DE139" i="5"/>
  <c r="DD23" i="7"/>
  <c r="DD139" i="5"/>
  <c r="DF136" i="4"/>
  <c r="DG136" i="4" s="1"/>
  <c r="DE139" i="4"/>
  <c r="DG207" i="4"/>
  <c r="DG112" i="2"/>
  <c r="DG111" i="4" l="1"/>
  <c r="DG160" i="7"/>
  <c r="DF163" i="5"/>
  <c r="DF160" i="7" s="1"/>
  <c r="DF167" i="4"/>
  <c r="DH163" i="4"/>
  <c r="DI163" i="4" s="1"/>
  <c r="DI163" i="5" s="1"/>
  <c r="DI160" i="7" s="1"/>
  <c r="DG233" i="4"/>
  <c r="DE195" i="5"/>
  <c r="DJ164" i="4"/>
  <c r="DJ164" i="5" s="1"/>
  <c r="DJ161" i="7" s="1"/>
  <c r="DF214" i="5"/>
  <c r="DE164" i="7"/>
  <c r="DE167" i="5"/>
  <c r="DF192" i="5"/>
  <c r="DF161" i="7" s="1"/>
  <c r="DG192" i="4"/>
  <c r="DG233" i="5"/>
  <c r="DF214" i="4"/>
  <c r="DG211" i="4"/>
  <c r="DG211" i="5" s="1"/>
  <c r="DE97" i="7"/>
  <c r="DG97" i="7" s="1"/>
  <c r="DG207" i="5"/>
  <c r="DF95" i="7"/>
  <c r="DG95" i="7" s="1"/>
  <c r="DK162" i="4"/>
  <c r="DK162" i="5" s="1"/>
  <c r="DK159" i="7" s="1"/>
  <c r="DF158" i="7"/>
  <c r="DK165" i="4"/>
  <c r="DG161" i="5"/>
  <c r="DG167" i="4"/>
  <c r="DH161" i="4"/>
  <c r="DI161" i="4" s="1"/>
  <c r="DF139" i="4"/>
  <c r="DF136" i="5"/>
  <c r="DG139" i="4"/>
  <c r="DG136" i="5"/>
  <c r="DG139" i="5" s="1"/>
  <c r="DD26" i="7"/>
  <c r="DG21" i="7"/>
  <c r="DE137" i="2"/>
  <c r="DG18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F137" i="2"/>
  <c r="DD137" i="2"/>
  <c r="DC137" i="2"/>
  <c r="DB137" i="2"/>
  <c r="DA137" i="2"/>
  <c r="DA162" i="2" s="1"/>
  <c r="CZ137" i="2"/>
  <c r="CZ162" i="2" s="1"/>
  <c r="CY137" i="2"/>
  <c r="CX137" i="2"/>
  <c r="CX162" i="2" s="1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L162" i="2" s="1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I162" i="2" s="1"/>
  <c r="BH137" i="2"/>
  <c r="BH162" i="2" s="1"/>
  <c r="BG137" i="2"/>
  <c r="BG162" i="2" s="1"/>
  <c r="BF137" i="2"/>
  <c r="BF162" i="2" s="1"/>
  <c r="BE137" i="2"/>
  <c r="BE162" i="2" s="1"/>
  <c r="BD137" i="2"/>
  <c r="BD162" i="2" s="1"/>
  <c r="BC137" i="2"/>
  <c r="BC162" i="2" s="1"/>
  <c r="BB137" i="2"/>
  <c r="BB162" i="2" s="1"/>
  <c r="BA137" i="2"/>
  <c r="BA162" i="2" s="1"/>
  <c r="AZ137" i="2"/>
  <c r="AZ162" i="2" s="1"/>
  <c r="AY137" i="2"/>
  <c r="AY162" i="2" s="1"/>
  <c r="AX137" i="2"/>
  <c r="AX162" i="2" s="1"/>
  <c r="AW137" i="2"/>
  <c r="AW162" i="2" s="1"/>
  <c r="AV137" i="2"/>
  <c r="AV162" i="2" s="1"/>
  <c r="AU137" i="2"/>
  <c r="AU162" i="2" s="1"/>
  <c r="AT137" i="2"/>
  <c r="AT162" i="2" s="1"/>
  <c r="AS137" i="2"/>
  <c r="AS162" i="2" s="1"/>
  <c r="AR137" i="2"/>
  <c r="AR162" i="2" s="1"/>
  <c r="AQ137" i="2"/>
  <c r="AQ162" i="2" s="1"/>
  <c r="AP137" i="2"/>
  <c r="AP162" i="2" s="1"/>
  <c r="AO137" i="2"/>
  <c r="AO162" i="2" s="1"/>
  <c r="AN137" i="2"/>
  <c r="AN162" i="2" s="1"/>
  <c r="AM137" i="2"/>
  <c r="AM162" i="2" s="1"/>
  <c r="AL137" i="2"/>
  <c r="AL162" i="2" s="1"/>
  <c r="AK137" i="2"/>
  <c r="AK162" i="2" s="1"/>
  <c r="AJ137" i="2"/>
  <c r="AJ162" i="2" s="1"/>
  <c r="AI137" i="2"/>
  <c r="AI162" i="2" s="1"/>
  <c r="AH137" i="2"/>
  <c r="AH162" i="2" s="1"/>
  <c r="AG137" i="2"/>
  <c r="AG162" i="2" s="1"/>
  <c r="AF137" i="2"/>
  <c r="AF162" i="2" s="1"/>
  <c r="AE137" i="2"/>
  <c r="AE162" i="2" s="1"/>
  <c r="AD137" i="2"/>
  <c r="AD162" i="2" s="1"/>
  <c r="AC137" i="2"/>
  <c r="AC162" i="2" s="1"/>
  <c r="AB137" i="2"/>
  <c r="AB162" i="2" s="1"/>
  <c r="AA137" i="2"/>
  <c r="AA162" i="2" s="1"/>
  <c r="Z137" i="2"/>
  <c r="Z162" i="2" s="1"/>
  <c r="Y137" i="2"/>
  <c r="Y162" i="2" s="1"/>
  <c r="X137" i="2"/>
  <c r="X162" i="2" s="1"/>
  <c r="W137" i="2"/>
  <c r="W162" i="2" s="1"/>
  <c r="V137" i="2"/>
  <c r="V162" i="2" s="1"/>
  <c r="U137" i="2"/>
  <c r="U162" i="2" s="1"/>
  <c r="T137" i="2"/>
  <c r="T162" i="2" s="1"/>
  <c r="S137" i="2"/>
  <c r="S162" i="2" s="1"/>
  <c r="R137" i="2"/>
  <c r="R162" i="2" s="1"/>
  <c r="Q137" i="2"/>
  <c r="Q162" i="2" s="1"/>
  <c r="P137" i="2"/>
  <c r="P162" i="2" s="1"/>
  <c r="O137" i="2"/>
  <c r="O162" i="2" s="1"/>
  <c r="N137" i="2"/>
  <c r="N162" i="2" s="1"/>
  <c r="M137" i="2"/>
  <c r="M162" i="2" s="1"/>
  <c r="L137" i="2"/>
  <c r="L162" i="2" s="1"/>
  <c r="K137" i="2"/>
  <c r="K162" i="2" s="1"/>
  <c r="J137" i="2"/>
  <c r="J162" i="2" s="1"/>
  <c r="I137" i="2"/>
  <c r="I162" i="2" s="1"/>
  <c r="H137" i="2"/>
  <c r="H162" i="2" s="1"/>
  <c r="G137" i="2"/>
  <c r="G162" i="2" s="1"/>
  <c r="F137" i="2"/>
  <c r="F162" i="2" s="1"/>
  <c r="E137" i="2"/>
  <c r="E162" i="2" s="1"/>
  <c r="D137" i="2"/>
  <c r="D162" i="2" s="1"/>
  <c r="C137" i="2"/>
  <c r="C162" i="2" s="1"/>
  <c r="B137" i="2"/>
  <c r="B162" i="2" s="1"/>
  <c r="DG137" i="2" l="1"/>
  <c r="DG68" i="2"/>
  <c r="DF167" i="5"/>
  <c r="DJ163" i="4"/>
  <c r="DK163" i="4" s="1"/>
  <c r="DK163" i="5" s="1"/>
  <c r="DK160" i="7" s="1"/>
  <c r="DH163" i="5"/>
  <c r="DH160" i="7" s="1"/>
  <c r="DK164" i="4"/>
  <c r="DK164" i="5" s="1"/>
  <c r="DK161" i="7" s="1"/>
  <c r="DF195" i="5"/>
  <c r="DF164" i="7"/>
  <c r="DG192" i="5"/>
  <c r="DG195" i="4"/>
  <c r="DG214" i="5"/>
  <c r="DG214" i="4"/>
  <c r="DF109" i="7"/>
  <c r="DE109" i="7"/>
  <c r="DL162" i="4"/>
  <c r="DL162" i="5" s="1"/>
  <c r="DL159" i="7" s="1"/>
  <c r="DK165" i="5"/>
  <c r="DK162" i="7" s="1"/>
  <c r="DL165" i="4"/>
  <c r="DL165" i="5" s="1"/>
  <c r="DL162" i="7" s="1"/>
  <c r="DG167" i="5"/>
  <c r="DG158" i="7"/>
  <c r="DI161" i="5"/>
  <c r="DI167" i="4"/>
  <c r="DH161" i="5"/>
  <c r="DH167" i="4"/>
  <c r="DJ161" i="4"/>
  <c r="DF23" i="7"/>
  <c r="DF139" i="5"/>
  <c r="CC162" i="2"/>
  <c r="CV162" i="2"/>
  <c r="BP162" i="2"/>
  <c r="DB162" i="2"/>
  <c r="CF162" i="2"/>
  <c r="CD162" i="2"/>
  <c r="BJ162" i="2"/>
  <c r="BN162" i="2"/>
  <c r="CH162" i="2"/>
  <c r="BR162" i="2"/>
  <c r="CP162" i="2"/>
  <c r="CT162" i="2"/>
  <c r="BV162" i="2"/>
  <c r="BZ162" i="2"/>
  <c r="CB162" i="2"/>
  <c r="BM162" i="2"/>
  <c r="BX162" i="2"/>
  <c r="CN162" i="2"/>
  <c r="BK162" i="2"/>
  <c r="CQ162" i="2"/>
  <c r="CJ162" i="2"/>
  <c r="BQ162" i="2"/>
  <c r="BY162" i="2"/>
  <c r="CG162" i="2"/>
  <c r="CO162" i="2"/>
  <c r="CW162" i="2"/>
  <c r="DF162" i="2"/>
  <c r="DF129" i="7" s="1"/>
  <c r="DF74" i="7"/>
  <c r="DO162" i="2"/>
  <c r="DO129" i="7" s="1"/>
  <c r="DO74" i="7"/>
  <c r="BL162" i="2"/>
  <c r="CK162" i="2"/>
  <c r="DH162" i="2"/>
  <c r="DH129" i="7" s="1"/>
  <c r="DH74" i="7"/>
  <c r="DP162" i="2"/>
  <c r="DP129" i="7" s="1"/>
  <c r="DP74" i="7"/>
  <c r="BS162" i="2"/>
  <c r="CY162" i="2"/>
  <c r="CR162" i="2"/>
  <c r="DL162" i="2"/>
  <c r="DL129" i="7" s="1"/>
  <c r="DL74" i="7"/>
  <c r="DT162" i="2"/>
  <c r="DT129" i="7" s="1"/>
  <c r="DT74" i="7"/>
  <c r="CA162" i="2"/>
  <c r="DQ162" i="2"/>
  <c r="DQ129" i="7" s="1"/>
  <c r="DQ74" i="7"/>
  <c r="DJ162" i="2"/>
  <c r="DJ129" i="7" s="1"/>
  <c r="DJ74" i="7"/>
  <c r="DS162" i="2"/>
  <c r="DS129" i="7" s="1"/>
  <c r="DS74" i="7"/>
  <c r="BT162" i="2"/>
  <c r="CS162" i="2"/>
  <c r="BO162" i="2"/>
  <c r="BW162" i="2"/>
  <c r="CE162" i="2"/>
  <c r="CM162" i="2"/>
  <c r="CU162" i="2"/>
  <c r="DC162" i="2"/>
  <c r="DC129" i="7" s="1"/>
  <c r="DC74" i="7"/>
  <c r="DM162" i="2"/>
  <c r="DM129" i="7" s="1"/>
  <c r="DM74" i="7"/>
  <c r="DG162" i="2"/>
  <c r="DG129" i="7" s="1"/>
  <c r="DG74" i="7"/>
  <c r="CI162" i="2"/>
  <c r="DI162" i="2"/>
  <c r="DI129" i="7" s="1"/>
  <c r="DI74" i="7"/>
  <c r="DR162" i="2"/>
  <c r="DR129" i="7" s="1"/>
  <c r="DR74" i="7"/>
  <c r="DK162" i="2"/>
  <c r="DK129" i="7" s="1"/>
  <c r="DK74" i="7"/>
  <c r="BU162" i="2"/>
  <c r="DD162" i="2"/>
  <c r="DD129" i="7" s="1"/>
  <c r="DD74" i="7"/>
  <c r="DN162" i="2"/>
  <c r="DN129" i="7" s="1"/>
  <c r="DN74" i="7"/>
  <c r="DE162" i="2"/>
  <c r="DE129" i="7" s="1"/>
  <c r="DE74" i="7"/>
  <c r="DB21" i="2"/>
  <c r="DJ163" i="5" l="1"/>
  <c r="DJ160" i="7" s="1"/>
  <c r="DL164" i="4"/>
  <c r="DL164" i="5" s="1"/>
  <c r="DL161" i="7" s="1"/>
  <c r="DG195" i="5"/>
  <c r="DG161" i="7"/>
  <c r="DG164" i="7" s="1"/>
  <c r="DG109" i="7"/>
  <c r="DK161" i="4"/>
  <c r="DL161" i="4" s="1"/>
  <c r="DJ161" i="5"/>
  <c r="DJ167" i="4"/>
  <c r="DH158" i="7"/>
  <c r="DH164" i="7" s="1"/>
  <c r="DH167" i="5"/>
  <c r="DI167" i="5"/>
  <c r="DI158" i="7"/>
  <c r="DI164" i="7" s="1"/>
  <c r="DL163" i="4"/>
  <c r="DL163" i="5" s="1"/>
  <c r="DL160" i="7" s="1"/>
  <c r="DF26" i="7"/>
  <c r="DG23" i="7"/>
  <c r="DG26" i="7" s="1"/>
  <c r="BN111" i="2"/>
  <c r="BS111" i="2"/>
  <c r="BX111" i="2"/>
  <c r="CC111" i="2"/>
  <c r="CH111" i="2"/>
  <c r="CM111" i="2"/>
  <c r="DL161" i="5" l="1"/>
  <c r="DL167" i="4"/>
  <c r="DJ167" i="5"/>
  <c r="DJ158" i="7"/>
  <c r="DJ164" i="7" s="1"/>
  <c r="DK161" i="5"/>
  <c r="DK167" i="4"/>
  <c r="DQ116" i="2"/>
  <c r="DQ115" i="2"/>
  <c r="DQ114" i="2"/>
  <c r="DQ113" i="2"/>
  <c r="DQ111" i="2"/>
  <c r="DQ108" i="2"/>
  <c r="DQ107" i="2"/>
  <c r="DQ106" i="2"/>
  <c r="DQ105" i="2"/>
  <c r="DQ104" i="2"/>
  <c r="DQ103" i="2"/>
  <c r="DQ102" i="2"/>
  <c r="DQ101" i="2"/>
  <c r="DQ100" i="2"/>
  <c r="DQ99" i="2"/>
  <c r="DQ98" i="2"/>
  <c r="DQ97" i="2"/>
  <c r="DQ122" i="2" s="1"/>
  <c r="DL116" i="2"/>
  <c r="DL115" i="2"/>
  <c r="DL114" i="2"/>
  <c r="DL113" i="2"/>
  <c r="DL111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G116" i="2"/>
  <c r="DG115" i="2"/>
  <c r="DG114" i="2"/>
  <c r="DG113" i="2"/>
  <c r="DG111" i="2"/>
  <c r="DG108" i="2"/>
  <c r="DG107" i="2"/>
  <c r="DG106" i="2"/>
  <c r="DG105" i="2"/>
  <c r="DG104" i="2"/>
  <c r="DG103" i="2"/>
  <c r="DG102" i="2"/>
  <c r="DG101" i="2"/>
  <c r="DG100" i="2"/>
  <c r="DG99" i="2"/>
  <c r="DG98" i="2"/>
  <c r="DG97" i="2"/>
  <c r="DB116" i="2"/>
  <c r="DB115" i="2"/>
  <c r="DB114" i="2"/>
  <c r="DB113" i="2"/>
  <c r="DB111" i="2"/>
  <c r="DB108" i="2"/>
  <c r="DB107" i="2"/>
  <c r="DB106" i="2"/>
  <c r="DB105" i="2"/>
  <c r="DB104" i="2"/>
  <c r="DB103" i="2"/>
  <c r="DB102" i="2"/>
  <c r="DB101" i="2"/>
  <c r="DB100" i="2"/>
  <c r="DB99" i="2"/>
  <c r="DB98" i="2"/>
  <c r="DB97" i="2"/>
  <c r="CW116" i="2"/>
  <c r="CW115" i="2"/>
  <c r="CW114" i="2"/>
  <c r="CW113" i="2"/>
  <c r="CW111" i="2"/>
  <c r="CW136" i="2" s="1"/>
  <c r="CW103" i="2"/>
  <c r="CW102" i="2"/>
  <c r="CW101" i="2"/>
  <c r="CW100" i="2"/>
  <c r="CW99" i="2"/>
  <c r="CW98" i="2"/>
  <c r="CW97" i="2"/>
  <c r="CR115" i="2"/>
  <c r="CR114" i="2"/>
  <c r="CR113" i="2"/>
  <c r="CR111" i="2"/>
  <c r="CR103" i="2"/>
  <c r="CR102" i="2"/>
  <c r="CR101" i="2"/>
  <c r="CR100" i="2"/>
  <c r="CR99" i="2"/>
  <c r="CR98" i="2"/>
  <c r="CR97" i="2"/>
  <c r="CM115" i="2"/>
  <c r="CM114" i="2"/>
  <c r="CM113" i="2"/>
  <c r="CM103" i="2"/>
  <c r="CM102" i="2"/>
  <c r="CM101" i="2"/>
  <c r="CM100" i="2"/>
  <c r="CM99" i="2"/>
  <c r="CM98" i="2"/>
  <c r="CM97" i="2"/>
  <c r="CH113" i="2"/>
  <c r="CH103" i="2"/>
  <c r="CH102" i="2"/>
  <c r="CH101" i="2"/>
  <c r="CH100" i="2"/>
  <c r="CH99" i="2"/>
  <c r="CH98" i="2"/>
  <c r="CH97" i="2"/>
  <c r="CC115" i="2"/>
  <c r="CC114" i="2"/>
  <c r="CC113" i="2"/>
  <c r="CC103" i="2"/>
  <c r="CC102" i="2"/>
  <c r="CC101" i="2"/>
  <c r="CC100" i="2"/>
  <c r="CC99" i="2"/>
  <c r="CC98" i="2"/>
  <c r="CC97" i="2"/>
  <c r="BX116" i="2"/>
  <c r="BX115" i="2"/>
  <c r="BX114" i="2"/>
  <c r="BX113" i="2"/>
  <c r="BX103" i="2"/>
  <c r="BX102" i="2"/>
  <c r="BX101" i="2"/>
  <c r="BX100" i="2"/>
  <c r="BX99" i="2"/>
  <c r="BX98" i="2"/>
  <c r="BX97" i="2"/>
  <c r="BS116" i="2"/>
  <c r="BS115" i="2"/>
  <c r="BS114" i="2"/>
  <c r="BS113" i="2"/>
  <c r="BS103" i="2"/>
  <c r="BS102" i="2"/>
  <c r="BS101" i="2"/>
  <c r="BS100" i="2"/>
  <c r="BS99" i="2"/>
  <c r="BS98" i="2"/>
  <c r="BS97" i="2"/>
  <c r="BN116" i="2"/>
  <c r="BN115" i="2"/>
  <c r="BN114" i="2"/>
  <c r="BN113" i="2"/>
  <c r="BN103" i="2"/>
  <c r="BN102" i="2"/>
  <c r="BN101" i="2"/>
  <c r="BN100" i="2"/>
  <c r="BN99" i="2"/>
  <c r="BN98" i="2"/>
  <c r="BN97" i="2"/>
  <c r="DQ89" i="2"/>
  <c r="DQ88" i="2"/>
  <c r="DQ87" i="2"/>
  <c r="DQ86" i="2"/>
  <c r="DQ85" i="2"/>
  <c r="DQ84" i="2"/>
  <c r="DQ83" i="2"/>
  <c r="DQ82" i="2"/>
  <c r="DQ81" i="2"/>
  <c r="DQ80" i="2"/>
  <c r="DQ79" i="2"/>
  <c r="DQ78" i="2"/>
  <c r="DL89" i="2"/>
  <c r="DL88" i="2"/>
  <c r="DL87" i="2"/>
  <c r="DL86" i="2"/>
  <c r="DL85" i="2"/>
  <c r="DL84" i="2"/>
  <c r="DL83" i="2"/>
  <c r="DL82" i="2"/>
  <c r="DL81" i="2"/>
  <c r="DL80" i="2"/>
  <c r="DL79" i="2"/>
  <c r="DL78" i="2"/>
  <c r="DG89" i="2"/>
  <c r="DG88" i="2"/>
  <c r="DG87" i="2"/>
  <c r="DG86" i="2"/>
  <c r="DG85" i="2"/>
  <c r="DG84" i="2"/>
  <c r="DG83" i="2"/>
  <c r="DG82" i="2"/>
  <c r="DG81" i="2"/>
  <c r="DG80" i="2"/>
  <c r="DG79" i="2"/>
  <c r="DG78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CW84" i="2"/>
  <c r="CW83" i="2"/>
  <c r="CW82" i="2"/>
  <c r="CW81" i="2"/>
  <c r="CW80" i="2"/>
  <c r="CW79" i="2"/>
  <c r="CW78" i="2"/>
  <c r="CR84" i="2"/>
  <c r="CR83" i="2"/>
  <c r="CR82" i="2"/>
  <c r="CR81" i="2"/>
  <c r="CR80" i="2"/>
  <c r="CR79" i="2"/>
  <c r="CR78" i="2"/>
  <c r="CM84" i="2"/>
  <c r="CM83" i="2"/>
  <c r="CM82" i="2"/>
  <c r="CM81" i="2"/>
  <c r="CM80" i="2"/>
  <c r="CM79" i="2"/>
  <c r="CM78" i="2"/>
  <c r="CH84" i="2"/>
  <c r="CH83" i="2"/>
  <c r="CH82" i="2"/>
  <c r="CH81" i="2"/>
  <c r="CH80" i="2"/>
  <c r="CH79" i="2"/>
  <c r="CH78" i="2"/>
  <c r="CC84" i="2"/>
  <c r="CC83" i="2"/>
  <c r="CC82" i="2"/>
  <c r="CC81" i="2"/>
  <c r="CC80" i="2"/>
  <c r="CC79" i="2"/>
  <c r="CC78" i="2"/>
  <c r="BX84" i="2"/>
  <c r="BX83" i="2"/>
  <c r="BX82" i="2"/>
  <c r="BX81" i="2"/>
  <c r="BX80" i="2"/>
  <c r="BX79" i="2"/>
  <c r="BX78" i="2"/>
  <c r="BS84" i="2"/>
  <c r="BS83" i="2"/>
  <c r="BS82" i="2"/>
  <c r="BS81" i="2"/>
  <c r="BS80" i="2"/>
  <c r="BS79" i="2"/>
  <c r="BS78" i="2"/>
  <c r="BN84" i="2"/>
  <c r="BN83" i="2"/>
  <c r="BN82" i="2"/>
  <c r="BN81" i="2"/>
  <c r="BN80" i="2"/>
  <c r="BN79" i="2"/>
  <c r="BN78" i="2"/>
  <c r="DQ72" i="2"/>
  <c r="DQ71" i="2"/>
  <c r="DQ70" i="2"/>
  <c r="DQ69" i="2"/>
  <c r="DQ64" i="2"/>
  <c r="DQ63" i="2"/>
  <c r="DQ62" i="2"/>
  <c r="DQ61" i="2"/>
  <c r="DQ60" i="2"/>
  <c r="DQ59" i="2"/>
  <c r="DQ58" i="2"/>
  <c r="DQ57" i="2"/>
  <c r="DQ56" i="2"/>
  <c r="DQ55" i="2"/>
  <c r="DQ54" i="2"/>
  <c r="DQ53" i="2"/>
  <c r="DL72" i="2"/>
  <c r="DL71" i="2"/>
  <c r="DL69" i="2"/>
  <c r="DL61" i="2"/>
  <c r="DL60" i="2"/>
  <c r="DL59" i="2"/>
  <c r="DL58" i="2"/>
  <c r="DL57" i="2"/>
  <c r="DL56" i="2"/>
  <c r="DL55" i="2"/>
  <c r="DL54" i="2"/>
  <c r="DL53" i="2"/>
  <c r="DG72" i="2"/>
  <c r="DG71" i="2"/>
  <c r="DG70" i="2"/>
  <c r="DG69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B72" i="2"/>
  <c r="DB71" i="2"/>
  <c r="DB70" i="2"/>
  <c r="DB69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CW72" i="2"/>
  <c r="CW71" i="2"/>
  <c r="CW70" i="2"/>
  <c r="CW69" i="2"/>
  <c r="CW59" i="2"/>
  <c r="CW58" i="2"/>
  <c r="CW57" i="2"/>
  <c r="CW56" i="2"/>
  <c r="CW55" i="2"/>
  <c r="CW54" i="2"/>
  <c r="CW53" i="2"/>
  <c r="CR72" i="2"/>
  <c r="CR71" i="2"/>
  <c r="CR70" i="2"/>
  <c r="CR69" i="2"/>
  <c r="CR67" i="2"/>
  <c r="CR59" i="2"/>
  <c r="CR58" i="2"/>
  <c r="CR57" i="2"/>
  <c r="CR56" i="2"/>
  <c r="CR55" i="2"/>
  <c r="CR54" i="2"/>
  <c r="CR53" i="2"/>
  <c r="CM72" i="2"/>
  <c r="CM71" i="2"/>
  <c r="CM70" i="2"/>
  <c r="CM69" i="2"/>
  <c r="CM67" i="2"/>
  <c r="CM59" i="2"/>
  <c r="CM58" i="2"/>
  <c r="CM57" i="2"/>
  <c r="CM56" i="2"/>
  <c r="CM55" i="2"/>
  <c r="CM54" i="2"/>
  <c r="CM53" i="2"/>
  <c r="CH72" i="2"/>
  <c r="CH71" i="2"/>
  <c r="CH70" i="2"/>
  <c r="CH69" i="2"/>
  <c r="CH67" i="2"/>
  <c r="CH59" i="2"/>
  <c r="CH58" i="2"/>
  <c r="CH57" i="2"/>
  <c r="CH56" i="2"/>
  <c r="CH55" i="2"/>
  <c r="CH54" i="2"/>
  <c r="CH53" i="2"/>
  <c r="CC72" i="2"/>
  <c r="CC71" i="2"/>
  <c r="CC70" i="2"/>
  <c r="CC69" i="2"/>
  <c r="CC67" i="2"/>
  <c r="CC59" i="2"/>
  <c r="CC58" i="2"/>
  <c r="CC57" i="2"/>
  <c r="CC56" i="2"/>
  <c r="CC55" i="2"/>
  <c r="CC54" i="2"/>
  <c r="CC53" i="2"/>
  <c r="BX72" i="2"/>
  <c r="BX71" i="2"/>
  <c r="BX70" i="2"/>
  <c r="BX69" i="2"/>
  <c r="BX67" i="2"/>
  <c r="BX59" i="2"/>
  <c r="BX58" i="2"/>
  <c r="BX57" i="2"/>
  <c r="BX56" i="2"/>
  <c r="BX55" i="2"/>
  <c r="BX54" i="2"/>
  <c r="BX53" i="2"/>
  <c r="BS72" i="2"/>
  <c r="BS71" i="2"/>
  <c r="BS70" i="2"/>
  <c r="BS69" i="2"/>
  <c r="BS67" i="2"/>
  <c r="BS59" i="2"/>
  <c r="BS58" i="2"/>
  <c r="BS57" i="2"/>
  <c r="BS56" i="2"/>
  <c r="BS55" i="2"/>
  <c r="BS54" i="2"/>
  <c r="BS53" i="2"/>
  <c r="BN72" i="2"/>
  <c r="BN71" i="2"/>
  <c r="BN70" i="2"/>
  <c r="BN69" i="2"/>
  <c r="BN67" i="2"/>
  <c r="BN59" i="2"/>
  <c r="BN58" i="2"/>
  <c r="BN57" i="2"/>
  <c r="BN56" i="2"/>
  <c r="BN55" i="2"/>
  <c r="BN54" i="2"/>
  <c r="BN53" i="2"/>
  <c r="DQ22" i="2"/>
  <c r="DQ21" i="2"/>
  <c r="DQ20" i="2"/>
  <c r="DQ19" i="2"/>
  <c r="DQ17" i="2"/>
  <c r="DQ67" i="2" s="1"/>
  <c r="DQ14" i="2"/>
  <c r="DQ13" i="2"/>
  <c r="DQ12" i="2"/>
  <c r="DQ11" i="2"/>
  <c r="DQ10" i="2"/>
  <c r="DQ9" i="2"/>
  <c r="DQ8" i="2"/>
  <c r="DQ7" i="2"/>
  <c r="DQ6" i="2"/>
  <c r="DQ5" i="2"/>
  <c r="DQ4" i="2"/>
  <c r="DQ3" i="2"/>
  <c r="DL22" i="2"/>
  <c r="DL21" i="2"/>
  <c r="DL140" i="2" s="1"/>
  <c r="DL165" i="2" s="1"/>
  <c r="DL20" i="2"/>
  <c r="DL19" i="2"/>
  <c r="DL17" i="2"/>
  <c r="DL67" i="2" s="1"/>
  <c r="DL14" i="2"/>
  <c r="DL13" i="2"/>
  <c r="DL12" i="2"/>
  <c r="DL11" i="2"/>
  <c r="DL10" i="2"/>
  <c r="DL9" i="2"/>
  <c r="DL8" i="2"/>
  <c r="DL7" i="2"/>
  <c r="DL6" i="2"/>
  <c r="DL5" i="2"/>
  <c r="DL4" i="2"/>
  <c r="DL3" i="2"/>
  <c r="DG22" i="2"/>
  <c r="DG21" i="2"/>
  <c r="DG20" i="2"/>
  <c r="DG19" i="2"/>
  <c r="DG17" i="2"/>
  <c r="DG67" i="2" s="1"/>
  <c r="DG14" i="2"/>
  <c r="DG13" i="2"/>
  <c r="DG12" i="2"/>
  <c r="DG11" i="2"/>
  <c r="DG130" i="2" s="1"/>
  <c r="DG10" i="2"/>
  <c r="DG9" i="2"/>
  <c r="DG8" i="2"/>
  <c r="DG7" i="2"/>
  <c r="DG6" i="2"/>
  <c r="DG5" i="2"/>
  <c r="DG4" i="2"/>
  <c r="DG3" i="2"/>
  <c r="DB22" i="2"/>
  <c r="DB20" i="2"/>
  <c r="DB19" i="2"/>
  <c r="DB17" i="2"/>
  <c r="DB67" i="2" s="1"/>
  <c r="DB14" i="2"/>
  <c r="DB13" i="2"/>
  <c r="DB12" i="2"/>
  <c r="DB11" i="2"/>
  <c r="DB10" i="2"/>
  <c r="DB9" i="2"/>
  <c r="DB8" i="2"/>
  <c r="DB7" i="2"/>
  <c r="DB6" i="2"/>
  <c r="DB5" i="2"/>
  <c r="DB4" i="2"/>
  <c r="DB3" i="2"/>
  <c r="CR22" i="2"/>
  <c r="CR21" i="2"/>
  <c r="CR20" i="2"/>
  <c r="CR19" i="2"/>
  <c r="CR17" i="2"/>
  <c r="CR14" i="2"/>
  <c r="CR13" i="2"/>
  <c r="CR12" i="2"/>
  <c r="CR11" i="2"/>
  <c r="CR10" i="2"/>
  <c r="CR9" i="2"/>
  <c r="CR8" i="2"/>
  <c r="CR7" i="2"/>
  <c r="CR6" i="2"/>
  <c r="CR5" i="2"/>
  <c r="CR4" i="2"/>
  <c r="CR3" i="2"/>
  <c r="CR122" i="2" s="1"/>
  <c r="CW22" i="2"/>
  <c r="CW141" i="2" s="1"/>
  <c r="CW21" i="2"/>
  <c r="CW20" i="2"/>
  <c r="CW19" i="2"/>
  <c r="CW17" i="2"/>
  <c r="CW67" i="2" s="1"/>
  <c r="CW14" i="2"/>
  <c r="CW13" i="2"/>
  <c r="CW132" i="2" s="1"/>
  <c r="CW12" i="2"/>
  <c r="CW11" i="2"/>
  <c r="CW130" i="2" s="1"/>
  <c r="CW155" i="2" s="1"/>
  <c r="CW10" i="2"/>
  <c r="CW129" i="2" s="1"/>
  <c r="CW154" i="2" s="1"/>
  <c r="CW9" i="2"/>
  <c r="CW8" i="2"/>
  <c r="CW7" i="2"/>
  <c r="CW6" i="2"/>
  <c r="CW5" i="2"/>
  <c r="CW124" i="2" s="1"/>
  <c r="CW61" i="7" s="1"/>
  <c r="CW4" i="2"/>
  <c r="CW3" i="2"/>
  <c r="CW122" i="2" s="1"/>
  <c r="CX140" i="2"/>
  <c r="CX165" i="2" s="1"/>
  <c r="CX131" i="2"/>
  <c r="CX156" i="2" s="1"/>
  <c r="CX123" i="2"/>
  <c r="CM22" i="2"/>
  <c r="CM21" i="2"/>
  <c r="CM20" i="2"/>
  <c r="CM19" i="2"/>
  <c r="CM17" i="2"/>
  <c r="CM136" i="2" s="1"/>
  <c r="CM14" i="2"/>
  <c r="CM13" i="2"/>
  <c r="CM132" i="2" s="1"/>
  <c r="CM12" i="2"/>
  <c r="CM11" i="2"/>
  <c r="CM10" i="2"/>
  <c r="CM9" i="2"/>
  <c r="CM8" i="2"/>
  <c r="CM7" i="2"/>
  <c r="CM6" i="2"/>
  <c r="CM5" i="2"/>
  <c r="CM4" i="2"/>
  <c r="CM3" i="2"/>
  <c r="CH22" i="2"/>
  <c r="CH21" i="2"/>
  <c r="CH20" i="2"/>
  <c r="CH19" i="2"/>
  <c r="CH17" i="2"/>
  <c r="CH136" i="2" s="1"/>
  <c r="CH14" i="2"/>
  <c r="CH133" i="2" s="1"/>
  <c r="CH158" i="2" s="1"/>
  <c r="CH13" i="2"/>
  <c r="CH12" i="2"/>
  <c r="CH11" i="2"/>
  <c r="CH10" i="2"/>
  <c r="CH9" i="2"/>
  <c r="CH8" i="2"/>
  <c r="CH127" i="2" s="1"/>
  <c r="CH7" i="2"/>
  <c r="CH6" i="2"/>
  <c r="CH5" i="2"/>
  <c r="CH4" i="2"/>
  <c r="CH3" i="2"/>
  <c r="CC22" i="2"/>
  <c r="CC21" i="2"/>
  <c r="CC20" i="2"/>
  <c r="CC19" i="2"/>
  <c r="CC17" i="2"/>
  <c r="CC136" i="2" s="1"/>
  <c r="CC14" i="2"/>
  <c r="CC13" i="2"/>
  <c r="CC12" i="2"/>
  <c r="CC11" i="2"/>
  <c r="CC10" i="2"/>
  <c r="CC9" i="2"/>
  <c r="CC8" i="2"/>
  <c r="CC127" i="2" s="1"/>
  <c r="CC7" i="2"/>
  <c r="CC126" i="2" s="1"/>
  <c r="CC6" i="2"/>
  <c r="CC5" i="2"/>
  <c r="CC4" i="2"/>
  <c r="CC3" i="2"/>
  <c r="BX22" i="2"/>
  <c r="BX21" i="2"/>
  <c r="BX20" i="2"/>
  <c r="BX139" i="2" s="1"/>
  <c r="BX19" i="2"/>
  <c r="BX17" i="2"/>
  <c r="BX136" i="2" s="1"/>
  <c r="BX14" i="2"/>
  <c r="BX13" i="2"/>
  <c r="BX12" i="2"/>
  <c r="BX11" i="2"/>
  <c r="BX10" i="2"/>
  <c r="BX9" i="2"/>
  <c r="BX8" i="2"/>
  <c r="BX7" i="2"/>
  <c r="BX6" i="2"/>
  <c r="BX5" i="2"/>
  <c r="BX4" i="2"/>
  <c r="BX3" i="2"/>
  <c r="BS22" i="2"/>
  <c r="BS21" i="2"/>
  <c r="BS20" i="2"/>
  <c r="BS19" i="2"/>
  <c r="BS17" i="2"/>
  <c r="BS136" i="2" s="1"/>
  <c r="BS14" i="2"/>
  <c r="BS133" i="2" s="1"/>
  <c r="BS158" i="2" s="1"/>
  <c r="BS13" i="2"/>
  <c r="BS12" i="2"/>
  <c r="BS11" i="2"/>
  <c r="BS10" i="2"/>
  <c r="BS9" i="2"/>
  <c r="BS8" i="2"/>
  <c r="BS7" i="2"/>
  <c r="BS6" i="2"/>
  <c r="BS5" i="2"/>
  <c r="BS4" i="2"/>
  <c r="BS3" i="2"/>
  <c r="BN22" i="2"/>
  <c r="BN21" i="2"/>
  <c r="BN20" i="2"/>
  <c r="BN19" i="2"/>
  <c r="BN17" i="2"/>
  <c r="BN136" i="2" s="1"/>
  <c r="BN14" i="2"/>
  <c r="BN133" i="2" s="1"/>
  <c r="BN158" i="2" s="1"/>
  <c r="BN13" i="2"/>
  <c r="BN12" i="2"/>
  <c r="BN11" i="2"/>
  <c r="BN130" i="2" s="1"/>
  <c r="BN10" i="2"/>
  <c r="BN9" i="2"/>
  <c r="BN8" i="2"/>
  <c r="BN7" i="2"/>
  <c r="BN6" i="2"/>
  <c r="BN5" i="2"/>
  <c r="BN124" i="2" s="1"/>
  <c r="BN4" i="2"/>
  <c r="BN3" i="2"/>
  <c r="BN122" i="2" s="1"/>
  <c r="DT141" i="2"/>
  <c r="DS141" i="2"/>
  <c r="DT140" i="2"/>
  <c r="DT165" i="2" s="1"/>
  <c r="DS140" i="2"/>
  <c r="DS165" i="2" s="1"/>
  <c r="DT139" i="2"/>
  <c r="DS139" i="2"/>
  <c r="DT138" i="2"/>
  <c r="DS138" i="2"/>
  <c r="DT136" i="2"/>
  <c r="DS136" i="2"/>
  <c r="DT133" i="2"/>
  <c r="DS133" i="2"/>
  <c r="DS158" i="2" s="1"/>
  <c r="DT132" i="2"/>
  <c r="DS132" i="2"/>
  <c r="DT131" i="2"/>
  <c r="DS131" i="2"/>
  <c r="DT130" i="2"/>
  <c r="DS130" i="2"/>
  <c r="DT129" i="2"/>
  <c r="DS129" i="2"/>
  <c r="DT128" i="2"/>
  <c r="DS128" i="2"/>
  <c r="DT127" i="2"/>
  <c r="DS127" i="2"/>
  <c r="DT126" i="2"/>
  <c r="DS126" i="2"/>
  <c r="DT125" i="2"/>
  <c r="DT150" i="2" s="1"/>
  <c r="DS125" i="2"/>
  <c r="DS150" i="2" s="1"/>
  <c r="DT124" i="2"/>
  <c r="DS124" i="2"/>
  <c r="DS61" i="7" s="1"/>
  <c r="DT123" i="2"/>
  <c r="DS123" i="2"/>
  <c r="DT122" i="2"/>
  <c r="DS122" i="2"/>
  <c r="DS147" i="2" s="1"/>
  <c r="DR141" i="2"/>
  <c r="DP141" i="2"/>
  <c r="DO141" i="2"/>
  <c r="DN141" i="2"/>
  <c r="DM141" i="2"/>
  <c r="DK141" i="2"/>
  <c r="DJ141" i="2"/>
  <c r="DI141" i="2"/>
  <c r="DH141" i="2"/>
  <c r="DF141" i="2"/>
  <c r="DE141" i="2"/>
  <c r="DD141" i="2"/>
  <c r="DC141" i="2"/>
  <c r="DA141" i="2"/>
  <c r="CZ141" i="2"/>
  <c r="CY141" i="2"/>
  <c r="CX141" i="2"/>
  <c r="CV141" i="2"/>
  <c r="CU141" i="2"/>
  <c r="CT141" i="2"/>
  <c r="CS141" i="2"/>
  <c r="CQ141" i="2"/>
  <c r="CP141" i="2"/>
  <c r="CO141" i="2"/>
  <c r="CN141" i="2"/>
  <c r="CL141" i="2"/>
  <c r="CK141" i="2"/>
  <c r="CJ141" i="2"/>
  <c r="CI141" i="2"/>
  <c r="CG141" i="2"/>
  <c r="CF141" i="2"/>
  <c r="CE141" i="2"/>
  <c r="CB141" i="2"/>
  <c r="CA141" i="2"/>
  <c r="BZ141" i="2"/>
  <c r="BY141" i="2"/>
  <c r="BW141" i="2"/>
  <c r="BV141" i="2"/>
  <c r="BT141" i="2"/>
  <c r="BR141" i="2"/>
  <c r="BQ141" i="2"/>
  <c r="BP141" i="2"/>
  <c r="BO141" i="2"/>
  <c r="BM141" i="2"/>
  <c r="BK141" i="2"/>
  <c r="DR140" i="2"/>
  <c r="DR165" i="2" s="1"/>
  <c r="DP140" i="2"/>
  <c r="DP165" i="2" s="1"/>
  <c r="DO140" i="2"/>
  <c r="DO165" i="2" s="1"/>
  <c r="DN140" i="2"/>
  <c r="DN165" i="2" s="1"/>
  <c r="DM140" i="2"/>
  <c r="DM165" i="2" s="1"/>
  <c r="DK140" i="2"/>
  <c r="DK165" i="2" s="1"/>
  <c r="DJ140" i="2"/>
  <c r="DJ165" i="2" s="1"/>
  <c r="DI140" i="2"/>
  <c r="DI165" i="2" s="1"/>
  <c r="DH140" i="2"/>
  <c r="DH165" i="2" s="1"/>
  <c r="DF140" i="2"/>
  <c r="DF165" i="2" s="1"/>
  <c r="DE140" i="2"/>
  <c r="DE165" i="2" s="1"/>
  <c r="DD140" i="2"/>
  <c r="DD165" i="2" s="1"/>
  <c r="DC140" i="2"/>
  <c r="DC165" i="2" s="1"/>
  <c r="DA140" i="2"/>
  <c r="DA165" i="2" s="1"/>
  <c r="CZ140" i="2"/>
  <c r="CZ165" i="2" s="1"/>
  <c r="CY140" i="2"/>
  <c r="CY165" i="2" s="1"/>
  <c r="CV140" i="2"/>
  <c r="CV165" i="2" s="1"/>
  <c r="CU140" i="2"/>
  <c r="CU165" i="2" s="1"/>
  <c r="CT140" i="2"/>
  <c r="CT165" i="2" s="1"/>
  <c r="CS140" i="2"/>
  <c r="CS165" i="2" s="1"/>
  <c r="CQ140" i="2"/>
  <c r="CQ165" i="2" s="1"/>
  <c r="CP140" i="2"/>
  <c r="CP165" i="2" s="1"/>
  <c r="CO140" i="2"/>
  <c r="CO165" i="2" s="1"/>
  <c r="CN140" i="2"/>
  <c r="CN165" i="2" s="1"/>
  <c r="CL140" i="2"/>
  <c r="CL165" i="2" s="1"/>
  <c r="CK140" i="2"/>
  <c r="CK165" i="2" s="1"/>
  <c r="CJ140" i="2"/>
  <c r="CJ165" i="2" s="1"/>
  <c r="CI140" i="2"/>
  <c r="CI165" i="2" s="1"/>
  <c r="CG140" i="2"/>
  <c r="CG165" i="2" s="1"/>
  <c r="CF140" i="2"/>
  <c r="CF165" i="2" s="1"/>
  <c r="CE140" i="2"/>
  <c r="CE165" i="2" s="1"/>
  <c r="CD140" i="2"/>
  <c r="CD165" i="2" s="1"/>
  <c r="CB140" i="2"/>
  <c r="CB165" i="2" s="1"/>
  <c r="CA140" i="2"/>
  <c r="CA165" i="2" s="1"/>
  <c r="BZ140" i="2"/>
  <c r="BZ165" i="2" s="1"/>
  <c r="BY140" i="2"/>
  <c r="BY165" i="2" s="1"/>
  <c r="BW140" i="2"/>
  <c r="BW165" i="2" s="1"/>
  <c r="BV140" i="2"/>
  <c r="BV165" i="2" s="1"/>
  <c r="BU140" i="2"/>
  <c r="BU165" i="2" s="1"/>
  <c r="BT140" i="2"/>
  <c r="BT165" i="2" s="1"/>
  <c r="BR140" i="2"/>
  <c r="BR165" i="2" s="1"/>
  <c r="BQ140" i="2"/>
  <c r="BQ165" i="2" s="1"/>
  <c r="BP140" i="2"/>
  <c r="BP165" i="2" s="1"/>
  <c r="BO140" i="2"/>
  <c r="BO165" i="2" s="1"/>
  <c r="BM140" i="2"/>
  <c r="BM165" i="2" s="1"/>
  <c r="BL140" i="2"/>
  <c r="BL165" i="2" s="1"/>
  <c r="BK140" i="2"/>
  <c r="BK165" i="2" s="1"/>
  <c r="DR139" i="2"/>
  <c r="DP139" i="2"/>
  <c r="DO139" i="2"/>
  <c r="DN139" i="2"/>
  <c r="DM139" i="2"/>
  <c r="DK139" i="2"/>
  <c r="DJ139" i="2"/>
  <c r="DI139" i="2"/>
  <c r="DH139" i="2"/>
  <c r="DF139" i="2"/>
  <c r="DE139" i="2"/>
  <c r="DD139" i="2"/>
  <c r="DC139" i="2"/>
  <c r="DA139" i="2"/>
  <c r="CZ139" i="2"/>
  <c r="CY139" i="2"/>
  <c r="CX139" i="2"/>
  <c r="CV139" i="2"/>
  <c r="CU139" i="2"/>
  <c r="CT139" i="2"/>
  <c r="CS139" i="2"/>
  <c r="CQ139" i="2"/>
  <c r="CP139" i="2"/>
  <c r="CO139" i="2"/>
  <c r="CN139" i="2"/>
  <c r="CL139" i="2"/>
  <c r="CK139" i="2"/>
  <c r="CJ139" i="2"/>
  <c r="CI139" i="2"/>
  <c r="CG139" i="2"/>
  <c r="CF139" i="2"/>
  <c r="CE139" i="2"/>
  <c r="CD139" i="2"/>
  <c r="CB139" i="2"/>
  <c r="CA139" i="2"/>
  <c r="BZ139" i="2"/>
  <c r="BY139" i="2"/>
  <c r="BW139" i="2"/>
  <c r="BV139" i="2"/>
  <c r="BU139" i="2"/>
  <c r="BT139" i="2"/>
  <c r="BR139" i="2"/>
  <c r="BQ139" i="2"/>
  <c r="BP139" i="2"/>
  <c r="BO139" i="2"/>
  <c r="BM139" i="2"/>
  <c r="BL139" i="2"/>
  <c r="BK139" i="2"/>
  <c r="DR138" i="2"/>
  <c r="DP138" i="2"/>
  <c r="DO138" i="2"/>
  <c r="DN138" i="2"/>
  <c r="DM138" i="2"/>
  <c r="DK138" i="2"/>
  <c r="DJ138" i="2"/>
  <c r="DI138" i="2"/>
  <c r="DH138" i="2"/>
  <c r="DF138" i="2"/>
  <c r="DE138" i="2"/>
  <c r="DD138" i="2"/>
  <c r="DC138" i="2"/>
  <c r="DA138" i="2"/>
  <c r="CZ138" i="2"/>
  <c r="CY138" i="2"/>
  <c r="CX138" i="2"/>
  <c r="CV138" i="2"/>
  <c r="CU138" i="2"/>
  <c r="CT138" i="2"/>
  <c r="CS138" i="2"/>
  <c r="CQ138" i="2"/>
  <c r="CP138" i="2"/>
  <c r="CO138" i="2"/>
  <c r="CN138" i="2"/>
  <c r="CL138" i="2"/>
  <c r="CK138" i="2"/>
  <c r="CJ138" i="2"/>
  <c r="CI138" i="2"/>
  <c r="CG138" i="2"/>
  <c r="CF138" i="2"/>
  <c r="CE138" i="2"/>
  <c r="CD138" i="2"/>
  <c r="CB138" i="2"/>
  <c r="CA138" i="2"/>
  <c r="BZ138" i="2"/>
  <c r="BY138" i="2"/>
  <c r="BW138" i="2"/>
  <c r="BV138" i="2"/>
  <c r="BU138" i="2"/>
  <c r="BT138" i="2"/>
  <c r="BR138" i="2"/>
  <c r="BQ138" i="2"/>
  <c r="BP138" i="2"/>
  <c r="BO138" i="2"/>
  <c r="BM138" i="2"/>
  <c r="BL138" i="2"/>
  <c r="BK138" i="2"/>
  <c r="DR136" i="2"/>
  <c r="DP136" i="2"/>
  <c r="DO136" i="2"/>
  <c r="DN136" i="2"/>
  <c r="DM136" i="2"/>
  <c r="DK136" i="2"/>
  <c r="DJ136" i="2"/>
  <c r="DI136" i="2"/>
  <c r="DH136" i="2"/>
  <c r="DF136" i="2"/>
  <c r="DE136" i="2"/>
  <c r="DD136" i="2"/>
  <c r="DC136" i="2"/>
  <c r="DA136" i="2"/>
  <c r="CZ136" i="2"/>
  <c r="CY136" i="2"/>
  <c r="CX136" i="2"/>
  <c r="CV136" i="2"/>
  <c r="CU136" i="2"/>
  <c r="CT136" i="2"/>
  <c r="CS136" i="2"/>
  <c r="CQ136" i="2"/>
  <c r="CP136" i="2"/>
  <c r="CO136" i="2"/>
  <c r="CN136" i="2"/>
  <c r="CL136" i="2"/>
  <c r="CK136" i="2"/>
  <c r="CJ136" i="2"/>
  <c r="CI136" i="2"/>
  <c r="CG136" i="2"/>
  <c r="CF136" i="2"/>
  <c r="CE136" i="2"/>
  <c r="CD136" i="2"/>
  <c r="CB136" i="2"/>
  <c r="CA136" i="2"/>
  <c r="BZ136" i="2"/>
  <c r="BY136" i="2"/>
  <c r="BW136" i="2"/>
  <c r="BV136" i="2"/>
  <c r="BU136" i="2"/>
  <c r="BT136" i="2"/>
  <c r="BR136" i="2"/>
  <c r="BQ136" i="2"/>
  <c r="BP136" i="2"/>
  <c r="BO136" i="2"/>
  <c r="BM136" i="2"/>
  <c r="BL136" i="2"/>
  <c r="BK136" i="2"/>
  <c r="DR133" i="2"/>
  <c r="DR158" i="2" s="1"/>
  <c r="DP133" i="2"/>
  <c r="DP158" i="2" s="1"/>
  <c r="DO133" i="2"/>
  <c r="DO158" i="2" s="1"/>
  <c r="DN133" i="2"/>
  <c r="DN158" i="2" s="1"/>
  <c r="DM133" i="2"/>
  <c r="DM158" i="2" s="1"/>
  <c r="DK133" i="2"/>
  <c r="DK158" i="2" s="1"/>
  <c r="DJ133" i="2"/>
  <c r="DJ158" i="2" s="1"/>
  <c r="DI133" i="2"/>
  <c r="DI158" i="2" s="1"/>
  <c r="DH133" i="2"/>
  <c r="DH158" i="2" s="1"/>
  <c r="DF133" i="2"/>
  <c r="DF158" i="2" s="1"/>
  <c r="DE133" i="2"/>
  <c r="DE158" i="2" s="1"/>
  <c r="DD133" i="2"/>
  <c r="DD158" i="2" s="1"/>
  <c r="DC133" i="2"/>
  <c r="DC158" i="2" s="1"/>
  <c r="DA133" i="2"/>
  <c r="DA158" i="2" s="1"/>
  <c r="CZ133" i="2"/>
  <c r="CZ158" i="2" s="1"/>
  <c r="CY133" i="2"/>
  <c r="CY158" i="2" s="1"/>
  <c r="CX133" i="2"/>
  <c r="CX158" i="2" s="1"/>
  <c r="CV133" i="2"/>
  <c r="CV158" i="2" s="1"/>
  <c r="CU133" i="2"/>
  <c r="CU158" i="2" s="1"/>
  <c r="CT133" i="2"/>
  <c r="CT158" i="2" s="1"/>
  <c r="CS133" i="2"/>
  <c r="CS158" i="2" s="1"/>
  <c r="CQ133" i="2"/>
  <c r="CQ158" i="2" s="1"/>
  <c r="CP133" i="2"/>
  <c r="CP158" i="2" s="1"/>
  <c r="CO133" i="2"/>
  <c r="CO158" i="2" s="1"/>
  <c r="CN133" i="2"/>
  <c r="CN158" i="2" s="1"/>
  <c r="CL133" i="2"/>
  <c r="CL158" i="2" s="1"/>
  <c r="CK133" i="2"/>
  <c r="CK158" i="2" s="1"/>
  <c r="CJ133" i="2"/>
  <c r="CJ158" i="2" s="1"/>
  <c r="CI133" i="2"/>
  <c r="CI158" i="2" s="1"/>
  <c r="CG133" i="2"/>
  <c r="CG158" i="2" s="1"/>
  <c r="CF133" i="2"/>
  <c r="CF158" i="2" s="1"/>
  <c r="CE133" i="2"/>
  <c r="CE158" i="2" s="1"/>
  <c r="CD133" i="2"/>
  <c r="CD158" i="2" s="1"/>
  <c r="CB133" i="2"/>
  <c r="CB158" i="2" s="1"/>
  <c r="CA133" i="2"/>
  <c r="CA158" i="2" s="1"/>
  <c r="BZ133" i="2"/>
  <c r="BZ158" i="2" s="1"/>
  <c r="BY133" i="2"/>
  <c r="BY158" i="2" s="1"/>
  <c r="BW133" i="2"/>
  <c r="BW158" i="2" s="1"/>
  <c r="BV133" i="2"/>
  <c r="BV158" i="2" s="1"/>
  <c r="BU133" i="2"/>
  <c r="BU158" i="2" s="1"/>
  <c r="BT133" i="2"/>
  <c r="BT158" i="2" s="1"/>
  <c r="BR133" i="2"/>
  <c r="BR158" i="2" s="1"/>
  <c r="BQ133" i="2"/>
  <c r="BQ158" i="2" s="1"/>
  <c r="BP133" i="2"/>
  <c r="BP158" i="2" s="1"/>
  <c r="BO133" i="2"/>
  <c r="BO158" i="2" s="1"/>
  <c r="BM133" i="2"/>
  <c r="BM158" i="2" s="1"/>
  <c r="BL133" i="2"/>
  <c r="BL158" i="2" s="1"/>
  <c r="BK133" i="2"/>
  <c r="BK158" i="2" s="1"/>
  <c r="DR132" i="2"/>
  <c r="DP132" i="2"/>
  <c r="DO132" i="2"/>
  <c r="DO157" i="2" s="1"/>
  <c r="DN132" i="2"/>
  <c r="DN157" i="2" s="1"/>
  <c r="DM132" i="2"/>
  <c r="DM157" i="2" s="1"/>
  <c r="DK132" i="2"/>
  <c r="DK157" i="2" s="1"/>
  <c r="DJ132" i="2"/>
  <c r="DJ157" i="2" s="1"/>
  <c r="DI132" i="2"/>
  <c r="DI157" i="2" s="1"/>
  <c r="DH132" i="2"/>
  <c r="DH157" i="2" s="1"/>
  <c r="DF132" i="2"/>
  <c r="DF157" i="2" s="1"/>
  <c r="DE132" i="2"/>
  <c r="DE157" i="2" s="1"/>
  <c r="DD132" i="2"/>
  <c r="DD157" i="2" s="1"/>
  <c r="DC132" i="2"/>
  <c r="DC157" i="2" s="1"/>
  <c r="DA132" i="2"/>
  <c r="DA157" i="2" s="1"/>
  <c r="CZ132" i="2"/>
  <c r="CZ157" i="2" s="1"/>
  <c r="CY132" i="2"/>
  <c r="CY157" i="2" s="1"/>
  <c r="CX132" i="2"/>
  <c r="CX157" i="2" s="1"/>
  <c r="CV132" i="2"/>
  <c r="CV157" i="2" s="1"/>
  <c r="CU132" i="2"/>
  <c r="CU157" i="2" s="1"/>
  <c r="CT132" i="2"/>
  <c r="CT157" i="2" s="1"/>
  <c r="CS132" i="2"/>
  <c r="CS157" i="2" s="1"/>
  <c r="CQ132" i="2"/>
  <c r="CQ157" i="2" s="1"/>
  <c r="CP132" i="2"/>
  <c r="CP157" i="2" s="1"/>
  <c r="CO132" i="2"/>
  <c r="CO157" i="2" s="1"/>
  <c r="CN132" i="2"/>
  <c r="CN157" i="2" s="1"/>
  <c r="CL132" i="2"/>
  <c r="CL157" i="2" s="1"/>
  <c r="CK132" i="2"/>
  <c r="CK157" i="2" s="1"/>
  <c r="CJ132" i="2"/>
  <c r="CJ157" i="2" s="1"/>
  <c r="CI132" i="2"/>
  <c r="CI157" i="2" s="1"/>
  <c r="CG132" i="2"/>
  <c r="CG157" i="2" s="1"/>
  <c r="CF132" i="2"/>
  <c r="CF157" i="2" s="1"/>
  <c r="CE132" i="2"/>
  <c r="CE157" i="2" s="1"/>
  <c r="CD132" i="2"/>
  <c r="CD157" i="2" s="1"/>
  <c r="CB132" i="2"/>
  <c r="CB157" i="2" s="1"/>
  <c r="CA132" i="2"/>
  <c r="CA157" i="2" s="1"/>
  <c r="BZ132" i="2"/>
  <c r="BZ157" i="2" s="1"/>
  <c r="BY132" i="2"/>
  <c r="BY157" i="2" s="1"/>
  <c r="BW132" i="2"/>
  <c r="BW157" i="2" s="1"/>
  <c r="BV132" i="2"/>
  <c r="BV157" i="2" s="1"/>
  <c r="BU132" i="2"/>
  <c r="BU157" i="2" s="1"/>
  <c r="BT132" i="2"/>
  <c r="BT157" i="2" s="1"/>
  <c r="BR132" i="2"/>
  <c r="BR157" i="2" s="1"/>
  <c r="BQ132" i="2"/>
  <c r="BQ157" i="2" s="1"/>
  <c r="BP132" i="2"/>
  <c r="BP157" i="2" s="1"/>
  <c r="BO132" i="2"/>
  <c r="BO157" i="2" s="1"/>
  <c r="BM132" i="2"/>
  <c r="BM157" i="2" s="1"/>
  <c r="BL132" i="2"/>
  <c r="BL157" i="2" s="1"/>
  <c r="BK132" i="2"/>
  <c r="BK157" i="2" s="1"/>
  <c r="DR131" i="2"/>
  <c r="DP131" i="2"/>
  <c r="DO131" i="2"/>
  <c r="DN131" i="2"/>
  <c r="DM131" i="2"/>
  <c r="DK131" i="2"/>
  <c r="DJ131" i="2"/>
  <c r="DI131" i="2"/>
  <c r="DH131" i="2"/>
  <c r="DH156" i="2" s="1"/>
  <c r="DF131" i="2"/>
  <c r="DF156" i="2" s="1"/>
  <c r="DE131" i="2"/>
  <c r="DE156" i="2" s="1"/>
  <c r="DD131" i="2"/>
  <c r="DD156" i="2" s="1"/>
  <c r="DC131" i="2"/>
  <c r="DC156" i="2" s="1"/>
  <c r="DA131" i="2"/>
  <c r="DA156" i="2" s="1"/>
  <c r="CZ131" i="2"/>
  <c r="CZ156" i="2" s="1"/>
  <c r="CY131" i="2"/>
  <c r="CY156" i="2" s="1"/>
  <c r="CV131" i="2"/>
  <c r="CV156" i="2" s="1"/>
  <c r="CU131" i="2"/>
  <c r="CU156" i="2" s="1"/>
  <c r="CT131" i="2"/>
  <c r="CT156" i="2" s="1"/>
  <c r="CS131" i="2"/>
  <c r="CS156" i="2" s="1"/>
  <c r="CQ131" i="2"/>
  <c r="CQ156" i="2" s="1"/>
  <c r="CP131" i="2"/>
  <c r="CP156" i="2" s="1"/>
  <c r="CO131" i="2"/>
  <c r="CO156" i="2" s="1"/>
  <c r="CN131" i="2"/>
  <c r="CN156" i="2" s="1"/>
  <c r="CL131" i="2"/>
  <c r="CL156" i="2" s="1"/>
  <c r="CK131" i="2"/>
  <c r="CK156" i="2" s="1"/>
  <c r="CJ131" i="2"/>
  <c r="CJ156" i="2" s="1"/>
  <c r="CI131" i="2"/>
  <c r="CI156" i="2" s="1"/>
  <c r="CG131" i="2"/>
  <c r="CG156" i="2" s="1"/>
  <c r="CF131" i="2"/>
  <c r="CF156" i="2" s="1"/>
  <c r="CE131" i="2"/>
  <c r="CE156" i="2" s="1"/>
  <c r="CD131" i="2"/>
  <c r="CD156" i="2" s="1"/>
  <c r="CB131" i="2"/>
  <c r="CB156" i="2" s="1"/>
  <c r="CA131" i="2"/>
  <c r="CA156" i="2" s="1"/>
  <c r="BZ131" i="2"/>
  <c r="BZ156" i="2" s="1"/>
  <c r="BY131" i="2"/>
  <c r="BY156" i="2" s="1"/>
  <c r="BW131" i="2"/>
  <c r="BW156" i="2" s="1"/>
  <c r="BV131" i="2"/>
  <c r="BV156" i="2" s="1"/>
  <c r="BU131" i="2"/>
  <c r="BU156" i="2" s="1"/>
  <c r="BT131" i="2"/>
  <c r="BT156" i="2" s="1"/>
  <c r="BR131" i="2"/>
  <c r="BR156" i="2" s="1"/>
  <c r="BQ131" i="2"/>
  <c r="BQ156" i="2" s="1"/>
  <c r="BP131" i="2"/>
  <c r="BP156" i="2" s="1"/>
  <c r="BO131" i="2"/>
  <c r="BO156" i="2" s="1"/>
  <c r="BM131" i="2"/>
  <c r="BM156" i="2" s="1"/>
  <c r="BL131" i="2"/>
  <c r="BL156" i="2" s="1"/>
  <c r="BK131" i="2"/>
  <c r="BK156" i="2" s="1"/>
  <c r="DR130" i="2"/>
  <c r="DP130" i="2"/>
  <c r="DO130" i="2"/>
  <c r="DN130" i="2"/>
  <c r="DM130" i="2"/>
  <c r="DK130" i="2"/>
  <c r="DJ130" i="2"/>
  <c r="DI130" i="2"/>
  <c r="DH130" i="2"/>
  <c r="DF130" i="2"/>
  <c r="DE130" i="2"/>
  <c r="DD130" i="2"/>
  <c r="DC130" i="2"/>
  <c r="DA130" i="2"/>
  <c r="CZ130" i="2"/>
  <c r="CZ155" i="2" s="1"/>
  <c r="CY130" i="2"/>
  <c r="CY155" i="2" s="1"/>
  <c r="CX130" i="2"/>
  <c r="CX155" i="2" s="1"/>
  <c r="CV130" i="2"/>
  <c r="CV155" i="2" s="1"/>
  <c r="CU130" i="2"/>
  <c r="CU155" i="2" s="1"/>
  <c r="CT130" i="2"/>
  <c r="CT155" i="2" s="1"/>
  <c r="CS130" i="2"/>
  <c r="CS155" i="2" s="1"/>
  <c r="CQ130" i="2"/>
  <c r="CQ155" i="2" s="1"/>
  <c r="CP130" i="2"/>
  <c r="CP155" i="2" s="1"/>
  <c r="CO130" i="2"/>
  <c r="CO155" i="2" s="1"/>
  <c r="CN130" i="2"/>
  <c r="CN155" i="2" s="1"/>
  <c r="CM130" i="2"/>
  <c r="CM155" i="2" s="1"/>
  <c r="CL130" i="2"/>
  <c r="CL155" i="2" s="1"/>
  <c r="CK130" i="2"/>
  <c r="CK155" i="2" s="1"/>
  <c r="CJ130" i="2"/>
  <c r="CJ155" i="2" s="1"/>
  <c r="CI130" i="2"/>
  <c r="CI155" i="2" s="1"/>
  <c r="CG130" i="2"/>
  <c r="CG155" i="2" s="1"/>
  <c r="CF130" i="2"/>
  <c r="CF155" i="2" s="1"/>
  <c r="CE130" i="2"/>
  <c r="CE155" i="2" s="1"/>
  <c r="CD130" i="2"/>
  <c r="CD155" i="2" s="1"/>
  <c r="CB130" i="2"/>
  <c r="CB155" i="2" s="1"/>
  <c r="CA130" i="2"/>
  <c r="CA155" i="2" s="1"/>
  <c r="BZ130" i="2"/>
  <c r="BZ155" i="2" s="1"/>
  <c r="BY130" i="2"/>
  <c r="BY155" i="2" s="1"/>
  <c r="BW130" i="2"/>
  <c r="BW155" i="2" s="1"/>
  <c r="BV130" i="2"/>
  <c r="BV155" i="2" s="1"/>
  <c r="BU130" i="2"/>
  <c r="BU155" i="2" s="1"/>
  <c r="BT130" i="2"/>
  <c r="BT155" i="2" s="1"/>
  <c r="BR130" i="2"/>
  <c r="BR155" i="2" s="1"/>
  <c r="BQ130" i="2"/>
  <c r="BQ155" i="2" s="1"/>
  <c r="BP130" i="2"/>
  <c r="BP155" i="2" s="1"/>
  <c r="BO130" i="2"/>
  <c r="BO155" i="2" s="1"/>
  <c r="BM130" i="2"/>
  <c r="BM155" i="2" s="1"/>
  <c r="BL130" i="2"/>
  <c r="BL155" i="2" s="1"/>
  <c r="BK130" i="2"/>
  <c r="BK155" i="2" s="1"/>
  <c r="DR129" i="2"/>
  <c r="DP129" i="2"/>
  <c r="DO129" i="2"/>
  <c r="DN129" i="2"/>
  <c r="DM129" i="2"/>
  <c r="DK129" i="2"/>
  <c r="DJ129" i="2"/>
  <c r="DI129" i="2"/>
  <c r="DH129" i="2"/>
  <c r="DF129" i="2"/>
  <c r="DE129" i="2"/>
  <c r="DD129" i="2"/>
  <c r="DC129" i="2"/>
  <c r="DC154" i="2" s="1"/>
  <c r="DA129" i="2"/>
  <c r="DA154" i="2" s="1"/>
  <c r="CZ129" i="2"/>
  <c r="CZ154" i="2" s="1"/>
  <c r="CY129" i="2"/>
  <c r="CY154" i="2" s="1"/>
  <c r="CX129" i="2"/>
  <c r="CX154" i="2" s="1"/>
  <c r="CV129" i="2"/>
  <c r="CV154" i="2" s="1"/>
  <c r="CU129" i="2"/>
  <c r="CU154" i="2" s="1"/>
  <c r="CT129" i="2"/>
  <c r="CT154" i="2" s="1"/>
  <c r="CS129" i="2"/>
  <c r="CS154" i="2" s="1"/>
  <c r="CQ129" i="2"/>
  <c r="CQ154" i="2" s="1"/>
  <c r="CP129" i="2"/>
  <c r="CP154" i="2" s="1"/>
  <c r="CO129" i="2"/>
  <c r="CO154" i="2" s="1"/>
  <c r="CN129" i="2"/>
  <c r="CN154" i="2" s="1"/>
  <c r="CL129" i="2"/>
  <c r="CL154" i="2" s="1"/>
  <c r="CK129" i="2"/>
  <c r="CK154" i="2" s="1"/>
  <c r="CJ129" i="2"/>
  <c r="CJ154" i="2" s="1"/>
  <c r="CI129" i="2"/>
  <c r="CI154" i="2" s="1"/>
  <c r="CG129" i="2"/>
  <c r="CG154" i="2" s="1"/>
  <c r="CF129" i="2"/>
  <c r="CF154" i="2" s="1"/>
  <c r="CE129" i="2"/>
  <c r="CE154" i="2" s="1"/>
  <c r="CD129" i="2"/>
  <c r="CD154" i="2" s="1"/>
  <c r="CB129" i="2"/>
  <c r="CB154" i="2" s="1"/>
  <c r="CA129" i="2"/>
  <c r="CA154" i="2" s="1"/>
  <c r="BZ129" i="2"/>
  <c r="BZ154" i="2" s="1"/>
  <c r="BY129" i="2"/>
  <c r="BY154" i="2" s="1"/>
  <c r="BW129" i="2"/>
  <c r="BW154" i="2" s="1"/>
  <c r="BV129" i="2"/>
  <c r="BV154" i="2" s="1"/>
  <c r="BU129" i="2"/>
  <c r="BU154" i="2" s="1"/>
  <c r="BT129" i="2"/>
  <c r="BT154" i="2" s="1"/>
  <c r="BR129" i="2"/>
  <c r="BR154" i="2" s="1"/>
  <c r="BQ129" i="2"/>
  <c r="BQ154" i="2" s="1"/>
  <c r="BP129" i="2"/>
  <c r="BP154" i="2" s="1"/>
  <c r="BO129" i="2"/>
  <c r="BO154" i="2" s="1"/>
  <c r="BM129" i="2"/>
  <c r="BM154" i="2" s="1"/>
  <c r="BL129" i="2"/>
  <c r="BL154" i="2" s="1"/>
  <c r="BK129" i="2"/>
  <c r="BK154" i="2" s="1"/>
  <c r="DR128" i="2"/>
  <c r="DP128" i="2"/>
  <c r="DO128" i="2"/>
  <c r="DN128" i="2"/>
  <c r="DM128" i="2"/>
  <c r="DK128" i="2"/>
  <c r="DJ128" i="2"/>
  <c r="DI128" i="2"/>
  <c r="DH128" i="2"/>
  <c r="DF128" i="2"/>
  <c r="DE128" i="2"/>
  <c r="DD128" i="2"/>
  <c r="DC128" i="2"/>
  <c r="DA128" i="2"/>
  <c r="CZ128" i="2"/>
  <c r="CY128" i="2"/>
  <c r="CX128" i="2"/>
  <c r="CV128" i="2"/>
  <c r="CU128" i="2"/>
  <c r="CT128" i="2"/>
  <c r="CS128" i="2"/>
  <c r="CQ128" i="2"/>
  <c r="CP128" i="2"/>
  <c r="CO128" i="2"/>
  <c r="CN128" i="2"/>
  <c r="CL128" i="2"/>
  <c r="CK128" i="2"/>
  <c r="CJ128" i="2"/>
  <c r="CI128" i="2"/>
  <c r="CI153" i="2" s="1"/>
  <c r="CG128" i="2"/>
  <c r="CG153" i="2" s="1"/>
  <c r="CF128" i="2"/>
  <c r="CF153" i="2" s="1"/>
  <c r="CE128" i="2"/>
  <c r="CE153" i="2" s="1"/>
  <c r="CD128" i="2"/>
  <c r="CD153" i="2" s="1"/>
  <c r="CB128" i="2"/>
  <c r="CB153" i="2" s="1"/>
  <c r="CA128" i="2"/>
  <c r="CA153" i="2" s="1"/>
  <c r="BZ128" i="2"/>
  <c r="BZ153" i="2" s="1"/>
  <c r="BY128" i="2"/>
  <c r="BY153" i="2" s="1"/>
  <c r="BW128" i="2"/>
  <c r="BW153" i="2" s="1"/>
  <c r="BV128" i="2"/>
  <c r="BV153" i="2" s="1"/>
  <c r="BU128" i="2"/>
  <c r="BU153" i="2" s="1"/>
  <c r="BT128" i="2"/>
  <c r="BT153" i="2" s="1"/>
  <c r="BR128" i="2"/>
  <c r="BR153" i="2" s="1"/>
  <c r="BQ128" i="2"/>
  <c r="BQ153" i="2" s="1"/>
  <c r="BP128" i="2"/>
  <c r="BP153" i="2" s="1"/>
  <c r="BO128" i="2"/>
  <c r="BO153" i="2" s="1"/>
  <c r="BM128" i="2"/>
  <c r="BM153" i="2" s="1"/>
  <c r="BL128" i="2"/>
  <c r="BL153" i="2" s="1"/>
  <c r="BK128" i="2"/>
  <c r="BK153" i="2" s="1"/>
  <c r="DR127" i="2"/>
  <c r="DP127" i="2"/>
  <c r="DO127" i="2"/>
  <c r="DN127" i="2"/>
  <c r="DM127" i="2"/>
  <c r="DK127" i="2"/>
  <c r="DJ127" i="2"/>
  <c r="DI127" i="2"/>
  <c r="DH127" i="2"/>
  <c r="DF127" i="2"/>
  <c r="DE127" i="2"/>
  <c r="DD127" i="2"/>
  <c r="DC127" i="2"/>
  <c r="DA127" i="2"/>
  <c r="CZ127" i="2"/>
  <c r="CY127" i="2"/>
  <c r="CX127" i="2"/>
  <c r="CV127" i="2"/>
  <c r="CU127" i="2"/>
  <c r="CT127" i="2"/>
  <c r="CS127" i="2"/>
  <c r="CQ127" i="2"/>
  <c r="CP127" i="2"/>
  <c r="CO127" i="2"/>
  <c r="CN127" i="2"/>
  <c r="CL127" i="2"/>
  <c r="CK127" i="2"/>
  <c r="CJ127" i="2"/>
  <c r="CI127" i="2"/>
  <c r="CG127" i="2"/>
  <c r="CF127" i="2"/>
  <c r="CE127" i="2"/>
  <c r="CD127" i="2"/>
  <c r="CB127" i="2"/>
  <c r="CA127" i="2"/>
  <c r="BZ127" i="2"/>
  <c r="BZ152" i="2" s="1"/>
  <c r="BY127" i="2"/>
  <c r="BY152" i="2" s="1"/>
  <c r="BW127" i="2"/>
  <c r="BW152" i="2" s="1"/>
  <c r="BV127" i="2"/>
  <c r="BV152" i="2" s="1"/>
  <c r="BU127" i="2"/>
  <c r="BU152" i="2" s="1"/>
  <c r="BT127" i="2"/>
  <c r="BT152" i="2" s="1"/>
  <c r="BR127" i="2"/>
  <c r="BR152" i="2" s="1"/>
  <c r="BQ127" i="2"/>
  <c r="BQ152" i="2" s="1"/>
  <c r="BP127" i="2"/>
  <c r="BP152" i="2" s="1"/>
  <c r="BO127" i="2"/>
  <c r="BO152" i="2" s="1"/>
  <c r="BM127" i="2"/>
  <c r="BM152" i="2" s="1"/>
  <c r="BL127" i="2"/>
  <c r="BL152" i="2" s="1"/>
  <c r="BK127" i="2"/>
  <c r="BK152" i="2" s="1"/>
  <c r="DR126" i="2"/>
  <c r="DP126" i="2"/>
  <c r="DO126" i="2"/>
  <c r="DN126" i="2"/>
  <c r="DM126" i="2"/>
  <c r="DK126" i="2"/>
  <c r="DJ126" i="2"/>
  <c r="DI126" i="2"/>
  <c r="DH126" i="2"/>
  <c r="DF126" i="2"/>
  <c r="DE126" i="2"/>
  <c r="DD126" i="2"/>
  <c r="DC126" i="2"/>
  <c r="DA126" i="2"/>
  <c r="CZ126" i="2"/>
  <c r="CY126" i="2"/>
  <c r="CX126" i="2"/>
  <c r="CV126" i="2"/>
  <c r="CU126" i="2"/>
  <c r="CT126" i="2"/>
  <c r="CS126" i="2"/>
  <c r="CQ126" i="2"/>
  <c r="CP126" i="2"/>
  <c r="CO126" i="2"/>
  <c r="CN126" i="2"/>
  <c r="CL126" i="2"/>
  <c r="CK126" i="2"/>
  <c r="CJ126" i="2"/>
  <c r="CI126" i="2"/>
  <c r="CG126" i="2"/>
  <c r="CF126" i="2"/>
  <c r="CE126" i="2"/>
  <c r="CD126" i="2"/>
  <c r="CB126" i="2"/>
  <c r="CA126" i="2"/>
  <c r="BZ126" i="2"/>
  <c r="BY126" i="2"/>
  <c r="BW126" i="2"/>
  <c r="BV126" i="2"/>
  <c r="BU126" i="2"/>
  <c r="BT126" i="2"/>
  <c r="BR126" i="2"/>
  <c r="BQ126" i="2"/>
  <c r="BP126" i="2"/>
  <c r="BO126" i="2"/>
  <c r="BM126" i="2"/>
  <c r="BL126" i="2"/>
  <c r="BK126" i="2"/>
  <c r="DR125" i="2"/>
  <c r="DR150" i="2" s="1"/>
  <c r="DP125" i="2"/>
  <c r="DO125" i="2"/>
  <c r="DN125" i="2"/>
  <c r="DM125" i="2"/>
  <c r="DK125" i="2"/>
  <c r="DJ125" i="2"/>
  <c r="DI125" i="2"/>
  <c r="DH125" i="2"/>
  <c r="DF125" i="2"/>
  <c r="DE125" i="2"/>
  <c r="DD125" i="2"/>
  <c r="DC125" i="2"/>
  <c r="DA125" i="2"/>
  <c r="CZ125" i="2"/>
  <c r="CY125" i="2"/>
  <c r="CX125" i="2"/>
  <c r="CV125" i="2"/>
  <c r="CU125" i="2"/>
  <c r="CT125" i="2"/>
  <c r="CS125" i="2"/>
  <c r="CQ125" i="2"/>
  <c r="CP125" i="2"/>
  <c r="CO125" i="2"/>
  <c r="CN125" i="2"/>
  <c r="CL125" i="2"/>
  <c r="CK125" i="2"/>
  <c r="CJ125" i="2"/>
  <c r="CI125" i="2"/>
  <c r="CG125" i="2"/>
  <c r="CF125" i="2"/>
  <c r="CE125" i="2"/>
  <c r="CD125" i="2"/>
  <c r="CB125" i="2"/>
  <c r="CA125" i="2"/>
  <c r="BZ125" i="2"/>
  <c r="BY125" i="2"/>
  <c r="BW125" i="2"/>
  <c r="BV125" i="2"/>
  <c r="BU125" i="2"/>
  <c r="BT125" i="2"/>
  <c r="BR125" i="2"/>
  <c r="BQ125" i="2"/>
  <c r="BP125" i="2"/>
  <c r="BO125" i="2"/>
  <c r="BM125" i="2"/>
  <c r="BL125" i="2"/>
  <c r="BK125" i="2"/>
  <c r="DR124" i="2"/>
  <c r="DP124" i="2"/>
  <c r="DO124" i="2"/>
  <c r="DN124" i="2"/>
  <c r="DM124" i="2"/>
  <c r="DK124" i="2"/>
  <c r="DJ124" i="2"/>
  <c r="DI124" i="2"/>
  <c r="DH124" i="2"/>
  <c r="DF124" i="2"/>
  <c r="DE124" i="2"/>
  <c r="DD124" i="2"/>
  <c r="DC124" i="2"/>
  <c r="DB124" i="2"/>
  <c r="DA124" i="2"/>
  <c r="CZ124" i="2"/>
  <c r="CY124" i="2"/>
  <c r="CX124" i="2"/>
  <c r="CV124" i="2"/>
  <c r="CU124" i="2"/>
  <c r="CT124" i="2"/>
  <c r="CS124" i="2"/>
  <c r="CQ124" i="2"/>
  <c r="CP124" i="2"/>
  <c r="CO124" i="2"/>
  <c r="CN124" i="2"/>
  <c r="CL124" i="2"/>
  <c r="CK124" i="2"/>
  <c r="CJ124" i="2"/>
  <c r="CI124" i="2"/>
  <c r="CG124" i="2"/>
  <c r="CF124" i="2"/>
  <c r="CE124" i="2"/>
  <c r="CD124" i="2"/>
  <c r="CB124" i="2"/>
  <c r="CA124" i="2"/>
  <c r="BZ124" i="2"/>
  <c r="BY124" i="2"/>
  <c r="BW124" i="2"/>
  <c r="BV124" i="2"/>
  <c r="BU124" i="2"/>
  <c r="BT124" i="2"/>
  <c r="BR124" i="2"/>
  <c r="BQ124" i="2"/>
  <c r="BP124" i="2"/>
  <c r="BO124" i="2"/>
  <c r="BM124" i="2"/>
  <c r="BL124" i="2"/>
  <c r="BK124" i="2"/>
  <c r="DR123" i="2"/>
  <c r="DP123" i="2"/>
  <c r="DO123" i="2"/>
  <c r="DN123" i="2"/>
  <c r="DM123" i="2"/>
  <c r="DK123" i="2"/>
  <c r="DK60" i="7" s="1"/>
  <c r="DJ123" i="2"/>
  <c r="DI123" i="2"/>
  <c r="DH123" i="2"/>
  <c r="DF123" i="2"/>
  <c r="DE123" i="2"/>
  <c r="DD123" i="2"/>
  <c r="DC123" i="2"/>
  <c r="DC60" i="7" s="1"/>
  <c r="DA123" i="2"/>
  <c r="CZ123" i="2"/>
  <c r="CY123" i="2"/>
  <c r="CV123" i="2"/>
  <c r="CU123" i="2"/>
  <c r="CU60" i="7" s="1"/>
  <c r="CT123" i="2"/>
  <c r="CS123" i="2"/>
  <c r="CQ123" i="2"/>
  <c r="CP123" i="2"/>
  <c r="CO123" i="2"/>
  <c r="CN123" i="2"/>
  <c r="CL123" i="2"/>
  <c r="CK123" i="2"/>
  <c r="CJ123" i="2"/>
  <c r="CI123" i="2"/>
  <c r="CG123" i="2"/>
  <c r="CF123" i="2"/>
  <c r="CE123" i="2"/>
  <c r="CE60" i="7" s="1"/>
  <c r="CD123" i="2"/>
  <c r="CB123" i="2"/>
  <c r="CA123" i="2"/>
  <c r="BZ123" i="2"/>
  <c r="BY123" i="2"/>
  <c r="BW123" i="2"/>
  <c r="BW60" i="7" s="1"/>
  <c r="BV123" i="2"/>
  <c r="BU123" i="2"/>
  <c r="BT123" i="2"/>
  <c r="BR123" i="2"/>
  <c r="BQ123" i="2"/>
  <c r="BP123" i="2"/>
  <c r="BO123" i="2"/>
  <c r="BO60" i="7" s="1"/>
  <c r="BM123" i="2"/>
  <c r="BL123" i="2"/>
  <c r="BK123" i="2"/>
  <c r="DR122" i="2"/>
  <c r="DR147" i="2" s="1"/>
  <c r="DP122" i="2"/>
  <c r="DO122" i="2"/>
  <c r="DO59" i="7" s="1"/>
  <c r="DN122" i="2"/>
  <c r="DM122" i="2"/>
  <c r="DK122" i="2"/>
  <c r="DJ122" i="2"/>
  <c r="DI122" i="2"/>
  <c r="DH122" i="2"/>
  <c r="DF122" i="2"/>
  <c r="DE122" i="2"/>
  <c r="DD122" i="2"/>
  <c r="DC122" i="2"/>
  <c r="DA122" i="2"/>
  <c r="CZ122" i="2"/>
  <c r="CY122" i="2"/>
  <c r="CY59" i="7" s="1"/>
  <c r="CX122" i="2"/>
  <c r="CV122" i="2"/>
  <c r="CU122" i="2"/>
  <c r="CT122" i="2"/>
  <c r="CS122" i="2"/>
  <c r="CQ122" i="2"/>
  <c r="CQ59" i="7" s="1"/>
  <c r="CP122" i="2"/>
  <c r="CO122" i="2"/>
  <c r="CN122" i="2"/>
  <c r="CL122" i="2"/>
  <c r="CK122" i="2"/>
  <c r="CJ122" i="2"/>
  <c r="CI122" i="2"/>
  <c r="CI59" i="7" s="1"/>
  <c r="CG122" i="2"/>
  <c r="CF122" i="2"/>
  <c r="CE122" i="2"/>
  <c r="CD122" i="2"/>
  <c r="CB122" i="2"/>
  <c r="CA122" i="2"/>
  <c r="CA59" i="7" s="1"/>
  <c r="BZ122" i="2"/>
  <c r="BY122" i="2"/>
  <c r="BW122" i="2"/>
  <c r="BV122" i="2"/>
  <c r="BU122" i="2"/>
  <c r="BT122" i="2"/>
  <c r="BR122" i="2"/>
  <c r="BQ122" i="2"/>
  <c r="BP122" i="2"/>
  <c r="BO122" i="2"/>
  <c r="BM122" i="2"/>
  <c r="BL122" i="2"/>
  <c r="BK122" i="2"/>
  <c r="BK59" i="7" s="1"/>
  <c r="BI141" i="2"/>
  <c r="BI166" i="2" s="1"/>
  <c r="BH141" i="2"/>
  <c r="BH166" i="2" s="1"/>
  <c r="BG141" i="2"/>
  <c r="BG166" i="2" s="1"/>
  <c r="BF141" i="2"/>
  <c r="BF166" i="2" s="1"/>
  <c r="BE141" i="2"/>
  <c r="BE166" i="2" s="1"/>
  <c r="BD141" i="2"/>
  <c r="BD166" i="2" s="1"/>
  <c r="BC141" i="2"/>
  <c r="BC166" i="2" s="1"/>
  <c r="BB141" i="2"/>
  <c r="BB166" i="2" s="1"/>
  <c r="BA141" i="2"/>
  <c r="BA166" i="2" s="1"/>
  <c r="AZ141" i="2"/>
  <c r="AZ166" i="2" s="1"/>
  <c r="AY141" i="2"/>
  <c r="AY166" i="2" s="1"/>
  <c r="AX141" i="2"/>
  <c r="AX166" i="2" s="1"/>
  <c r="AW141" i="2"/>
  <c r="AW166" i="2" s="1"/>
  <c r="AV141" i="2"/>
  <c r="AV166" i="2" s="1"/>
  <c r="AU141" i="2"/>
  <c r="AU166" i="2" s="1"/>
  <c r="AT141" i="2"/>
  <c r="AT166" i="2" s="1"/>
  <c r="AS141" i="2"/>
  <c r="AS166" i="2" s="1"/>
  <c r="AR141" i="2"/>
  <c r="AR166" i="2" s="1"/>
  <c r="AQ141" i="2"/>
  <c r="AQ166" i="2" s="1"/>
  <c r="AP141" i="2"/>
  <c r="AP166" i="2" s="1"/>
  <c r="AO141" i="2"/>
  <c r="AO166" i="2" s="1"/>
  <c r="AN141" i="2"/>
  <c r="AN166" i="2" s="1"/>
  <c r="AM141" i="2"/>
  <c r="AM166" i="2" s="1"/>
  <c r="AL141" i="2"/>
  <c r="AL166" i="2" s="1"/>
  <c r="AK141" i="2"/>
  <c r="AK166" i="2" s="1"/>
  <c r="AJ141" i="2"/>
  <c r="AJ166" i="2" s="1"/>
  <c r="AI141" i="2"/>
  <c r="AI166" i="2" s="1"/>
  <c r="AH141" i="2"/>
  <c r="AH166" i="2" s="1"/>
  <c r="AG141" i="2"/>
  <c r="AG166" i="2" s="1"/>
  <c r="AF141" i="2"/>
  <c r="AF166" i="2" s="1"/>
  <c r="AE141" i="2"/>
  <c r="AE166" i="2" s="1"/>
  <c r="AD141" i="2"/>
  <c r="AD166" i="2" s="1"/>
  <c r="AC141" i="2"/>
  <c r="AC166" i="2" s="1"/>
  <c r="AB141" i="2"/>
  <c r="AB166" i="2" s="1"/>
  <c r="AA141" i="2"/>
  <c r="AA166" i="2" s="1"/>
  <c r="Z141" i="2"/>
  <c r="Z166" i="2" s="1"/>
  <c r="Y141" i="2"/>
  <c r="Y166" i="2" s="1"/>
  <c r="X141" i="2"/>
  <c r="X166" i="2" s="1"/>
  <c r="W141" i="2"/>
  <c r="W166" i="2" s="1"/>
  <c r="V141" i="2"/>
  <c r="V166" i="2" s="1"/>
  <c r="U141" i="2"/>
  <c r="U166" i="2" s="1"/>
  <c r="T141" i="2"/>
  <c r="T166" i="2" s="1"/>
  <c r="S141" i="2"/>
  <c r="S166" i="2" s="1"/>
  <c r="R141" i="2"/>
  <c r="R166" i="2" s="1"/>
  <c r="Q141" i="2"/>
  <c r="Q166" i="2" s="1"/>
  <c r="P141" i="2"/>
  <c r="P166" i="2" s="1"/>
  <c r="O141" i="2"/>
  <c r="O166" i="2" s="1"/>
  <c r="N141" i="2"/>
  <c r="N166" i="2" s="1"/>
  <c r="M141" i="2"/>
  <c r="M166" i="2" s="1"/>
  <c r="L141" i="2"/>
  <c r="L166" i="2" s="1"/>
  <c r="K141" i="2"/>
  <c r="K166" i="2" s="1"/>
  <c r="J141" i="2"/>
  <c r="J166" i="2" s="1"/>
  <c r="I141" i="2"/>
  <c r="I166" i="2" s="1"/>
  <c r="H141" i="2"/>
  <c r="H166" i="2" s="1"/>
  <c r="G141" i="2"/>
  <c r="G166" i="2" s="1"/>
  <c r="F141" i="2"/>
  <c r="F166" i="2" s="1"/>
  <c r="E141" i="2"/>
  <c r="E166" i="2" s="1"/>
  <c r="D141" i="2"/>
  <c r="D166" i="2" s="1"/>
  <c r="C141" i="2"/>
  <c r="C166" i="2" s="1"/>
  <c r="B141" i="2"/>
  <c r="B166" i="2" s="1"/>
  <c r="BI140" i="2"/>
  <c r="BI165" i="2" s="1"/>
  <c r="BH140" i="2"/>
  <c r="BH165" i="2" s="1"/>
  <c r="BG140" i="2"/>
  <c r="BG165" i="2" s="1"/>
  <c r="BF140" i="2"/>
  <c r="BF165" i="2" s="1"/>
  <c r="BE140" i="2"/>
  <c r="BE165" i="2" s="1"/>
  <c r="BD140" i="2"/>
  <c r="BD165" i="2" s="1"/>
  <c r="BC140" i="2"/>
  <c r="BC165" i="2" s="1"/>
  <c r="BB140" i="2"/>
  <c r="BB165" i="2" s="1"/>
  <c r="BA140" i="2"/>
  <c r="BA165" i="2" s="1"/>
  <c r="AZ140" i="2"/>
  <c r="AZ165" i="2" s="1"/>
  <c r="AY140" i="2"/>
  <c r="AY165" i="2" s="1"/>
  <c r="AX140" i="2"/>
  <c r="AX165" i="2" s="1"/>
  <c r="AW140" i="2"/>
  <c r="AW165" i="2" s="1"/>
  <c r="AV140" i="2"/>
  <c r="AV165" i="2" s="1"/>
  <c r="AU140" i="2"/>
  <c r="AU165" i="2" s="1"/>
  <c r="AT140" i="2"/>
  <c r="AT165" i="2" s="1"/>
  <c r="AS140" i="2"/>
  <c r="AS165" i="2" s="1"/>
  <c r="AR140" i="2"/>
  <c r="AR165" i="2" s="1"/>
  <c r="AQ140" i="2"/>
  <c r="AQ165" i="2" s="1"/>
  <c r="AP140" i="2"/>
  <c r="AP165" i="2" s="1"/>
  <c r="AO140" i="2"/>
  <c r="AO165" i="2" s="1"/>
  <c r="AN140" i="2"/>
  <c r="AN165" i="2" s="1"/>
  <c r="AM140" i="2"/>
  <c r="AM165" i="2" s="1"/>
  <c r="AL140" i="2"/>
  <c r="AL165" i="2" s="1"/>
  <c r="AK140" i="2"/>
  <c r="AK165" i="2" s="1"/>
  <c r="AJ140" i="2"/>
  <c r="AJ165" i="2" s="1"/>
  <c r="AI140" i="2"/>
  <c r="AI165" i="2" s="1"/>
  <c r="AH140" i="2"/>
  <c r="AH165" i="2" s="1"/>
  <c r="AG140" i="2"/>
  <c r="AG165" i="2" s="1"/>
  <c r="AF140" i="2"/>
  <c r="AF165" i="2" s="1"/>
  <c r="AE140" i="2"/>
  <c r="AE165" i="2" s="1"/>
  <c r="AD140" i="2"/>
  <c r="AD165" i="2" s="1"/>
  <c r="AC140" i="2"/>
  <c r="AC165" i="2" s="1"/>
  <c r="AB140" i="2"/>
  <c r="AB165" i="2" s="1"/>
  <c r="AA140" i="2"/>
  <c r="AA165" i="2" s="1"/>
  <c r="Z140" i="2"/>
  <c r="Z165" i="2" s="1"/>
  <c r="Y140" i="2"/>
  <c r="Y165" i="2" s="1"/>
  <c r="X140" i="2"/>
  <c r="X165" i="2" s="1"/>
  <c r="W140" i="2"/>
  <c r="W165" i="2" s="1"/>
  <c r="V140" i="2"/>
  <c r="V165" i="2" s="1"/>
  <c r="U140" i="2"/>
  <c r="U165" i="2" s="1"/>
  <c r="T140" i="2"/>
  <c r="T165" i="2" s="1"/>
  <c r="S140" i="2"/>
  <c r="S165" i="2" s="1"/>
  <c r="R140" i="2"/>
  <c r="R165" i="2" s="1"/>
  <c r="Q140" i="2"/>
  <c r="Q165" i="2" s="1"/>
  <c r="P140" i="2"/>
  <c r="P165" i="2" s="1"/>
  <c r="O140" i="2"/>
  <c r="O165" i="2" s="1"/>
  <c r="N140" i="2"/>
  <c r="N165" i="2" s="1"/>
  <c r="M140" i="2"/>
  <c r="M165" i="2" s="1"/>
  <c r="L140" i="2"/>
  <c r="L165" i="2" s="1"/>
  <c r="K140" i="2"/>
  <c r="K165" i="2" s="1"/>
  <c r="J140" i="2"/>
  <c r="J165" i="2" s="1"/>
  <c r="I140" i="2"/>
  <c r="I165" i="2" s="1"/>
  <c r="H140" i="2"/>
  <c r="H165" i="2" s="1"/>
  <c r="G140" i="2"/>
  <c r="G165" i="2" s="1"/>
  <c r="F140" i="2"/>
  <c r="F165" i="2" s="1"/>
  <c r="E140" i="2"/>
  <c r="E165" i="2" s="1"/>
  <c r="D140" i="2"/>
  <c r="D165" i="2" s="1"/>
  <c r="C140" i="2"/>
  <c r="C165" i="2" s="1"/>
  <c r="B140" i="2"/>
  <c r="B165" i="2" s="1"/>
  <c r="BI139" i="2"/>
  <c r="BI164" i="2" s="1"/>
  <c r="BH139" i="2"/>
  <c r="BH164" i="2" s="1"/>
  <c r="BG139" i="2"/>
  <c r="BG164" i="2" s="1"/>
  <c r="BF139" i="2"/>
  <c r="BF164" i="2" s="1"/>
  <c r="BE139" i="2"/>
  <c r="BE164" i="2" s="1"/>
  <c r="BD139" i="2"/>
  <c r="BD164" i="2" s="1"/>
  <c r="BC139" i="2"/>
  <c r="BC164" i="2" s="1"/>
  <c r="BB139" i="2"/>
  <c r="BB164" i="2" s="1"/>
  <c r="BA139" i="2"/>
  <c r="BA164" i="2" s="1"/>
  <c r="AZ139" i="2"/>
  <c r="AZ164" i="2" s="1"/>
  <c r="AY139" i="2"/>
  <c r="AY164" i="2" s="1"/>
  <c r="AX139" i="2"/>
  <c r="AX164" i="2" s="1"/>
  <c r="AW139" i="2"/>
  <c r="AW164" i="2" s="1"/>
  <c r="AV139" i="2"/>
  <c r="AV164" i="2" s="1"/>
  <c r="AU139" i="2"/>
  <c r="AU164" i="2" s="1"/>
  <c r="AT139" i="2"/>
  <c r="AT164" i="2" s="1"/>
  <c r="AS139" i="2"/>
  <c r="AS164" i="2" s="1"/>
  <c r="AR139" i="2"/>
  <c r="AR164" i="2" s="1"/>
  <c r="AQ139" i="2"/>
  <c r="AQ164" i="2" s="1"/>
  <c r="AP139" i="2"/>
  <c r="AP164" i="2" s="1"/>
  <c r="AO139" i="2"/>
  <c r="AO164" i="2" s="1"/>
  <c r="AN139" i="2"/>
  <c r="AN164" i="2" s="1"/>
  <c r="AM139" i="2"/>
  <c r="AM164" i="2" s="1"/>
  <c r="AL139" i="2"/>
  <c r="AL164" i="2" s="1"/>
  <c r="AK139" i="2"/>
  <c r="AK164" i="2" s="1"/>
  <c r="AJ139" i="2"/>
  <c r="AJ164" i="2" s="1"/>
  <c r="AI139" i="2"/>
  <c r="AI164" i="2" s="1"/>
  <c r="AH139" i="2"/>
  <c r="AH164" i="2" s="1"/>
  <c r="AG139" i="2"/>
  <c r="AG164" i="2" s="1"/>
  <c r="AF139" i="2"/>
  <c r="AF164" i="2" s="1"/>
  <c r="AE139" i="2"/>
  <c r="AE164" i="2" s="1"/>
  <c r="AD139" i="2"/>
  <c r="AD164" i="2" s="1"/>
  <c r="AC139" i="2"/>
  <c r="AC164" i="2" s="1"/>
  <c r="AB139" i="2"/>
  <c r="AB164" i="2" s="1"/>
  <c r="AA139" i="2"/>
  <c r="AA164" i="2" s="1"/>
  <c r="Z139" i="2"/>
  <c r="Z164" i="2" s="1"/>
  <c r="Y139" i="2"/>
  <c r="Y164" i="2" s="1"/>
  <c r="X139" i="2"/>
  <c r="X164" i="2" s="1"/>
  <c r="W139" i="2"/>
  <c r="W164" i="2" s="1"/>
  <c r="V139" i="2"/>
  <c r="V164" i="2" s="1"/>
  <c r="U139" i="2"/>
  <c r="U164" i="2" s="1"/>
  <c r="T139" i="2"/>
  <c r="T164" i="2" s="1"/>
  <c r="S139" i="2"/>
  <c r="S164" i="2" s="1"/>
  <c r="R139" i="2"/>
  <c r="R164" i="2" s="1"/>
  <c r="Q139" i="2"/>
  <c r="Q164" i="2" s="1"/>
  <c r="P139" i="2"/>
  <c r="P164" i="2" s="1"/>
  <c r="O139" i="2"/>
  <c r="O164" i="2" s="1"/>
  <c r="N139" i="2"/>
  <c r="N164" i="2" s="1"/>
  <c r="M139" i="2"/>
  <c r="M164" i="2" s="1"/>
  <c r="L139" i="2"/>
  <c r="L164" i="2" s="1"/>
  <c r="K139" i="2"/>
  <c r="K164" i="2" s="1"/>
  <c r="J139" i="2"/>
  <c r="J164" i="2" s="1"/>
  <c r="I139" i="2"/>
  <c r="I164" i="2" s="1"/>
  <c r="H139" i="2"/>
  <c r="H164" i="2" s="1"/>
  <c r="G139" i="2"/>
  <c r="G164" i="2" s="1"/>
  <c r="F139" i="2"/>
  <c r="F164" i="2" s="1"/>
  <c r="E139" i="2"/>
  <c r="E164" i="2" s="1"/>
  <c r="D139" i="2"/>
  <c r="D164" i="2" s="1"/>
  <c r="C139" i="2"/>
  <c r="C164" i="2" s="1"/>
  <c r="B139" i="2"/>
  <c r="B164" i="2" s="1"/>
  <c r="BI138" i="2"/>
  <c r="BI163" i="2" s="1"/>
  <c r="BH138" i="2"/>
  <c r="BH163" i="2" s="1"/>
  <c r="BG138" i="2"/>
  <c r="BG163" i="2" s="1"/>
  <c r="BF138" i="2"/>
  <c r="BF163" i="2" s="1"/>
  <c r="BE138" i="2"/>
  <c r="BE163" i="2" s="1"/>
  <c r="BD138" i="2"/>
  <c r="BD163" i="2" s="1"/>
  <c r="BC138" i="2"/>
  <c r="BC163" i="2" s="1"/>
  <c r="BB138" i="2"/>
  <c r="BB163" i="2" s="1"/>
  <c r="BA138" i="2"/>
  <c r="BA163" i="2" s="1"/>
  <c r="AZ138" i="2"/>
  <c r="AZ163" i="2" s="1"/>
  <c r="AY138" i="2"/>
  <c r="AY163" i="2" s="1"/>
  <c r="AX138" i="2"/>
  <c r="AX163" i="2" s="1"/>
  <c r="AW138" i="2"/>
  <c r="AW163" i="2" s="1"/>
  <c r="AV138" i="2"/>
  <c r="AV163" i="2" s="1"/>
  <c r="AU138" i="2"/>
  <c r="AU163" i="2" s="1"/>
  <c r="AT138" i="2"/>
  <c r="AT163" i="2" s="1"/>
  <c r="AS138" i="2"/>
  <c r="AS163" i="2" s="1"/>
  <c r="AR138" i="2"/>
  <c r="AR163" i="2" s="1"/>
  <c r="AQ138" i="2"/>
  <c r="AQ163" i="2" s="1"/>
  <c r="AP138" i="2"/>
  <c r="AP163" i="2" s="1"/>
  <c r="AO138" i="2"/>
  <c r="AO163" i="2" s="1"/>
  <c r="AN138" i="2"/>
  <c r="AN163" i="2" s="1"/>
  <c r="AM138" i="2"/>
  <c r="AM163" i="2" s="1"/>
  <c r="AL138" i="2"/>
  <c r="AL163" i="2" s="1"/>
  <c r="AK138" i="2"/>
  <c r="AK163" i="2" s="1"/>
  <c r="AJ138" i="2"/>
  <c r="AJ163" i="2" s="1"/>
  <c r="AI138" i="2"/>
  <c r="AI163" i="2" s="1"/>
  <c r="AH138" i="2"/>
  <c r="AH163" i="2" s="1"/>
  <c r="AG138" i="2"/>
  <c r="AG163" i="2" s="1"/>
  <c r="AF138" i="2"/>
  <c r="AF163" i="2" s="1"/>
  <c r="AE138" i="2"/>
  <c r="AE163" i="2" s="1"/>
  <c r="AD138" i="2"/>
  <c r="AD163" i="2" s="1"/>
  <c r="AC138" i="2"/>
  <c r="AC163" i="2" s="1"/>
  <c r="AB138" i="2"/>
  <c r="AB163" i="2" s="1"/>
  <c r="AA138" i="2"/>
  <c r="AA163" i="2" s="1"/>
  <c r="Z138" i="2"/>
  <c r="Z163" i="2" s="1"/>
  <c r="Y138" i="2"/>
  <c r="Y163" i="2" s="1"/>
  <c r="X138" i="2"/>
  <c r="X163" i="2" s="1"/>
  <c r="W138" i="2"/>
  <c r="W163" i="2" s="1"/>
  <c r="V138" i="2"/>
  <c r="V163" i="2" s="1"/>
  <c r="U138" i="2"/>
  <c r="U163" i="2" s="1"/>
  <c r="T138" i="2"/>
  <c r="T163" i="2" s="1"/>
  <c r="S138" i="2"/>
  <c r="S163" i="2" s="1"/>
  <c r="R138" i="2"/>
  <c r="R163" i="2" s="1"/>
  <c r="Q138" i="2"/>
  <c r="Q163" i="2" s="1"/>
  <c r="P138" i="2"/>
  <c r="P163" i="2" s="1"/>
  <c r="O138" i="2"/>
  <c r="O163" i="2" s="1"/>
  <c r="N138" i="2"/>
  <c r="N163" i="2" s="1"/>
  <c r="M138" i="2"/>
  <c r="M163" i="2" s="1"/>
  <c r="L138" i="2"/>
  <c r="L163" i="2" s="1"/>
  <c r="K138" i="2"/>
  <c r="K163" i="2" s="1"/>
  <c r="J138" i="2"/>
  <c r="J163" i="2" s="1"/>
  <c r="I138" i="2"/>
  <c r="I163" i="2" s="1"/>
  <c r="H138" i="2"/>
  <c r="H163" i="2" s="1"/>
  <c r="G138" i="2"/>
  <c r="G163" i="2" s="1"/>
  <c r="F138" i="2"/>
  <c r="F163" i="2" s="1"/>
  <c r="E138" i="2"/>
  <c r="E163" i="2" s="1"/>
  <c r="D138" i="2"/>
  <c r="D163" i="2" s="1"/>
  <c r="C138" i="2"/>
  <c r="C163" i="2" s="1"/>
  <c r="B138" i="2"/>
  <c r="B163" i="2" s="1"/>
  <c r="BI136" i="2"/>
  <c r="BI161" i="2" s="1"/>
  <c r="BH136" i="2"/>
  <c r="BH161" i="2" s="1"/>
  <c r="BG136" i="2"/>
  <c r="BG161" i="2" s="1"/>
  <c r="BF136" i="2"/>
  <c r="BF161" i="2" s="1"/>
  <c r="BE136" i="2"/>
  <c r="BE161" i="2" s="1"/>
  <c r="BD136" i="2"/>
  <c r="BD161" i="2" s="1"/>
  <c r="BC136" i="2"/>
  <c r="BC161" i="2" s="1"/>
  <c r="BB136" i="2"/>
  <c r="BB161" i="2" s="1"/>
  <c r="BA136" i="2"/>
  <c r="BA161" i="2" s="1"/>
  <c r="AZ136" i="2"/>
  <c r="AZ161" i="2" s="1"/>
  <c r="AY136" i="2"/>
  <c r="AY161" i="2" s="1"/>
  <c r="AX136" i="2"/>
  <c r="AX161" i="2" s="1"/>
  <c r="AW136" i="2"/>
  <c r="AW161" i="2" s="1"/>
  <c r="AV136" i="2"/>
  <c r="AV161" i="2" s="1"/>
  <c r="AU136" i="2"/>
  <c r="AU161" i="2" s="1"/>
  <c r="AT136" i="2"/>
  <c r="AT161" i="2" s="1"/>
  <c r="AS136" i="2"/>
  <c r="AS161" i="2" s="1"/>
  <c r="AR136" i="2"/>
  <c r="AR161" i="2" s="1"/>
  <c r="AQ136" i="2"/>
  <c r="AQ161" i="2" s="1"/>
  <c r="AP136" i="2"/>
  <c r="AP161" i="2" s="1"/>
  <c r="AO136" i="2"/>
  <c r="AO161" i="2" s="1"/>
  <c r="AN136" i="2"/>
  <c r="AN161" i="2" s="1"/>
  <c r="AM136" i="2"/>
  <c r="AM161" i="2" s="1"/>
  <c r="AL136" i="2"/>
  <c r="AL161" i="2" s="1"/>
  <c r="AK136" i="2"/>
  <c r="AK161" i="2" s="1"/>
  <c r="AJ136" i="2"/>
  <c r="AJ161" i="2" s="1"/>
  <c r="AI136" i="2"/>
  <c r="AI161" i="2" s="1"/>
  <c r="AH136" i="2"/>
  <c r="AH161" i="2" s="1"/>
  <c r="AG136" i="2"/>
  <c r="AG161" i="2" s="1"/>
  <c r="AF136" i="2"/>
  <c r="AF161" i="2" s="1"/>
  <c r="AE136" i="2"/>
  <c r="AE161" i="2" s="1"/>
  <c r="AD136" i="2"/>
  <c r="AD161" i="2" s="1"/>
  <c r="AC136" i="2"/>
  <c r="AC161" i="2" s="1"/>
  <c r="AB136" i="2"/>
  <c r="AB161" i="2" s="1"/>
  <c r="AA136" i="2"/>
  <c r="AA161" i="2" s="1"/>
  <c r="Z136" i="2"/>
  <c r="Z161" i="2" s="1"/>
  <c r="Y136" i="2"/>
  <c r="Y161" i="2" s="1"/>
  <c r="X136" i="2"/>
  <c r="X161" i="2" s="1"/>
  <c r="W136" i="2"/>
  <c r="W161" i="2" s="1"/>
  <c r="V136" i="2"/>
  <c r="V161" i="2" s="1"/>
  <c r="U136" i="2"/>
  <c r="U161" i="2" s="1"/>
  <c r="T136" i="2"/>
  <c r="T161" i="2" s="1"/>
  <c r="S136" i="2"/>
  <c r="S161" i="2" s="1"/>
  <c r="R136" i="2"/>
  <c r="R161" i="2" s="1"/>
  <c r="Q136" i="2"/>
  <c r="Q161" i="2" s="1"/>
  <c r="P136" i="2"/>
  <c r="P161" i="2" s="1"/>
  <c r="O136" i="2"/>
  <c r="O161" i="2" s="1"/>
  <c r="N136" i="2"/>
  <c r="N161" i="2" s="1"/>
  <c r="M136" i="2"/>
  <c r="M161" i="2" s="1"/>
  <c r="L136" i="2"/>
  <c r="L161" i="2" s="1"/>
  <c r="K136" i="2"/>
  <c r="K161" i="2" s="1"/>
  <c r="J136" i="2"/>
  <c r="J161" i="2" s="1"/>
  <c r="I136" i="2"/>
  <c r="I161" i="2" s="1"/>
  <c r="H136" i="2"/>
  <c r="H161" i="2" s="1"/>
  <c r="G136" i="2"/>
  <c r="G161" i="2" s="1"/>
  <c r="F136" i="2"/>
  <c r="F161" i="2" s="1"/>
  <c r="E136" i="2"/>
  <c r="E161" i="2" s="1"/>
  <c r="D136" i="2"/>
  <c r="D161" i="2" s="1"/>
  <c r="C136" i="2"/>
  <c r="C161" i="2" s="1"/>
  <c r="B136" i="2"/>
  <c r="B161" i="2" s="1"/>
  <c r="BI133" i="2"/>
  <c r="BI158" i="2" s="1"/>
  <c r="BH133" i="2"/>
  <c r="BH158" i="2" s="1"/>
  <c r="BG133" i="2"/>
  <c r="BG158" i="2" s="1"/>
  <c r="BF133" i="2"/>
  <c r="BF158" i="2" s="1"/>
  <c r="BE133" i="2"/>
  <c r="BE158" i="2" s="1"/>
  <c r="BD133" i="2"/>
  <c r="BD158" i="2" s="1"/>
  <c r="BC133" i="2"/>
  <c r="BC158" i="2" s="1"/>
  <c r="BB133" i="2"/>
  <c r="BB158" i="2" s="1"/>
  <c r="BA133" i="2"/>
  <c r="BA158" i="2" s="1"/>
  <c r="AZ133" i="2"/>
  <c r="AZ158" i="2" s="1"/>
  <c r="AY133" i="2"/>
  <c r="AY158" i="2" s="1"/>
  <c r="AX133" i="2"/>
  <c r="AX158" i="2" s="1"/>
  <c r="AW133" i="2"/>
  <c r="AW158" i="2" s="1"/>
  <c r="AV133" i="2"/>
  <c r="AV158" i="2" s="1"/>
  <c r="AU133" i="2"/>
  <c r="AU158" i="2" s="1"/>
  <c r="AT133" i="2"/>
  <c r="AT158" i="2" s="1"/>
  <c r="AS133" i="2"/>
  <c r="AS158" i="2" s="1"/>
  <c r="AR133" i="2"/>
  <c r="AR158" i="2" s="1"/>
  <c r="AQ133" i="2"/>
  <c r="AQ158" i="2" s="1"/>
  <c r="AP133" i="2"/>
  <c r="AP158" i="2" s="1"/>
  <c r="AO133" i="2"/>
  <c r="AO158" i="2" s="1"/>
  <c r="AN133" i="2"/>
  <c r="AN158" i="2" s="1"/>
  <c r="AM133" i="2"/>
  <c r="AM158" i="2" s="1"/>
  <c r="AL133" i="2"/>
  <c r="AL158" i="2" s="1"/>
  <c r="AK133" i="2"/>
  <c r="AK158" i="2" s="1"/>
  <c r="AJ133" i="2"/>
  <c r="AJ158" i="2" s="1"/>
  <c r="AI133" i="2"/>
  <c r="AI158" i="2" s="1"/>
  <c r="AH133" i="2"/>
  <c r="AH158" i="2" s="1"/>
  <c r="AG133" i="2"/>
  <c r="AG158" i="2" s="1"/>
  <c r="AF133" i="2"/>
  <c r="AF158" i="2" s="1"/>
  <c r="AE133" i="2"/>
  <c r="AE158" i="2" s="1"/>
  <c r="AD133" i="2"/>
  <c r="AD158" i="2" s="1"/>
  <c r="AC133" i="2"/>
  <c r="AC158" i="2" s="1"/>
  <c r="AB133" i="2"/>
  <c r="AB158" i="2" s="1"/>
  <c r="AA133" i="2"/>
  <c r="AA158" i="2" s="1"/>
  <c r="Z133" i="2"/>
  <c r="Z158" i="2" s="1"/>
  <c r="Y133" i="2"/>
  <c r="Y158" i="2" s="1"/>
  <c r="X133" i="2"/>
  <c r="X158" i="2" s="1"/>
  <c r="W133" i="2"/>
  <c r="W158" i="2" s="1"/>
  <c r="V133" i="2"/>
  <c r="V158" i="2" s="1"/>
  <c r="U133" i="2"/>
  <c r="U158" i="2" s="1"/>
  <c r="T133" i="2"/>
  <c r="T158" i="2" s="1"/>
  <c r="S133" i="2"/>
  <c r="S158" i="2" s="1"/>
  <c r="R133" i="2"/>
  <c r="R158" i="2" s="1"/>
  <c r="Q133" i="2"/>
  <c r="Q158" i="2" s="1"/>
  <c r="P133" i="2"/>
  <c r="P158" i="2" s="1"/>
  <c r="O133" i="2"/>
  <c r="O158" i="2" s="1"/>
  <c r="N133" i="2"/>
  <c r="N158" i="2" s="1"/>
  <c r="M133" i="2"/>
  <c r="M158" i="2" s="1"/>
  <c r="L133" i="2"/>
  <c r="L158" i="2" s="1"/>
  <c r="K133" i="2"/>
  <c r="K158" i="2" s="1"/>
  <c r="J133" i="2"/>
  <c r="J158" i="2" s="1"/>
  <c r="I133" i="2"/>
  <c r="I158" i="2" s="1"/>
  <c r="H133" i="2"/>
  <c r="H158" i="2" s="1"/>
  <c r="G133" i="2"/>
  <c r="G158" i="2" s="1"/>
  <c r="F133" i="2"/>
  <c r="F158" i="2" s="1"/>
  <c r="E133" i="2"/>
  <c r="E158" i="2" s="1"/>
  <c r="D133" i="2"/>
  <c r="D158" i="2" s="1"/>
  <c r="C133" i="2"/>
  <c r="C158" i="2" s="1"/>
  <c r="B133" i="2"/>
  <c r="B158" i="2" s="1"/>
  <c r="BI132" i="2"/>
  <c r="BI157" i="2" s="1"/>
  <c r="BH132" i="2"/>
  <c r="BH157" i="2" s="1"/>
  <c r="BG132" i="2"/>
  <c r="BG157" i="2" s="1"/>
  <c r="BF132" i="2"/>
  <c r="BF157" i="2" s="1"/>
  <c r="BE132" i="2"/>
  <c r="BE157" i="2" s="1"/>
  <c r="BD132" i="2"/>
  <c r="BD157" i="2" s="1"/>
  <c r="BC132" i="2"/>
  <c r="BC157" i="2" s="1"/>
  <c r="BB132" i="2"/>
  <c r="BB157" i="2" s="1"/>
  <c r="BA132" i="2"/>
  <c r="BA157" i="2" s="1"/>
  <c r="AZ132" i="2"/>
  <c r="AZ157" i="2" s="1"/>
  <c r="AY132" i="2"/>
  <c r="AY157" i="2" s="1"/>
  <c r="AX132" i="2"/>
  <c r="AX157" i="2" s="1"/>
  <c r="AW132" i="2"/>
  <c r="AW157" i="2" s="1"/>
  <c r="AV132" i="2"/>
  <c r="AV157" i="2" s="1"/>
  <c r="AU132" i="2"/>
  <c r="AU157" i="2" s="1"/>
  <c r="AT132" i="2"/>
  <c r="AT157" i="2" s="1"/>
  <c r="AS132" i="2"/>
  <c r="AS157" i="2" s="1"/>
  <c r="AR132" i="2"/>
  <c r="AR157" i="2" s="1"/>
  <c r="AQ132" i="2"/>
  <c r="AQ157" i="2" s="1"/>
  <c r="AP132" i="2"/>
  <c r="AP157" i="2" s="1"/>
  <c r="AO132" i="2"/>
  <c r="AO157" i="2" s="1"/>
  <c r="AN132" i="2"/>
  <c r="AN157" i="2" s="1"/>
  <c r="AM132" i="2"/>
  <c r="AM157" i="2" s="1"/>
  <c r="AL132" i="2"/>
  <c r="AL157" i="2" s="1"/>
  <c r="AK132" i="2"/>
  <c r="AK157" i="2" s="1"/>
  <c r="AJ132" i="2"/>
  <c r="AJ157" i="2" s="1"/>
  <c r="AI132" i="2"/>
  <c r="AI157" i="2" s="1"/>
  <c r="AH132" i="2"/>
  <c r="AH157" i="2" s="1"/>
  <c r="AG132" i="2"/>
  <c r="AG157" i="2" s="1"/>
  <c r="AF132" i="2"/>
  <c r="AF157" i="2" s="1"/>
  <c r="AE132" i="2"/>
  <c r="AE157" i="2" s="1"/>
  <c r="AD132" i="2"/>
  <c r="AD157" i="2" s="1"/>
  <c r="AC132" i="2"/>
  <c r="AC157" i="2" s="1"/>
  <c r="AB132" i="2"/>
  <c r="AB157" i="2" s="1"/>
  <c r="AA132" i="2"/>
  <c r="AA157" i="2" s="1"/>
  <c r="Z132" i="2"/>
  <c r="Z157" i="2" s="1"/>
  <c r="Y132" i="2"/>
  <c r="Y157" i="2" s="1"/>
  <c r="X132" i="2"/>
  <c r="X157" i="2" s="1"/>
  <c r="W132" i="2"/>
  <c r="W157" i="2" s="1"/>
  <c r="V132" i="2"/>
  <c r="V157" i="2" s="1"/>
  <c r="U132" i="2"/>
  <c r="U157" i="2" s="1"/>
  <c r="T132" i="2"/>
  <c r="T157" i="2" s="1"/>
  <c r="S132" i="2"/>
  <c r="S157" i="2" s="1"/>
  <c r="R132" i="2"/>
  <c r="R157" i="2" s="1"/>
  <c r="Q132" i="2"/>
  <c r="Q157" i="2" s="1"/>
  <c r="P132" i="2"/>
  <c r="P157" i="2" s="1"/>
  <c r="O132" i="2"/>
  <c r="O157" i="2" s="1"/>
  <c r="N132" i="2"/>
  <c r="N157" i="2" s="1"/>
  <c r="M132" i="2"/>
  <c r="M157" i="2" s="1"/>
  <c r="L132" i="2"/>
  <c r="L157" i="2" s="1"/>
  <c r="K132" i="2"/>
  <c r="K157" i="2" s="1"/>
  <c r="J132" i="2"/>
  <c r="J157" i="2" s="1"/>
  <c r="I132" i="2"/>
  <c r="I157" i="2" s="1"/>
  <c r="H132" i="2"/>
  <c r="H157" i="2" s="1"/>
  <c r="G132" i="2"/>
  <c r="G157" i="2" s="1"/>
  <c r="F132" i="2"/>
  <c r="F157" i="2" s="1"/>
  <c r="E132" i="2"/>
  <c r="E157" i="2" s="1"/>
  <c r="D132" i="2"/>
  <c r="D157" i="2" s="1"/>
  <c r="C132" i="2"/>
  <c r="C157" i="2" s="1"/>
  <c r="B132" i="2"/>
  <c r="B157" i="2" s="1"/>
  <c r="BI131" i="2"/>
  <c r="BI156" i="2" s="1"/>
  <c r="BH131" i="2"/>
  <c r="BH156" i="2" s="1"/>
  <c r="BG131" i="2"/>
  <c r="BG156" i="2" s="1"/>
  <c r="BF131" i="2"/>
  <c r="BF156" i="2" s="1"/>
  <c r="BE131" i="2"/>
  <c r="BE156" i="2" s="1"/>
  <c r="BD131" i="2"/>
  <c r="BD156" i="2" s="1"/>
  <c r="BC131" i="2"/>
  <c r="BC156" i="2" s="1"/>
  <c r="BB131" i="2"/>
  <c r="BB156" i="2" s="1"/>
  <c r="BA131" i="2"/>
  <c r="BA156" i="2" s="1"/>
  <c r="AZ131" i="2"/>
  <c r="AZ156" i="2" s="1"/>
  <c r="AY131" i="2"/>
  <c r="AY156" i="2" s="1"/>
  <c r="AX131" i="2"/>
  <c r="AX156" i="2" s="1"/>
  <c r="AW131" i="2"/>
  <c r="AW156" i="2" s="1"/>
  <c r="AV131" i="2"/>
  <c r="AV156" i="2" s="1"/>
  <c r="AU131" i="2"/>
  <c r="AU156" i="2" s="1"/>
  <c r="AT131" i="2"/>
  <c r="AT156" i="2" s="1"/>
  <c r="AS131" i="2"/>
  <c r="AS156" i="2" s="1"/>
  <c r="AR131" i="2"/>
  <c r="AR156" i="2" s="1"/>
  <c r="AQ131" i="2"/>
  <c r="AQ156" i="2" s="1"/>
  <c r="AP131" i="2"/>
  <c r="AP156" i="2" s="1"/>
  <c r="AO131" i="2"/>
  <c r="AO156" i="2" s="1"/>
  <c r="AN131" i="2"/>
  <c r="AN156" i="2" s="1"/>
  <c r="AM131" i="2"/>
  <c r="AM156" i="2" s="1"/>
  <c r="AL131" i="2"/>
  <c r="AL156" i="2" s="1"/>
  <c r="AK131" i="2"/>
  <c r="AK156" i="2" s="1"/>
  <c r="AJ131" i="2"/>
  <c r="AJ156" i="2" s="1"/>
  <c r="AI131" i="2"/>
  <c r="AI156" i="2" s="1"/>
  <c r="AH131" i="2"/>
  <c r="AH156" i="2" s="1"/>
  <c r="AG131" i="2"/>
  <c r="AG156" i="2" s="1"/>
  <c r="AF131" i="2"/>
  <c r="AF156" i="2" s="1"/>
  <c r="AE131" i="2"/>
  <c r="AE156" i="2" s="1"/>
  <c r="AD131" i="2"/>
  <c r="AD156" i="2" s="1"/>
  <c r="AC131" i="2"/>
  <c r="AC156" i="2" s="1"/>
  <c r="AB131" i="2"/>
  <c r="AB156" i="2" s="1"/>
  <c r="AA131" i="2"/>
  <c r="AA156" i="2" s="1"/>
  <c r="Z131" i="2"/>
  <c r="Z156" i="2" s="1"/>
  <c r="Y131" i="2"/>
  <c r="Y156" i="2" s="1"/>
  <c r="X131" i="2"/>
  <c r="X156" i="2" s="1"/>
  <c r="W131" i="2"/>
  <c r="W156" i="2" s="1"/>
  <c r="V131" i="2"/>
  <c r="V156" i="2" s="1"/>
  <c r="U131" i="2"/>
  <c r="U156" i="2" s="1"/>
  <c r="T131" i="2"/>
  <c r="T156" i="2" s="1"/>
  <c r="S131" i="2"/>
  <c r="S156" i="2" s="1"/>
  <c r="R131" i="2"/>
  <c r="R156" i="2" s="1"/>
  <c r="Q131" i="2"/>
  <c r="Q156" i="2" s="1"/>
  <c r="P131" i="2"/>
  <c r="P156" i="2" s="1"/>
  <c r="O131" i="2"/>
  <c r="O156" i="2" s="1"/>
  <c r="N131" i="2"/>
  <c r="N156" i="2" s="1"/>
  <c r="M131" i="2"/>
  <c r="M156" i="2" s="1"/>
  <c r="L131" i="2"/>
  <c r="L156" i="2" s="1"/>
  <c r="K131" i="2"/>
  <c r="K156" i="2" s="1"/>
  <c r="J131" i="2"/>
  <c r="J156" i="2" s="1"/>
  <c r="I131" i="2"/>
  <c r="I156" i="2" s="1"/>
  <c r="H131" i="2"/>
  <c r="H156" i="2" s="1"/>
  <c r="G131" i="2"/>
  <c r="G156" i="2" s="1"/>
  <c r="F131" i="2"/>
  <c r="F156" i="2" s="1"/>
  <c r="E131" i="2"/>
  <c r="E156" i="2" s="1"/>
  <c r="D131" i="2"/>
  <c r="D156" i="2" s="1"/>
  <c r="C131" i="2"/>
  <c r="C156" i="2" s="1"/>
  <c r="B131" i="2"/>
  <c r="B156" i="2" s="1"/>
  <c r="BI130" i="2"/>
  <c r="BI155" i="2" s="1"/>
  <c r="BH130" i="2"/>
  <c r="BH155" i="2" s="1"/>
  <c r="BG130" i="2"/>
  <c r="BG155" i="2" s="1"/>
  <c r="BF130" i="2"/>
  <c r="BF155" i="2" s="1"/>
  <c r="BE130" i="2"/>
  <c r="BE155" i="2" s="1"/>
  <c r="BD130" i="2"/>
  <c r="BD155" i="2" s="1"/>
  <c r="BC130" i="2"/>
  <c r="BC155" i="2" s="1"/>
  <c r="BB130" i="2"/>
  <c r="BB155" i="2" s="1"/>
  <c r="BA130" i="2"/>
  <c r="BA155" i="2" s="1"/>
  <c r="AZ130" i="2"/>
  <c r="AZ155" i="2" s="1"/>
  <c r="AY130" i="2"/>
  <c r="AY155" i="2" s="1"/>
  <c r="AX130" i="2"/>
  <c r="AX155" i="2" s="1"/>
  <c r="AW130" i="2"/>
  <c r="AW155" i="2" s="1"/>
  <c r="AV130" i="2"/>
  <c r="AV155" i="2" s="1"/>
  <c r="AU130" i="2"/>
  <c r="AU155" i="2" s="1"/>
  <c r="AT130" i="2"/>
  <c r="AT155" i="2" s="1"/>
  <c r="AS130" i="2"/>
  <c r="AS155" i="2" s="1"/>
  <c r="AR130" i="2"/>
  <c r="AR155" i="2" s="1"/>
  <c r="AQ130" i="2"/>
  <c r="AQ155" i="2" s="1"/>
  <c r="AP130" i="2"/>
  <c r="AP155" i="2" s="1"/>
  <c r="AO130" i="2"/>
  <c r="AO155" i="2" s="1"/>
  <c r="AN130" i="2"/>
  <c r="AN155" i="2" s="1"/>
  <c r="AM130" i="2"/>
  <c r="AM155" i="2" s="1"/>
  <c r="AL130" i="2"/>
  <c r="AL155" i="2" s="1"/>
  <c r="AK130" i="2"/>
  <c r="AK155" i="2" s="1"/>
  <c r="AJ130" i="2"/>
  <c r="AJ155" i="2" s="1"/>
  <c r="AI130" i="2"/>
  <c r="AI155" i="2" s="1"/>
  <c r="AH130" i="2"/>
  <c r="AH155" i="2" s="1"/>
  <c r="AG130" i="2"/>
  <c r="AG155" i="2" s="1"/>
  <c r="AF130" i="2"/>
  <c r="AF155" i="2" s="1"/>
  <c r="AE130" i="2"/>
  <c r="AE155" i="2" s="1"/>
  <c r="AD130" i="2"/>
  <c r="AD155" i="2" s="1"/>
  <c r="AC130" i="2"/>
  <c r="AC155" i="2" s="1"/>
  <c r="AB130" i="2"/>
  <c r="AB155" i="2" s="1"/>
  <c r="AA130" i="2"/>
  <c r="AA155" i="2" s="1"/>
  <c r="Z130" i="2"/>
  <c r="Z155" i="2" s="1"/>
  <c r="Y130" i="2"/>
  <c r="Y155" i="2" s="1"/>
  <c r="X130" i="2"/>
  <c r="X155" i="2" s="1"/>
  <c r="W130" i="2"/>
  <c r="W155" i="2" s="1"/>
  <c r="V130" i="2"/>
  <c r="V155" i="2" s="1"/>
  <c r="U130" i="2"/>
  <c r="U155" i="2" s="1"/>
  <c r="T130" i="2"/>
  <c r="T155" i="2" s="1"/>
  <c r="S130" i="2"/>
  <c r="S155" i="2" s="1"/>
  <c r="R130" i="2"/>
  <c r="R155" i="2" s="1"/>
  <c r="Q130" i="2"/>
  <c r="Q155" i="2" s="1"/>
  <c r="P130" i="2"/>
  <c r="P155" i="2" s="1"/>
  <c r="O130" i="2"/>
  <c r="O155" i="2" s="1"/>
  <c r="N130" i="2"/>
  <c r="N155" i="2" s="1"/>
  <c r="M130" i="2"/>
  <c r="M155" i="2" s="1"/>
  <c r="L130" i="2"/>
  <c r="L155" i="2" s="1"/>
  <c r="K130" i="2"/>
  <c r="K155" i="2" s="1"/>
  <c r="J130" i="2"/>
  <c r="J155" i="2" s="1"/>
  <c r="I130" i="2"/>
  <c r="I155" i="2" s="1"/>
  <c r="H130" i="2"/>
  <c r="H155" i="2" s="1"/>
  <c r="G130" i="2"/>
  <c r="G155" i="2" s="1"/>
  <c r="F130" i="2"/>
  <c r="F155" i="2" s="1"/>
  <c r="E130" i="2"/>
  <c r="E155" i="2" s="1"/>
  <c r="D130" i="2"/>
  <c r="D155" i="2" s="1"/>
  <c r="C130" i="2"/>
  <c r="C155" i="2" s="1"/>
  <c r="B130" i="2"/>
  <c r="B155" i="2" s="1"/>
  <c r="BI129" i="2"/>
  <c r="BI154" i="2" s="1"/>
  <c r="BH129" i="2"/>
  <c r="BH154" i="2" s="1"/>
  <c r="BG129" i="2"/>
  <c r="BG154" i="2" s="1"/>
  <c r="BF129" i="2"/>
  <c r="BF154" i="2" s="1"/>
  <c r="BE129" i="2"/>
  <c r="BE154" i="2" s="1"/>
  <c r="BD129" i="2"/>
  <c r="BD154" i="2" s="1"/>
  <c r="BC129" i="2"/>
  <c r="BC154" i="2" s="1"/>
  <c r="BB129" i="2"/>
  <c r="BB154" i="2" s="1"/>
  <c r="BA129" i="2"/>
  <c r="BA154" i="2" s="1"/>
  <c r="AZ129" i="2"/>
  <c r="AZ154" i="2" s="1"/>
  <c r="AY129" i="2"/>
  <c r="AY154" i="2" s="1"/>
  <c r="AX129" i="2"/>
  <c r="AX154" i="2" s="1"/>
  <c r="AW129" i="2"/>
  <c r="AW154" i="2" s="1"/>
  <c r="AV129" i="2"/>
  <c r="AV154" i="2" s="1"/>
  <c r="AU129" i="2"/>
  <c r="AU154" i="2" s="1"/>
  <c r="AT129" i="2"/>
  <c r="AT154" i="2" s="1"/>
  <c r="AS129" i="2"/>
  <c r="AS154" i="2" s="1"/>
  <c r="AR129" i="2"/>
  <c r="AR154" i="2" s="1"/>
  <c r="AQ129" i="2"/>
  <c r="AQ154" i="2" s="1"/>
  <c r="AP129" i="2"/>
  <c r="AP154" i="2" s="1"/>
  <c r="AO129" i="2"/>
  <c r="AO154" i="2" s="1"/>
  <c r="AN129" i="2"/>
  <c r="AN154" i="2" s="1"/>
  <c r="AM129" i="2"/>
  <c r="AM154" i="2" s="1"/>
  <c r="AL129" i="2"/>
  <c r="AL154" i="2" s="1"/>
  <c r="AK129" i="2"/>
  <c r="AK154" i="2" s="1"/>
  <c r="AJ129" i="2"/>
  <c r="AJ154" i="2" s="1"/>
  <c r="AI129" i="2"/>
  <c r="AI154" i="2" s="1"/>
  <c r="AH129" i="2"/>
  <c r="AH154" i="2" s="1"/>
  <c r="AG129" i="2"/>
  <c r="AG154" i="2" s="1"/>
  <c r="AF129" i="2"/>
  <c r="AF154" i="2" s="1"/>
  <c r="AE129" i="2"/>
  <c r="AE154" i="2" s="1"/>
  <c r="AD129" i="2"/>
  <c r="AD154" i="2" s="1"/>
  <c r="AC129" i="2"/>
  <c r="AC154" i="2" s="1"/>
  <c r="AB129" i="2"/>
  <c r="AB154" i="2" s="1"/>
  <c r="AA129" i="2"/>
  <c r="AA154" i="2" s="1"/>
  <c r="Z129" i="2"/>
  <c r="Z154" i="2" s="1"/>
  <c r="Y129" i="2"/>
  <c r="Y154" i="2" s="1"/>
  <c r="X129" i="2"/>
  <c r="X154" i="2" s="1"/>
  <c r="W129" i="2"/>
  <c r="W154" i="2" s="1"/>
  <c r="V129" i="2"/>
  <c r="V154" i="2" s="1"/>
  <c r="U129" i="2"/>
  <c r="U154" i="2" s="1"/>
  <c r="T129" i="2"/>
  <c r="T154" i="2" s="1"/>
  <c r="S129" i="2"/>
  <c r="S154" i="2" s="1"/>
  <c r="R129" i="2"/>
  <c r="R154" i="2" s="1"/>
  <c r="Q129" i="2"/>
  <c r="Q154" i="2" s="1"/>
  <c r="P129" i="2"/>
  <c r="P154" i="2" s="1"/>
  <c r="O129" i="2"/>
  <c r="O154" i="2" s="1"/>
  <c r="N129" i="2"/>
  <c r="N154" i="2" s="1"/>
  <c r="M129" i="2"/>
  <c r="M154" i="2" s="1"/>
  <c r="L129" i="2"/>
  <c r="L154" i="2" s="1"/>
  <c r="K129" i="2"/>
  <c r="K154" i="2" s="1"/>
  <c r="J129" i="2"/>
  <c r="J154" i="2" s="1"/>
  <c r="I129" i="2"/>
  <c r="I154" i="2" s="1"/>
  <c r="H129" i="2"/>
  <c r="H154" i="2" s="1"/>
  <c r="G129" i="2"/>
  <c r="G154" i="2" s="1"/>
  <c r="F129" i="2"/>
  <c r="F154" i="2" s="1"/>
  <c r="E129" i="2"/>
  <c r="E154" i="2" s="1"/>
  <c r="D129" i="2"/>
  <c r="D154" i="2" s="1"/>
  <c r="C129" i="2"/>
  <c r="C154" i="2" s="1"/>
  <c r="B129" i="2"/>
  <c r="B154" i="2" s="1"/>
  <c r="BI128" i="2"/>
  <c r="BI153" i="2" s="1"/>
  <c r="BH128" i="2"/>
  <c r="BH153" i="2" s="1"/>
  <c r="BG128" i="2"/>
  <c r="BG153" i="2" s="1"/>
  <c r="BF128" i="2"/>
  <c r="BF153" i="2" s="1"/>
  <c r="BE128" i="2"/>
  <c r="BE153" i="2" s="1"/>
  <c r="BD128" i="2"/>
  <c r="BD153" i="2" s="1"/>
  <c r="BC128" i="2"/>
  <c r="BC153" i="2" s="1"/>
  <c r="BB128" i="2"/>
  <c r="BB153" i="2" s="1"/>
  <c r="BA128" i="2"/>
  <c r="BA153" i="2" s="1"/>
  <c r="AZ128" i="2"/>
  <c r="AZ153" i="2" s="1"/>
  <c r="AY128" i="2"/>
  <c r="AY153" i="2" s="1"/>
  <c r="AX128" i="2"/>
  <c r="AX153" i="2" s="1"/>
  <c r="AW128" i="2"/>
  <c r="AW153" i="2" s="1"/>
  <c r="AV128" i="2"/>
  <c r="AV153" i="2" s="1"/>
  <c r="AU128" i="2"/>
  <c r="AU153" i="2" s="1"/>
  <c r="AT128" i="2"/>
  <c r="AT153" i="2" s="1"/>
  <c r="AS128" i="2"/>
  <c r="AS153" i="2" s="1"/>
  <c r="AR128" i="2"/>
  <c r="AR153" i="2" s="1"/>
  <c r="AQ128" i="2"/>
  <c r="AQ153" i="2" s="1"/>
  <c r="AP128" i="2"/>
  <c r="AP153" i="2" s="1"/>
  <c r="AO128" i="2"/>
  <c r="AO153" i="2" s="1"/>
  <c r="AN128" i="2"/>
  <c r="AN153" i="2" s="1"/>
  <c r="AM128" i="2"/>
  <c r="AM153" i="2" s="1"/>
  <c r="AL128" i="2"/>
  <c r="AL153" i="2" s="1"/>
  <c r="AK128" i="2"/>
  <c r="AK153" i="2" s="1"/>
  <c r="AJ128" i="2"/>
  <c r="AJ153" i="2" s="1"/>
  <c r="AI128" i="2"/>
  <c r="AI153" i="2" s="1"/>
  <c r="AH128" i="2"/>
  <c r="AH153" i="2" s="1"/>
  <c r="AG128" i="2"/>
  <c r="AG153" i="2" s="1"/>
  <c r="AF128" i="2"/>
  <c r="AF153" i="2" s="1"/>
  <c r="AE128" i="2"/>
  <c r="AE153" i="2" s="1"/>
  <c r="AD128" i="2"/>
  <c r="AD153" i="2" s="1"/>
  <c r="AC128" i="2"/>
  <c r="AC153" i="2" s="1"/>
  <c r="AB128" i="2"/>
  <c r="AB153" i="2" s="1"/>
  <c r="AA128" i="2"/>
  <c r="AA153" i="2" s="1"/>
  <c r="Z128" i="2"/>
  <c r="Z153" i="2" s="1"/>
  <c r="Y128" i="2"/>
  <c r="Y153" i="2" s="1"/>
  <c r="X128" i="2"/>
  <c r="X153" i="2" s="1"/>
  <c r="W128" i="2"/>
  <c r="W153" i="2" s="1"/>
  <c r="V128" i="2"/>
  <c r="V153" i="2" s="1"/>
  <c r="U128" i="2"/>
  <c r="U153" i="2" s="1"/>
  <c r="T128" i="2"/>
  <c r="T153" i="2" s="1"/>
  <c r="S128" i="2"/>
  <c r="S153" i="2" s="1"/>
  <c r="R128" i="2"/>
  <c r="R153" i="2" s="1"/>
  <c r="Q128" i="2"/>
  <c r="Q153" i="2" s="1"/>
  <c r="P128" i="2"/>
  <c r="P153" i="2" s="1"/>
  <c r="O128" i="2"/>
  <c r="O153" i="2" s="1"/>
  <c r="N128" i="2"/>
  <c r="N153" i="2" s="1"/>
  <c r="M128" i="2"/>
  <c r="M153" i="2" s="1"/>
  <c r="L128" i="2"/>
  <c r="L153" i="2" s="1"/>
  <c r="K128" i="2"/>
  <c r="K153" i="2" s="1"/>
  <c r="J128" i="2"/>
  <c r="J153" i="2" s="1"/>
  <c r="I128" i="2"/>
  <c r="I153" i="2" s="1"/>
  <c r="H128" i="2"/>
  <c r="H153" i="2" s="1"/>
  <c r="G128" i="2"/>
  <c r="G153" i="2" s="1"/>
  <c r="F128" i="2"/>
  <c r="F153" i="2" s="1"/>
  <c r="E128" i="2"/>
  <c r="E153" i="2" s="1"/>
  <c r="D128" i="2"/>
  <c r="D153" i="2" s="1"/>
  <c r="C128" i="2"/>
  <c r="C153" i="2" s="1"/>
  <c r="B128" i="2"/>
  <c r="B153" i="2" s="1"/>
  <c r="BI127" i="2"/>
  <c r="BI152" i="2" s="1"/>
  <c r="BH127" i="2"/>
  <c r="BH152" i="2" s="1"/>
  <c r="BG127" i="2"/>
  <c r="BG152" i="2" s="1"/>
  <c r="BF127" i="2"/>
  <c r="BF152" i="2" s="1"/>
  <c r="BE127" i="2"/>
  <c r="BE152" i="2" s="1"/>
  <c r="BD127" i="2"/>
  <c r="BD152" i="2" s="1"/>
  <c r="BC127" i="2"/>
  <c r="BC152" i="2" s="1"/>
  <c r="BB127" i="2"/>
  <c r="BB152" i="2" s="1"/>
  <c r="BA127" i="2"/>
  <c r="BA152" i="2" s="1"/>
  <c r="AZ127" i="2"/>
  <c r="AZ152" i="2" s="1"/>
  <c r="AY127" i="2"/>
  <c r="AY152" i="2" s="1"/>
  <c r="AX127" i="2"/>
  <c r="AX152" i="2" s="1"/>
  <c r="AW127" i="2"/>
  <c r="AW152" i="2" s="1"/>
  <c r="AV127" i="2"/>
  <c r="AV152" i="2" s="1"/>
  <c r="AU127" i="2"/>
  <c r="AU152" i="2" s="1"/>
  <c r="AT127" i="2"/>
  <c r="AT152" i="2" s="1"/>
  <c r="AS127" i="2"/>
  <c r="AS152" i="2" s="1"/>
  <c r="AR127" i="2"/>
  <c r="AR152" i="2" s="1"/>
  <c r="AQ127" i="2"/>
  <c r="AQ152" i="2" s="1"/>
  <c r="AP127" i="2"/>
  <c r="AP152" i="2" s="1"/>
  <c r="AO127" i="2"/>
  <c r="AO152" i="2" s="1"/>
  <c r="AN127" i="2"/>
  <c r="AN152" i="2" s="1"/>
  <c r="AM127" i="2"/>
  <c r="AM152" i="2" s="1"/>
  <c r="AL127" i="2"/>
  <c r="AL152" i="2" s="1"/>
  <c r="AK127" i="2"/>
  <c r="AK152" i="2" s="1"/>
  <c r="AJ127" i="2"/>
  <c r="AJ152" i="2" s="1"/>
  <c r="AI127" i="2"/>
  <c r="AI152" i="2" s="1"/>
  <c r="AH127" i="2"/>
  <c r="AH152" i="2" s="1"/>
  <c r="AG127" i="2"/>
  <c r="AG152" i="2" s="1"/>
  <c r="AF127" i="2"/>
  <c r="AF152" i="2" s="1"/>
  <c r="AE127" i="2"/>
  <c r="AE152" i="2" s="1"/>
  <c r="AD127" i="2"/>
  <c r="AD152" i="2" s="1"/>
  <c r="AC127" i="2"/>
  <c r="AC152" i="2" s="1"/>
  <c r="AB127" i="2"/>
  <c r="AB152" i="2" s="1"/>
  <c r="AA127" i="2"/>
  <c r="AA152" i="2" s="1"/>
  <c r="Z127" i="2"/>
  <c r="Z152" i="2" s="1"/>
  <c r="Y127" i="2"/>
  <c r="Y152" i="2" s="1"/>
  <c r="X127" i="2"/>
  <c r="X152" i="2" s="1"/>
  <c r="W127" i="2"/>
  <c r="W152" i="2" s="1"/>
  <c r="V127" i="2"/>
  <c r="V152" i="2" s="1"/>
  <c r="U127" i="2"/>
  <c r="U152" i="2" s="1"/>
  <c r="T127" i="2"/>
  <c r="T152" i="2" s="1"/>
  <c r="S127" i="2"/>
  <c r="S152" i="2" s="1"/>
  <c r="R127" i="2"/>
  <c r="R152" i="2" s="1"/>
  <c r="Q127" i="2"/>
  <c r="Q152" i="2" s="1"/>
  <c r="P127" i="2"/>
  <c r="P152" i="2" s="1"/>
  <c r="O127" i="2"/>
  <c r="O152" i="2" s="1"/>
  <c r="N127" i="2"/>
  <c r="N152" i="2" s="1"/>
  <c r="M127" i="2"/>
  <c r="M152" i="2" s="1"/>
  <c r="L127" i="2"/>
  <c r="L152" i="2" s="1"/>
  <c r="K127" i="2"/>
  <c r="K152" i="2" s="1"/>
  <c r="J127" i="2"/>
  <c r="J152" i="2" s="1"/>
  <c r="I127" i="2"/>
  <c r="I152" i="2" s="1"/>
  <c r="H127" i="2"/>
  <c r="H152" i="2" s="1"/>
  <c r="G127" i="2"/>
  <c r="G152" i="2" s="1"/>
  <c r="F127" i="2"/>
  <c r="F152" i="2" s="1"/>
  <c r="E127" i="2"/>
  <c r="E152" i="2" s="1"/>
  <c r="D127" i="2"/>
  <c r="D152" i="2" s="1"/>
  <c r="C127" i="2"/>
  <c r="C152" i="2" s="1"/>
  <c r="B127" i="2"/>
  <c r="B152" i="2" s="1"/>
  <c r="BI126" i="2"/>
  <c r="BI151" i="2" s="1"/>
  <c r="BH126" i="2"/>
  <c r="BH151" i="2" s="1"/>
  <c r="BG126" i="2"/>
  <c r="BG151" i="2" s="1"/>
  <c r="BF126" i="2"/>
  <c r="BF151" i="2" s="1"/>
  <c r="BE126" i="2"/>
  <c r="BE151" i="2" s="1"/>
  <c r="BD126" i="2"/>
  <c r="BD151" i="2" s="1"/>
  <c r="BC126" i="2"/>
  <c r="BC151" i="2" s="1"/>
  <c r="BB126" i="2"/>
  <c r="BB151" i="2" s="1"/>
  <c r="BA126" i="2"/>
  <c r="BA151" i="2" s="1"/>
  <c r="AZ126" i="2"/>
  <c r="AZ151" i="2" s="1"/>
  <c r="AY126" i="2"/>
  <c r="AY151" i="2" s="1"/>
  <c r="AX126" i="2"/>
  <c r="AX151" i="2" s="1"/>
  <c r="AW126" i="2"/>
  <c r="AW151" i="2" s="1"/>
  <c r="AV126" i="2"/>
  <c r="AV151" i="2" s="1"/>
  <c r="AU126" i="2"/>
  <c r="AU151" i="2" s="1"/>
  <c r="AT126" i="2"/>
  <c r="AT151" i="2" s="1"/>
  <c r="AS126" i="2"/>
  <c r="AS151" i="2" s="1"/>
  <c r="AR126" i="2"/>
  <c r="AR151" i="2" s="1"/>
  <c r="AQ126" i="2"/>
  <c r="AQ151" i="2" s="1"/>
  <c r="AP126" i="2"/>
  <c r="AP151" i="2" s="1"/>
  <c r="AO126" i="2"/>
  <c r="AO151" i="2" s="1"/>
  <c r="AN126" i="2"/>
  <c r="AN151" i="2" s="1"/>
  <c r="AM126" i="2"/>
  <c r="AM151" i="2" s="1"/>
  <c r="AL126" i="2"/>
  <c r="AL151" i="2" s="1"/>
  <c r="AK126" i="2"/>
  <c r="AK151" i="2" s="1"/>
  <c r="AJ126" i="2"/>
  <c r="AJ151" i="2" s="1"/>
  <c r="AI126" i="2"/>
  <c r="AI151" i="2" s="1"/>
  <c r="AH126" i="2"/>
  <c r="AH151" i="2" s="1"/>
  <c r="AG126" i="2"/>
  <c r="AG151" i="2" s="1"/>
  <c r="AF126" i="2"/>
  <c r="AF151" i="2" s="1"/>
  <c r="AE126" i="2"/>
  <c r="AE151" i="2" s="1"/>
  <c r="AD126" i="2"/>
  <c r="AD151" i="2" s="1"/>
  <c r="AC126" i="2"/>
  <c r="AC151" i="2" s="1"/>
  <c r="AB126" i="2"/>
  <c r="AB151" i="2" s="1"/>
  <c r="AA126" i="2"/>
  <c r="AA151" i="2" s="1"/>
  <c r="Z126" i="2"/>
  <c r="Z151" i="2" s="1"/>
  <c r="Y126" i="2"/>
  <c r="Y151" i="2" s="1"/>
  <c r="X126" i="2"/>
  <c r="X151" i="2" s="1"/>
  <c r="W126" i="2"/>
  <c r="W151" i="2" s="1"/>
  <c r="V126" i="2"/>
  <c r="V151" i="2" s="1"/>
  <c r="U126" i="2"/>
  <c r="U151" i="2" s="1"/>
  <c r="T126" i="2"/>
  <c r="T151" i="2" s="1"/>
  <c r="S126" i="2"/>
  <c r="S151" i="2" s="1"/>
  <c r="R126" i="2"/>
  <c r="R151" i="2" s="1"/>
  <c r="Q126" i="2"/>
  <c r="Q151" i="2" s="1"/>
  <c r="P126" i="2"/>
  <c r="P151" i="2" s="1"/>
  <c r="O126" i="2"/>
  <c r="O151" i="2" s="1"/>
  <c r="N126" i="2"/>
  <c r="N151" i="2" s="1"/>
  <c r="M126" i="2"/>
  <c r="M151" i="2" s="1"/>
  <c r="L126" i="2"/>
  <c r="L151" i="2" s="1"/>
  <c r="K126" i="2"/>
  <c r="K151" i="2" s="1"/>
  <c r="J126" i="2"/>
  <c r="J151" i="2" s="1"/>
  <c r="I126" i="2"/>
  <c r="I151" i="2" s="1"/>
  <c r="H126" i="2"/>
  <c r="H151" i="2" s="1"/>
  <c r="G126" i="2"/>
  <c r="G151" i="2" s="1"/>
  <c r="F126" i="2"/>
  <c r="F151" i="2" s="1"/>
  <c r="E126" i="2"/>
  <c r="E151" i="2" s="1"/>
  <c r="D126" i="2"/>
  <c r="D151" i="2" s="1"/>
  <c r="C126" i="2"/>
  <c r="C151" i="2" s="1"/>
  <c r="B126" i="2"/>
  <c r="B151" i="2" s="1"/>
  <c r="BI125" i="2"/>
  <c r="BI150" i="2" s="1"/>
  <c r="BH125" i="2"/>
  <c r="BH150" i="2" s="1"/>
  <c r="BG125" i="2"/>
  <c r="BG150" i="2" s="1"/>
  <c r="BF125" i="2"/>
  <c r="BF150" i="2" s="1"/>
  <c r="BE125" i="2"/>
  <c r="BE150" i="2" s="1"/>
  <c r="BD125" i="2"/>
  <c r="BD150" i="2" s="1"/>
  <c r="BC125" i="2"/>
  <c r="BC150" i="2" s="1"/>
  <c r="BB125" i="2"/>
  <c r="BB150" i="2" s="1"/>
  <c r="BA125" i="2"/>
  <c r="BA150" i="2" s="1"/>
  <c r="AZ125" i="2"/>
  <c r="AZ150" i="2" s="1"/>
  <c r="AY125" i="2"/>
  <c r="AY150" i="2" s="1"/>
  <c r="AX125" i="2"/>
  <c r="AX150" i="2" s="1"/>
  <c r="AW125" i="2"/>
  <c r="AW150" i="2" s="1"/>
  <c r="AV125" i="2"/>
  <c r="AV150" i="2" s="1"/>
  <c r="AU125" i="2"/>
  <c r="AU150" i="2" s="1"/>
  <c r="AT125" i="2"/>
  <c r="AT150" i="2" s="1"/>
  <c r="AS125" i="2"/>
  <c r="AS150" i="2" s="1"/>
  <c r="AR125" i="2"/>
  <c r="AR150" i="2" s="1"/>
  <c r="AQ125" i="2"/>
  <c r="AQ150" i="2" s="1"/>
  <c r="AP125" i="2"/>
  <c r="AP150" i="2" s="1"/>
  <c r="AO125" i="2"/>
  <c r="AO150" i="2" s="1"/>
  <c r="AN125" i="2"/>
  <c r="AN150" i="2" s="1"/>
  <c r="AM125" i="2"/>
  <c r="AM150" i="2" s="1"/>
  <c r="AL125" i="2"/>
  <c r="AL150" i="2" s="1"/>
  <c r="AK125" i="2"/>
  <c r="AK150" i="2" s="1"/>
  <c r="AJ125" i="2"/>
  <c r="AJ150" i="2" s="1"/>
  <c r="AI125" i="2"/>
  <c r="AI150" i="2" s="1"/>
  <c r="AH125" i="2"/>
  <c r="AH150" i="2" s="1"/>
  <c r="AG125" i="2"/>
  <c r="AG150" i="2" s="1"/>
  <c r="AF125" i="2"/>
  <c r="AF150" i="2" s="1"/>
  <c r="AE125" i="2"/>
  <c r="AE150" i="2" s="1"/>
  <c r="AD125" i="2"/>
  <c r="AD150" i="2" s="1"/>
  <c r="AC125" i="2"/>
  <c r="AC150" i="2" s="1"/>
  <c r="AB125" i="2"/>
  <c r="AB150" i="2" s="1"/>
  <c r="AA125" i="2"/>
  <c r="AA150" i="2" s="1"/>
  <c r="Z125" i="2"/>
  <c r="Z150" i="2" s="1"/>
  <c r="Y125" i="2"/>
  <c r="Y150" i="2" s="1"/>
  <c r="X125" i="2"/>
  <c r="X150" i="2" s="1"/>
  <c r="W125" i="2"/>
  <c r="W150" i="2" s="1"/>
  <c r="V125" i="2"/>
  <c r="V150" i="2" s="1"/>
  <c r="U125" i="2"/>
  <c r="U150" i="2" s="1"/>
  <c r="T125" i="2"/>
  <c r="T150" i="2" s="1"/>
  <c r="S125" i="2"/>
  <c r="S150" i="2" s="1"/>
  <c r="R125" i="2"/>
  <c r="R150" i="2" s="1"/>
  <c r="Q125" i="2"/>
  <c r="Q150" i="2" s="1"/>
  <c r="P125" i="2"/>
  <c r="P150" i="2" s="1"/>
  <c r="O125" i="2"/>
  <c r="O150" i="2" s="1"/>
  <c r="N125" i="2"/>
  <c r="N150" i="2" s="1"/>
  <c r="M125" i="2"/>
  <c r="M150" i="2" s="1"/>
  <c r="L125" i="2"/>
  <c r="L150" i="2" s="1"/>
  <c r="K125" i="2"/>
  <c r="K150" i="2" s="1"/>
  <c r="J125" i="2"/>
  <c r="J150" i="2" s="1"/>
  <c r="I125" i="2"/>
  <c r="I150" i="2" s="1"/>
  <c r="H125" i="2"/>
  <c r="H150" i="2" s="1"/>
  <c r="G125" i="2"/>
  <c r="G150" i="2" s="1"/>
  <c r="F125" i="2"/>
  <c r="F150" i="2" s="1"/>
  <c r="E125" i="2"/>
  <c r="E150" i="2" s="1"/>
  <c r="D125" i="2"/>
  <c r="D150" i="2" s="1"/>
  <c r="C125" i="2"/>
  <c r="C150" i="2" s="1"/>
  <c r="B125" i="2"/>
  <c r="B150" i="2" s="1"/>
  <c r="BI124" i="2"/>
  <c r="BI149" i="2" s="1"/>
  <c r="BH124" i="2"/>
  <c r="BH149" i="2" s="1"/>
  <c r="BG124" i="2"/>
  <c r="BG149" i="2" s="1"/>
  <c r="BF124" i="2"/>
  <c r="BF149" i="2" s="1"/>
  <c r="BE124" i="2"/>
  <c r="BE149" i="2" s="1"/>
  <c r="BD124" i="2"/>
  <c r="BD149" i="2" s="1"/>
  <c r="BC124" i="2"/>
  <c r="BC149" i="2" s="1"/>
  <c r="BB124" i="2"/>
  <c r="BB149" i="2" s="1"/>
  <c r="BA124" i="2"/>
  <c r="BA149" i="2" s="1"/>
  <c r="AZ124" i="2"/>
  <c r="AZ149" i="2" s="1"/>
  <c r="AY124" i="2"/>
  <c r="AY149" i="2" s="1"/>
  <c r="AX124" i="2"/>
  <c r="AX149" i="2" s="1"/>
  <c r="AW124" i="2"/>
  <c r="AW149" i="2" s="1"/>
  <c r="AV124" i="2"/>
  <c r="AV149" i="2" s="1"/>
  <c r="AU124" i="2"/>
  <c r="AU149" i="2" s="1"/>
  <c r="AT124" i="2"/>
  <c r="AT149" i="2" s="1"/>
  <c r="AS124" i="2"/>
  <c r="AS149" i="2" s="1"/>
  <c r="AR124" i="2"/>
  <c r="AR149" i="2" s="1"/>
  <c r="AQ124" i="2"/>
  <c r="AQ149" i="2" s="1"/>
  <c r="AP124" i="2"/>
  <c r="AP149" i="2" s="1"/>
  <c r="AO124" i="2"/>
  <c r="AO149" i="2" s="1"/>
  <c r="AN124" i="2"/>
  <c r="AN149" i="2" s="1"/>
  <c r="AM124" i="2"/>
  <c r="AM149" i="2" s="1"/>
  <c r="AL124" i="2"/>
  <c r="AL149" i="2" s="1"/>
  <c r="AK124" i="2"/>
  <c r="AK149" i="2" s="1"/>
  <c r="AJ124" i="2"/>
  <c r="AJ149" i="2" s="1"/>
  <c r="AI124" i="2"/>
  <c r="AI149" i="2" s="1"/>
  <c r="AH124" i="2"/>
  <c r="AH149" i="2" s="1"/>
  <c r="AG124" i="2"/>
  <c r="AG149" i="2" s="1"/>
  <c r="AF124" i="2"/>
  <c r="AF149" i="2" s="1"/>
  <c r="AE124" i="2"/>
  <c r="AE149" i="2" s="1"/>
  <c r="AD124" i="2"/>
  <c r="AD149" i="2" s="1"/>
  <c r="AC124" i="2"/>
  <c r="AC149" i="2" s="1"/>
  <c r="AB124" i="2"/>
  <c r="AB149" i="2" s="1"/>
  <c r="AA124" i="2"/>
  <c r="AA149" i="2" s="1"/>
  <c r="Z124" i="2"/>
  <c r="Z149" i="2" s="1"/>
  <c r="Y124" i="2"/>
  <c r="Y149" i="2" s="1"/>
  <c r="X124" i="2"/>
  <c r="X149" i="2" s="1"/>
  <c r="W124" i="2"/>
  <c r="W149" i="2" s="1"/>
  <c r="V124" i="2"/>
  <c r="V149" i="2" s="1"/>
  <c r="U124" i="2"/>
  <c r="U149" i="2" s="1"/>
  <c r="T124" i="2"/>
  <c r="T149" i="2" s="1"/>
  <c r="S124" i="2"/>
  <c r="S149" i="2" s="1"/>
  <c r="R124" i="2"/>
  <c r="R149" i="2" s="1"/>
  <c r="Q124" i="2"/>
  <c r="Q149" i="2" s="1"/>
  <c r="P124" i="2"/>
  <c r="P149" i="2" s="1"/>
  <c r="O124" i="2"/>
  <c r="O149" i="2" s="1"/>
  <c r="N124" i="2"/>
  <c r="N149" i="2" s="1"/>
  <c r="M124" i="2"/>
  <c r="M149" i="2" s="1"/>
  <c r="L124" i="2"/>
  <c r="L149" i="2" s="1"/>
  <c r="K124" i="2"/>
  <c r="K149" i="2" s="1"/>
  <c r="J124" i="2"/>
  <c r="J149" i="2" s="1"/>
  <c r="I124" i="2"/>
  <c r="I149" i="2" s="1"/>
  <c r="H124" i="2"/>
  <c r="H149" i="2" s="1"/>
  <c r="G124" i="2"/>
  <c r="G149" i="2" s="1"/>
  <c r="F124" i="2"/>
  <c r="F149" i="2" s="1"/>
  <c r="E124" i="2"/>
  <c r="E149" i="2" s="1"/>
  <c r="D124" i="2"/>
  <c r="D149" i="2" s="1"/>
  <c r="C124" i="2"/>
  <c r="C149" i="2" s="1"/>
  <c r="B124" i="2"/>
  <c r="B149" i="2" s="1"/>
  <c r="BI123" i="2"/>
  <c r="BI148" i="2" s="1"/>
  <c r="BH123" i="2"/>
  <c r="BH148" i="2" s="1"/>
  <c r="BG123" i="2"/>
  <c r="BG148" i="2" s="1"/>
  <c r="BF123" i="2"/>
  <c r="BF148" i="2" s="1"/>
  <c r="BE123" i="2"/>
  <c r="BE148" i="2" s="1"/>
  <c r="BD123" i="2"/>
  <c r="BC123" i="2"/>
  <c r="BC148" i="2" s="1"/>
  <c r="BB123" i="2"/>
  <c r="BB148" i="2" s="1"/>
  <c r="BA123" i="2"/>
  <c r="BA148" i="2" s="1"/>
  <c r="AZ123" i="2"/>
  <c r="AZ148" i="2" s="1"/>
  <c r="AY123" i="2"/>
  <c r="AY148" i="2" s="1"/>
  <c r="AX123" i="2"/>
  <c r="AX148" i="2" s="1"/>
  <c r="AW123" i="2"/>
  <c r="AW148" i="2" s="1"/>
  <c r="AV123" i="2"/>
  <c r="AU123" i="2"/>
  <c r="AU148" i="2" s="1"/>
  <c r="AT123" i="2"/>
  <c r="AS123" i="2"/>
  <c r="AS148" i="2" s="1"/>
  <c r="AR123" i="2"/>
  <c r="AR148" i="2" s="1"/>
  <c r="AQ123" i="2"/>
  <c r="AQ148" i="2" s="1"/>
  <c r="AP123" i="2"/>
  <c r="AP148" i="2" s="1"/>
  <c r="AO123" i="2"/>
  <c r="AO148" i="2" s="1"/>
  <c r="AN123" i="2"/>
  <c r="AM123" i="2"/>
  <c r="AM148" i="2" s="1"/>
  <c r="AL123" i="2"/>
  <c r="AK123" i="2"/>
  <c r="AK148" i="2" s="1"/>
  <c r="AJ123" i="2"/>
  <c r="AJ148" i="2" s="1"/>
  <c r="AI123" i="2"/>
  <c r="AI148" i="2" s="1"/>
  <c r="AH123" i="2"/>
  <c r="AH148" i="2" s="1"/>
  <c r="AG123" i="2"/>
  <c r="AG148" i="2" s="1"/>
  <c r="AF123" i="2"/>
  <c r="AE123" i="2"/>
  <c r="AE148" i="2" s="1"/>
  <c r="AD123" i="2"/>
  <c r="AC123" i="2"/>
  <c r="AC148" i="2" s="1"/>
  <c r="AB123" i="2"/>
  <c r="AB148" i="2" s="1"/>
  <c r="AA123" i="2"/>
  <c r="AA148" i="2" s="1"/>
  <c r="Z123" i="2"/>
  <c r="Z148" i="2" s="1"/>
  <c r="Y123" i="2"/>
  <c r="Y148" i="2" s="1"/>
  <c r="X123" i="2"/>
  <c r="W123" i="2"/>
  <c r="W148" i="2" s="1"/>
  <c r="V123" i="2"/>
  <c r="U123" i="2"/>
  <c r="U148" i="2" s="1"/>
  <c r="T123" i="2"/>
  <c r="T148" i="2" s="1"/>
  <c r="S123" i="2"/>
  <c r="S148" i="2" s="1"/>
  <c r="R123" i="2"/>
  <c r="R148" i="2" s="1"/>
  <c r="Q123" i="2"/>
  <c r="Q148" i="2" s="1"/>
  <c r="P123" i="2"/>
  <c r="O123" i="2"/>
  <c r="O148" i="2" s="1"/>
  <c r="N123" i="2"/>
  <c r="M123" i="2"/>
  <c r="M148" i="2" s="1"/>
  <c r="L123" i="2"/>
  <c r="L148" i="2" s="1"/>
  <c r="K123" i="2"/>
  <c r="K148" i="2" s="1"/>
  <c r="J123" i="2"/>
  <c r="J148" i="2" s="1"/>
  <c r="I123" i="2"/>
  <c r="I148" i="2" s="1"/>
  <c r="H123" i="2"/>
  <c r="G123" i="2"/>
  <c r="G148" i="2" s="1"/>
  <c r="F123" i="2"/>
  <c r="E123" i="2"/>
  <c r="E148" i="2" s="1"/>
  <c r="D123" i="2"/>
  <c r="D148" i="2" s="1"/>
  <c r="C123" i="2"/>
  <c r="C148" i="2" s="1"/>
  <c r="B123" i="2"/>
  <c r="B148" i="2" s="1"/>
  <c r="BI122" i="2"/>
  <c r="BI147" i="2" s="1"/>
  <c r="BH122" i="2"/>
  <c r="BG122" i="2"/>
  <c r="BG147" i="2" s="1"/>
  <c r="BF122" i="2"/>
  <c r="BE122" i="2"/>
  <c r="BE147" i="2" s="1"/>
  <c r="BD122" i="2"/>
  <c r="BD147" i="2" s="1"/>
  <c r="BC122" i="2"/>
  <c r="BC147" i="2" s="1"/>
  <c r="BB122" i="2"/>
  <c r="BA122" i="2"/>
  <c r="BA147" i="2" s="1"/>
  <c r="AZ122" i="2"/>
  <c r="AY122" i="2"/>
  <c r="AY147" i="2" s="1"/>
  <c r="AX122" i="2"/>
  <c r="AW122" i="2"/>
  <c r="AW147" i="2" s="1"/>
  <c r="AV122" i="2"/>
  <c r="AV147" i="2" s="1"/>
  <c r="AU122" i="2"/>
  <c r="AU147" i="2" s="1"/>
  <c r="AT122" i="2"/>
  <c r="AT147" i="2" s="1"/>
  <c r="AS122" i="2"/>
  <c r="AS147" i="2" s="1"/>
  <c r="AR122" i="2"/>
  <c r="AR147" i="2" s="1"/>
  <c r="AQ122" i="2"/>
  <c r="AQ147" i="2" s="1"/>
  <c r="AP122" i="2"/>
  <c r="AO122" i="2"/>
  <c r="AO147" i="2" s="1"/>
  <c r="AN122" i="2"/>
  <c r="AN147" i="2" s="1"/>
  <c r="AM122" i="2"/>
  <c r="AM147" i="2" s="1"/>
  <c r="AL122" i="2"/>
  <c r="AL147" i="2" s="1"/>
  <c r="AK122" i="2"/>
  <c r="AK147" i="2" s="1"/>
  <c r="AJ122" i="2"/>
  <c r="AJ147" i="2" s="1"/>
  <c r="AI122" i="2"/>
  <c r="AI147" i="2" s="1"/>
  <c r="AH122" i="2"/>
  <c r="AG122" i="2"/>
  <c r="AG147" i="2" s="1"/>
  <c r="AF122" i="2"/>
  <c r="AF147" i="2" s="1"/>
  <c r="AE122" i="2"/>
  <c r="AE147" i="2" s="1"/>
  <c r="AD122" i="2"/>
  <c r="AD147" i="2" s="1"/>
  <c r="AC122" i="2"/>
  <c r="AC147" i="2" s="1"/>
  <c r="AB122" i="2"/>
  <c r="AA122" i="2"/>
  <c r="AA147" i="2" s="1"/>
  <c r="Z122" i="2"/>
  <c r="Y122" i="2"/>
  <c r="Y147" i="2" s="1"/>
  <c r="X122" i="2"/>
  <c r="X147" i="2" s="1"/>
  <c r="W122" i="2"/>
  <c r="W147" i="2" s="1"/>
  <c r="V122" i="2"/>
  <c r="V147" i="2" s="1"/>
  <c r="U122" i="2"/>
  <c r="U147" i="2" s="1"/>
  <c r="T122" i="2"/>
  <c r="S122" i="2"/>
  <c r="S147" i="2" s="1"/>
  <c r="R122" i="2"/>
  <c r="Q122" i="2"/>
  <c r="Q147" i="2" s="1"/>
  <c r="P122" i="2"/>
  <c r="P147" i="2" s="1"/>
  <c r="O122" i="2"/>
  <c r="O147" i="2" s="1"/>
  <c r="N122" i="2"/>
  <c r="N147" i="2" s="1"/>
  <c r="M122" i="2"/>
  <c r="M147" i="2" s="1"/>
  <c r="L122" i="2"/>
  <c r="K122" i="2"/>
  <c r="K147" i="2" s="1"/>
  <c r="J122" i="2"/>
  <c r="I122" i="2"/>
  <c r="I147" i="2" s="1"/>
  <c r="H122" i="2"/>
  <c r="H147" i="2" s="1"/>
  <c r="G122" i="2"/>
  <c r="G147" i="2" s="1"/>
  <c r="F122" i="2"/>
  <c r="F147" i="2" s="1"/>
  <c r="E122" i="2"/>
  <c r="E147" i="2" s="1"/>
  <c r="D122" i="2"/>
  <c r="C122" i="2"/>
  <c r="C147" i="2" s="1"/>
  <c r="B122" i="2"/>
  <c r="BJ141" i="2"/>
  <c r="BJ140" i="2"/>
  <c r="BJ165" i="2" s="1"/>
  <c r="BJ139" i="2"/>
  <c r="BJ138" i="2"/>
  <c r="BJ136" i="2"/>
  <c r="BJ133" i="2"/>
  <c r="BJ158" i="2" s="1"/>
  <c r="BJ132" i="2"/>
  <c r="BJ157" i="2" s="1"/>
  <c r="BJ131" i="2"/>
  <c r="BJ156" i="2" s="1"/>
  <c r="BJ130" i="2"/>
  <c r="BJ155" i="2" s="1"/>
  <c r="BJ129" i="2"/>
  <c r="BJ154" i="2" s="1"/>
  <c r="BJ128" i="2"/>
  <c r="BJ153" i="2" s="1"/>
  <c r="BJ127" i="2"/>
  <c r="BJ152" i="2" s="1"/>
  <c r="BJ126" i="2"/>
  <c r="BJ125" i="2"/>
  <c r="BJ124" i="2"/>
  <c r="BJ123" i="2"/>
  <c r="BJ122" i="2"/>
  <c r="DT117" i="2"/>
  <c r="DS117" i="2"/>
  <c r="DR117" i="2"/>
  <c r="DP117" i="2"/>
  <c r="DO117" i="2"/>
  <c r="DN117" i="2"/>
  <c r="DM117" i="2"/>
  <c r="DK117" i="2"/>
  <c r="DJ117" i="2"/>
  <c r="DI117" i="2"/>
  <c r="DH117" i="2"/>
  <c r="DF117" i="2"/>
  <c r="DE117" i="2"/>
  <c r="DD117" i="2"/>
  <c r="DC117" i="2"/>
  <c r="DA117" i="2"/>
  <c r="CZ117" i="2"/>
  <c r="CY117" i="2"/>
  <c r="CX117" i="2"/>
  <c r="CV117" i="2"/>
  <c r="CU117" i="2"/>
  <c r="CT117" i="2"/>
  <c r="CS117" i="2"/>
  <c r="CQ117" i="2"/>
  <c r="CP117" i="2"/>
  <c r="CO117" i="2"/>
  <c r="CN117" i="2"/>
  <c r="CL117" i="2"/>
  <c r="CK117" i="2"/>
  <c r="CJ117" i="2"/>
  <c r="CI117" i="2"/>
  <c r="CG117" i="2"/>
  <c r="CF117" i="2"/>
  <c r="CE117" i="2"/>
  <c r="CD117" i="2"/>
  <c r="CB117" i="2"/>
  <c r="CA117" i="2"/>
  <c r="BZ117" i="2"/>
  <c r="BY117" i="2"/>
  <c r="BW117" i="2"/>
  <c r="BV117" i="2"/>
  <c r="BU117" i="2"/>
  <c r="BT117" i="2"/>
  <c r="BR117" i="2"/>
  <c r="BQ117" i="2"/>
  <c r="BP117" i="2"/>
  <c r="BO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DT73" i="2"/>
  <c r="DS73" i="2"/>
  <c r="DR73" i="2"/>
  <c r="DP73" i="2"/>
  <c r="DO73" i="2"/>
  <c r="DN73" i="2"/>
  <c r="DM73" i="2"/>
  <c r="DF73" i="2"/>
  <c r="DE73" i="2"/>
  <c r="DD73" i="2"/>
  <c r="DC73" i="2"/>
  <c r="DA73" i="2"/>
  <c r="CZ73" i="2"/>
  <c r="CY73" i="2"/>
  <c r="CX73" i="2"/>
  <c r="CV73" i="2"/>
  <c r="CU73" i="2"/>
  <c r="CT73" i="2"/>
  <c r="CS73" i="2"/>
  <c r="CQ73" i="2"/>
  <c r="CP73" i="2"/>
  <c r="CO73" i="2"/>
  <c r="CN73" i="2"/>
  <c r="CL73" i="2"/>
  <c r="CK73" i="2"/>
  <c r="CJ73" i="2"/>
  <c r="CI73" i="2"/>
  <c r="CG73" i="2"/>
  <c r="CF73" i="2"/>
  <c r="CE73" i="2"/>
  <c r="CD73" i="2"/>
  <c r="CB73" i="2"/>
  <c r="CA73" i="2"/>
  <c r="BZ73" i="2"/>
  <c r="BY73" i="2"/>
  <c r="BW73" i="2"/>
  <c r="BV73" i="2"/>
  <c r="BU73" i="2"/>
  <c r="BT73" i="2"/>
  <c r="BR73" i="2"/>
  <c r="BQ73" i="2"/>
  <c r="BP73" i="2"/>
  <c r="BO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CH138" i="2" l="1"/>
  <c r="BS125" i="2"/>
  <c r="BS62" i="7" s="1"/>
  <c r="DG131" i="2"/>
  <c r="DG156" i="2" s="1"/>
  <c r="DL122" i="2"/>
  <c r="DL59" i="7" s="1"/>
  <c r="DL130" i="2"/>
  <c r="CH122" i="2"/>
  <c r="CH59" i="7" s="1"/>
  <c r="DQ130" i="2"/>
  <c r="DQ155" i="2" s="1"/>
  <c r="DQ122" i="7" s="1"/>
  <c r="BX126" i="2"/>
  <c r="BX63" i="7" s="1"/>
  <c r="CC125" i="2"/>
  <c r="CC150" i="2" s="1"/>
  <c r="CC117" i="7" s="1"/>
  <c r="CW126" i="2"/>
  <c r="CW63" i="7" s="1"/>
  <c r="BS138" i="2"/>
  <c r="BS163" i="2" s="1"/>
  <c r="BS130" i="7" s="1"/>
  <c r="CR126" i="2"/>
  <c r="CR63" i="7" s="1"/>
  <c r="BX122" i="2"/>
  <c r="BX59" i="7" s="1"/>
  <c r="CM124" i="2"/>
  <c r="CM61" i="7" s="1"/>
  <c r="CM122" i="2"/>
  <c r="CM147" i="2" s="1"/>
  <c r="CM114" i="7" s="1"/>
  <c r="BN126" i="2"/>
  <c r="BN63" i="7" s="1"/>
  <c r="BN127" i="2"/>
  <c r="BN152" i="2" s="1"/>
  <c r="BX138" i="2"/>
  <c r="BX163" i="2" s="1"/>
  <c r="BX130" i="7" s="1"/>
  <c r="DQ126" i="2"/>
  <c r="DQ151" i="2" s="1"/>
  <c r="DQ118" i="7" s="1"/>
  <c r="CM138" i="2"/>
  <c r="CM163" i="2" s="1"/>
  <c r="CM130" i="7" s="1"/>
  <c r="DG140" i="2"/>
  <c r="DG165" i="2" s="1"/>
  <c r="DQ127" i="2"/>
  <c r="DQ152" i="2" s="1"/>
  <c r="DQ119" i="7" s="1"/>
  <c r="DG139" i="2"/>
  <c r="DG164" i="2" s="1"/>
  <c r="DL127" i="2"/>
  <c r="DL64" i="7" s="1"/>
  <c r="DB141" i="2"/>
  <c r="DL128" i="2"/>
  <c r="DL65" i="7" s="1"/>
  <c r="CH125" i="2"/>
  <c r="CH150" i="2" s="1"/>
  <c r="CH117" i="7" s="1"/>
  <c r="CM126" i="2"/>
  <c r="CM63" i="7" s="1"/>
  <c r="CM127" i="2"/>
  <c r="CM64" i="7" s="1"/>
  <c r="BN138" i="2"/>
  <c r="BN163" i="2" s="1"/>
  <c r="BN130" i="7" s="1"/>
  <c r="DG124" i="2"/>
  <c r="DG61" i="7" s="1"/>
  <c r="DG132" i="2"/>
  <c r="DG157" i="2" s="1"/>
  <c r="BN139" i="2"/>
  <c r="BN164" i="2" s="1"/>
  <c r="BN133" i="7" s="1"/>
  <c r="BS127" i="2"/>
  <c r="BS152" i="2" s="1"/>
  <c r="DB125" i="2"/>
  <c r="DB150" i="2" s="1"/>
  <c r="DB117" i="7" s="1"/>
  <c r="DB133" i="2"/>
  <c r="DB158" i="2" s="1"/>
  <c r="CC92" i="2"/>
  <c r="BX92" i="2"/>
  <c r="DK167" i="5"/>
  <c r="DK158" i="7"/>
  <c r="DK164" i="7" s="1"/>
  <c r="DL158" i="7"/>
  <c r="DL164" i="7" s="1"/>
  <c r="DL167" i="5"/>
  <c r="BS130" i="2"/>
  <c r="BS155" i="2" s="1"/>
  <c r="BX130" i="2"/>
  <c r="BX155" i="2" s="1"/>
  <c r="CR130" i="2"/>
  <c r="CR155" i="2" s="1"/>
  <c r="CC124" i="2"/>
  <c r="CC61" i="7" s="1"/>
  <c r="CC132" i="2"/>
  <c r="CC157" i="2" s="1"/>
  <c r="BX125" i="2"/>
  <c r="BX150" i="2" s="1"/>
  <c r="BX117" i="7" s="1"/>
  <c r="CC138" i="2"/>
  <c r="CC163" i="2" s="1"/>
  <c r="CC130" i="7" s="1"/>
  <c r="CH126" i="2"/>
  <c r="CH63" i="7" s="1"/>
  <c r="CM125" i="2"/>
  <c r="CM150" i="2" s="1"/>
  <c r="CM117" i="7" s="1"/>
  <c r="CM133" i="2"/>
  <c r="CM158" i="2" s="1"/>
  <c r="BX133" i="2"/>
  <c r="BX158" i="2" s="1"/>
  <c r="CR125" i="2"/>
  <c r="CR62" i="7" s="1"/>
  <c r="CR133" i="2"/>
  <c r="CR158" i="2" s="1"/>
  <c r="DB132" i="2"/>
  <c r="DB157" i="2" s="1"/>
  <c r="BS124" i="2"/>
  <c r="BS61" i="7" s="1"/>
  <c r="BS132" i="2"/>
  <c r="BS157" i="2" s="1"/>
  <c r="BX132" i="2"/>
  <c r="BX157" i="2" s="1"/>
  <c r="CR124" i="2"/>
  <c r="CR149" i="2" s="1"/>
  <c r="CR116" i="7" s="1"/>
  <c r="CR132" i="2"/>
  <c r="CR157" i="2" s="1"/>
  <c r="BS128" i="2"/>
  <c r="BS153" i="2" s="1"/>
  <c r="BS129" i="2"/>
  <c r="BS154" i="2" s="1"/>
  <c r="BS92" i="2"/>
  <c r="DB92" i="2"/>
  <c r="CR129" i="2"/>
  <c r="CR154" i="2" s="1"/>
  <c r="BN92" i="2"/>
  <c r="DL92" i="2"/>
  <c r="CC129" i="2"/>
  <c r="CC154" i="2" s="1"/>
  <c r="CW92" i="2"/>
  <c r="CH129" i="2"/>
  <c r="CH154" i="2" s="1"/>
  <c r="CR92" i="2"/>
  <c r="BN140" i="2"/>
  <c r="BN165" i="2" s="1"/>
  <c r="CM92" i="2"/>
  <c r="CH92" i="2"/>
  <c r="DG92" i="2"/>
  <c r="DQ92" i="2"/>
  <c r="CW140" i="2"/>
  <c r="CW165" i="2" s="1"/>
  <c r="DQ141" i="2"/>
  <c r="BN155" i="2"/>
  <c r="BJ148" i="2"/>
  <c r="BJ115" i="7" s="1"/>
  <c r="BJ60" i="7"/>
  <c r="BN129" i="2"/>
  <c r="BN154" i="2" s="1"/>
  <c r="BS139" i="2"/>
  <c r="BS78" i="7" s="1"/>
  <c r="BX127" i="2"/>
  <c r="BX152" i="2" s="1"/>
  <c r="CW128" i="2"/>
  <c r="CW153" i="2" s="1"/>
  <c r="CW120" i="7" s="1"/>
  <c r="CW139" i="2"/>
  <c r="CW164" i="2" s="1"/>
  <c r="CR127" i="2"/>
  <c r="CR64" i="7" s="1"/>
  <c r="CR138" i="2"/>
  <c r="CR163" i="2" s="1"/>
  <c r="CR130" i="7" s="1"/>
  <c r="DG126" i="2"/>
  <c r="DG63" i="7" s="1"/>
  <c r="DG136" i="2"/>
  <c r="DG161" i="2" s="1"/>
  <c r="DG128" i="7" s="1"/>
  <c r="DL125" i="2"/>
  <c r="DL62" i="7" s="1"/>
  <c r="DL133" i="2"/>
  <c r="DL158" i="2" s="1"/>
  <c r="DQ124" i="2"/>
  <c r="DQ61" i="7" s="1"/>
  <c r="DQ132" i="2"/>
  <c r="DQ157" i="2" s="1"/>
  <c r="BJ149" i="2"/>
  <c r="BJ116" i="7" s="1"/>
  <c r="BJ61" i="7"/>
  <c r="BJ150" i="2"/>
  <c r="BJ117" i="7" s="1"/>
  <c r="BJ62" i="7"/>
  <c r="BJ151" i="2"/>
  <c r="BJ118" i="7" s="1"/>
  <c r="BJ63" i="7"/>
  <c r="BJ163" i="2"/>
  <c r="BJ130" i="7" s="1"/>
  <c r="BJ75" i="7"/>
  <c r="BJ161" i="2"/>
  <c r="BJ164" i="2"/>
  <c r="BJ133" i="7" s="1"/>
  <c r="BJ78" i="7"/>
  <c r="CC123" i="2"/>
  <c r="CC148" i="2" s="1"/>
  <c r="CC115" i="7" s="1"/>
  <c r="CC131" i="2"/>
  <c r="CC156" i="2" s="1"/>
  <c r="CH130" i="2"/>
  <c r="CH155" i="2" s="1"/>
  <c r="CM129" i="2"/>
  <c r="CM154" i="2" s="1"/>
  <c r="BJ147" i="2"/>
  <c r="BJ114" i="7" s="1"/>
  <c r="BJ59" i="7"/>
  <c r="BJ166" i="2"/>
  <c r="DH62" i="2"/>
  <c r="DI62" i="2" s="1"/>
  <c r="DH63" i="2"/>
  <c r="DH64" i="2"/>
  <c r="DH70" i="2"/>
  <c r="DI70" i="2" s="1"/>
  <c r="CH163" i="2"/>
  <c r="CH130" i="7" s="1"/>
  <c r="CH75" i="7"/>
  <c r="CM161" i="2"/>
  <c r="CM128" i="7" s="1"/>
  <c r="CM73" i="7"/>
  <c r="CY148" i="2"/>
  <c r="CY115" i="7" s="1"/>
  <c r="CY60" i="7"/>
  <c r="BT147" i="2"/>
  <c r="BT114" i="7" s="1"/>
  <c r="BT59" i="7"/>
  <c r="CB147" i="2"/>
  <c r="CB114" i="7" s="1"/>
  <c r="CB59" i="7"/>
  <c r="CK147" i="2"/>
  <c r="CK114" i="7" s="1"/>
  <c r="CK59" i="7"/>
  <c r="CS147" i="2"/>
  <c r="CS114" i="7" s="1"/>
  <c r="CS59" i="7"/>
  <c r="DA147" i="2"/>
  <c r="DA114" i="7" s="1"/>
  <c r="DA59" i="7"/>
  <c r="DK147" i="2"/>
  <c r="DK114" i="7" s="1"/>
  <c r="DK59" i="7"/>
  <c r="BK148" i="2"/>
  <c r="BK115" i="7" s="1"/>
  <c r="BK60" i="7"/>
  <c r="BU148" i="2"/>
  <c r="BU115" i="7" s="1"/>
  <c r="BU60" i="7"/>
  <c r="CO148" i="2"/>
  <c r="CO115" i="7" s="1"/>
  <c r="CO60" i="7"/>
  <c r="CZ148" i="2"/>
  <c r="CZ115" i="7" s="1"/>
  <c r="CZ60" i="7"/>
  <c r="DJ148" i="2"/>
  <c r="DJ115" i="7" s="1"/>
  <c r="DJ60" i="7"/>
  <c r="BL149" i="2"/>
  <c r="BL116" i="7" s="1"/>
  <c r="BL61" i="7"/>
  <c r="BU149" i="2"/>
  <c r="BU116" i="7" s="1"/>
  <c r="BU61" i="7"/>
  <c r="CD149" i="2"/>
  <c r="CD116" i="7" s="1"/>
  <c r="CD61" i="7"/>
  <c r="CN149" i="2"/>
  <c r="CN116" i="7" s="1"/>
  <c r="CN61" i="7"/>
  <c r="DD149" i="2"/>
  <c r="DD116" i="7" s="1"/>
  <c r="DD61" i="7"/>
  <c r="DM149" i="2"/>
  <c r="DM116" i="7" s="1"/>
  <c r="DM61" i="7"/>
  <c r="BO150" i="2"/>
  <c r="BO117" i="7" s="1"/>
  <c r="BO62" i="7"/>
  <c r="BW150" i="2"/>
  <c r="BW117" i="7" s="1"/>
  <c r="BW62" i="7"/>
  <c r="CF150" i="2"/>
  <c r="CF117" i="7" s="1"/>
  <c r="CF62" i="7"/>
  <c r="CO150" i="2"/>
  <c r="CO117" i="7" s="1"/>
  <c r="CO62" i="7"/>
  <c r="CX150" i="2"/>
  <c r="CX117" i="7" s="1"/>
  <c r="CX62" i="7"/>
  <c r="DH150" i="2"/>
  <c r="DH117" i="7" s="1"/>
  <c r="DH62" i="7"/>
  <c r="BT151" i="2"/>
  <c r="BT118" i="7" s="1"/>
  <c r="BT63" i="7"/>
  <c r="CD151" i="2"/>
  <c r="CD118" i="7" s="1"/>
  <c r="CD63" i="7"/>
  <c r="CL151" i="2"/>
  <c r="CL118" i="7" s="1"/>
  <c r="CL63" i="7"/>
  <c r="CU151" i="2"/>
  <c r="CU118" i="7" s="1"/>
  <c r="CU63" i="7"/>
  <c r="DD151" i="2"/>
  <c r="DD118" i="7" s="1"/>
  <c r="DD63" i="7"/>
  <c r="DN151" i="2"/>
  <c r="DN118" i="7" s="1"/>
  <c r="DN63" i="7"/>
  <c r="CE152" i="2"/>
  <c r="CE119" i="7" s="1"/>
  <c r="CE64" i="7"/>
  <c r="CN152" i="2"/>
  <c r="CN119" i="7" s="1"/>
  <c r="CN64" i="7"/>
  <c r="CX152" i="2"/>
  <c r="CX119" i="7" s="1"/>
  <c r="CX64" i="7"/>
  <c r="DH152" i="2"/>
  <c r="DH119" i="7" s="1"/>
  <c r="DH64" i="7"/>
  <c r="DP152" i="2"/>
  <c r="DP119" i="7" s="1"/>
  <c r="DP64" i="7"/>
  <c r="CL153" i="2"/>
  <c r="CL120" i="7" s="1"/>
  <c r="CL65" i="7"/>
  <c r="DF153" i="2"/>
  <c r="DF120" i="7" s="1"/>
  <c r="DF65" i="7"/>
  <c r="DP153" i="2"/>
  <c r="DP120" i="7" s="1"/>
  <c r="DP65" i="7"/>
  <c r="DM154" i="2"/>
  <c r="DM121" i="7" s="1"/>
  <c r="DM66" i="7"/>
  <c r="DH155" i="2"/>
  <c r="DH122" i="7" s="1"/>
  <c r="DH67" i="7"/>
  <c r="DR156" i="2"/>
  <c r="DR123" i="7" s="1"/>
  <c r="DR68" i="7"/>
  <c r="BM161" i="2"/>
  <c r="BW161" i="2"/>
  <c r="BW128" i="7" s="1"/>
  <c r="BW73" i="7"/>
  <c r="CG161" i="2"/>
  <c r="CG128" i="7" s="1"/>
  <c r="CG73" i="7"/>
  <c r="CO161" i="2"/>
  <c r="CO128" i="7" s="1"/>
  <c r="CO73" i="7"/>
  <c r="CX161" i="2"/>
  <c r="CX128" i="7" s="1"/>
  <c r="CX73" i="7"/>
  <c r="DH161" i="2"/>
  <c r="DH128" i="7" s="1"/>
  <c r="DH73" i="7"/>
  <c r="DR161" i="2"/>
  <c r="DR128" i="7" s="1"/>
  <c r="DR73" i="7"/>
  <c r="BR163" i="2"/>
  <c r="BR130" i="7" s="1"/>
  <c r="BR75" i="7"/>
  <c r="CB163" i="2"/>
  <c r="CB130" i="7" s="1"/>
  <c r="CB75" i="7"/>
  <c r="CK163" i="2"/>
  <c r="CK130" i="7" s="1"/>
  <c r="CK75" i="7"/>
  <c r="DE163" i="2"/>
  <c r="DE130" i="7" s="1"/>
  <c r="DE75" i="7"/>
  <c r="DO163" i="2"/>
  <c r="DO130" i="7" s="1"/>
  <c r="DO75" i="7"/>
  <c r="BQ164" i="2"/>
  <c r="BQ133" i="7" s="1"/>
  <c r="BQ78" i="7"/>
  <c r="CA164" i="2"/>
  <c r="CK164" i="2"/>
  <c r="CU164" i="2"/>
  <c r="DE164" i="2"/>
  <c r="DN164" i="2"/>
  <c r="BO166" i="2"/>
  <c r="BY166" i="2"/>
  <c r="CI166" i="2"/>
  <c r="DA166" i="2"/>
  <c r="DK166" i="2"/>
  <c r="DT151" i="2"/>
  <c r="DT118" i="7" s="1"/>
  <c r="DT63" i="7"/>
  <c r="DT155" i="2"/>
  <c r="DT122" i="7" s="1"/>
  <c r="DT67" i="7"/>
  <c r="DT161" i="2"/>
  <c r="DT128" i="7" s="1"/>
  <c r="DT73" i="7"/>
  <c r="DT166" i="2"/>
  <c r="CC151" i="2"/>
  <c r="CC118" i="7" s="1"/>
  <c r="CC63" i="7"/>
  <c r="CC161" i="2"/>
  <c r="CC128" i="7" s="1"/>
  <c r="CC73" i="7"/>
  <c r="BU147" i="2"/>
  <c r="BU114" i="7" s="1"/>
  <c r="BU59" i="7"/>
  <c r="CD147" i="2"/>
  <c r="CD114" i="7" s="1"/>
  <c r="CD59" i="7"/>
  <c r="CL147" i="2"/>
  <c r="CL114" i="7" s="1"/>
  <c r="CL59" i="7"/>
  <c r="CT147" i="2"/>
  <c r="CT114" i="7" s="1"/>
  <c r="CT59" i="7"/>
  <c r="DC147" i="2"/>
  <c r="DC114" i="7" s="1"/>
  <c r="DC59" i="7"/>
  <c r="BL148" i="2"/>
  <c r="BL115" i="7" s="1"/>
  <c r="BL60" i="7"/>
  <c r="BV148" i="2"/>
  <c r="BV115" i="7" s="1"/>
  <c r="BV60" i="7"/>
  <c r="CF148" i="2"/>
  <c r="CF115" i="7" s="1"/>
  <c r="CF60" i="7"/>
  <c r="CP148" i="2"/>
  <c r="CP115" i="7" s="1"/>
  <c r="CP60" i="7"/>
  <c r="DA148" i="2"/>
  <c r="DA115" i="7" s="1"/>
  <c r="DA60" i="7"/>
  <c r="BM149" i="2"/>
  <c r="BM116" i="7" s="1"/>
  <c r="BM61" i="7"/>
  <c r="BV149" i="2"/>
  <c r="BV116" i="7" s="1"/>
  <c r="BV61" i="7"/>
  <c r="CE149" i="2"/>
  <c r="CE116" i="7" s="1"/>
  <c r="CE61" i="7"/>
  <c r="CO149" i="2"/>
  <c r="CO116" i="7" s="1"/>
  <c r="CO61" i="7"/>
  <c r="DE149" i="2"/>
  <c r="DE116" i="7" s="1"/>
  <c r="DE61" i="7"/>
  <c r="DN149" i="2"/>
  <c r="DN116" i="7" s="1"/>
  <c r="DN61" i="7"/>
  <c r="BP150" i="2"/>
  <c r="BP117" i="7" s="1"/>
  <c r="BP62" i="7"/>
  <c r="CG150" i="2"/>
  <c r="CG117" i="7" s="1"/>
  <c r="CG62" i="7"/>
  <c r="CP150" i="2"/>
  <c r="CP117" i="7" s="1"/>
  <c r="CP62" i="7"/>
  <c r="CY150" i="2"/>
  <c r="CY117" i="7" s="1"/>
  <c r="CY62" i="7"/>
  <c r="DI150" i="2"/>
  <c r="DI117" i="7" s="1"/>
  <c r="DI62" i="7"/>
  <c r="BK151" i="2"/>
  <c r="BK118" i="7" s="1"/>
  <c r="BK63" i="7"/>
  <c r="BU151" i="2"/>
  <c r="BU118" i="7" s="1"/>
  <c r="BU63" i="7"/>
  <c r="CE151" i="2"/>
  <c r="CE118" i="7" s="1"/>
  <c r="CE63" i="7"/>
  <c r="DE151" i="2"/>
  <c r="DE118" i="7" s="1"/>
  <c r="DE63" i="7"/>
  <c r="DO151" i="2"/>
  <c r="DO118" i="7" s="1"/>
  <c r="DO63" i="7"/>
  <c r="CF152" i="2"/>
  <c r="CF119" i="7" s="1"/>
  <c r="CF64" i="7"/>
  <c r="CO152" i="2"/>
  <c r="CO119" i="7" s="1"/>
  <c r="CO64" i="7"/>
  <c r="CY152" i="2"/>
  <c r="CY119" i="7" s="1"/>
  <c r="CY64" i="7"/>
  <c r="DI152" i="2"/>
  <c r="DI119" i="7" s="1"/>
  <c r="DI64" i="7"/>
  <c r="DR152" i="2"/>
  <c r="DR119" i="7" s="1"/>
  <c r="DR64" i="7"/>
  <c r="CN153" i="2"/>
  <c r="CN120" i="7" s="1"/>
  <c r="CN65" i="7"/>
  <c r="CX153" i="2"/>
  <c r="CX120" i="7" s="1"/>
  <c r="CX65" i="7"/>
  <c r="DH153" i="2"/>
  <c r="DH120" i="7" s="1"/>
  <c r="DH65" i="7"/>
  <c r="DR153" i="2"/>
  <c r="DR120" i="7" s="1"/>
  <c r="DR65" i="7"/>
  <c r="DD154" i="2"/>
  <c r="DD121" i="7" s="1"/>
  <c r="DD66" i="7"/>
  <c r="DN154" i="2"/>
  <c r="DN121" i="7" s="1"/>
  <c r="DN66" i="7"/>
  <c r="DI155" i="2"/>
  <c r="DI122" i="7" s="1"/>
  <c r="DI67" i="7"/>
  <c r="DR155" i="2"/>
  <c r="DR122" i="7" s="1"/>
  <c r="DR67" i="7"/>
  <c r="DI156" i="2"/>
  <c r="DI68" i="7"/>
  <c r="BO161" i="2"/>
  <c r="BY161" i="2"/>
  <c r="BY128" i="7" s="1"/>
  <c r="BY73" i="7"/>
  <c r="CH161" i="2"/>
  <c r="CH128" i="7" s="1"/>
  <c r="CH73" i="7"/>
  <c r="CP161" i="2"/>
  <c r="CP128" i="7" s="1"/>
  <c r="CP73" i="7"/>
  <c r="CY161" i="2"/>
  <c r="CY128" i="7" s="1"/>
  <c r="CY73" i="7"/>
  <c r="DI161" i="2"/>
  <c r="DI128" i="7" s="1"/>
  <c r="DI73" i="7"/>
  <c r="BK163" i="2"/>
  <c r="BK130" i="7" s="1"/>
  <c r="BK75" i="7"/>
  <c r="BT163" i="2"/>
  <c r="BT130" i="7" s="1"/>
  <c r="BT75" i="7"/>
  <c r="CD163" i="2"/>
  <c r="CD130" i="7" s="1"/>
  <c r="CD75" i="7"/>
  <c r="CL163" i="2"/>
  <c r="CL130" i="7" s="1"/>
  <c r="CL75" i="7"/>
  <c r="DF163" i="2"/>
  <c r="DF130" i="7" s="1"/>
  <c r="DF75" i="7"/>
  <c r="DP163" i="2"/>
  <c r="DP130" i="7" s="1"/>
  <c r="DP75" i="7"/>
  <c r="BR164" i="2"/>
  <c r="BR133" i="7" s="1"/>
  <c r="BR78" i="7"/>
  <c r="CB164" i="2"/>
  <c r="CL164" i="2"/>
  <c r="CV164" i="2"/>
  <c r="DF164" i="2"/>
  <c r="DO164" i="2"/>
  <c r="BP166" i="2"/>
  <c r="BZ166" i="2"/>
  <c r="CJ166" i="2"/>
  <c r="CT166" i="2"/>
  <c r="DC166" i="2"/>
  <c r="DM166" i="2"/>
  <c r="DS148" i="2"/>
  <c r="DS115" i="7" s="1"/>
  <c r="DS60" i="7"/>
  <c r="DS152" i="2"/>
  <c r="DS119" i="7" s="1"/>
  <c r="DS64" i="7"/>
  <c r="DS156" i="2"/>
  <c r="DS123" i="7" s="1"/>
  <c r="DS68" i="7"/>
  <c r="DS163" i="2"/>
  <c r="DS130" i="7" s="1"/>
  <c r="DS75" i="7"/>
  <c r="BN147" i="2"/>
  <c r="BN114" i="7" s="1"/>
  <c r="BN59" i="7"/>
  <c r="BX164" i="2"/>
  <c r="BL147" i="2"/>
  <c r="BL114" i="7" s="1"/>
  <c r="BL59" i="7"/>
  <c r="BV147" i="2"/>
  <c r="BV114" i="7" s="1"/>
  <c r="BV59" i="7"/>
  <c r="CE147" i="2"/>
  <c r="CE114" i="7" s="1"/>
  <c r="CE59" i="7"/>
  <c r="CU147" i="2"/>
  <c r="CU114" i="7" s="1"/>
  <c r="CU59" i="7"/>
  <c r="DD147" i="2"/>
  <c r="DD114" i="7" s="1"/>
  <c r="DD59" i="7"/>
  <c r="DM147" i="2"/>
  <c r="DM114" i="7" s="1"/>
  <c r="DM59" i="7"/>
  <c r="BM148" i="2"/>
  <c r="BM115" i="7" s="1"/>
  <c r="BM60" i="7"/>
  <c r="CG148" i="2"/>
  <c r="CG115" i="7" s="1"/>
  <c r="CG60" i="7"/>
  <c r="CQ148" i="2"/>
  <c r="CQ115" i="7" s="1"/>
  <c r="CQ60" i="7"/>
  <c r="DM148" i="2"/>
  <c r="DM115" i="7" s="1"/>
  <c r="DM60" i="7"/>
  <c r="BO149" i="2"/>
  <c r="BO116" i="7" s="1"/>
  <c r="BO61" i="7"/>
  <c r="BW149" i="2"/>
  <c r="BW116" i="7" s="1"/>
  <c r="BW61" i="7"/>
  <c r="CF149" i="2"/>
  <c r="CF116" i="7" s="1"/>
  <c r="CF61" i="7"/>
  <c r="CP149" i="2"/>
  <c r="CP116" i="7" s="1"/>
  <c r="CP61" i="7"/>
  <c r="CX149" i="2"/>
  <c r="CX116" i="7" s="1"/>
  <c r="CX61" i="7"/>
  <c r="DF149" i="2"/>
  <c r="DF116" i="7" s="1"/>
  <c r="DF61" i="7"/>
  <c r="DO149" i="2"/>
  <c r="DO116" i="7" s="1"/>
  <c r="DO61" i="7"/>
  <c r="BQ150" i="2"/>
  <c r="BQ117" i="7" s="1"/>
  <c r="BQ62" i="7"/>
  <c r="BY150" i="2"/>
  <c r="BY117" i="7" s="1"/>
  <c r="BY62" i="7"/>
  <c r="CI150" i="2"/>
  <c r="CI117" i="7" s="1"/>
  <c r="CI62" i="7"/>
  <c r="CQ150" i="2"/>
  <c r="CQ117" i="7" s="1"/>
  <c r="CQ62" i="7"/>
  <c r="CZ150" i="2"/>
  <c r="CZ117" i="7" s="1"/>
  <c r="CZ62" i="7"/>
  <c r="DJ150" i="2"/>
  <c r="DJ117" i="7" s="1"/>
  <c r="DJ62" i="7"/>
  <c r="BL151" i="2"/>
  <c r="BL118" i="7" s="1"/>
  <c r="BL63" i="7"/>
  <c r="BV151" i="2"/>
  <c r="BV118" i="7" s="1"/>
  <c r="BV63" i="7"/>
  <c r="CF151" i="2"/>
  <c r="CF118" i="7" s="1"/>
  <c r="CF63" i="7"/>
  <c r="CN151" i="2"/>
  <c r="CN118" i="7" s="1"/>
  <c r="CN63" i="7"/>
  <c r="DF151" i="2"/>
  <c r="DF118" i="7" s="1"/>
  <c r="DF63" i="7"/>
  <c r="DP151" i="2"/>
  <c r="DP118" i="7" s="1"/>
  <c r="DP63" i="7"/>
  <c r="CG152" i="2"/>
  <c r="CG119" i="7" s="1"/>
  <c r="CG64" i="7"/>
  <c r="CP152" i="2"/>
  <c r="CP119" i="7" s="1"/>
  <c r="CP64" i="7"/>
  <c r="CZ152" i="2"/>
  <c r="CZ119" i="7" s="1"/>
  <c r="CZ64" i="7"/>
  <c r="DJ152" i="2"/>
  <c r="DJ119" i="7" s="1"/>
  <c r="DJ64" i="7"/>
  <c r="CO153" i="2"/>
  <c r="CO120" i="7" s="1"/>
  <c r="CO65" i="7"/>
  <c r="CY153" i="2"/>
  <c r="CY120" i="7" s="1"/>
  <c r="CY65" i="7"/>
  <c r="DI153" i="2"/>
  <c r="DI120" i="7" s="1"/>
  <c r="DI65" i="7"/>
  <c r="DE154" i="2"/>
  <c r="DE121" i="7" s="1"/>
  <c r="DE66" i="7"/>
  <c r="DO154" i="2"/>
  <c r="DO121" i="7" s="1"/>
  <c r="DO66" i="7"/>
  <c r="DJ155" i="2"/>
  <c r="DJ122" i="7" s="1"/>
  <c r="DJ67" i="7"/>
  <c r="DJ156" i="2"/>
  <c r="DJ68" i="7"/>
  <c r="DP157" i="2"/>
  <c r="DP69" i="7"/>
  <c r="BP161" i="2"/>
  <c r="BZ161" i="2"/>
  <c r="BZ128" i="7" s="1"/>
  <c r="BZ73" i="7"/>
  <c r="CI161" i="2"/>
  <c r="CI128" i="7" s="1"/>
  <c r="CI73" i="7"/>
  <c r="CQ161" i="2"/>
  <c r="CQ128" i="7" s="1"/>
  <c r="CQ73" i="7"/>
  <c r="CZ161" i="2"/>
  <c r="CZ128" i="7" s="1"/>
  <c r="CZ73" i="7"/>
  <c r="DJ161" i="2"/>
  <c r="DJ128" i="7" s="1"/>
  <c r="DJ73" i="7"/>
  <c r="BL163" i="2"/>
  <c r="BL130" i="7" s="1"/>
  <c r="BL75" i="7"/>
  <c r="BU163" i="2"/>
  <c r="BU130" i="7" s="1"/>
  <c r="BU75" i="7"/>
  <c r="CE163" i="2"/>
  <c r="CE130" i="7" s="1"/>
  <c r="CE75" i="7"/>
  <c r="CN163" i="2"/>
  <c r="CN130" i="7" s="1"/>
  <c r="CN75" i="7"/>
  <c r="CX163" i="2"/>
  <c r="CX130" i="7" s="1"/>
  <c r="CX75" i="7"/>
  <c r="DH163" i="2"/>
  <c r="DH130" i="7" s="1"/>
  <c r="DH75" i="7"/>
  <c r="DR163" i="2"/>
  <c r="DR130" i="7" s="1"/>
  <c r="DR75" i="7"/>
  <c r="BT164" i="2"/>
  <c r="CD164" i="2"/>
  <c r="CN164" i="2"/>
  <c r="CX164" i="2"/>
  <c r="DP164" i="2"/>
  <c r="BQ166" i="2"/>
  <c r="CA166" i="2"/>
  <c r="CK166" i="2"/>
  <c r="DD166" i="2"/>
  <c r="DN166" i="2"/>
  <c r="DT148" i="2"/>
  <c r="DT115" i="7" s="1"/>
  <c r="DT60" i="7"/>
  <c r="DT152" i="2"/>
  <c r="DT119" i="7" s="1"/>
  <c r="DT64" i="7"/>
  <c r="DT156" i="2"/>
  <c r="DT123" i="7" s="1"/>
  <c r="DT68" i="7"/>
  <c r="DT163" i="2"/>
  <c r="DT130" i="7" s="1"/>
  <c r="DT75" i="7"/>
  <c r="BS122" i="2"/>
  <c r="BS59" i="7" s="1"/>
  <c r="BM147" i="2"/>
  <c r="BM114" i="7" s="1"/>
  <c r="BM59" i="7"/>
  <c r="BW147" i="2"/>
  <c r="BW114" i="7" s="1"/>
  <c r="BW59" i="7"/>
  <c r="CF147" i="2"/>
  <c r="CF114" i="7" s="1"/>
  <c r="CF59" i="7"/>
  <c r="CN147" i="2"/>
  <c r="CN114" i="7" s="1"/>
  <c r="CN59" i="7"/>
  <c r="DE147" i="2"/>
  <c r="DE114" i="7" s="1"/>
  <c r="DE59" i="7"/>
  <c r="DN147" i="2"/>
  <c r="DN114" i="7" s="1"/>
  <c r="DN59" i="7"/>
  <c r="BY148" i="2"/>
  <c r="BY115" i="7" s="1"/>
  <c r="BY60" i="7"/>
  <c r="CI148" i="2"/>
  <c r="CI115" i="7" s="1"/>
  <c r="CI60" i="7"/>
  <c r="CS148" i="2"/>
  <c r="CS115" i="7" s="1"/>
  <c r="CS60" i="7"/>
  <c r="DD148" i="2"/>
  <c r="DD115" i="7" s="1"/>
  <c r="DD60" i="7"/>
  <c r="DN148" i="2"/>
  <c r="DN115" i="7" s="1"/>
  <c r="DN60" i="7"/>
  <c r="BP149" i="2"/>
  <c r="BP116" i="7" s="1"/>
  <c r="BP61" i="7"/>
  <c r="BY149" i="2"/>
  <c r="BY116" i="7" s="1"/>
  <c r="BY61" i="7"/>
  <c r="CQ149" i="2"/>
  <c r="CQ116" i="7" s="1"/>
  <c r="CQ61" i="7"/>
  <c r="DP149" i="2"/>
  <c r="DP116" i="7" s="1"/>
  <c r="DP61" i="7"/>
  <c r="BR150" i="2"/>
  <c r="BR117" i="7" s="1"/>
  <c r="BR62" i="7"/>
  <c r="BZ150" i="2"/>
  <c r="BZ117" i="7" s="1"/>
  <c r="BZ62" i="7"/>
  <c r="CJ150" i="2"/>
  <c r="CJ117" i="7" s="1"/>
  <c r="CJ62" i="7"/>
  <c r="DA150" i="2"/>
  <c r="DA117" i="7" s="1"/>
  <c r="DA62" i="7"/>
  <c r="DK150" i="2"/>
  <c r="DK117" i="7" s="1"/>
  <c r="DK62" i="7"/>
  <c r="BM151" i="2"/>
  <c r="BM118" i="7" s="1"/>
  <c r="BM63" i="7"/>
  <c r="BW151" i="2"/>
  <c r="BW118" i="7" s="1"/>
  <c r="BW63" i="7"/>
  <c r="CG151" i="2"/>
  <c r="CG118" i="7" s="1"/>
  <c r="CG63" i="7"/>
  <c r="CO151" i="2"/>
  <c r="CO118" i="7" s="1"/>
  <c r="CO63" i="7"/>
  <c r="CX151" i="2"/>
  <c r="CX118" i="7" s="1"/>
  <c r="CX63" i="7"/>
  <c r="DH151" i="2"/>
  <c r="DH118" i="7" s="1"/>
  <c r="DH63" i="7"/>
  <c r="CH152" i="2"/>
  <c r="CH119" i="7" s="1"/>
  <c r="CH64" i="7"/>
  <c r="CQ152" i="2"/>
  <c r="CQ119" i="7" s="1"/>
  <c r="CQ64" i="7"/>
  <c r="DA152" i="2"/>
  <c r="DA119" i="7" s="1"/>
  <c r="DA64" i="7"/>
  <c r="DK152" i="2"/>
  <c r="DK119" i="7" s="1"/>
  <c r="DK64" i="7"/>
  <c r="CP153" i="2"/>
  <c r="CP120" i="7" s="1"/>
  <c r="CP65" i="7"/>
  <c r="CZ153" i="2"/>
  <c r="CZ120" i="7" s="1"/>
  <c r="CZ65" i="7"/>
  <c r="DJ153" i="2"/>
  <c r="DJ120" i="7" s="1"/>
  <c r="DJ65" i="7"/>
  <c r="DF154" i="2"/>
  <c r="DF121" i="7" s="1"/>
  <c r="DF66" i="7"/>
  <c r="DP154" i="2"/>
  <c r="DP121" i="7" s="1"/>
  <c r="DP66" i="7"/>
  <c r="DA155" i="2"/>
  <c r="DA67" i="7"/>
  <c r="DK155" i="2"/>
  <c r="DK122" i="7" s="1"/>
  <c r="DK67" i="7"/>
  <c r="DK156" i="2"/>
  <c r="DK123" i="7" s="1"/>
  <c r="DK68" i="7"/>
  <c r="DR157" i="2"/>
  <c r="DR69" i="7"/>
  <c r="BQ161" i="2"/>
  <c r="CA161" i="2"/>
  <c r="CA128" i="7" s="1"/>
  <c r="CA73" i="7"/>
  <c r="CJ161" i="2"/>
  <c r="CJ128" i="7" s="1"/>
  <c r="CJ73" i="7"/>
  <c r="DA161" i="2"/>
  <c r="DA128" i="7" s="1"/>
  <c r="DA73" i="7"/>
  <c r="DK161" i="2"/>
  <c r="DK128" i="7" s="1"/>
  <c r="DK73" i="7"/>
  <c r="BM163" i="2"/>
  <c r="BM130" i="7" s="1"/>
  <c r="BM75" i="7"/>
  <c r="BV163" i="2"/>
  <c r="BV130" i="7" s="1"/>
  <c r="BV75" i="7"/>
  <c r="CF163" i="2"/>
  <c r="CF130" i="7" s="1"/>
  <c r="CF75" i="7"/>
  <c r="CO163" i="2"/>
  <c r="CO130" i="7" s="1"/>
  <c r="CO75" i="7"/>
  <c r="CY163" i="2"/>
  <c r="CY130" i="7" s="1"/>
  <c r="CY75" i="7"/>
  <c r="DI163" i="2"/>
  <c r="DI130" i="7" s="1"/>
  <c r="DI75" i="7"/>
  <c r="BK164" i="2"/>
  <c r="BK133" i="7" s="1"/>
  <c r="BK78" i="7"/>
  <c r="BU164" i="2"/>
  <c r="CE164" i="2"/>
  <c r="CO164" i="2"/>
  <c r="CY164" i="2"/>
  <c r="DH164" i="2"/>
  <c r="DR164" i="2"/>
  <c r="BR166" i="2"/>
  <c r="CB166" i="2"/>
  <c r="CL166" i="2"/>
  <c r="DE166" i="2"/>
  <c r="DO166" i="2"/>
  <c r="DS153" i="2"/>
  <c r="DS120" i="7" s="1"/>
  <c r="DS65" i="7"/>
  <c r="DS157" i="2"/>
  <c r="DS69" i="7"/>
  <c r="DS164" i="2"/>
  <c r="BN149" i="2"/>
  <c r="BN116" i="7" s="1"/>
  <c r="BN61" i="7"/>
  <c r="DB166" i="2"/>
  <c r="CY149" i="2"/>
  <c r="CY116" i="7" s="1"/>
  <c r="CY61" i="7"/>
  <c r="BO147" i="2"/>
  <c r="BO114" i="7" s="1"/>
  <c r="BO59" i="7"/>
  <c r="CG147" i="2"/>
  <c r="CG114" i="7" s="1"/>
  <c r="CG59" i="7"/>
  <c r="CO147" i="2"/>
  <c r="CO114" i="7" s="1"/>
  <c r="CO59" i="7"/>
  <c r="DF147" i="2"/>
  <c r="DF114" i="7" s="1"/>
  <c r="DF59" i="7"/>
  <c r="BP148" i="2"/>
  <c r="BP115" i="7" s="1"/>
  <c r="BP60" i="7"/>
  <c r="BZ148" i="2"/>
  <c r="BZ115" i="7" s="1"/>
  <c r="BZ60" i="7"/>
  <c r="CJ148" i="2"/>
  <c r="CJ115" i="7" s="1"/>
  <c r="CJ60" i="7"/>
  <c r="CT148" i="2"/>
  <c r="CT115" i="7" s="1"/>
  <c r="CT60" i="7"/>
  <c r="DE148" i="2"/>
  <c r="DE115" i="7" s="1"/>
  <c r="DE60" i="7"/>
  <c r="DO148" i="2"/>
  <c r="DO115" i="7" s="1"/>
  <c r="DO60" i="7"/>
  <c r="BQ149" i="2"/>
  <c r="BQ116" i="7" s="1"/>
  <c r="BQ61" i="7"/>
  <c r="BZ149" i="2"/>
  <c r="BZ116" i="7" s="1"/>
  <c r="BZ61" i="7"/>
  <c r="CI149" i="2"/>
  <c r="CI116" i="7" s="1"/>
  <c r="CI61" i="7"/>
  <c r="CZ149" i="2"/>
  <c r="CZ116" i="7" s="1"/>
  <c r="CZ61" i="7"/>
  <c r="DH149" i="2"/>
  <c r="DH116" i="7" s="1"/>
  <c r="DH61" i="7"/>
  <c r="DR149" i="2"/>
  <c r="DR116" i="7" s="1"/>
  <c r="DR61" i="7"/>
  <c r="CA150" i="2"/>
  <c r="CA117" i="7" s="1"/>
  <c r="CA62" i="7"/>
  <c r="CK150" i="2"/>
  <c r="CK117" i="7" s="1"/>
  <c r="CK62" i="7"/>
  <c r="CS150" i="2"/>
  <c r="CS117" i="7" s="1"/>
  <c r="CS62" i="7"/>
  <c r="DC150" i="2"/>
  <c r="DC117" i="7" s="1"/>
  <c r="DC62" i="7"/>
  <c r="DM150" i="2"/>
  <c r="DM117" i="7" s="1"/>
  <c r="DM62" i="7"/>
  <c r="BO151" i="2"/>
  <c r="BO118" i="7" s="1"/>
  <c r="BO63" i="7"/>
  <c r="BY151" i="2"/>
  <c r="BY118" i="7" s="1"/>
  <c r="BY63" i="7"/>
  <c r="CP151" i="2"/>
  <c r="CP118" i="7" s="1"/>
  <c r="CP63" i="7"/>
  <c r="CY151" i="2"/>
  <c r="CY118" i="7" s="1"/>
  <c r="CY63" i="7"/>
  <c r="DI151" i="2"/>
  <c r="DI118" i="7" s="1"/>
  <c r="DI63" i="7"/>
  <c r="DR151" i="2"/>
  <c r="DR118" i="7" s="1"/>
  <c r="DR63" i="7"/>
  <c r="CA152" i="2"/>
  <c r="CA64" i="7"/>
  <c r="CI152" i="2"/>
  <c r="CI119" i="7" s="1"/>
  <c r="CI64" i="7"/>
  <c r="CS152" i="2"/>
  <c r="CS119" i="7" s="1"/>
  <c r="CS64" i="7"/>
  <c r="DC152" i="2"/>
  <c r="DC119" i="7" s="1"/>
  <c r="DC64" i="7"/>
  <c r="CQ153" i="2"/>
  <c r="CQ120" i="7" s="1"/>
  <c r="CQ65" i="7"/>
  <c r="DA153" i="2"/>
  <c r="DA120" i="7" s="1"/>
  <c r="DA65" i="7"/>
  <c r="DK153" i="2"/>
  <c r="DK120" i="7" s="1"/>
  <c r="DK65" i="7"/>
  <c r="DH154" i="2"/>
  <c r="DH121" i="7" s="1"/>
  <c r="DH66" i="7"/>
  <c r="DR154" i="2"/>
  <c r="DR121" i="7" s="1"/>
  <c r="DR66" i="7"/>
  <c r="DC155" i="2"/>
  <c r="DC67" i="7"/>
  <c r="DM155" i="2"/>
  <c r="DM122" i="7" s="1"/>
  <c r="DM67" i="7"/>
  <c r="DM156" i="2"/>
  <c r="DM123" i="7" s="1"/>
  <c r="DM68" i="7"/>
  <c r="BR161" i="2"/>
  <c r="CB161" i="2"/>
  <c r="CB128" i="7" s="1"/>
  <c r="CB73" i="7"/>
  <c r="CK161" i="2"/>
  <c r="CK128" i="7" s="1"/>
  <c r="CK73" i="7"/>
  <c r="DC161" i="2"/>
  <c r="DC128" i="7" s="1"/>
  <c r="DC73" i="7"/>
  <c r="DM161" i="2"/>
  <c r="DM128" i="7" s="1"/>
  <c r="DM73" i="7"/>
  <c r="BW163" i="2"/>
  <c r="BW130" i="7" s="1"/>
  <c r="BW75" i="7"/>
  <c r="CG163" i="2"/>
  <c r="CG130" i="7" s="1"/>
  <c r="CG75" i="7"/>
  <c r="CP163" i="2"/>
  <c r="CP130" i="7" s="1"/>
  <c r="CP75" i="7"/>
  <c r="CZ163" i="2"/>
  <c r="CZ130" i="7" s="1"/>
  <c r="CZ75" i="7"/>
  <c r="DJ163" i="2"/>
  <c r="DJ130" i="7" s="1"/>
  <c r="DJ75" i="7"/>
  <c r="BL164" i="2"/>
  <c r="BL133" i="7" s="1"/>
  <c r="BL78" i="7"/>
  <c r="BV164" i="2"/>
  <c r="CF164" i="2"/>
  <c r="CP164" i="2"/>
  <c r="CZ164" i="2"/>
  <c r="DI164" i="2"/>
  <c r="BT166" i="2"/>
  <c r="CD166" i="2"/>
  <c r="CN166" i="2"/>
  <c r="DF166" i="2"/>
  <c r="DP166" i="2"/>
  <c r="DT149" i="2"/>
  <c r="DT116" i="7" s="1"/>
  <c r="DT61" i="7"/>
  <c r="DT153" i="2"/>
  <c r="DT120" i="7" s="1"/>
  <c r="DT65" i="7"/>
  <c r="DT157" i="2"/>
  <c r="DT69" i="7"/>
  <c r="DT164" i="2"/>
  <c r="DG155" i="2"/>
  <c r="DG122" i="7" s="1"/>
  <c r="DG67" i="7"/>
  <c r="BP147" i="2"/>
  <c r="BP114" i="7" s="1"/>
  <c r="BP59" i="7"/>
  <c r="BY147" i="2"/>
  <c r="BY114" i="7" s="1"/>
  <c r="BY59" i="7"/>
  <c r="CH147" i="2"/>
  <c r="CH114" i="7" s="1"/>
  <c r="CP147" i="2"/>
  <c r="CP114" i="7" s="1"/>
  <c r="CP59" i="7"/>
  <c r="CX147" i="2"/>
  <c r="CX114" i="7" s="1"/>
  <c r="CX59" i="7"/>
  <c r="DH147" i="2"/>
  <c r="DH114" i="7" s="1"/>
  <c r="DH59" i="7"/>
  <c r="DP147" i="2"/>
  <c r="DP114" i="7" s="1"/>
  <c r="DP59" i="7"/>
  <c r="BQ148" i="2"/>
  <c r="BQ115" i="7" s="1"/>
  <c r="BQ60" i="7"/>
  <c r="CA148" i="2"/>
  <c r="CA115" i="7" s="1"/>
  <c r="CA60" i="7"/>
  <c r="CK148" i="2"/>
  <c r="CK115" i="7" s="1"/>
  <c r="CK60" i="7"/>
  <c r="DF148" i="2"/>
  <c r="DF115" i="7" s="1"/>
  <c r="DF60" i="7"/>
  <c r="DP148" i="2"/>
  <c r="DP115" i="7" s="1"/>
  <c r="DP60" i="7"/>
  <c r="BR149" i="2"/>
  <c r="BR116" i="7" s="1"/>
  <c r="BR61" i="7"/>
  <c r="CA149" i="2"/>
  <c r="CA116" i="7" s="1"/>
  <c r="CA61" i="7"/>
  <c r="CJ149" i="2"/>
  <c r="CJ116" i="7" s="1"/>
  <c r="CJ61" i="7"/>
  <c r="CS149" i="2"/>
  <c r="CS116" i="7" s="1"/>
  <c r="CS61" i="7"/>
  <c r="DA149" i="2"/>
  <c r="DA116" i="7" s="1"/>
  <c r="DA61" i="7"/>
  <c r="DI149" i="2"/>
  <c r="DI116" i="7" s="1"/>
  <c r="DI61" i="7"/>
  <c r="BK150" i="2"/>
  <c r="BK117" i="7" s="1"/>
  <c r="BK62" i="7"/>
  <c r="BT150" i="2"/>
  <c r="BT117" i="7" s="1"/>
  <c r="BT62" i="7"/>
  <c r="CB150" i="2"/>
  <c r="CB117" i="7" s="1"/>
  <c r="CB62" i="7"/>
  <c r="CL150" i="2"/>
  <c r="CL117" i="7" s="1"/>
  <c r="CL62" i="7"/>
  <c r="CT150" i="2"/>
  <c r="CT117" i="7" s="1"/>
  <c r="CT62" i="7"/>
  <c r="DD150" i="2"/>
  <c r="DD117" i="7" s="1"/>
  <c r="DD62" i="7"/>
  <c r="DN150" i="2"/>
  <c r="DN117" i="7" s="1"/>
  <c r="DN62" i="7"/>
  <c r="BP151" i="2"/>
  <c r="BP118" i="7" s="1"/>
  <c r="BP63" i="7"/>
  <c r="BZ151" i="2"/>
  <c r="BZ118" i="7" s="1"/>
  <c r="BZ63" i="7"/>
  <c r="CI151" i="2"/>
  <c r="CI118" i="7" s="1"/>
  <c r="CI63" i="7"/>
  <c r="CQ151" i="2"/>
  <c r="CQ118" i="7" s="1"/>
  <c r="CQ63" i="7"/>
  <c r="CZ151" i="2"/>
  <c r="CZ118" i="7" s="1"/>
  <c r="CZ63" i="7"/>
  <c r="DJ151" i="2"/>
  <c r="DJ118" i="7" s="1"/>
  <c r="DJ63" i="7"/>
  <c r="CB152" i="2"/>
  <c r="CB64" i="7"/>
  <c r="CJ152" i="2"/>
  <c r="CJ119" i="7" s="1"/>
  <c r="CJ64" i="7"/>
  <c r="CT152" i="2"/>
  <c r="CT119" i="7" s="1"/>
  <c r="CT64" i="7"/>
  <c r="DD152" i="2"/>
  <c r="DD119" i="7" s="1"/>
  <c r="DD64" i="7"/>
  <c r="DM152" i="2"/>
  <c r="DM119" i="7" s="1"/>
  <c r="DM64" i="7"/>
  <c r="CS153" i="2"/>
  <c r="CS120" i="7" s="1"/>
  <c r="CS65" i="7"/>
  <c r="DC153" i="2"/>
  <c r="DC120" i="7" s="1"/>
  <c r="DC65" i="7"/>
  <c r="DM153" i="2"/>
  <c r="DM120" i="7" s="1"/>
  <c r="DM65" i="7"/>
  <c r="DI154" i="2"/>
  <c r="DI121" i="7" s="1"/>
  <c r="DI66" i="7"/>
  <c r="DD155" i="2"/>
  <c r="DD122" i="7" s="1"/>
  <c r="DD67" i="7"/>
  <c r="DN155" i="2"/>
  <c r="DN122" i="7" s="1"/>
  <c r="DN67" i="7"/>
  <c r="DN156" i="2"/>
  <c r="DN123" i="7" s="1"/>
  <c r="DN68" i="7"/>
  <c r="BT161" i="2"/>
  <c r="CD161" i="2"/>
  <c r="CD128" i="7" s="1"/>
  <c r="CD73" i="7"/>
  <c r="CL161" i="2"/>
  <c r="CL128" i="7" s="1"/>
  <c r="CL73" i="7"/>
  <c r="DD161" i="2"/>
  <c r="DD128" i="7" s="1"/>
  <c r="DD73" i="7"/>
  <c r="DN161" i="2"/>
  <c r="DN128" i="7" s="1"/>
  <c r="DN73" i="7"/>
  <c r="BO163" i="2"/>
  <c r="BO130" i="7" s="1"/>
  <c r="BO75" i="7"/>
  <c r="BY163" i="2"/>
  <c r="BY130" i="7" s="1"/>
  <c r="BY75" i="7"/>
  <c r="CQ163" i="2"/>
  <c r="CQ130" i="7" s="1"/>
  <c r="CQ75" i="7"/>
  <c r="DA163" i="2"/>
  <c r="DA130" i="7" s="1"/>
  <c r="DA75" i="7"/>
  <c r="DK163" i="2"/>
  <c r="DK130" i="7" s="1"/>
  <c r="DK75" i="7"/>
  <c r="BM164" i="2"/>
  <c r="BM133" i="7" s="1"/>
  <c r="BM78" i="7"/>
  <c r="BW164" i="2"/>
  <c r="CG164" i="2"/>
  <c r="CQ164" i="2"/>
  <c r="DA164" i="2"/>
  <c r="DJ164" i="2"/>
  <c r="BK166" i="2"/>
  <c r="BU166" i="2"/>
  <c r="CE166" i="2"/>
  <c r="CO166" i="2"/>
  <c r="CX166" i="2"/>
  <c r="DH166" i="2"/>
  <c r="DS154" i="2"/>
  <c r="DS121" i="7" s="1"/>
  <c r="DS66" i="7"/>
  <c r="BN161" i="2"/>
  <c r="DL155" i="2"/>
  <c r="DL122" i="7" s="1"/>
  <c r="DL67" i="7"/>
  <c r="CG149" i="2"/>
  <c r="CG116" i="7" s="1"/>
  <c r="CG61" i="7"/>
  <c r="BQ147" i="2"/>
  <c r="BQ114" i="7" s="1"/>
  <c r="BQ59" i="7"/>
  <c r="BZ147" i="2"/>
  <c r="BZ114" i="7" s="1"/>
  <c r="BZ59" i="7"/>
  <c r="DI147" i="2"/>
  <c r="DI114" i="7" s="1"/>
  <c r="DI59" i="7"/>
  <c r="DQ147" i="2"/>
  <c r="DQ114" i="7" s="1"/>
  <c r="DQ59" i="7"/>
  <c r="BR148" i="2"/>
  <c r="BR115" i="7" s="1"/>
  <c r="BR60" i="7"/>
  <c r="CB148" i="2"/>
  <c r="CB115" i="7" s="1"/>
  <c r="CB60" i="7"/>
  <c r="CL148" i="2"/>
  <c r="CL115" i="7" s="1"/>
  <c r="CL60" i="7"/>
  <c r="DH148" i="2"/>
  <c r="DH115" i="7" s="1"/>
  <c r="DH60" i="7"/>
  <c r="DR148" i="2"/>
  <c r="DR115" i="7" s="1"/>
  <c r="DR60" i="7"/>
  <c r="CB149" i="2"/>
  <c r="CB116" i="7" s="1"/>
  <c r="CB61" i="7"/>
  <c r="CK149" i="2"/>
  <c r="CK116" i="7" s="1"/>
  <c r="CK61" i="7"/>
  <c r="CT149" i="2"/>
  <c r="CT116" i="7" s="1"/>
  <c r="CT61" i="7"/>
  <c r="DB149" i="2"/>
  <c r="DB116" i="7" s="1"/>
  <c r="DB61" i="7"/>
  <c r="DJ149" i="2"/>
  <c r="DJ116" i="7" s="1"/>
  <c r="DJ61" i="7"/>
  <c r="BL150" i="2"/>
  <c r="BL117" i="7" s="1"/>
  <c r="BL62" i="7"/>
  <c r="BU150" i="2"/>
  <c r="BU117" i="7" s="1"/>
  <c r="BU62" i="7"/>
  <c r="CD150" i="2"/>
  <c r="CD117" i="7" s="1"/>
  <c r="CD62" i="7"/>
  <c r="CU150" i="2"/>
  <c r="CU117" i="7" s="1"/>
  <c r="CU62" i="7"/>
  <c r="DE150" i="2"/>
  <c r="DE117" i="7" s="1"/>
  <c r="DE62" i="7"/>
  <c r="DO150" i="2"/>
  <c r="DO117" i="7" s="1"/>
  <c r="DO62" i="7"/>
  <c r="BQ151" i="2"/>
  <c r="BQ118" i="7" s="1"/>
  <c r="BQ63" i="7"/>
  <c r="CA151" i="2"/>
  <c r="CA118" i="7" s="1"/>
  <c r="CA63" i="7"/>
  <c r="CJ151" i="2"/>
  <c r="CJ118" i="7" s="1"/>
  <c r="CJ63" i="7"/>
  <c r="CS151" i="2"/>
  <c r="CS118" i="7" s="1"/>
  <c r="CS63" i="7"/>
  <c r="DA151" i="2"/>
  <c r="DA118" i="7" s="1"/>
  <c r="DA63" i="7"/>
  <c r="DK151" i="2"/>
  <c r="DK118" i="7" s="1"/>
  <c r="DK63" i="7"/>
  <c r="CC152" i="2"/>
  <c r="CC64" i="7"/>
  <c r="CK152" i="2"/>
  <c r="CK119" i="7" s="1"/>
  <c r="CK64" i="7"/>
  <c r="CU152" i="2"/>
  <c r="CU119" i="7" s="1"/>
  <c r="CU64" i="7"/>
  <c r="DE152" i="2"/>
  <c r="DE119" i="7" s="1"/>
  <c r="DE64" i="7"/>
  <c r="DN152" i="2"/>
  <c r="DN119" i="7" s="1"/>
  <c r="DN64" i="7"/>
  <c r="CJ153" i="2"/>
  <c r="CJ120" i="7" s="1"/>
  <c r="CJ65" i="7"/>
  <c r="CT153" i="2"/>
  <c r="CT120" i="7" s="1"/>
  <c r="CT65" i="7"/>
  <c r="DD153" i="2"/>
  <c r="DD120" i="7" s="1"/>
  <c r="DD65" i="7"/>
  <c r="DN153" i="2"/>
  <c r="DN120" i="7" s="1"/>
  <c r="DN65" i="7"/>
  <c r="DJ154" i="2"/>
  <c r="DJ121" i="7" s="1"/>
  <c r="DJ66" i="7"/>
  <c r="DE155" i="2"/>
  <c r="DE122" i="7" s="1"/>
  <c r="DE67" i="7"/>
  <c r="DO155" i="2"/>
  <c r="DO122" i="7" s="1"/>
  <c r="DO67" i="7"/>
  <c r="DO156" i="2"/>
  <c r="DO123" i="7" s="1"/>
  <c r="DO68" i="7"/>
  <c r="BK161" i="2"/>
  <c r="BU161" i="2"/>
  <c r="BU128" i="7" s="1"/>
  <c r="BU73" i="7"/>
  <c r="CE161" i="2"/>
  <c r="CE128" i="7" s="1"/>
  <c r="CE73" i="7"/>
  <c r="DE161" i="2"/>
  <c r="DE128" i="7" s="1"/>
  <c r="DE73" i="7"/>
  <c r="DO161" i="2"/>
  <c r="DO128" i="7" s="1"/>
  <c r="DO73" i="7"/>
  <c r="BP163" i="2"/>
  <c r="BP130" i="7" s="1"/>
  <c r="BP75" i="7"/>
  <c r="BZ163" i="2"/>
  <c r="BZ130" i="7" s="1"/>
  <c r="BZ75" i="7"/>
  <c r="CI163" i="2"/>
  <c r="CI130" i="7" s="1"/>
  <c r="CI75" i="7"/>
  <c r="CS163" i="2"/>
  <c r="CS130" i="7" s="1"/>
  <c r="CS75" i="7"/>
  <c r="DC163" i="2"/>
  <c r="DC130" i="7" s="1"/>
  <c r="DC75" i="7"/>
  <c r="DM163" i="2"/>
  <c r="DM130" i="7" s="1"/>
  <c r="DM75" i="7"/>
  <c r="BO164" i="2"/>
  <c r="BO133" i="7" s="1"/>
  <c r="BO78" i="7"/>
  <c r="BY164" i="2"/>
  <c r="CI164" i="2"/>
  <c r="CS164" i="2"/>
  <c r="DC164" i="2"/>
  <c r="DK164" i="2"/>
  <c r="BL166" i="2"/>
  <c r="BV166" i="2"/>
  <c r="CF166" i="2"/>
  <c r="CP166" i="2"/>
  <c r="CY166" i="2"/>
  <c r="DI166" i="2"/>
  <c r="DR166" i="2"/>
  <c r="DT154" i="2"/>
  <c r="DT121" i="7" s="1"/>
  <c r="DT66" i="7"/>
  <c r="DT158" i="2"/>
  <c r="DT125" i="7" s="1"/>
  <c r="DT70" i="7"/>
  <c r="BS161" i="2"/>
  <c r="BR147" i="2"/>
  <c r="BR114" i="7" s="1"/>
  <c r="BR59" i="7"/>
  <c r="CJ147" i="2"/>
  <c r="CJ114" i="7" s="1"/>
  <c r="CJ59" i="7"/>
  <c r="CR147" i="2"/>
  <c r="CR114" i="7" s="1"/>
  <c r="CR59" i="7"/>
  <c r="CZ147" i="2"/>
  <c r="CZ114" i="7" s="1"/>
  <c r="CZ59" i="7"/>
  <c r="DJ147" i="2"/>
  <c r="DJ114" i="7" s="1"/>
  <c r="DJ59" i="7"/>
  <c r="BT148" i="2"/>
  <c r="BT115" i="7" s="1"/>
  <c r="BT60" i="7"/>
  <c r="CD148" i="2"/>
  <c r="CD115" i="7" s="1"/>
  <c r="CD60" i="7"/>
  <c r="CN148" i="2"/>
  <c r="CN115" i="7" s="1"/>
  <c r="CN60" i="7"/>
  <c r="DI148" i="2"/>
  <c r="DI115" i="7" s="1"/>
  <c r="DI60" i="7"/>
  <c r="BK149" i="2"/>
  <c r="BK116" i="7" s="1"/>
  <c r="BK61" i="7"/>
  <c r="BT149" i="2"/>
  <c r="BT116" i="7" s="1"/>
  <c r="BT61" i="7"/>
  <c r="CL149" i="2"/>
  <c r="CL116" i="7" s="1"/>
  <c r="CL61" i="7"/>
  <c r="CU149" i="2"/>
  <c r="CU116" i="7" s="1"/>
  <c r="CU61" i="7"/>
  <c r="DC149" i="2"/>
  <c r="DC116" i="7" s="1"/>
  <c r="DC61" i="7"/>
  <c r="DK149" i="2"/>
  <c r="DK116" i="7" s="1"/>
  <c r="DK61" i="7"/>
  <c r="BM150" i="2"/>
  <c r="BM117" i="7" s="1"/>
  <c r="BM62" i="7"/>
  <c r="BV150" i="2"/>
  <c r="BV117" i="7" s="1"/>
  <c r="BV62" i="7"/>
  <c r="CE150" i="2"/>
  <c r="CE117" i="7" s="1"/>
  <c r="CE62" i="7"/>
  <c r="CN150" i="2"/>
  <c r="CN117" i="7" s="1"/>
  <c r="CN62" i="7"/>
  <c r="DF150" i="2"/>
  <c r="DF117" i="7" s="1"/>
  <c r="DF62" i="7"/>
  <c r="DP150" i="2"/>
  <c r="DP117" i="7" s="1"/>
  <c r="DP62" i="7"/>
  <c r="BR151" i="2"/>
  <c r="BR118" i="7" s="1"/>
  <c r="BR63" i="7"/>
  <c r="CB151" i="2"/>
  <c r="CB118" i="7" s="1"/>
  <c r="CB63" i="7"/>
  <c r="CK151" i="2"/>
  <c r="CK118" i="7" s="1"/>
  <c r="CK63" i="7"/>
  <c r="CT151" i="2"/>
  <c r="CT118" i="7" s="1"/>
  <c r="CT63" i="7"/>
  <c r="DC151" i="2"/>
  <c r="DC118" i="7" s="1"/>
  <c r="DC63" i="7"/>
  <c r="DM151" i="2"/>
  <c r="DM118" i="7" s="1"/>
  <c r="DM63" i="7"/>
  <c r="CD152" i="2"/>
  <c r="CD64" i="7"/>
  <c r="CL152" i="2"/>
  <c r="CL119" i="7" s="1"/>
  <c r="CL64" i="7"/>
  <c r="DF152" i="2"/>
  <c r="DF119" i="7" s="1"/>
  <c r="DF64" i="7"/>
  <c r="DO152" i="2"/>
  <c r="DO119" i="7" s="1"/>
  <c r="DO64" i="7"/>
  <c r="CK153" i="2"/>
  <c r="CK120" i="7" s="1"/>
  <c r="CK65" i="7"/>
  <c r="CU153" i="2"/>
  <c r="CU120" i="7" s="1"/>
  <c r="CU65" i="7"/>
  <c r="DE153" i="2"/>
  <c r="DE120" i="7" s="1"/>
  <c r="DE65" i="7"/>
  <c r="DO153" i="2"/>
  <c r="DO120" i="7" s="1"/>
  <c r="DO65" i="7"/>
  <c r="DK154" i="2"/>
  <c r="DK121" i="7" s="1"/>
  <c r="DK66" i="7"/>
  <c r="DF155" i="2"/>
  <c r="DF122" i="7" s="1"/>
  <c r="DF67" i="7"/>
  <c r="DP155" i="2"/>
  <c r="DP122" i="7" s="1"/>
  <c r="DP67" i="7"/>
  <c r="DP156" i="2"/>
  <c r="DP123" i="7" s="1"/>
  <c r="DP68" i="7"/>
  <c r="BL161" i="2"/>
  <c r="BV161" i="2"/>
  <c r="BV128" i="7" s="1"/>
  <c r="BV73" i="7"/>
  <c r="CF161" i="2"/>
  <c r="CF128" i="7" s="1"/>
  <c r="CF73" i="7"/>
  <c r="CN161" i="2"/>
  <c r="CN128" i="7" s="1"/>
  <c r="CN73" i="7"/>
  <c r="DF161" i="2"/>
  <c r="DF128" i="7" s="1"/>
  <c r="DF73" i="7"/>
  <c r="DP161" i="2"/>
  <c r="DP128" i="7" s="1"/>
  <c r="DP73" i="7"/>
  <c r="BQ163" i="2"/>
  <c r="BQ130" i="7" s="1"/>
  <c r="BQ75" i="7"/>
  <c r="CA163" i="2"/>
  <c r="CA130" i="7" s="1"/>
  <c r="CA75" i="7"/>
  <c r="CJ163" i="2"/>
  <c r="CJ130" i="7" s="1"/>
  <c r="CJ75" i="7"/>
  <c r="CT163" i="2"/>
  <c r="CT130" i="7" s="1"/>
  <c r="CT75" i="7"/>
  <c r="DD163" i="2"/>
  <c r="DD130" i="7" s="1"/>
  <c r="DD75" i="7"/>
  <c r="DN163" i="2"/>
  <c r="DN130" i="7" s="1"/>
  <c r="DN75" i="7"/>
  <c r="BP164" i="2"/>
  <c r="BP133" i="7" s="1"/>
  <c r="BP78" i="7"/>
  <c r="BZ164" i="2"/>
  <c r="CJ164" i="2"/>
  <c r="CT164" i="2"/>
  <c r="DD164" i="2"/>
  <c r="DM164" i="2"/>
  <c r="BM166" i="2"/>
  <c r="BW166" i="2"/>
  <c r="CG166" i="2"/>
  <c r="CQ166" i="2"/>
  <c r="CZ166" i="2"/>
  <c r="DJ166" i="2"/>
  <c r="DS151" i="2"/>
  <c r="DS118" i="7" s="1"/>
  <c r="DS63" i="7"/>
  <c r="DS155" i="2"/>
  <c r="DS122" i="7" s="1"/>
  <c r="DS67" i="7"/>
  <c r="DS161" i="2"/>
  <c r="DS128" i="7" s="1"/>
  <c r="DS73" i="7"/>
  <c r="DS166" i="2"/>
  <c r="BX161" i="2"/>
  <c r="BX128" i="7" s="1"/>
  <c r="BX73" i="7"/>
  <c r="CX148" i="2"/>
  <c r="CX115" i="7" s="1"/>
  <c r="CX60" i="7"/>
  <c r="CV166" i="2"/>
  <c r="CV153" i="2"/>
  <c r="CV120" i="7" s="1"/>
  <c r="CV65" i="7"/>
  <c r="CV152" i="2"/>
  <c r="CV119" i="7" s="1"/>
  <c r="CV64" i="7"/>
  <c r="CV151" i="2"/>
  <c r="CV118" i="7" s="1"/>
  <c r="CV63" i="7"/>
  <c r="CV150" i="2"/>
  <c r="CV117" i="7" s="1"/>
  <c r="CV62" i="7"/>
  <c r="CV149" i="2"/>
  <c r="CV116" i="7" s="1"/>
  <c r="CV61" i="7"/>
  <c r="CV148" i="2"/>
  <c r="CV115" i="7" s="1"/>
  <c r="CV60" i="7"/>
  <c r="CV147" i="2"/>
  <c r="CV114" i="7" s="1"/>
  <c r="CV59" i="7"/>
  <c r="CW147" i="2"/>
  <c r="CW114" i="7" s="1"/>
  <c r="CW59" i="7"/>
  <c r="CV163" i="2"/>
  <c r="CV130" i="7" s="1"/>
  <c r="CV75" i="7"/>
  <c r="CV161" i="2"/>
  <c r="CV128" i="7" s="1"/>
  <c r="CV73" i="7"/>
  <c r="CU166" i="2"/>
  <c r="CU163" i="2"/>
  <c r="CU130" i="7" s="1"/>
  <c r="CU75" i="7"/>
  <c r="CU161" i="2"/>
  <c r="CU128" i="7" s="1"/>
  <c r="CU73" i="7"/>
  <c r="CT161" i="2"/>
  <c r="CT128" i="7" s="1"/>
  <c r="CT73" i="7"/>
  <c r="CS166" i="2"/>
  <c r="CW166" i="2"/>
  <c r="CS161" i="2"/>
  <c r="CS128" i="7" s="1"/>
  <c r="CS73" i="7"/>
  <c r="CW161" i="2"/>
  <c r="CW128" i="7" s="1"/>
  <c r="CW73" i="7"/>
  <c r="DQ133" i="2"/>
  <c r="DQ158" i="2" s="1"/>
  <c r="DQ138" i="2"/>
  <c r="DQ136" i="2"/>
  <c r="DQ125" i="2"/>
  <c r="DL141" i="2"/>
  <c r="DL139" i="2"/>
  <c r="DL129" i="2"/>
  <c r="DL136" i="2"/>
  <c r="DL147" i="2"/>
  <c r="DL114" i="7" s="1"/>
  <c r="DL138" i="2"/>
  <c r="DL126" i="2"/>
  <c r="DG141" i="2"/>
  <c r="DG128" i="2"/>
  <c r="DG122" i="2"/>
  <c r="DG138" i="2"/>
  <c r="BS73" i="2"/>
  <c r="BN117" i="2"/>
  <c r="BS117" i="2"/>
  <c r="CC117" i="2"/>
  <c r="BS140" i="2"/>
  <c r="BS165" i="2" s="1"/>
  <c r="BX140" i="2"/>
  <c r="BX165" i="2" s="1"/>
  <c r="CH140" i="2"/>
  <c r="CH165" i="2" s="1"/>
  <c r="CR128" i="2"/>
  <c r="CR139" i="2"/>
  <c r="CW117" i="2"/>
  <c r="DL132" i="2"/>
  <c r="DL157" i="2" s="1"/>
  <c r="BN141" i="2"/>
  <c r="BS141" i="2"/>
  <c r="CM141" i="2"/>
  <c r="CR140" i="2"/>
  <c r="CR165" i="2" s="1"/>
  <c r="BX141" i="2"/>
  <c r="CR141" i="2"/>
  <c r="CM139" i="2"/>
  <c r="CC140" i="2"/>
  <c r="CC165" i="2" s="1"/>
  <c r="CH128" i="2"/>
  <c r="CH153" i="2" s="1"/>
  <c r="BX117" i="2"/>
  <c r="CM117" i="2"/>
  <c r="CM128" i="2"/>
  <c r="CM65" i="7" s="1"/>
  <c r="CW157" i="2"/>
  <c r="CW149" i="2"/>
  <c r="CW116" i="7" s="1"/>
  <c r="BN128" i="2"/>
  <c r="BN153" i="2" s="1"/>
  <c r="CW127" i="2"/>
  <c r="CW138" i="2"/>
  <c r="DL124" i="2"/>
  <c r="BX73" i="2"/>
  <c r="CC73" i="2"/>
  <c r="DQ73" i="2"/>
  <c r="CH73" i="2"/>
  <c r="CM73" i="2"/>
  <c r="CR73" i="2"/>
  <c r="CW73" i="2"/>
  <c r="BN73" i="2"/>
  <c r="BX128" i="2"/>
  <c r="BX153" i="2" s="1"/>
  <c r="CC128" i="2"/>
  <c r="CC153" i="2" s="1"/>
  <c r="CM140" i="2"/>
  <c r="CM165" i="2" s="1"/>
  <c r="DB126" i="2"/>
  <c r="DB136" i="2"/>
  <c r="DG133" i="2"/>
  <c r="DG158" i="2" s="1"/>
  <c r="DQ123" i="2"/>
  <c r="CH141" i="2"/>
  <c r="BN123" i="2"/>
  <c r="BN131" i="2"/>
  <c r="BN156" i="2" s="1"/>
  <c r="DB128" i="2"/>
  <c r="DB139" i="2"/>
  <c r="BN132" i="2"/>
  <c r="BN157" i="2" s="1"/>
  <c r="CH123" i="2"/>
  <c r="CH131" i="2"/>
  <c r="CH156" i="2" s="1"/>
  <c r="CM131" i="2"/>
  <c r="CM156" i="2" s="1"/>
  <c r="BN125" i="2"/>
  <c r="BX124" i="2"/>
  <c r="CH124" i="2"/>
  <c r="CH132" i="2"/>
  <c r="CH157" i="2" s="1"/>
  <c r="BS126" i="2"/>
  <c r="BS63" i="7" s="1"/>
  <c r="CC133" i="2"/>
  <c r="CC158" i="2" s="1"/>
  <c r="CR136" i="2"/>
  <c r="CW125" i="2"/>
  <c r="CC139" i="2"/>
  <c r="CH139" i="2"/>
  <c r="DL123" i="2"/>
  <c r="DG129" i="2"/>
  <c r="DG73" i="2"/>
  <c r="DG127" i="2"/>
  <c r="DG117" i="2"/>
  <c r="DG123" i="2"/>
  <c r="DB138" i="2"/>
  <c r="DB130" i="2"/>
  <c r="DB129" i="2"/>
  <c r="DB154" i="2" s="1"/>
  <c r="DB127" i="2"/>
  <c r="DB122" i="2"/>
  <c r="DB140" i="2"/>
  <c r="DB165" i="2" s="1"/>
  <c r="CR117" i="2"/>
  <c r="DB117" i="2"/>
  <c r="DB73" i="2"/>
  <c r="DQ128" i="2"/>
  <c r="DQ139" i="2"/>
  <c r="DQ129" i="2"/>
  <c r="DQ140" i="2"/>
  <c r="DQ165" i="2" s="1"/>
  <c r="DQ131" i="2"/>
  <c r="DQ117" i="2"/>
  <c r="DL117" i="2"/>
  <c r="DL131" i="2"/>
  <c r="DG125" i="2"/>
  <c r="DB123" i="2"/>
  <c r="DB131" i="2"/>
  <c r="DB156" i="2" s="1"/>
  <c r="CW123" i="2"/>
  <c r="CW131" i="2"/>
  <c r="CW156" i="2" s="1"/>
  <c r="CW133" i="2"/>
  <c r="CW158" i="2" s="1"/>
  <c r="CR123" i="2"/>
  <c r="CR131" i="2"/>
  <c r="CR156" i="2" s="1"/>
  <c r="CM123" i="2"/>
  <c r="CH117" i="2"/>
  <c r="CC122" i="2"/>
  <c r="CC130" i="2"/>
  <c r="CC155" i="2" s="1"/>
  <c r="CC141" i="2"/>
  <c r="BX123" i="2"/>
  <c r="BX131" i="2"/>
  <c r="BX156" i="2" s="1"/>
  <c r="BX129" i="2"/>
  <c r="BX154" i="2" s="1"/>
  <c r="BS123" i="2"/>
  <c r="BS131" i="2"/>
  <c r="BS156" i="2" s="1"/>
  <c r="CM157" i="2"/>
  <c r="BX147" i="2"/>
  <c r="BX114" i="7" s="1"/>
  <c r="BX151" i="2"/>
  <c r="BX118" i="7" s="1"/>
  <c r="BS150" i="2"/>
  <c r="BS117" i="7" s="1"/>
  <c r="CZ142" i="2"/>
  <c r="CZ81" i="7" s="1"/>
  <c r="DH142" i="2"/>
  <c r="DH81" i="7" s="1"/>
  <c r="C142" i="2"/>
  <c r="DP142" i="2"/>
  <c r="DP81" i="7" s="1"/>
  <c r="BL142" i="2"/>
  <c r="BL81" i="7" s="1"/>
  <c r="BT142" i="2"/>
  <c r="BT81" i="7" s="1"/>
  <c r="CB142" i="2"/>
  <c r="CB81" i="7" s="1"/>
  <c r="CJ142" i="2"/>
  <c r="CJ81" i="7" s="1"/>
  <c r="S142" i="2"/>
  <c r="AY142" i="2"/>
  <c r="DI142" i="2"/>
  <c r="DI81" i="7" s="1"/>
  <c r="BU142" i="2"/>
  <c r="BU81" i="7" s="1"/>
  <c r="DJ142" i="2"/>
  <c r="DJ81" i="7" s="1"/>
  <c r="AC142" i="2"/>
  <c r="AG142" i="2"/>
  <c r="AE142" i="2"/>
  <c r="CF142" i="2"/>
  <c r="DD142" i="2"/>
  <c r="DD81" i="7" s="1"/>
  <c r="AI142" i="2"/>
  <c r="BQ142" i="2"/>
  <c r="BQ81" i="7" s="1"/>
  <c r="CG142" i="2"/>
  <c r="CG81" i="7" s="1"/>
  <c r="CO142" i="2"/>
  <c r="CO81" i="7" s="1"/>
  <c r="DE142" i="2"/>
  <c r="DE81" i="7" s="1"/>
  <c r="DM142" i="2"/>
  <c r="DM81" i="7" s="1"/>
  <c r="Y142" i="2"/>
  <c r="M142" i="2"/>
  <c r="AS142" i="2"/>
  <c r="Y167" i="2"/>
  <c r="AO142" i="2"/>
  <c r="I142" i="2"/>
  <c r="AW142" i="2"/>
  <c r="Q142" i="2"/>
  <c r="CX142" i="2"/>
  <c r="CX81" i="7" s="1"/>
  <c r="DN142" i="2"/>
  <c r="DN81" i="7" s="1"/>
  <c r="BE142" i="2"/>
  <c r="DF142" i="2"/>
  <c r="DF81" i="7" s="1"/>
  <c r="AE167" i="2"/>
  <c r="CN142" i="2"/>
  <c r="CN81" i="7" s="1"/>
  <c r="BP142" i="2"/>
  <c r="BP81" i="7" s="1"/>
  <c r="CV142" i="2"/>
  <c r="CV81" i="7" s="1"/>
  <c r="O142" i="2"/>
  <c r="AU142" i="2"/>
  <c r="I167" i="2"/>
  <c r="Q167" i="2"/>
  <c r="AO167" i="2"/>
  <c r="AW167" i="2"/>
  <c r="BI142" i="2"/>
  <c r="BY142" i="2"/>
  <c r="BY81" i="7" s="1"/>
  <c r="DA142" i="2"/>
  <c r="DA81" i="7" s="1"/>
  <c r="M167" i="2"/>
  <c r="AS167" i="2"/>
  <c r="CK142" i="2"/>
  <c r="CK81" i="7" s="1"/>
  <c r="AA167" i="2"/>
  <c r="BM142" i="2"/>
  <c r="BM81" i="7" s="1"/>
  <c r="CD142" i="2"/>
  <c r="CD81" i="7" s="1"/>
  <c r="CS142" i="2"/>
  <c r="CS81" i="7" s="1"/>
  <c r="E167" i="2"/>
  <c r="AC167" i="2"/>
  <c r="AK167" i="2"/>
  <c r="DR142" i="2"/>
  <c r="DR81" i="7" s="1"/>
  <c r="G167" i="2"/>
  <c r="O167" i="2"/>
  <c r="W167" i="2"/>
  <c r="AM167" i="2"/>
  <c r="AU167" i="2"/>
  <c r="BC167" i="2"/>
  <c r="C167" i="2"/>
  <c r="K167" i="2"/>
  <c r="S167" i="2"/>
  <c r="AI167" i="2"/>
  <c r="AQ167" i="2"/>
  <c r="AY167" i="2"/>
  <c r="AG167" i="2"/>
  <c r="BI167" i="2"/>
  <c r="BE167" i="2"/>
  <c r="AR167" i="2"/>
  <c r="U167" i="2"/>
  <c r="BA167" i="2"/>
  <c r="CL142" i="2"/>
  <c r="CL81" i="7" s="1"/>
  <c r="BR142" i="2"/>
  <c r="BR81" i="7" s="1"/>
  <c r="CP142" i="2"/>
  <c r="CP81" i="7" s="1"/>
  <c r="BV142" i="2"/>
  <c r="BV81" i="7" s="1"/>
  <c r="CT142" i="2"/>
  <c r="CT81" i="7" s="1"/>
  <c r="BZ142" i="2"/>
  <c r="BZ81" i="7" s="1"/>
  <c r="AJ167" i="2"/>
  <c r="J142" i="2"/>
  <c r="J147" i="2"/>
  <c r="J167" i="2" s="1"/>
  <c r="AP142" i="2"/>
  <c r="AP147" i="2"/>
  <c r="AP167" i="2" s="1"/>
  <c r="B142" i="2"/>
  <c r="B147" i="2"/>
  <c r="B167" i="2" s="1"/>
  <c r="BG167" i="2"/>
  <c r="AX142" i="2"/>
  <c r="AX147" i="2"/>
  <c r="AX167" i="2" s="1"/>
  <c r="Z142" i="2"/>
  <c r="Z147" i="2"/>
  <c r="Z167" i="2" s="1"/>
  <c r="BF142" i="2"/>
  <c r="BF147" i="2"/>
  <c r="BF167" i="2" s="1"/>
  <c r="AL142" i="2"/>
  <c r="AL148" i="2"/>
  <c r="AL167" i="2" s="1"/>
  <c r="CQ142" i="2"/>
  <c r="CQ81" i="7" s="1"/>
  <c r="CQ147" i="2"/>
  <c r="CQ114" i="7" s="1"/>
  <c r="E142" i="2"/>
  <c r="U142" i="2"/>
  <c r="AK142" i="2"/>
  <c r="BA142" i="2"/>
  <c r="DT142" i="2"/>
  <c r="DT81" i="7" s="1"/>
  <c r="DT147" i="2"/>
  <c r="N142" i="2"/>
  <c r="N148" i="2"/>
  <c r="N167" i="2" s="1"/>
  <c r="CY142" i="2"/>
  <c r="CY81" i="7" s="1"/>
  <c r="CY147" i="2"/>
  <c r="CY114" i="7" s="1"/>
  <c r="DO142" i="2"/>
  <c r="DO81" i="7" s="1"/>
  <c r="DO147" i="2"/>
  <c r="DO114" i="7" s="1"/>
  <c r="DC142" i="2"/>
  <c r="DC81" i="7" s="1"/>
  <c r="DC148" i="2"/>
  <c r="DC115" i="7" s="1"/>
  <c r="G142" i="2"/>
  <c r="W142" i="2"/>
  <c r="AM142" i="2"/>
  <c r="BC142" i="2"/>
  <c r="D142" i="2"/>
  <c r="D147" i="2"/>
  <c r="D167" i="2" s="1"/>
  <c r="L142" i="2"/>
  <c r="T142" i="2"/>
  <c r="AB142" i="2"/>
  <c r="AB147" i="2"/>
  <c r="AB167" i="2" s="1"/>
  <c r="AJ142" i="2"/>
  <c r="AR142" i="2"/>
  <c r="AZ142" i="2"/>
  <c r="AZ147" i="2"/>
  <c r="AZ167" i="2" s="1"/>
  <c r="BH142" i="2"/>
  <c r="BH147" i="2"/>
  <c r="BH167" i="2" s="1"/>
  <c r="H142" i="2"/>
  <c r="H148" i="2"/>
  <c r="H167" i="2" s="1"/>
  <c r="P142" i="2"/>
  <c r="P148" i="2"/>
  <c r="P167" i="2" s="1"/>
  <c r="X142" i="2"/>
  <c r="AF142" i="2"/>
  <c r="AN142" i="2"/>
  <c r="AN148" i="2"/>
  <c r="AN167" i="2" s="1"/>
  <c r="AV142" i="2"/>
  <c r="AV148" i="2"/>
  <c r="AV167" i="2" s="1"/>
  <c r="BD142" i="2"/>
  <c r="BD148" i="2"/>
  <c r="BD167" i="2" s="1"/>
  <c r="CA142" i="2"/>
  <c r="CA81" i="7" s="1"/>
  <c r="CA147" i="2"/>
  <c r="CA114" i="7" s="1"/>
  <c r="CE142" i="2"/>
  <c r="CE81" i="7" s="1"/>
  <c r="CE148" i="2"/>
  <c r="CE115" i="7" s="1"/>
  <c r="X148" i="2"/>
  <c r="X167" i="2" s="1"/>
  <c r="AD142" i="2"/>
  <c r="AD148" i="2"/>
  <c r="AD167" i="2" s="1"/>
  <c r="BO142" i="2"/>
  <c r="BO81" i="7" s="1"/>
  <c r="BO148" i="2"/>
  <c r="BO115" i="7" s="1"/>
  <c r="K142" i="2"/>
  <c r="AA142" i="2"/>
  <c r="AQ142" i="2"/>
  <c r="BG142" i="2"/>
  <c r="BB142" i="2"/>
  <c r="DS142" i="2"/>
  <c r="DS81" i="7" s="1"/>
  <c r="DS149" i="2"/>
  <c r="DS116" i="7" s="1"/>
  <c r="BB147" i="2"/>
  <c r="BB167" i="2" s="1"/>
  <c r="AH142" i="2"/>
  <c r="AH147" i="2"/>
  <c r="AH167" i="2" s="1"/>
  <c r="V142" i="2"/>
  <c r="V148" i="2"/>
  <c r="V167" i="2" s="1"/>
  <c r="BK142" i="2"/>
  <c r="BK81" i="7" s="1"/>
  <c r="BK147" i="2"/>
  <c r="BK114" i="7" s="1"/>
  <c r="CI142" i="2"/>
  <c r="CI81" i="7" s="1"/>
  <c r="CI147" i="2"/>
  <c r="CI114" i="7" s="1"/>
  <c r="BW142" i="2"/>
  <c r="BW81" i="7" s="1"/>
  <c r="BW148" i="2"/>
  <c r="BW115" i="7" s="1"/>
  <c r="CU142" i="2"/>
  <c r="CU81" i="7" s="1"/>
  <c r="CU148" i="2"/>
  <c r="CU115" i="7" s="1"/>
  <c r="DK142" i="2"/>
  <c r="DK81" i="7" s="1"/>
  <c r="DK148" i="2"/>
  <c r="DK115" i="7" s="1"/>
  <c r="L147" i="2"/>
  <c r="L167" i="2" s="1"/>
  <c r="AF148" i="2"/>
  <c r="AF167" i="2" s="1"/>
  <c r="R142" i="2"/>
  <c r="R147" i="2"/>
  <c r="R167" i="2" s="1"/>
  <c r="F142" i="2"/>
  <c r="F148" i="2"/>
  <c r="F167" i="2" s="1"/>
  <c r="AT142" i="2"/>
  <c r="AT148" i="2"/>
  <c r="AT167" i="2" s="1"/>
  <c r="T147" i="2"/>
  <c r="T167" i="2" s="1"/>
  <c r="CW151" i="2" l="1"/>
  <c r="CW118" i="7" s="1"/>
  <c r="CC62" i="7"/>
  <c r="BS75" i="7"/>
  <c r="CR61" i="7"/>
  <c r="CR151" i="2"/>
  <c r="CR118" i="7" s="1"/>
  <c r="DQ67" i="7"/>
  <c r="CM59" i="7"/>
  <c r="DL153" i="2"/>
  <c r="DL120" i="7" s="1"/>
  <c r="CR150" i="2"/>
  <c r="CR117" i="7" s="1"/>
  <c r="CC149" i="2"/>
  <c r="CC116" i="7" s="1"/>
  <c r="CH62" i="7"/>
  <c r="CM149" i="2"/>
  <c r="CM116" i="7" s="1"/>
  <c r="CM151" i="2"/>
  <c r="CM118" i="7" s="1"/>
  <c r="DQ64" i="7"/>
  <c r="DQ63" i="7"/>
  <c r="BN78" i="7"/>
  <c r="CM75" i="7"/>
  <c r="BN75" i="7"/>
  <c r="DG149" i="2"/>
  <c r="DG116" i="7" s="1"/>
  <c r="CM152" i="2"/>
  <c r="CM119" i="7" s="1"/>
  <c r="BX75" i="7"/>
  <c r="BN151" i="2"/>
  <c r="BN118" i="7" s="1"/>
  <c r="BX62" i="7"/>
  <c r="DL152" i="2"/>
  <c r="DL119" i="7" s="1"/>
  <c r="CM62" i="7"/>
  <c r="DB62" i="7"/>
  <c r="CF81" i="7"/>
  <c r="CC60" i="7"/>
  <c r="BS149" i="2"/>
  <c r="BS116" i="7" s="1"/>
  <c r="CC75" i="7"/>
  <c r="BS164" i="2"/>
  <c r="BS133" i="7" s="1"/>
  <c r="CH151" i="2"/>
  <c r="CH118" i="7" s="1"/>
  <c r="DL150" i="2"/>
  <c r="DL117" i="7" s="1"/>
  <c r="BU167" i="2"/>
  <c r="BU136" i="7" s="1"/>
  <c r="DG151" i="2"/>
  <c r="DG118" i="7" s="1"/>
  <c r="DQ166" i="2"/>
  <c r="DG73" i="7"/>
  <c r="CR152" i="2"/>
  <c r="CR119" i="7" s="1"/>
  <c r="CW65" i="7"/>
  <c r="CR75" i="7"/>
  <c r="BP167" i="2"/>
  <c r="BP136" i="7" s="1"/>
  <c r="BJ167" i="2"/>
  <c r="BJ136" i="7" s="1"/>
  <c r="BZ167" i="2"/>
  <c r="BZ136" i="7" s="1"/>
  <c r="BL167" i="2"/>
  <c r="BL136" i="7" s="1"/>
  <c r="CT167" i="2"/>
  <c r="CT136" i="7" s="1"/>
  <c r="BM167" i="2"/>
  <c r="BM136" i="7" s="1"/>
  <c r="BY167" i="2"/>
  <c r="BY136" i="7" s="1"/>
  <c r="DN167" i="2"/>
  <c r="DN136" i="7" s="1"/>
  <c r="CB167" i="2"/>
  <c r="CB136" i="7" s="1"/>
  <c r="CX167" i="2"/>
  <c r="CX136" i="7" s="1"/>
  <c r="CL167" i="2"/>
  <c r="CL136" i="7" s="1"/>
  <c r="DQ149" i="2"/>
  <c r="DQ116" i="7" s="1"/>
  <c r="DM167" i="2"/>
  <c r="DM136" i="7" s="1"/>
  <c r="CP167" i="2"/>
  <c r="CP136" i="7" s="1"/>
  <c r="BS151" i="2"/>
  <c r="BS118" i="7" s="1"/>
  <c r="CM153" i="2"/>
  <c r="CM120" i="7" s="1"/>
  <c r="DQ69" i="7"/>
  <c r="DD167" i="2"/>
  <c r="DD136" i="7" s="1"/>
  <c r="CV167" i="2"/>
  <c r="CV136" i="7" s="1"/>
  <c r="DJ62" i="2"/>
  <c r="DJ70" i="2"/>
  <c r="DI63" i="2"/>
  <c r="DI64" i="2"/>
  <c r="DJ64" i="2" s="1"/>
  <c r="DH73" i="2"/>
  <c r="CQ167" i="2"/>
  <c r="CQ136" i="7" s="1"/>
  <c r="DB147" i="2"/>
  <c r="DB114" i="7" s="1"/>
  <c r="DB59" i="7"/>
  <c r="BN166" i="2"/>
  <c r="DF167" i="2"/>
  <c r="DF136" i="7" s="1"/>
  <c r="BK167" i="2"/>
  <c r="BK136" i="7" s="1"/>
  <c r="DO167" i="2"/>
  <c r="DO136" i="7" s="1"/>
  <c r="CN167" i="2"/>
  <c r="CN136" i="7" s="1"/>
  <c r="DR167" i="2"/>
  <c r="DR136" i="7" s="1"/>
  <c r="BV167" i="2"/>
  <c r="BV136" i="7" s="1"/>
  <c r="CS167" i="2"/>
  <c r="CS136" i="7" s="1"/>
  <c r="BX148" i="2"/>
  <c r="BX115" i="7" s="1"/>
  <c r="BX60" i="7"/>
  <c r="CR161" i="2"/>
  <c r="CR128" i="7" s="1"/>
  <c r="CR73" i="7"/>
  <c r="DQ148" i="2"/>
  <c r="DQ115" i="7" s="1"/>
  <c r="DQ60" i="7"/>
  <c r="BS166" i="2"/>
  <c r="DL151" i="2"/>
  <c r="DL118" i="7" s="1"/>
  <c r="DL63" i="7"/>
  <c r="DQ161" i="2"/>
  <c r="DQ128" i="7" s="1"/>
  <c r="DQ73" i="7"/>
  <c r="DQ156" i="2"/>
  <c r="DQ123" i="7" s="1"/>
  <c r="DQ68" i="7"/>
  <c r="DL163" i="2"/>
  <c r="DL130" i="7" s="1"/>
  <c r="DL75" i="7"/>
  <c r="BW167" i="2"/>
  <c r="BW136" i="7" s="1"/>
  <c r="DE167" i="2"/>
  <c r="DE136" i="7" s="1"/>
  <c r="CF167" i="2"/>
  <c r="CF136" i="7" s="1"/>
  <c r="CC147" i="2"/>
  <c r="CC114" i="7" s="1"/>
  <c r="CC59" i="7"/>
  <c r="DQ154" i="2"/>
  <c r="DQ121" i="7" s="1"/>
  <c r="DQ66" i="7"/>
  <c r="DG154" i="2"/>
  <c r="DG121" i="7" s="1"/>
  <c r="DG66" i="7"/>
  <c r="DB164" i="2"/>
  <c r="DB151" i="2"/>
  <c r="DB118" i="7" s="1"/>
  <c r="DB63" i="7"/>
  <c r="CM164" i="2"/>
  <c r="DL161" i="2"/>
  <c r="DL128" i="7" s="1"/>
  <c r="DL73" i="7"/>
  <c r="BR167" i="2"/>
  <c r="BR136" i="7" s="1"/>
  <c r="BS147" i="2"/>
  <c r="BS114" i="7" s="1"/>
  <c r="CJ167" i="2"/>
  <c r="CJ136" i="7" s="1"/>
  <c r="DA167" i="2"/>
  <c r="DA136" i="7" s="1"/>
  <c r="CE167" i="2"/>
  <c r="CE136" i="7" s="1"/>
  <c r="DI167" i="2"/>
  <c r="DI136" i="7" s="1"/>
  <c r="CK167" i="2"/>
  <c r="CK136" i="7" s="1"/>
  <c r="CO167" i="2"/>
  <c r="CO136" i="7" s="1"/>
  <c r="DB148" i="2"/>
  <c r="DB115" i="7" s="1"/>
  <c r="DB60" i="7"/>
  <c r="DQ164" i="2"/>
  <c r="DB155" i="2"/>
  <c r="DB67" i="7"/>
  <c r="DL148" i="2"/>
  <c r="DL115" i="7" s="1"/>
  <c r="DL60" i="7"/>
  <c r="CH149" i="2"/>
  <c r="CH116" i="7" s="1"/>
  <c r="CH61" i="7"/>
  <c r="DB153" i="2"/>
  <c r="DB120" i="7" s="1"/>
  <c r="DB65" i="7"/>
  <c r="CR166" i="2"/>
  <c r="CR164" i="2"/>
  <c r="DG163" i="2"/>
  <c r="DG130" i="7" s="1"/>
  <c r="DG75" i="7"/>
  <c r="DL154" i="2"/>
  <c r="DL121" i="7" s="1"/>
  <c r="DL66" i="7"/>
  <c r="CY167" i="2"/>
  <c r="CY136" i="7" s="1"/>
  <c r="CH148" i="2"/>
  <c r="CH115" i="7" s="1"/>
  <c r="CH60" i="7"/>
  <c r="DQ163" i="2"/>
  <c r="DQ130" i="7" s="1"/>
  <c r="DQ75" i="7"/>
  <c r="DP167" i="2"/>
  <c r="DP136" i="7" s="1"/>
  <c r="CI167" i="2"/>
  <c r="CI136" i="7" s="1"/>
  <c r="BO167" i="2"/>
  <c r="BO136" i="7" s="1"/>
  <c r="DC167" i="2"/>
  <c r="DC136" i="7" s="1"/>
  <c r="BT167" i="2"/>
  <c r="BT136" i="7" s="1"/>
  <c r="CG167" i="2"/>
  <c r="CG136" i="7" s="1"/>
  <c r="BS148" i="2"/>
  <c r="BS115" i="7" s="1"/>
  <c r="BS60" i="7"/>
  <c r="CM148" i="2"/>
  <c r="CM115" i="7" s="1"/>
  <c r="CM60" i="7"/>
  <c r="DG150" i="2"/>
  <c r="DG117" i="7" s="1"/>
  <c r="DG62" i="7"/>
  <c r="DQ153" i="2"/>
  <c r="DQ120" i="7" s="1"/>
  <c r="DQ65" i="7"/>
  <c r="DB163" i="2"/>
  <c r="DB130" i="7" s="1"/>
  <c r="DB75" i="7"/>
  <c r="CH164" i="2"/>
  <c r="BX149" i="2"/>
  <c r="BX116" i="7" s="1"/>
  <c r="BX61" i="7"/>
  <c r="BX166" i="2"/>
  <c r="CR153" i="2"/>
  <c r="CR120" i="7" s="1"/>
  <c r="CR65" i="7"/>
  <c r="DG147" i="2"/>
  <c r="DG114" i="7" s="1"/>
  <c r="DG59" i="7"/>
  <c r="DL164" i="2"/>
  <c r="DG152" i="2"/>
  <c r="DG119" i="7" s="1"/>
  <c r="DG64" i="7"/>
  <c r="DB152" i="2"/>
  <c r="DB119" i="7" s="1"/>
  <c r="DB64" i="7"/>
  <c r="CZ167" i="2"/>
  <c r="CZ136" i="7" s="1"/>
  <c r="DS167" i="2"/>
  <c r="DS136" i="7" s="1"/>
  <c r="CA167" i="2"/>
  <c r="CA136" i="7" s="1"/>
  <c r="DT167" i="2"/>
  <c r="DT136" i="7" s="1"/>
  <c r="DH167" i="2"/>
  <c r="DH136" i="7" s="1"/>
  <c r="BQ167" i="2"/>
  <c r="BQ136" i="7" s="1"/>
  <c r="DL156" i="2"/>
  <c r="DL123" i="7" s="1"/>
  <c r="DL68" i="7"/>
  <c r="CC164" i="2"/>
  <c r="BN150" i="2"/>
  <c r="BN117" i="7" s="1"/>
  <c r="BN62" i="7"/>
  <c r="BN148" i="2"/>
  <c r="BN115" i="7" s="1"/>
  <c r="BN60" i="7"/>
  <c r="DG153" i="2"/>
  <c r="DG120" i="7" s="1"/>
  <c r="DG65" i="7"/>
  <c r="DL166" i="2"/>
  <c r="CC166" i="2"/>
  <c r="DB161" i="2"/>
  <c r="DB128" i="7" s="1"/>
  <c r="DB73" i="7"/>
  <c r="DK167" i="2"/>
  <c r="DK136" i="7" s="1"/>
  <c r="CD167" i="2"/>
  <c r="CD136" i="7" s="1"/>
  <c r="DJ167" i="2"/>
  <c r="DJ136" i="7" s="1"/>
  <c r="CR148" i="2"/>
  <c r="CR115" i="7" s="1"/>
  <c r="CR60" i="7"/>
  <c r="DG148" i="2"/>
  <c r="DG115" i="7" s="1"/>
  <c r="DG60" i="7"/>
  <c r="CH166" i="2"/>
  <c r="DL149" i="2"/>
  <c r="DL116" i="7" s="1"/>
  <c r="DL61" i="7"/>
  <c r="CM166" i="2"/>
  <c r="DG166" i="2"/>
  <c r="DQ150" i="2"/>
  <c r="DQ117" i="7" s="1"/>
  <c r="DQ62" i="7"/>
  <c r="CU167" i="2"/>
  <c r="CU136" i="7" s="1"/>
  <c r="CW152" i="2"/>
  <c r="CW119" i="7" s="1"/>
  <c r="CW64" i="7"/>
  <c r="CW150" i="2"/>
  <c r="CW117" i="7" s="1"/>
  <c r="CW62" i="7"/>
  <c r="CW148" i="2"/>
  <c r="CW115" i="7" s="1"/>
  <c r="CW60" i="7"/>
  <c r="CW163" i="2"/>
  <c r="CW130" i="7" s="1"/>
  <c r="CW75" i="7"/>
  <c r="CW142" i="2"/>
  <c r="BN142" i="2"/>
  <c r="CH142" i="2"/>
  <c r="BX142" i="2"/>
  <c r="CC142" i="2"/>
  <c r="DL142" i="2"/>
  <c r="CM142" i="2"/>
  <c r="DQ142" i="2"/>
  <c r="DG142" i="2"/>
  <c r="DB142" i="2"/>
  <c r="CR142" i="2"/>
  <c r="BS142" i="2"/>
  <c r="DK62" i="2" l="1"/>
  <c r="DL62" i="2" s="1"/>
  <c r="CC167" i="2"/>
  <c r="CC136" i="7" s="1"/>
  <c r="BN167" i="2"/>
  <c r="BN136" i="7" s="1"/>
  <c r="BX167" i="2"/>
  <c r="BX136" i="7" s="1"/>
  <c r="CM167" i="2"/>
  <c r="CM136" i="7" s="1"/>
  <c r="DK64" i="2"/>
  <c r="DL64" i="2" s="1"/>
  <c r="DK70" i="2"/>
  <c r="DL70" i="2" s="1"/>
  <c r="DI73" i="2"/>
  <c r="DJ63" i="2"/>
  <c r="DJ73" i="2" s="1"/>
  <c r="DQ81" i="7"/>
  <c r="CW167" i="2"/>
  <c r="CW136" i="7" s="1"/>
  <c r="BS167" i="2"/>
  <c r="BS136" i="7" s="1"/>
  <c r="DB167" i="2"/>
  <c r="DB136" i="7" s="1"/>
  <c r="BX81" i="7"/>
  <c r="CR81" i="7"/>
  <c r="DB81" i="7"/>
  <c r="BS81" i="7"/>
  <c r="CM81" i="7"/>
  <c r="DL81" i="7"/>
  <c r="CR167" i="2"/>
  <c r="CR136" i="7" s="1"/>
  <c r="BN81" i="7"/>
  <c r="DG81" i="7"/>
  <c r="DQ167" i="2"/>
  <c r="DQ136" i="7" s="1"/>
  <c r="DL167" i="2"/>
  <c r="DL136" i="7" s="1"/>
  <c r="CH81" i="7"/>
  <c r="DG167" i="2"/>
  <c r="DG136" i="7" s="1"/>
  <c r="CH167" i="2"/>
  <c r="CH136" i="7" s="1"/>
  <c r="CC81" i="7"/>
  <c r="CW81" i="7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J142" i="2" s="1"/>
  <c r="BJ81" i="7" s="1"/>
  <c r="DK63" i="2" l="1"/>
  <c r="DK73" i="2" s="1"/>
  <c r="DQ82" i="1"/>
  <c r="DQ81" i="1"/>
  <c r="DQ80" i="1"/>
  <c r="DQ79" i="1"/>
  <c r="DQ83" i="1" l="1"/>
  <c r="DL63" i="2"/>
  <c r="DL73" i="2" s="1"/>
  <c r="DL82" i="1" l="1"/>
  <c r="DL81" i="1"/>
  <c r="DL80" i="1"/>
  <c r="DL79" i="1"/>
  <c r="DG82" i="1"/>
  <c r="DG81" i="1"/>
  <c r="DG80" i="1"/>
  <c r="DG79" i="1"/>
  <c r="DL83" i="1" l="1"/>
  <c r="DG83" i="1"/>
  <c r="CX82" i="1" l="1"/>
  <c r="CX83" i="1" s="1"/>
  <c r="DB82" i="1" l="1"/>
  <c r="DB81" i="1"/>
  <c r="DB80" i="1"/>
  <c r="DB79" i="1"/>
  <c r="DB83" i="1" l="1"/>
  <c r="CW82" i="1"/>
  <c r="CW81" i="1"/>
  <c r="CW80" i="1"/>
  <c r="CW79" i="1"/>
  <c r="CR82" i="1"/>
  <c r="CR81" i="1"/>
  <c r="CR80" i="1"/>
  <c r="CR79" i="1"/>
  <c r="CW83" i="1" l="1"/>
  <c r="CR83" i="1"/>
  <c r="DL49" i="1"/>
  <c r="DL48" i="1"/>
  <c r="DL47" i="1"/>
  <c r="DL46" i="1"/>
  <c r="DL45" i="1"/>
  <c r="DL44" i="1"/>
  <c r="DL43" i="1"/>
  <c r="DL42" i="1"/>
  <c r="DL41" i="1"/>
  <c r="DQ50" i="1"/>
  <c r="DQ49" i="1"/>
  <c r="DQ48" i="1"/>
  <c r="DQ47" i="1"/>
  <c r="DQ46" i="1"/>
  <c r="DQ45" i="1"/>
  <c r="DQ44" i="1"/>
  <c r="DQ43" i="1"/>
  <c r="DQ42" i="1"/>
  <c r="DQ41" i="1"/>
  <c r="DQ31" i="1"/>
  <c r="DQ30" i="1"/>
  <c r="DQ11" i="1" s="1"/>
  <c r="DQ29" i="1"/>
  <c r="DQ10" i="1" s="1"/>
  <c r="DQ28" i="1"/>
  <c r="DQ27" i="1"/>
  <c r="DQ26" i="1"/>
  <c r="DQ25" i="1"/>
  <c r="DQ24" i="1"/>
  <c r="DQ23" i="1"/>
  <c r="DQ22" i="1"/>
  <c r="DL30" i="1"/>
  <c r="DL11" i="1" s="1"/>
  <c r="DL29" i="1"/>
  <c r="DL28" i="1"/>
  <c r="DL27" i="1"/>
  <c r="DL26" i="1"/>
  <c r="DL25" i="1"/>
  <c r="DL24" i="1"/>
  <c r="DL23" i="1"/>
  <c r="DL22" i="1"/>
  <c r="DG47" i="1"/>
  <c r="DG46" i="1"/>
  <c r="DG45" i="1"/>
  <c r="DG44" i="1"/>
  <c r="DG43" i="1"/>
  <c r="DG42" i="1"/>
  <c r="DG41" i="1"/>
  <c r="DG28" i="1"/>
  <c r="DG9" i="1" s="1"/>
  <c r="DG27" i="1"/>
  <c r="DG26" i="1"/>
  <c r="DG25" i="1"/>
  <c r="DG24" i="1"/>
  <c r="DG23" i="1"/>
  <c r="DG22" i="1"/>
  <c r="DL9" i="1" l="1"/>
  <c r="DL10" i="1"/>
  <c r="DQ7" i="1"/>
  <c r="DQ4" i="1"/>
  <c r="DQ5" i="1"/>
  <c r="DQ12" i="1"/>
  <c r="DL3" i="1"/>
  <c r="DG7" i="1"/>
  <c r="DQ3" i="1"/>
  <c r="DQ6" i="1"/>
  <c r="DL4" i="1"/>
  <c r="DL5" i="1"/>
  <c r="DL7" i="1"/>
  <c r="DG5" i="1"/>
  <c r="DG6" i="1"/>
  <c r="DL8" i="1"/>
  <c r="DQ8" i="1"/>
  <c r="DG3" i="1"/>
  <c r="DG4" i="1"/>
  <c r="DL6" i="1"/>
  <c r="DG8" i="1"/>
  <c r="DQ9" i="1"/>
  <c r="DB50" i="1"/>
  <c r="DC50" i="1" s="1"/>
  <c r="CW50" i="1"/>
  <c r="CR50" i="1"/>
  <c r="CM50" i="1"/>
  <c r="DB49" i="1"/>
  <c r="DC49" i="1" s="1"/>
  <c r="DG49" i="1" s="1"/>
  <c r="CW49" i="1"/>
  <c r="CR49" i="1"/>
  <c r="CM49" i="1"/>
  <c r="DB48" i="1"/>
  <c r="DC48" i="1" s="1"/>
  <c r="DG48" i="1" s="1"/>
  <c r="CW48" i="1"/>
  <c r="CR48" i="1"/>
  <c r="CM48" i="1"/>
  <c r="CH50" i="1"/>
  <c r="CH49" i="1"/>
  <c r="CH48" i="1"/>
  <c r="CH47" i="1"/>
  <c r="CC50" i="1"/>
  <c r="BX50" i="1"/>
  <c r="BS50" i="1"/>
  <c r="BN50" i="1"/>
  <c r="BI50" i="1"/>
  <c r="CC49" i="1"/>
  <c r="BX49" i="1"/>
  <c r="BS49" i="1"/>
  <c r="BN49" i="1"/>
  <c r="BI49" i="1"/>
  <c r="CC48" i="1"/>
  <c r="BX48" i="1"/>
  <c r="BS48" i="1"/>
  <c r="BN48" i="1"/>
  <c r="BI48" i="1"/>
  <c r="CC47" i="1"/>
  <c r="BX47" i="1"/>
  <c r="BS47" i="1"/>
  <c r="BN47" i="1"/>
  <c r="BI47" i="1"/>
  <c r="CC46" i="1"/>
  <c r="BD50" i="1"/>
  <c r="BD49" i="1"/>
  <c r="BD48" i="1"/>
  <c r="BD47" i="1"/>
  <c r="BD46" i="1"/>
  <c r="BD45" i="1"/>
  <c r="AY50" i="1"/>
  <c r="AT50" i="1"/>
  <c r="AO50" i="1"/>
  <c r="AJ50" i="1"/>
  <c r="AE50" i="1"/>
  <c r="Z50" i="1"/>
  <c r="U50" i="1"/>
  <c r="P50" i="1"/>
  <c r="K50" i="1"/>
  <c r="F50" i="1"/>
  <c r="AY49" i="1"/>
  <c r="AT49" i="1"/>
  <c r="AO49" i="1"/>
  <c r="AJ49" i="1"/>
  <c r="AE49" i="1"/>
  <c r="Z49" i="1"/>
  <c r="U49" i="1"/>
  <c r="P49" i="1"/>
  <c r="K49" i="1"/>
  <c r="F49" i="1"/>
  <c r="AY48" i="1"/>
  <c r="AT48" i="1"/>
  <c r="AO48" i="1"/>
  <c r="AJ48" i="1"/>
  <c r="AE48" i="1"/>
  <c r="Z48" i="1"/>
  <c r="U48" i="1"/>
  <c r="P48" i="1"/>
  <c r="K48" i="1"/>
  <c r="F48" i="1"/>
  <c r="AY47" i="1"/>
  <c r="AT47" i="1"/>
  <c r="AO47" i="1"/>
  <c r="AJ47" i="1"/>
  <c r="AE47" i="1"/>
  <c r="Z47" i="1"/>
  <c r="AY46" i="1"/>
  <c r="AT46" i="1"/>
  <c r="AO46" i="1"/>
  <c r="AJ46" i="1"/>
  <c r="AE46" i="1"/>
  <c r="Z46" i="1"/>
  <c r="AY45" i="1"/>
  <c r="AT45" i="1"/>
  <c r="AO45" i="1"/>
  <c r="AJ45" i="1"/>
  <c r="AE45" i="1"/>
  <c r="Z45" i="1"/>
  <c r="AY44" i="1"/>
  <c r="AT44" i="1"/>
  <c r="AO44" i="1"/>
  <c r="AJ44" i="1"/>
  <c r="AE44" i="1"/>
  <c r="Z44" i="1"/>
  <c r="DB31" i="1"/>
  <c r="DB30" i="1"/>
  <c r="DB29" i="1"/>
  <c r="CW31" i="1"/>
  <c r="CW30" i="1"/>
  <c r="CW11" i="1" s="1"/>
  <c r="CW29" i="1"/>
  <c r="CR31" i="1"/>
  <c r="CR30" i="1"/>
  <c r="CR29" i="1"/>
  <c r="CM31" i="1"/>
  <c r="CM30" i="1"/>
  <c r="CM29" i="1"/>
  <c r="CH28" i="1"/>
  <c r="CH29" i="1"/>
  <c r="CH10" i="1" s="1"/>
  <c r="CH30" i="1"/>
  <c r="CH11" i="1" s="1"/>
  <c r="CH31" i="1"/>
  <c r="CC34" i="1"/>
  <c r="CC15" i="1" s="1"/>
  <c r="CC33" i="1"/>
  <c r="CC14" i="1" s="1"/>
  <c r="CC32" i="1"/>
  <c r="CC13" i="1" s="1"/>
  <c r="CC31" i="1"/>
  <c r="CC30" i="1"/>
  <c r="CC29" i="1"/>
  <c r="CC28" i="1"/>
  <c r="BX34" i="1"/>
  <c r="BX15" i="1" s="1"/>
  <c r="BX33" i="1"/>
  <c r="BX14" i="1" s="1"/>
  <c r="BX32" i="1"/>
  <c r="BX13" i="1" s="1"/>
  <c r="BX31" i="1"/>
  <c r="BX12" i="1" s="1"/>
  <c r="BX30" i="1"/>
  <c r="BX29" i="1"/>
  <c r="BX28" i="1"/>
  <c r="BS34" i="1"/>
  <c r="BS15" i="1" s="1"/>
  <c r="BS33" i="1"/>
  <c r="BS14" i="1" s="1"/>
  <c r="BS32" i="1"/>
  <c r="BS13" i="1" s="1"/>
  <c r="BS31" i="1"/>
  <c r="BS30" i="1"/>
  <c r="BS29" i="1"/>
  <c r="BS28" i="1"/>
  <c r="BN34" i="1"/>
  <c r="BN15" i="1" s="1"/>
  <c r="BN33" i="1"/>
  <c r="BN14" i="1" s="1"/>
  <c r="BN32" i="1"/>
  <c r="BN13" i="1" s="1"/>
  <c r="BN31" i="1"/>
  <c r="BN30" i="1"/>
  <c r="BN29" i="1"/>
  <c r="BN28" i="1"/>
  <c r="BI34" i="1"/>
  <c r="BI15" i="1" s="1"/>
  <c r="BI33" i="1"/>
  <c r="BI14" i="1" s="1"/>
  <c r="BI32" i="1"/>
  <c r="BI13" i="1" s="1"/>
  <c r="BI31" i="1"/>
  <c r="BI30" i="1"/>
  <c r="BI11" i="1" s="1"/>
  <c r="BI29" i="1"/>
  <c r="BI28" i="1"/>
  <c r="BI9" i="1" s="1"/>
  <c r="BE36" i="1"/>
  <c r="BF36" i="1"/>
  <c r="BG36" i="1"/>
  <c r="BH36" i="1"/>
  <c r="BD34" i="1"/>
  <c r="BD15" i="1" s="1"/>
  <c r="BD33" i="1"/>
  <c r="BD14" i="1" s="1"/>
  <c r="BD32" i="1"/>
  <c r="BD13" i="1" s="1"/>
  <c r="BD31" i="1"/>
  <c r="BD30" i="1"/>
  <c r="BD29" i="1"/>
  <c r="BD28" i="1"/>
  <c r="BD27" i="1"/>
  <c r="BD8" i="1" s="1"/>
  <c r="BD26" i="1"/>
  <c r="AY34" i="1"/>
  <c r="AY15" i="1" s="1"/>
  <c r="AY33" i="1"/>
  <c r="AY14" i="1" s="1"/>
  <c r="AY32" i="1"/>
  <c r="AY13" i="1" s="1"/>
  <c r="AY31" i="1"/>
  <c r="AY30" i="1"/>
  <c r="AY11" i="1" s="1"/>
  <c r="AY29" i="1"/>
  <c r="AY28" i="1"/>
  <c r="AY27" i="1"/>
  <c r="AY8" i="1" s="1"/>
  <c r="AY26" i="1"/>
  <c r="AY25" i="1"/>
  <c r="AT34" i="1"/>
  <c r="AT15" i="1" s="1"/>
  <c r="AT33" i="1"/>
  <c r="AT14" i="1" s="1"/>
  <c r="AT32" i="1"/>
  <c r="AT13" i="1" s="1"/>
  <c r="AT31" i="1"/>
  <c r="AT30" i="1"/>
  <c r="AT29" i="1"/>
  <c r="AT28" i="1"/>
  <c r="AT27" i="1"/>
  <c r="AT26" i="1"/>
  <c r="AT25" i="1"/>
  <c r="AO34" i="1"/>
  <c r="AO15" i="1" s="1"/>
  <c r="AO33" i="1"/>
  <c r="AO14" i="1" s="1"/>
  <c r="AO32" i="1"/>
  <c r="AO13" i="1" s="1"/>
  <c r="AO31" i="1"/>
  <c r="AO30" i="1"/>
  <c r="AO29" i="1"/>
  <c r="AO28" i="1"/>
  <c r="AO27" i="1"/>
  <c r="AO26" i="1"/>
  <c r="AO25" i="1"/>
  <c r="AJ34" i="1"/>
  <c r="AJ15" i="1" s="1"/>
  <c r="AJ33" i="1"/>
  <c r="AJ14" i="1" s="1"/>
  <c r="AJ32" i="1"/>
  <c r="AJ13" i="1" s="1"/>
  <c r="AJ31" i="1"/>
  <c r="AJ30" i="1"/>
  <c r="AJ29" i="1"/>
  <c r="AJ28" i="1"/>
  <c r="AJ27" i="1"/>
  <c r="AJ26" i="1"/>
  <c r="AJ25" i="1"/>
  <c r="AE34" i="1"/>
  <c r="AE15" i="1" s="1"/>
  <c r="AE33" i="1"/>
  <c r="AE14" i="1" s="1"/>
  <c r="AE32" i="1"/>
  <c r="AE13" i="1" s="1"/>
  <c r="AE31" i="1"/>
  <c r="AE30" i="1"/>
  <c r="AE29" i="1"/>
  <c r="AE28" i="1"/>
  <c r="AE9" i="1" s="1"/>
  <c r="AE27" i="1"/>
  <c r="AE26" i="1"/>
  <c r="AE7" i="1" s="1"/>
  <c r="AE25" i="1"/>
  <c r="Z34" i="1"/>
  <c r="Z15" i="1" s="1"/>
  <c r="Z33" i="1"/>
  <c r="Z14" i="1" s="1"/>
  <c r="Z32" i="1"/>
  <c r="Z13" i="1" s="1"/>
  <c r="Z31" i="1"/>
  <c r="Z30" i="1"/>
  <c r="Z29" i="1"/>
  <c r="Z28" i="1"/>
  <c r="Z27" i="1"/>
  <c r="Z26" i="1"/>
  <c r="Z25" i="1"/>
  <c r="AE24" i="1"/>
  <c r="AE23" i="1"/>
  <c r="AE22" i="1"/>
  <c r="Z24" i="1"/>
  <c r="Z23" i="1"/>
  <c r="Z22" i="1"/>
  <c r="U34" i="1"/>
  <c r="U15" i="1" s="1"/>
  <c r="U33" i="1"/>
  <c r="U14" i="1" s="1"/>
  <c r="U32" i="1"/>
  <c r="U13" i="1" s="1"/>
  <c r="U31" i="1"/>
  <c r="U12" i="1" s="1"/>
  <c r="U30" i="1"/>
  <c r="U29" i="1"/>
  <c r="U24" i="1"/>
  <c r="U23" i="1"/>
  <c r="U22" i="1"/>
  <c r="P34" i="1"/>
  <c r="P15" i="1" s="1"/>
  <c r="P33" i="1"/>
  <c r="P14" i="1" s="1"/>
  <c r="P32" i="1"/>
  <c r="P13" i="1" s="1"/>
  <c r="P31" i="1"/>
  <c r="P30" i="1"/>
  <c r="P11" i="1" s="1"/>
  <c r="P29" i="1"/>
  <c r="P24" i="1"/>
  <c r="P23" i="1"/>
  <c r="P22" i="1"/>
  <c r="K34" i="1"/>
  <c r="K15" i="1" s="1"/>
  <c r="F34" i="1"/>
  <c r="F15" i="1" s="1"/>
  <c r="Z8" i="1" l="1"/>
  <c r="P10" i="1"/>
  <c r="Z9" i="1"/>
  <c r="AY7" i="1"/>
  <c r="Z7" i="1"/>
  <c r="AJ11" i="1"/>
  <c r="BS11" i="1"/>
  <c r="DB10" i="1"/>
  <c r="AJ12" i="1"/>
  <c r="BI10" i="1"/>
  <c r="AE12" i="1"/>
  <c r="DB12" i="1"/>
  <c r="BN10" i="1"/>
  <c r="CC11" i="1"/>
  <c r="AO10" i="1"/>
  <c r="U10" i="1"/>
  <c r="AO12" i="1"/>
  <c r="CR11" i="1"/>
  <c r="BS12" i="1"/>
  <c r="AT11" i="1"/>
  <c r="AJ6" i="1"/>
  <c r="AE6" i="1"/>
  <c r="Z6" i="1"/>
  <c r="BX11" i="1"/>
  <c r="CH12" i="1"/>
  <c r="DB11" i="1"/>
  <c r="CH9" i="1"/>
  <c r="Z10" i="1"/>
  <c r="AT6" i="1"/>
  <c r="BS10" i="1"/>
  <c r="BD10" i="1"/>
  <c r="BS9" i="1"/>
  <c r="AT7" i="1"/>
  <c r="AY9" i="1"/>
  <c r="BD12" i="1"/>
  <c r="CC9" i="1"/>
  <c r="CM11" i="1"/>
  <c r="BD9" i="1"/>
  <c r="AE11" i="1"/>
  <c r="BD11" i="1"/>
  <c r="BI12" i="1"/>
  <c r="AO6" i="1"/>
  <c r="AT8" i="1"/>
  <c r="AY10" i="1"/>
  <c r="AO7" i="1"/>
  <c r="AT10" i="1"/>
  <c r="CC12" i="1"/>
  <c r="AT12" i="1"/>
  <c r="BN11" i="1"/>
  <c r="BX9" i="1"/>
  <c r="CW10" i="1"/>
  <c r="AO8" i="1"/>
  <c r="AO9" i="1"/>
  <c r="AJ9" i="1"/>
  <c r="AO11" i="1"/>
  <c r="DQ17" i="1"/>
  <c r="CM12" i="1"/>
  <c r="AT9" i="1"/>
  <c r="BN12" i="1"/>
  <c r="CR10" i="1"/>
  <c r="P12" i="1"/>
  <c r="U11" i="1"/>
  <c r="Z11" i="1"/>
  <c r="AJ7" i="1"/>
  <c r="CR12" i="1"/>
  <c r="AY6" i="1"/>
  <c r="Z12" i="1"/>
  <c r="AE10" i="1"/>
  <c r="AJ8" i="1"/>
  <c r="CC10" i="1"/>
  <c r="AE8" i="1"/>
  <c r="BD7" i="1"/>
  <c r="BX10" i="1"/>
  <c r="AJ10" i="1"/>
  <c r="AY12" i="1"/>
  <c r="BN9" i="1"/>
  <c r="CM10" i="1"/>
  <c r="CW12" i="1"/>
  <c r="P36" i="1"/>
  <c r="U36" i="1"/>
  <c r="AE36" i="1"/>
  <c r="DD50" i="1" l="1"/>
  <c r="DE50" i="1" l="1"/>
  <c r="DF50" i="1" s="1"/>
  <c r="DB47" i="1"/>
  <c r="DB46" i="1"/>
  <c r="DB45" i="1"/>
  <c r="DB44" i="1"/>
  <c r="DB43" i="1"/>
  <c r="DB42" i="1"/>
  <c r="DB41" i="1"/>
  <c r="DB28" i="1"/>
  <c r="DB27" i="1"/>
  <c r="DB26" i="1"/>
  <c r="DB25" i="1"/>
  <c r="DB24" i="1"/>
  <c r="DB23" i="1"/>
  <c r="DB22" i="1"/>
  <c r="DB6" i="1" l="1"/>
  <c r="DB8" i="1"/>
  <c r="DB4" i="1"/>
  <c r="DB5" i="1"/>
  <c r="DB3" i="1"/>
  <c r="DB7" i="1"/>
  <c r="DB9" i="1"/>
  <c r="DG50" i="1"/>
  <c r="DH50" i="1" s="1"/>
  <c r="CW47" i="1"/>
  <c r="CW46" i="1"/>
  <c r="CW45" i="1"/>
  <c r="CW44" i="1"/>
  <c r="CW43" i="1"/>
  <c r="CW42" i="1"/>
  <c r="CW41" i="1"/>
  <c r="CW28" i="1"/>
  <c r="CW27" i="1"/>
  <c r="CW26" i="1"/>
  <c r="CW25" i="1"/>
  <c r="CW24" i="1"/>
  <c r="CW23" i="1"/>
  <c r="CW22" i="1"/>
  <c r="CW3" i="1" l="1"/>
  <c r="CW5" i="1"/>
  <c r="CW6" i="1"/>
  <c r="CW8" i="1"/>
  <c r="CW7" i="1"/>
  <c r="CW4" i="1"/>
  <c r="CW9" i="1"/>
  <c r="DB17" i="1"/>
  <c r="DI50" i="1"/>
  <c r="DJ50" i="1" s="1"/>
  <c r="DC30" i="1"/>
  <c r="FT72" i="1"/>
  <c r="FR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CW17" i="1" l="1"/>
  <c r="DG30" i="1"/>
  <c r="DG11" i="1" s="1"/>
  <c r="DC11" i="1"/>
  <c r="DL50" i="1"/>
  <c r="DG55" i="1"/>
  <c r="DB36" i="1"/>
  <c r="DC29" i="1"/>
  <c r="DC31" i="1"/>
  <c r="DC12" i="1" s="1"/>
  <c r="CM82" i="1"/>
  <c r="CM81" i="1"/>
  <c r="CM80" i="1"/>
  <c r="CM79" i="1"/>
  <c r="CH82" i="1"/>
  <c r="CH81" i="1"/>
  <c r="CH80" i="1"/>
  <c r="CH79" i="1"/>
  <c r="CC82" i="1"/>
  <c r="CC81" i="1"/>
  <c r="CC80" i="1"/>
  <c r="CC79" i="1"/>
  <c r="BX82" i="1"/>
  <c r="BX81" i="1"/>
  <c r="BX80" i="1"/>
  <c r="BX79" i="1"/>
  <c r="BS82" i="1"/>
  <c r="BS81" i="1"/>
  <c r="BS80" i="1"/>
  <c r="BS79" i="1"/>
  <c r="DX71" i="1"/>
  <c r="DX70" i="1"/>
  <c r="DX69" i="1"/>
  <c r="DX68" i="1"/>
  <c r="DX67" i="1"/>
  <c r="DX66" i="1"/>
  <c r="DX65" i="1"/>
  <c r="DX64" i="1"/>
  <c r="DX63" i="1"/>
  <c r="DX62" i="1"/>
  <c r="DX61" i="1"/>
  <c r="DX60" i="1"/>
  <c r="DA36" i="1"/>
  <c r="CZ36" i="1"/>
  <c r="CY36" i="1"/>
  <c r="CX36" i="1"/>
  <c r="CV36" i="1"/>
  <c r="CU36" i="1"/>
  <c r="CT36" i="1"/>
  <c r="CS36" i="1"/>
  <c r="CQ36" i="1"/>
  <c r="CP36" i="1"/>
  <c r="CO36" i="1"/>
  <c r="CN36" i="1"/>
  <c r="CL36" i="1"/>
  <c r="CK36" i="1"/>
  <c r="CJ36" i="1"/>
  <c r="CI36" i="1"/>
  <c r="CG36" i="1"/>
  <c r="CF36" i="1"/>
  <c r="CE36" i="1"/>
  <c r="CD36" i="1"/>
  <c r="CB36" i="1"/>
  <c r="CA36" i="1"/>
  <c r="BZ36" i="1"/>
  <c r="BY36" i="1"/>
  <c r="BW36" i="1"/>
  <c r="BV36" i="1"/>
  <c r="BU36" i="1"/>
  <c r="BT36" i="1"/>
  <c r="BR36" i="1"/>
  <c r="BQ36" i="1"/>
  <c r="BP36" i="1"/>
  <c r="BO36" i="1"/>
  <c r="BM36" i="1"/>
  <c r="BL36" i="1"/>
  <c r="BK36" i="1"/>
  <c r="BJ36" i="1"/>
  <c r="BC36" i="1"/>
  <c r="BB36" i="1"/>
  <c r="BA36" i="1"/>
  <c r="AZ36" i="1"/>
  <c r="AX36" i="1"/>
  <c r="AW36" i="1"/>
  <c r="AV36" i="1"/>
  <c r="AU36" i="1"/>
  <c r="AS36" i="1"/>
  <c r="AR36" i="1"/>
  <c r="AQ36" i="1"/>
  <c r="AP36" i="1"/>
  <c r="AN36" i="1"/>
  <c r="AM36" i="1"/>
  <c r="AL36" i="1"/>
  <c r="AK36" i="1"/>
  <c r="AI36" i="1"/>
  <c r="AH36" i="1"/>
  <c r="AG36" i="1"/>
  <c r="AF36" i="1"/>
  <c r="AD36" i="1"/>
  <c r="AC36" i="1"/>
  <c r="AB36" i="1"/>
  <c r="AA36" i="1"/>
  <c r="Y36" i="1"/>
  <c r="X36" i="1"/>
  <c r="W36" i="1"/>
  <c r="V36" i="1"/>
  <c r="T36" i="1"/>
  <c r="S36" i="1"/>
  <c r="R36" i="1"/>
  <c r="Q36" i="1"/>
  <c r="O36" i="1"/>
  <c r="N36" i="1"/>
  <c r="M36" i="1"/>
  <c r="L36" i="1"/>
  <c r="J36" i="1"/>
  <c r="I36" i="1"/>
  <c r="H36" i="1"/>
  <c r="G36" i="1"/>
  <c r="E36" i="1"/>
  <c r="D36" i="1"/>
  <c r="C36" i="1"/>
  <c r="B36" i="1"/>
  <c r="K33" i="1"/>
  <c r="K14" i="1" s="1"/>
  <c r="F33" i="1"/>
  <c r="F14" i="1" s="1"/>
  <c r="K32" i="1"/>
  <c r="K13" i="1" s="1"/>
  <c r="F32" i="1"/>
  <c r="F13" i="1" s="1"/>
  <c r="K31" i="1"/>
  <c r="K12" i="1" s="1"/>
  <c r="F31" i="1"/>
  <c r="F12" i="1" s="1"/>
  <c r="K30" i="1"/>
  <c r="K11" i="1" s="1"/>
  <c r="F30" i="1"/>
  <c r="F11" i="1" s="1"/>
  <c r="K29" i="1"/>
  <c r="K10" i="1" s="1"/>
  <c r="F29" i="1"/>
  <c r="F10" i="1" s="1"/>
  <c r="CR28" i="1"/>
  <c r="CM28" i="1"/>
  <c r="CR27" i="1"/>
  <c r="CM27" i="1"/>
  <c r="CH27" i="1"/>
  <c r="CC27" i="1"/>
  <c r="CC8" i="1" s="1"/>
  <c r="CR26" i="1"/>
  <c r="CM26" i="1"/>
  <c r="CH26" i="1"/>
  <c r="CC26" i="1"/>
  <c r="BX26" i="1"/>
  <c r="BS26" i="1"/>
  <c r="BN26" i="1"/>
  <c r="BI26" i="1"/>
  <c r="CR25" i="1"/>
  <c r="CM25" i="1"/>
  <c r="CH25" i="1"/>
  <c r="CC25" i="1"/>
  <c r="BX25" i="1"/>
  <c r="BS25" i="1"/>
  <c r="BN25" i="1"/>
  <c r="BI25" i="1"/>
  <c r="BD25" i="1"/>
  <c r="CR24" i="1"/>
  <c r="CM24" i="1"/>
  <c r="CH24" i="1"/>
  <c r="CC24" i="1"/>
  <c r="BX24" i="1"/>
  <c r="BS24" i="1"/>
  <c r="BN24" i="1"/>
  <c r="BI24" i="1"/>
  <c r="BD24" i="1"/>
  <c r="AY24" i="1"/>
  <c r="AT24" i="1"/>
  <c r="AO24" i="1"/>
  <c r="AJ24" i="1"/>
  <c r="K24" i="1"/>
  <c r="F24" i="1"/>
  <c r="CR23" i="1"/>
  <c r="CM23" i="1"/>
  <c r="CH23" i="1"/>
  <c r="CC23" i="1"/>
  <c r="BX23" i="1"/>
  <c r="BS23" i="1"/>
  <c r="BN23" i="1"/>
  <c r="BI23" i="1"/>
  <c r="BD23" i="1"/>
  <c r="AY23" i="1"/>
  <c r="AT23" i="1"/>
  <c r="AO23" i="1"/>
  <c r="AJ23" i="1"/>
  <c r="K23" i="1"/>
  <c r="F23" i="1"/>
  <c r="CR22" i="1"/>
  <c r="CM22" i="1"/>
  <c r="CH22" i="1"/>
  <c r="CC22" i="1"/>
  <c r="BX22" i="1"/>
  <c r="BS22" i="1"/>
  <c r="BN22" i="1"/>
  <c r="BI22" i="1"/>
  <c r="BD22" i="1"/>
  <c r="AY22" i="1"/>
  <c r="AT22" i="1"/>
  <c r="AO22" i="1"/>
  <c r="AJ22" i="1"/>
  <c r="K22" i="1"/>
  <c r="F22" i="1"/>
  <c r="BI45" i="1"/>
  <c r="CR47" i="1"/>
  <c r="CR46" i="1"/>
  <c r="CR45" i="1"/>
  <c r="CR44" i="1"/>
  <c r="CR43" i="1"/>
  <c r="CR42" i="1"/>
  <c r="CR41" i="1"/>
  <c r="CM47" i="1"/>
  <c r="CM46" i="1"/>
  <c r="CM45" i="1"/>
  <c r="CM44" i="1"/>
  <c r="CM43" i="1"/>
  <c r="CM42" i="1"/>
  <c r="CM41" i="1"/>
  <c r="CH46" i="1"/>
  <c r="CH45" i="1"/>
  <c r="CH44" i="1"/>
  <c r="CH43" i="1"/>
  <c r="CH42" i="1"/>
  <c r="CH41" i="1"/>
  <c r="CC45" i="1"/>
  <c r="CC44" i="1"/>
  <c r="CC43" i="1"/>
  <c r="CC42" i="1"/>
  <c r="CC41" i="1"/>
  <c r="BX45" i="1"/>
  <c r="BX44" i="1"/>
  <c r="BX43" i="1"/>
  <c r="BX42" i="1"/>
  <c r="BX41" i="1"/>
  <c r="BS45" i="1"/>
  <c r="BS44" i="1"/>
  <c r="BS43" i="1"/>
  <c r="BS42" i="1"/>
  <c r="BS41" i="1"/>
  <c r="DH55" i="1"/>
  <c r="DF55" i="1"/>
  <c r="DE55" i="1"/>
  <c r="DD55" i="1"/>
  <c r="DC55" i="1"/>
  <c r="DA55" i="1"/>
  <c r="CZ55" i="1"/>
  <c r="CY55" i="1"/>
  <c r="CX55" i="1"/>
  <c r="CV55" i="1"/>
  <c r="CU55" i="1"/>
  <c r="CT55" i="1"/>
  <c r="CS55" i="1"/>
  <c r="CQ55" i="1"/>
  <c r="CP55" i="1"/>
  <c r="CO55" i="1"/>
  <c r="CN55" i="1"/>
  <c r="CL55" i="1"/>
  <c r="CK55" i="1"/>
  <c r="CJ55" i="1"/>
  <c r="CI55" i="1"/>
  <c r="CG55" i="1"/>
  <c r="CF55" i="1"/>
  <c r="CE55" i="1"/>
  <c r="CD55" i="1"/>
  <c r="CB55" i="1"/>
  <c r="CA55" i="1"/>
  <c r="BZ55" i="1"/>
  <c r="BY55" i="1"/>
  <c r="BW55" i="1"/>
  <c r="BV55" i="1"/>
  <c r="BU55" i="1"/>
  <c r="BT55" i="1"/>
  <c r="BR55" i="1"/>
  <c r="BQ55" i="1"/>
  <c r="BP55" i="1"/>
  <c r="BO55" i="1"/>
  <c r="BM55" i="1"/>
  <c r="BL55" i="1"/>
  <c r="BK55" i="1"/>
  <c r="BJ55" i="1"/>
  <c r="BH55" i="1"/>
  <c r="BG55" i="1"/>
  <c r="BF55" i="1"/>
  <c r="BE55" i="1"/>
  <c r="BC55" i="1"/>
  <c r="BB55" i="1"/>
  <c r="BA55" i="1"/>
  <c r="AZ55" i="1"/>
  <c r="AX55" i="1"/>
  <c r="AW55" i="1"/>
  <c r="AV55" i="1"/>
  <c r="AU55" i="1"/>
  <c r="AS55" i="1"/>
  <c r="AR55" i="1"/>
  <c r="AQ55" i="1"/>
  <c r="AP55" i="1"/>
  <c r="AN55" i="1"/>
  <c r="AM55" i="1"/>
  <c r="AL55" i="1"/>
  <c r="AK55" i="1"/>
  <c r="AI55" i="1"/>
  <c r="AH55" i="1"/>
  <c r="AG55" i="1"/>
  <c r="AF55" i="1"/>
  <c r="AD55" i="1"/>
  <c r="AC55" i="1"/>
  <c r="AB55" i="1"/>
  <c r="AA55" i="1"/>
  <c r="Y55" i="1"/>
  <c r="X55" i="1"/>
  <c r="W55" i="1"/>
  <c r="V55" i="1"/>
  <c r="T55" i="1"/>
  <c r="S55" i="1"/>
  <c r="R55" i="1"/>
  <c r="Q55" i="1"/>
  <c r="O55" i="1"/>
  <c r="N55" i="1"/>
  <c r="M55" i="1"/>
  <c r="L55" i="1"/>
  <c r="J55" i="1"/>
  <c r="I55" i="1"/>
  <c r="H55" i="1"/>
  <c r="G55" i="1"/>
  <c r="E55" i="1"/>
  <c r="D55" i="1"/>
  <c r="C55" i="1"/>
  <c r="B55" i="1"/>
  <c r="BN45" i="1"/>
  <c r="BN44" i="1"/>
  <c r="BN43" i="1"/>
  <c r="BN42" i="1"/>
  <c r="BN41" i="1"/>
  <c r="BI44" i="1"/>
  <c r="BI43" i="1"/>
  <c r="BI42" i="1"/>
  <c r="BI41" i="1"/>
  <c r="BD44" i="1"/>
  <c r="BD43" i="1"/>
  <c r="BD42" i="1"/>
  <c r="BD41" i="1"/>
  <c r="AY43" i="1"/>
  <c r="AY42" i="1"/>
  <c r="AY41" i="1"/>
  <c r="AT43" i="1"/>
  <c r="AT42" i="1"/>
  <c r="AT41" i="1"/>
  <c r="AO43" i="1"/>
  <c r="AO42" i="1"/>
  <c r="AO41" i="1"/>
  <c r="AJ43" i="1"/>
  <c r="AJ42" i="1"/>
  <c r="AJ41" i="1"/>
  <c r="AE43" i="1"/>
  <c r="AE5" i="1" s="1"/>
  <c r="AE42" i="1"/>
  <c r="AE4" i="1" s="1"/>
  <c r="AE41" i="1"/>
  <c r="AE3" i="1" s="1"/>
  <c r="Z43" i="1"/>
  <c r="Z5" i="1" s="1"/>
  <c r="Z42" i="1"/>
  <c r="Z4" i="1" s="1"/>
  <c r="Z41" i="1"/>
  <c r="Z3" i="1" s="1"/>
  <c r="U43" i="1"/>
  <c r="U5" i="1" s="1"/>
  <c r="U42" i="1"/>
  <c r="U4" i="1" s="1"/>
  <c r="U41" i="1"/>
  <c r="U3" i="1" s="1"/>
  <c r="P43" i="1"/>
  <c r="P5" i="1" s="1"/>
  <c r="P42" i="1"/>
  <c r="P4" i="1" s="1"/>
  <c r="P41" i="1"/>
  <c r="P3" i="1" s="1"/>
  <c r="P17" i="1" s="1"/>
  <c r="K42" i="1"/>
  <c r="K41" i="1"/>
  <c r="K43" i="1"/>
  <c r="F42" i="1"/>
  <c r="F41" i="1"/>
  <c r="F43" i="1"/>
  <c r="U17" i="1" l="1"/>
  <c r="BD6" i="1"/>
  <c r="CM3" i="1"/>
  <c r="CR7" i="1"/>
  <c r="BI5" i="1"/>
  <c r="BD4" i="1"/>
  <c r="AY3" i="1"/>
  <c r="CR4" i="1"/>
  <c r="CR6" i="1"/>
  <c r="BD3" i="1"/>
  <c r="CR3" i="1"/>
  <c r="BI4" i="1"/>
  <c r="F5" i="1"/>
  <c r="BN5" i="1"/>
  <c r="BI6" i="1"/>
  <c r="BI7" i="1"/>
  <c r="AE17" i="1"/>
  <c r="BI3" i="1"/>
  <c r="F4" i="1"/>
  <c r="BN4" i="1"/>
  <c r="K5" i="1"/>
  <c r="BS5" i="1"/>
  <c r="BN6" i="1"/>
  <c r="BN7" i="1"/>
  <c r="CH8" i="1"/>
  <c r="DG29" i="1"/>
  <c r="DG10" i="1" s="1"/>
  <c r="DC10" i="1"/>
  <c r="DC17" i="1" s="1"/>
  <c r="FN74" i="1" s="1"/>
  <c r="F3" i="1"/>
  <c r="BN3" i="1"/>
  <c r="K4" i="1"/>
  <c r="BS4" i="1"/>
  <c r="AJ5" i="1"/>
  <c r="BX5" i="1"/>
  <c r="BS6" i="1"/>
  <c r="BS7" i="1"/>
  <c r="CM8" i="1"/>
  <c r="K3" i="1"/>
  <c r="BS3" i="1"/>
  <c r="AJ4" i="1"/>
  <c r="BX4" i="1"/>
  <c r="AO5" i="1"/>
  <c r="CC5" i="1"/>
  <c r="BX6" i="1"/>
  <c r="BX7" i="1"/>
  <c r="CR8" i="1"/>
  <c r="AJ3" i="1"/>
  <c r="BX3" i="1"/>
  <c r="AO4" i="1"/>
  <c r="CC4" i="1"/>
  <c r="AT5" i="1"/>
  <c r="CH5" i="1"/>
  <c r="CC6" i="1"/>
  <c r="CC7" i="1"/>
  <c r="CM9" i="1"/>
  <c r="AO3" i="1"/>
  <c r="CC3" i="1"/>
  <c r="AT4" i="1"/>
  <c r="CH4" i="1"/>
  <c r="AY5" i="1"/>
  <c r="CM5" i="1"/>
  <c r="CH6" i="1"/>
  <c r="CH7" i="1"/>
  <c r="CR9" i="1"/>
  <c r="Z17" i="1"/>
  <c r="AT3" i="1"/>
  <c r="CH3" i="1"/>
  <c r="AY4" i="1"/>
  <c r="CM4" i="1"/>
  <c r="BD5" i="1"/>
  <c r="CR5" i="1"/>
  <c r="CM6" i="1"/>
  <c r="CM7" i="1"/>
  <c r="BS83" i="1"/>
  <c r="CC83" i="1"/>
  <c r="CM83" i="1"/>
  <c r="BX83" i="1"/>
  <c r="CH83" i="1"/>
  <c r="N74" i="1"/>
  <c r="FS72" i="1"/>
  <c r="EU61" i="1"/>
  <c r="ET61" i="1"/>
  <c r="DG62" i="1"/>
  <c r="DF62" i="1"/>
  <c r="DI63" i="1"/>
  <c r="DH63" i="1"/>
  <c r="DS64" i="1"/>
  <c r="DR64" i="1"/>
  <c r="CS60" i="1"/>
  <c r="CR60" i="1"/>
  <c r="DI60" i="1"/>
  <c r="DH60" i="1"/>
  <c r="EM60" i="1"/>
  <c r="EL60" i="1"/>
  <c r="CO61" i="1"/>
  <c r="CN61" i="1"/>
  <c r="DC61" i="1"/>
  <c r="DB61" i="1"/>
  <c r="DS61" i="1"/>
  <c r="DR61" i="1"/>
  <c r="CI62" i="1"/>
  <c r="CH62" i="1"/>
  <c r="CU62" i="1"/>
  <c r="CT62" i="1"/>
  <c r="DI62" i="1"/>
  <c r="DH62" i="1"/>
  <c r="DU62" i="1"/>
  <c r="DT62" i="1"/>
  <c r="EU62" i="1"/>
  <c r="ET62" i="1"/>
  <c r="CW63" i="1"/>
  <c r="CV63" i="1"/>
  <c r="DK63" i="1"/>
  <c r="DJ63" i="1"/>
  <c r="EO63" i="1"/>
  <c r="EN63" i="1"/>
  <c r="CO64" i="1"/>
  <c r="CN64" i="1"/>
  <c r="DE64" i="1"/>
  <c r="DD64" i="1"/>
  <c r="DT64" i="1"/>
  <c r="DU64" i="1"/>
  <c r="EJ64" i="1"/>
  <c r="EK64" i="1"/>
  <c r="EM65" i="1"/>
  <c r="EL65" i="1"/>
  <c r="FV72" i="1"/>
  <c r="CQ60" i="1"/>
  <c r="CP60" i="1"/>
  <c r="EG61" i="1"/>
  <c r="EF61" i="1"/>
  <c r="DS62" i="1"/>
  <c r="DR62" i="1"/>
  <c r="CU63" i="1"/>
  <c r="CT63" i="1"/>
  <c r="EL63" i="1"/>
  <c r="EM63" i="1"/>
  <c r="DC64" i="1"/>
  <c r="DB64" i="1"/>
  <c r="DV60" i="1"/>
  <c r="DW60" i="1"/>
  <c r="EW61" i="1"/>
  <c r="EV61" i="1"/>
  <c r="CU60" i="1"/>
  <c r="CT60" i="1"/>
  <c r="DY60" i="1"/>
  <c r="EO60" i="1"/>
  <c r="EN60" i="1"/>
  <c r="CQ61" i="1"/>
  <c r="CP61" i="1"/>
  <c r="DE61" i="1"/>
  <c r="DD61" i="1"/>
  <c r="DU61" i="1"/>
  <c r="DT61" i="1"/>
  <c r="EI61" i="1"/>
  <c r="EH61" i="1"/>
  <c r="CK62" i="1"/>
  <c r="CJ62" i="1"/>
  <c r="CW62" i="1"/>
  <c r="CV62" i="1"/>
  <c r="DW62" i="1"/>
  <c r="DV62" i="1"/>
  <c r="EI62" i="1"/>
  <c r="EH62" i="1"/>
  <c r="EV62" i="1"/>
  <c r="EW62" i="1"/>
  <c r="CI63" i="1"/>
  <c r="CH63" i="1"/>
  <c r="CY63" i="1"/>
  <c r="CX63" i="1"/>
  <c r="DM63" i="1"/>
  <c r="DL63" i="1"/>
  <c r="EA63" i="1"/>
  <c r="DZ63" i="1"/>
  <c r="EQ63" i="1"/>
  <c r="EP63" i="1"/>
  <c r="CQ64" i="1"/>
  <c r="CP64" i="1"/>
  <c r="DG64" i="1"/>
  <c r="DF64" i="1"/>
  <c r="DW64" i="1"/>
  <c r="DV64" i="1"/>
  <c r="EM64" i="1"/>
  <c r="EL64" i="1"/>
  <c r="EO65" i="1"/>
  <c r="EN65" i="1"/>
  <c r="EO66" i="1"/>
  <c r="EN66" i="1"/>
  <c r="DD31" i="1"/>
  <c r="DD12" i="1" s="1"/>
  <c r="DD17" i="1" s="1"/>
  <c r="EK60" i="1"/>
  <c r="EJ60" i="1"/>
  <c r="Z36" i="1"/>
  <c r="CW36" i="1"/>
  <c r="CW60" i="1"/>
  <c r="CV60" i="1"/>
  <c r="DJ74" i="1"/>
  <c r="DJ60" i="1"/>
  <c r="DK60" i="1"/>
  <c r="EA60" i="1"/>
  <c r="DZ60" i="1"/>
  <c r="EQ60" i="1"/>
  <c r="EP60" i="1"/>
  <c r="CS61" i="1"/>
  <c r="CR61" i="1"/>
  <c r="DG61" i="1"/>
  <c r="DF61" i="1"/>
  <c r="DW61" i="1"/>
  <c r="DV61" i="1"/>
  <c r="EK61" i="1"/>
  <c r="EJ61" i="1"/>
  <c r="CY62" i="1"/>
  <c r="CX62" i="1"/>
  <c r="DK62" i="1"/>
  <c r="DJ62" i="1"/>
  <c r="DY62" i="1"/>
  <c r="EK62" i="1"/>
  <c r="EJ62" i="1"/>
  <c r="CK63" i="1"/>
  <c r="CJ63" i="1"/>
  <c r="DA63" i="1"/>
  <c r="CZ63" i="1"/>
  <c r="DO63" i="1"/>
  <c r="DN63" i="1"/>
  <c r="EC63" i="1"/>
  <c r="EB63" i="1"/>
  <c r="ES63" i="1"/>
  <c r="ER63" i="1"/>
  <c r="CS64" i="1"/>
  <c r="CR64" i="1"/>
  <c r="DI64" i="1"/>
  <c r="DH64" i="1"/>
  <c r="DY64" i="1"/>
  <c r="EO64" i="1"/>
  <c r="EN64" i="1"/>
  <c r="EQ65" i="1"/>
  <c r="EP65" i="1"/>
  <c r="EQ66" i="1"/>
  <c r="EP66" i="1"/>
  <c r="DG60" i="1"/>
  <c r="DF60" i="1"/>
  <c r="CM61" i="1"/>
  <c r="CL61" i="1"/>
  <c r="EF62" i="1"/>
  <c r="EG62" i="1"/>
  <c r="DY63" i="1"/>
  <c r="EK65" i="1"/>
  <c r="EJ65" i="1"/>
  <c r="CI60" i="1"/>
  <c r="CH60" i="1"/>
  <c r="CY60" i="1"/>
  <c r="CX60" i="1"/>
  <c r="DL60" i="1"/>
  <c r="DM60" i="1"/>
  <c r="EB60" i="1"/>
  <c r="EC60" i="1"/>
  <c r="ES60" i="1"/>
  <c r="ER60" i="1"/>
  <c r="DI61" i="1"/>
  <c r="DH61" i="1"/>
  <c r="DY61" i="1"/>
  <c r="EM61" i="1"/>
  <c r="EL61" i="1"/>
  <c r="CM62" i="1"/>
  <c r="CL62" i="1"/>
  <c r="DA62" i="1"/>
  <c r="CZ62" i="1"/>
  <c r="DM62" i="1"/>
  <c r="DL62" i="1"/>
  <c r="EM62" i="1"/>
  <c r="EL62" i="1"/>
  <c r="CM63" i="1"/>
  <c r="CL63" i="1"/>
  <c r="DQ63" i="1"/>
  <c r="DP63" i="1"/>
  <c r="EE63" i="1"/>
  <c r="ED63" i="1"/>
  <c r="EU63" i="1"/>
  <c r="ET63" i="1"/>
  <c r="CU64" i="1"/>
  <c r="CT64" i="1"/>
  <c r="DJ64" i="1"/>
  <c r="DK64" i="1"/>
  <c r="DZ64" i="1"/>
  <c r="EA64" i="1"/>
  <c r="EQ64" i="1"/>
  <c r="EP64" i="1"/>
  <c r="EC65" i="1"/>
  <c r="EB65" i="1"/>
  <c r="ES65" i="1"/>
  <c r="ER65" i="1"/>
  <c r="ER66" i="1"/>
  <c r="ES66" i="1"/>
  <c r="FQ72" i="1"/>
  <c r="DA61" i="1"/>
  <c r="CZ61" i="1"/>
  <c r="CM36" i="1"/>
  <c r="CK60" i="1"/>
  <c r="CJ60" i="1"/>
  <c r="DN60" i="1"/>
  <c r="DO60" i="1"/>
  <c r="EE60" i="1"/>
  <c r="ED60" i="1"/>
  <c r="ET60" i="1"/>
  <c r="EU60" i="1"/>
  <c r="CU61" i="1"/>
  <c r="CT61" i="1"/>
  <c r="DK61" i="1"/>
  <c r="DJ61" i="1"/>
  <c r="EA61" i="1"/>
  <c r="DZ61" i="1"/>
  <c r="EO61" i="1"/>
  <c r="EN61" i="1"/>
  <c r="CO62" i="1"/>
  <c r="CN62" i="1"/>
  <c r="DO62" i="1"/>
  <c r="DN62" i="1"/>
  <c r="EA62" i="1"/>
  <c r="DZ62" i="1"/>
  <c r="EO62" i="1"/>
  <c r="EN62" i="1"/>
  <c r="CO63" i="1"/>
  <c r="CN63" i="1"/>
  <c r="DC63" i="1"/>
  <c r="DB63" i="1"/>
  <c r="DS63" i="1"/>
  <c r="DR63" i="1"/>
  <c r="EG63" i="1"/>
  <c r="EF63" i="1"/>
  <c r="EW63" i="1"/>
  <c r="EV63" i="1"/>
  <c r="CW64" i="1"/>
  <c r="CV64" i="1"/>
  <c r="DM64" i="1"/>
  <c r="DL64" i="1"/>
  <c r="EC64" i="1"/>
  <c r="EB64" i="1"/>
  <c r="ES64" i="1"/>
  <c r="ER64" i="1"/>
  <c r="EE65" i="1"/>
  <c r="ED65" i="1"/>
  <c r="EU65" i="1"/>
  <c r="ET65" i="1"/>
  <c r="EU66" i="1"/>
  <c r="ET66" i="1"/>
  <c r="DT60" i="1"/>
  <c r="DU60" i="1"/>
  <c r="ES62" i="1"/>
  <c r="ER62" i="1"/>
  <c r="EI64" i="1"/>
  <c r="EH64" i="1"/>
  <c r="DB55" i="1"/>
  <c r="AY36" i="1"/>
  <c r="DA60" i="1"/>
  <c r="CZ60" i="1"/>
  <c r="BD36" i="1"/>
  <c r="C60" i="1"/>
  <c r="B60" i="1"/>
  <c r="CM60" i="1"/>
  <c r="CL60" i="1"/>
  <c r="DC60" i="1"/>
  <c r="DB60" i="1"/>
  <c r="DP60" i="1"/>
  <c r="DQ60" i="1"/>
  <c r="EG60" i="1"/>
  <c r="EF60" i="1"/>
  <c r="EW60" i="1"/>
  <c r="EV60" i="1"/>
  <c r="CI61" i="1"/>
  <c r="CH61" i="1"/>
  <c r="CW61" i="1"/>
  <c r="CV61" i="1"/>
  <c r="DM61" i="1"/>
  <c r="DL61" i="1"/>
  <c r="EC61" i="1"/>
  <c r="EB61" i="1"/>
  <c r="EQ61" i="1"/>
  <c r="EP61" i="1"/>
  <c r="CQ62" i="1"/>
  <c r="CP62" i="1"/>
  <c r="DC62" i="1"/>
  <c r="DB62" i="1"/>
  <c r="DQ62" i="1"/>
  <c r="DP62" i="1"/>
  <c r="EC62" i="1"/>
  <c r="EB62" i="1"/>
  <c r="CQ63" i="1"/>
  <c r="CP63" i="1"/>
  <c r="DE63" i="1"/>
  <c r="DD63" i="1"/>
  <c r="DU63" i="1"/>
  <c r="DT63" i="1"/>
  <c r="EI63" i="1"/>
  <c r="EH63" i="1"/>
  <c r="CY64" i="1"/>
  <c r="CX64" i="1"/>
  <c r="DN64" i="1"/>
  <c r="DO64" i="1"/>
  <c r="EE64" i="1"/>
  <c r="ED64" i="1"/>
  <c r="ET64" i="1"/>
  <c r="EU64" i="1"/>
  <c r="EG65" i="1"/>
  <c r="EF65" i="1"/>
  <c r="EW65" i="1"/>
  <c r="EV65" i="1"/>
  <c r="EW66" i="1"/>
  <c r="EV66" i="1"/>
  <c r="DQ61" i="1"/>
  <c r="DP61" i="1"/>
  <c r="BI36" i="1"/>
  <c r="AT74" i="1"/>
  <c r="CO60" i="1"/>
  <c r="CN60" i="1"/>
  <c r="DE60" i="1"/>
  <c r="DD60" i="1"/>
  <c r="DR60" i="1"/>
  <c r="DS60" i="1"/>
  <c r="EI60" i="1"/>
  <c r="EH60" i="1"/>
  <c r="CK61" i="1"/>
  <c r="CJ61" i="1"/>
  <c r="CY61" i="1"/>
  <c r="CX61" i="1"/>
  <c r="DO61" i="1"/>
  <c r="DN61" i="1"/>
  <c r="EE61" i="1"/>
  <c r="ED61" i="1"/>
  <c r="ES61" i="1"/>
  <c r="ER61" i="1"/>
  <c r="CS62" i="1"/>
  <c r="CR62" i="1"/>
  <c r="DE62" i="1"/>
  <c r="DD62" i="1"/>
  <c r="EE62" i="1"/>
  <c r="ED62" i="1"/>
  <c r="EQ62" i="1"/>
  <c r="EP62" i="1"/>
  <c r="CS63" i="1"/>
  <c r="CR63" i="1"/>
  <c r="DG63" i="1"/>
  <c r="DF63" i="1"/>
  <c r="DW63" i="1"/>
  <c r="DV63" i="1"/>
  <c r="EK63" i="1"/>
  <c r="EJ63" i="1"/>
  <c r="DA64" i="1"/>
  <c r="CZ64" i="1"/>
  <c r="DP64" i="1"/>
  <c r="DQ64" i="1"/>
  <c r="EG64" i="1"/>
  <c r="EF64" i="1"/>
  <c r="EW64" i="1"/>
  <c r="EV64" i="1"/>
  <c r="EI65" i="1"/>
  <c r="EH65" i="1"/>
  <c r="GP65" i="1"/>
  <c r="GQ65" i="1"/>
  <c r="GQ66" i="1"/>
  <c r="GP66" i="1"/>
  <c r="GP69" i="1"/>
  <c r="GQ69" i="1"/>
  <c r="GQ68" i="1"/>
  <c r="GP68" i="1"/>
  <c r="GQ64" i="1"/>
  <c r="GP64" i="1"/>
  <c r="GQ61" i="1"/>
  <c r="GP61" i="1"/>
  <c r="GQ67" i="1"/>
  <c r="GP67" i="1"/>
  <c r="GQ62" i="1"/>
  <c r="GP62" i="1"/>
  <c r="GQ70" i="1"/>
  <c r="GP70" i="1"/>
  <c r="GO69" i="1"/>
  <c r="GN69" i="1"/>
  <c r="GN68" i="1"/>
  <c r="GO68" i="1"/>
  <c r="GO67" i="1"/>
  <c r="GN67" i="1"/>
  <c r="GO66" i="1"/>
  <c r="GN66" i="1"/>
  <c r="GO65" i="1"/>
  <c r="GN65" i="1"/>
  <c r="GN61" i="1"/>
  <c r="GO61" i="1"/>
  <c r="GN64" i="1"/>
  <c r="GO64" i="1"/>
  <c r="GO62" i="1"/>
  <c r="GN62" i="1"/>
  <c r="GO70" i="1"/>
  <c r="GN70" i="1"/>
  <c r="GM69" i="1"/>
  <c r="GL69" i="1"/>
  <c r="GM68" i="1"/>
  <c r="GL68" i="1"/>
  <c r="GM67" i="1"/>
  <c r="GL67" i="1"/>
  <c r="GM66" i="1"/>
  <c r="GL66" i="1"/>
  <c r="GM65" i="1"/>
  <c r="GL65" i="1"/>
  <c r="GM61" i="1"/>
  <c r="GL61" i="1"/>
  <c r="GQ63" i="1"/>
  <c r="GP63" i="1"/>
  <c r="GO63" i="1"/>
  <c r="GN63" i="1"/>
  <c r="GQ60" i="1"/>
  <c r="GP60" i="1"/>
  <c r="GO60" i="1"/>
  <c r="GN60" i="1"/>
  <c r="GM63" i="1"/>
  <c r="GL63" i="1"/>
  <c r="GM60" i="1"/>
  <c r="GL60" i="1"/>
  <c r="GM64" i="1"/>
  <c r="GL64" i="1"/>
  <c r="GM62" i="1"/>
  <c r="GL62" i="1"/>
  <c r="GK69" i="1"/>
  <c r="GJ69" i="1"/>
  <c r="GK68" i="1"/>
  <c r="GJ68" i="1"/>
  <c r="GK67" i="1"/>
  <c r="GJ67" i="1"/>
  <c r="GJ66" i="1"/>
  <c r="GK66" i="1"/>
  <c r="GK65" i="1"/>
  <c r="GJ65" i="1"/>
  <c r="GK61" i="1"/>
  <c r="GJ61" i="1"/>
  <c r="GK63" i="1"/>
  <c r="GJ63" i="1"/>
  <c r="GJ60" i="1"/>
  <c r="GK60" i="1"/>
  <c r="GK64" i="1"/>
  <c r="GJ64" i="1"/>
  <c r="GJ62" i="1"/>
  <c r="GK62" i="1"/>
  <c r="GH69" i="1"/>
  <c r="GI69" i="1"/>
  <c r="GI68" i="1"/>
  <c r="GH68" i="1"/>
  <c r="GI67" i="1"/>
  <c r="GH67" i="1"/>
  <c r="GI66" i="1"/>
  <c r="GH66" i="1"/>
  <c r="GH65" i="1"/>
  <c r="GI65" i="1"/>
  <c r="GI61" i="1"/>
  <c r="GH61" i="1"/>
  <c r="GI63" i="1"/>
  <c r="GH63" i="1"/>
  <c r="GI60" i="1"/>
  <c r="GH60" i="1"/>
  <c r="GI64" i="1"/>
  <c r="GH64" i="1"/>
  <c r="GI62" i="1"/>
  <c r="GH62" i="1"/>
  <c r="GG69" i="1"/>
  <c r="GF69" i="1"/>
  <c r="GG68" i="1"/>
  <c r="GF68" i="1"/>
  <c r="GG67" i="1"/>
  <c r="GF67" i="1"/>
  <c r="GG66" i="1"/>
  <c r="GF66" i="1"/>
  <c r="GF65" i="1"/>
  <c r="GG65" i="1"/>
  <c r="GF61" i="1"/>
  <c r="GG61" i="1"/>
  <c r="GF63" i="1"/>
  <c r="GG63" i="1"/>
  <c r="GG60" i="1"/>
  <c r="GF60" i="1"/>
  <c r="GF64" i="1"/>
  <c r="GG64" i="1"/>
  <c r="GG62" i="1"/>
  <c r="GF62" i="1"/>
  <c r="GE69" i="1"/>
  <c r="GD69" i="1"/>
  <c r="GE68" i="1"/>
  <c r="GD68" i="1"/>
  <c r="GD67" i="1"/>
  <c r="GE67" i="1"/>
  <c r="GE66" i="1"/>
  <c r="GD66" i="1"/>
  <c r="GE65" i="1"/>
  <c r="GD65" i="1"/>
  <c r="GE61" i="1"/>
  <c r="GD61" i="1"/>
  <c r="GE63" i="1"/>
  <c r="GD63" i="1"/>
  <c r="GE60" i="1"/>
  <c r="GD60" i="1"/>
  <c r="GD64" i="1"/>
  <c r="GE64" i="1"/>
  <c r="GE62" i="1"/>
  <c r="GD62" i="1"/>
  <c r="GB68" i="1"/>
  <c r="GC68" i="1"/>
  <c r="GC67" i="1"/>
  <c r="GB67" i="1"/>
  <c r="GC66" i="1"/>
  <c r="GB66" i="1"/>
  <c r="GC65" i="1"/>
  <c r="GB65" i="1"/>
  <c r="GC61" i="1"/>
  <c r="GB61" i="1"/>
  <c r="GC63" i="1"/>
  <c r="GB63" i="1"/>
  <c r="GC60" i="1"/>
  <c r="GB60" i="1"/>
  <c r="GB64" i="1"/>
  <c r="GC64" i="1"/>
  <c r="GC62" i="1"/>
  <c r="GB62" i="1"/>
  <c r="GC69" i="1"/>
  <c r="GB69" i="1"/>
  <c r="GA68" i="1"/>
  <c r="FZ68" i="1"/>
  <c r="GA67" i="1"/>
  <c r="FZ67" i="1"/>
  <c r="GA66" i="1"/>
  <c r="FZ66" i="1"/>
  <c r="GA65" i="1"/>
  <c r="FZ65" i="1"/>
  <c r="GA63" i="1"/>
  <c r="FZ63" i="1"/>
  <c r="GA61" i="1"/>
  <c r="FZ61" i="1"/>
  <c r="GA60" i="1"/>
  <c r="FZ60" i="1"/>
  <c r="GA64" i="1"/>
  <c r="FZ64" i="1"/>
  <c r="GA62" i="1"/>
  <c r="FZ62" i="1"/>
  <c r="FY68" i="1"/>
  <c r="FX68" i="1"/>
  <c r="FY67" i="1"/>
  <c r="FX67" i="1"/>
  <c r="FY66" i="1"/>
  <c r="FX66" i="1"/>
  <c r="FY65" i="1"/>
  <c r="FX65" i="1"/>
  <c r="FY61" i="1"/>
  <c r="FX61" i="1"/>
  <c r="FY63" i="1"/>
  <c r="FX63" i="1"/>
  <c r="FY60" i="1"/>
  <c r="FX60" i="1"/>
  <c r="FX64" i="1"/>
  <c r="FY64" i="1"/>
  <c r="FY62" i="1"/>
  <c r="FX62" i="1"/>
  <c r="FW68" i="1"/>
  <c r="FV68" i="1"/>
  <c r="FV67" i="1"/>
  <c r="FW67" i="1"/>
  <c r="FW66" i="1"/>
  <c r="FV66" i="1"/>
  <c r="FW65" i="1"/>
  <c r="FV65" i="1"/>
  <c r="FW61" i="1"/>
  <c r="FV61" i="1"/>
  <c r="FW63" i="1"/>
  <c r="FV63" i="1"/>
  <c r="FW60" i="1"/>
  <c r="FV60" i="1"/>
  <c r="FW64" i="1"/>
  <c r="FV64" i="1"/>
  <c r="FW62" i="1"/>
  <c r="FV62" i="1"/>
  <c r="CW55" i="1"/>
  <c r="DV65" i="1"/>
  <c r="DW65" i="1"/>
  <c r="DD74" i="1"/>
  <c r="DT74" i="1"/>
  <c r="CX65" i="1"/>
  <c r="CY65" i="1"/>
  <c r="DK65" i="1"/>
  <c r="DJ65" i="1"/>
  <c r="DY65" i="1"/>
  <c r="EA74" i="1"/>
  <c r="DG74" i="1"/>
  <c r="CZ65" i="1"/>
  <c r="DA65" i="1"/>
  <c r="DM65" i="1"/>
  <c r="DL65" i="1"/>
  <c r="EA65" i="1"/>
  <c r="DZ65" i="1"/>
  <c r="CN65" i="1"/>
  <c r="CO65" i="1"/>
  <c r="DN65" i="1"/>
  <c r="DO65" i="1"/>
  <c r="CP65" i="1"/>
  <c r="CQ65" i="1"/>
  <c r="DC65" i="1"/>
  <c r="DB65" i="1"/>
  <c r="DQ65" i="1"/>
  <c r="DP65" i="1"/>
  <c r="DW74" i="1"/>
  <c r="CQ74" i="1"/>
  <c r="CR65" i="1"/>
  <c r="CS65" i="1"/>
  <c r="DE65" i="1"/>
  <c r="DD65" i="1"/>
  <c r="CW65" i="1"/>
  <c r="CV65" i="1"/>
  <c r="DF65" i="1"/>
  <c r="DG65" i="1"/>
  <c r="DS65" i="1"/>
  <c r="DR65" i="1"/>
  <c r="CU65" i="1"/>
  <c r="CT65" i="1"/>
  <c r="DH65" i="1"/>
  <c r="DI65" i="1"/>
  <c r="DU65" i="1"/>
  <c r="DT65" i="1"/>
  <c r="CM65" i="1"/>
  <c r="CL65" i="1"/>
  <c r="CM64" i="1"/>
  <c r="CL64" i="1"/>
  <c r="AU74" i="1"/>
  <c r="AC74" i="1"/>
  <c r="DC36" i="1"/>
  <c r="EU68" i="1"/>
  <c r="ET68" i="1"/>
  <c r="EW68" i="1"/>
  <c r="EV68" i="1"/>
  <c r="ET69" i="1"/>
  <c r="EU69" i="1"/>
  <c r="EU71" i="1"/>
  <c r="ET71" i="1"/>
  <c r="EW69" i="1"/>
  <c r="EV69" i="1"/>
  <c r="EU70" i="1"/>
  <c r="ET70" i="1"/>
  <c r="EW71" i="1"/>
  <c r="EV71" i="1"/>
  <c r="EW70" i="1"/>
  <c r="EV70" i="1"/>
  <c r="EU67" i="1"/>
  <c r="ET67" i="1"/>
  <c r="EW67" i="1"/>
  <c r="EV67" i="1"/>
  <c r="EO69" i="1"/>
  <c r="EN69" i="1"/>
  <c r="EO71" i="1"/>
  <c r="EN71" i="1"/>
  <c r="EQ69" i="1"/>
  <c r="EP69" i="1"/>
  <c r="EO70" i="1"/>
  <c r="EN70" i="1"/>
  <c r="EQ71" i="1"/>
  <c r="EP71" i="1"/>
  <c r="EO67" i="1"/>
  <c r="EN67" i="1"/>
  <c r="ES69" i="1"/>
  <c r="ER69" i="1"/>
  <c r="EQ70" i="1"/>
  <c r="EP70" i="1"/>
  <c r="ES71" i="1"/>
  <c r="ER71" i="1"/>
  <c r="EQ67" i="1"/>
  <c r="EP67" i="1"/>
  <c r="ES70" i="1"/>
  <c r="ER70" i="1"/>
  <c r="ES67" i="1"/>
  <c r="ER67" i="1"/>
  <c r="EO68" i="1"/>
  <c r="EN68" i="1"/>
  <c r="EQ68" i="1"/>
  <c r="EP68" i="1"/>
  <c r="ES68" i="1"/>
  <c r="ER68" i="1"/>
  <c r="EK74" i="1"/>
  <c r="EM74" i="1"/>
  <c r="EM66" i="1"/>
  <c r="EL66" i="1"/>
  <c r="EL67" i="1"/>
  <c r="EM67" i="1"/>
  <c r="EI68" i="1"/>
  <c r="EH68" i="1"/>
  <c r="EK68" i="1"/>
  <c r="EJ68" i="1"/>
  <c r="EM70" i="1"/>
  <c r="EL70" i="1"/>
  <c r="EM68" i="1"/>
  <c r="EL68" i="1"/>
  <c r="EH69" i="1"/>
  <c r="EI69" i="1"/>
  <c r="EI71" i="1"/>
  <c r="EH71" i="1"/>
  <c r="EK67" i="1"/>
  <c r="EJ67" i="1"/>
  <c r="EK69" i="1"/>
  <c r="EJ69" i="1"/>
  <c r="EI70" i="1"/>
  <c r="EH70" i="1"/>
  <c r="EK71" i="1"/>
  <c r="EJ71" i="1"/>
  <c r="EJ66" i="1"/>
  <c r="EK66" i="1"/>
  <c r="EI66" i="1"/>
  <c r="EH66" i="1"/>
  <c r="EI67" i="1"/>
  <c r="EH67" i="1"/>
  <c r="EM69" i="1"/>
  <c r="EL69" i="1"/>
  <c r="EJ70" i="1"/>
  <c r="EK70" i="1"/>
  <c r="EM71" i="1"/>
  <c r="EL71" i="1"/>
  <c r="EG68" i="1"/>
  <c r="EF68" i="1"/>
  <c r="DZ69" i="1"/>
  <c r="EA69" i="1"/>
  <c r="EC69" i="1"/>
  <c r="EB69" i="1"/>
  <c r="EA71" i="1"/>
  <c r="DZ71" i="1"/>
  <c r="EB66" i="1"/>
  <c r="EC66" i="1"/>
  <c r="EA67" i="1"/>
  <c r="DZ67" i="1"/>
  <c r="EG69" i="1"/>
  <c r="EF69" i="1"/>
  <c r="EB70" i="1"/>
  <c r="EC70" i="1"/>
  <c r="ED71" i="1"/>
  <c r="EE71" i="1"/>
  <c r="EE69" i="1"/>
  <c r="ED69" i="1"/>
  <c r="EE66" i="1"/>
  <c r="ED66" i="1"/>
  <c r="EC67" i="1"/>
  <c r="EB67" i="1"/>
  <c r="EE70" i="1"/>
  <c r="ED70" i="1"/>
  <c r="EG71" i="1"/>
  <c r="EF71" i="1"/>
  <c r="EG66" i="1"/>
  <c r="EF66" i="1"/>
  <c r="ED67" i="1"/>
  <c r="EE67" i="1"/>
  <c r="EA68" i="1"/>
  <c r="DZ68" i="1"/>
  <c r="EG70" i="1"/>
  <c r="EF70" i="1"/>
  <c r="EA70" i="1"/>
  <c r="DZ70" i="1"/>
  <c r="EG67" i="1"/>
  <c r="EF67" i="1"/>
  <c r="EC68" i="1"/>
  <c r="EB68" i="1"/>
  <c r="EA66" i="1"/>
  <c r="DZ66" i="1"/>
  <c r="EC71" i="1"/>
  <c r="EB71" i="1"/>
  <c r="EE68" i="1"/>
  <c r="ED68" i="1"/>
  <c r="DY66" i="1"/>
  <c r="DU67" i="1"/>
  <c r="DT67" i="1"/>
  <c r="DW70" i="1"/>
  <c r="DV70" i="1"/>
  <c r="DY71" i="1"/>
  <c r="DW67" i="1"/>
  <c r="DV67" i="1"/>
  <c r="DS68" i="1"/>
  <c r="DR68" i="1"/>
  <c r="DY70" i="1"/>
  <c r="DY67" i="1"/>
  <c r="DU68" i="1"/>
  <c r="DT68" i="1"/>
  <c r="DW68" i="1"/>
  <c r="DV68" i="1"/>
  <c r="DY68" i="1"/>
  <c r="DS69" i="1"/>
  <c r="DR69" i="1"/>
  <c r="DS66" i="1"/>
  <c r="DR66" i="1"/>
  <c r="DU69" i="1"/>
  <c r="DT69" i="1"/>
  <c r="DS71" i="1"/>
  <c r="DR71" i="1"/>
  <c r="DU66" i="1"/>
  <c r="DT66" i="1"/>
  <c r="DW69" i="1"/>
  <c r="DV69" i="1"/>
  <c r="DS70" i="1"/>
  <c r="DR70" i="1"/>
  <c r="DU71" i="1"/>
  <c r="DT71" i="1"/>
  <c r="DW66" i="1"/>
  <c r="DV66" i="1"/>
  <c r="DS67" i="1"/>
  <c r="DR67" i="1"/>
  <c r="DY69" i="1"/>
  <c r="DU70" i="1"/>
  <c r="DT70" i="1"/>
  <c r="DW71" i="1"/>
  <c r="DV71" i="1"/>
  <c r="DK66" i="1"/>
  <c r="DJ66" i="1"/>
  <c r="DQ68" i="1"/>
  <c r="DP68" i="1"/>
  <c r="DK69" i="1"/>
  <c r="DJ69" i="1"/>
  <c r="DM66" i="1"/>
  <c r="DL66" i="1"/>
  <c r="DM69" i="1"/>
  <c r="DL69" i="1"/>
  <c r="DK71" i="1"/>
  <c r="DJ71" i="1"/>
  <c r="DO66" i="1"/>
  <c r="DN66" i="1"/>
  <c r="DO69" i="1"/>
  <c r="DN69" i="1"/>
  <c r="DK70" i="1"/>
  <c r="DJ70" i="1"/>
  <c r="DM71" i="1"/>
  <c r="DL71" i="1"/>
  <c r="DQ66" i="1"/>
  <c r="DP66" i="1"/>
  <c r="DK67" i="1"/>
  <c r="DJ67" i="1"/>
  <c r="DQ69" i="1"/>
  <c r="DP69" i="1"/>
  <c r="DM70" i="1"/>
  <c r="DL70" i="1"/>
  <c r="DO71" i="1"/>
  <c r="DN71" i="1"/>
  <c r="DM67" i="1"/>
  <c r="DL67" i="1"/>
  <c r="DO70" i="1"/>
  <c r="DN70" i="1"/>
  <c r="DQ71" i="1"/>
  <c r="DP71" i="1"/>
  <c r="DO67" i="1"/>
  <c r="DN67" i="1"/>
  <c r="DK68" i="1"/>
  <c r="DJ68" i="1"/>
  <c r="DQ70" i="1"/>
  <c r="DP70" i="1"/>
  <c r="DQ67" i="1"/>
  <c r="DP67" i="1"/>
  <c r="DM68" i="1"/>
  <c r="DL68" i="1"/>
  <c r="DO68" i="1"/>
  <c r="DN68" i="1"/>
  <c r="DE67" i="1"/>
  <c r="DD67" i="1"/>
  <c r="DC68" i="1"/>
  <c r="DB68" i="1"/>
  <c r="DG70" i="1"/>
  <c r="DF70" i="1"/>
  <c r="DI71" i="1"/>
  <c r="DH71" i="1"/>
  <c r="DG67" i="1"/>
  <c r="DF67" i="1"/>
  <c r="DE68" i="1"/>
  <c r="DD68" i="1"/>
  <c r="DI70" i="1"/>
  <c r="DH70" i="1"/>
  <c r="DI67" i="1"/>
  <c r="DH67" i="1"/>
  <c r="DG68" i="1"/>
  <c r="DF68" i="1"/>
  <c r="DC66" i="1"/>
  <c r="DB66" i="1"/>
  <c r="DI68" i="1"/>
  <c r="DH68" i="1"/>
  <c r="DE66" i="1"/>
  <c r="DD66" i="1"/>
  <c r="DC69" i="1"/>
  <c r="DB69" i="1"/>
  <c r="DG66" i="1"/>
  <c r="DF66" i="1"/>
  <c r="DE69" i="1"/>
  <c r="DD69" i="1"/>
  <c r="DC71" i="1"/>
  <c r="DB71" i="1"/>
  <c r="DI66" i="1"/>
  <c r="DH66" i="1"/>
  <c r="DG69" i="1"/>
  <c r="DF69" i="1"/>
  <c r="DC70" i="1"/>
  <c r="DB70" i="1"/>
  <c r="DE71" i="1"/>
  <c r="DD71" i="1"/>
  <c r="DC67" i="1"/>
  <c r="DB67" i="1"/>
  <c r="DI69" i="1"/>
  <c r="DH69" i="1"/>
  <c r="DE70" i="1"/>
  <c r="DD70" i="1"/>
  <c r="DG71" i="1"/>
  <c r="DF71" i="1"/>
  <c r="DA66" i="1"/>
  <c r="CZ66" i="1"/>
  <c r="CW69" i="1"/>
  <c r="CV69" i="1"/>
  <c r="CU71" i="1"/>
  <c r="CT71" i="1"/>
  <c r="CY69" i="1"/>
  <c r="CX69" i="1"/>
  <c r="CU70" i="1"/>
  <c r="CT70" i="1"/>
  <c r="CW71" i="1"/>
  <c r="CV71" i="1"/>
  <c r="CU67" i="1"/>
  <c r="CT67" i="1"/>
  <c r="DA69" i="1"/>
  <c r="CZ69" i="1"/>
  <c r="CV70" i="1"/>
  <c r="CW70" i="1"/>
  <c r="CX71" i="1"/>
  <c r="CY71" i="1"/>
  <c r="CY66" i="1"/>
  <c r="CX66" i="1"/>
  <c r="CW67" i="1"/>
  <c r="CV67" i="1"/>
  <c r="CU68" i="1"/>
  <c r="CT68" i="1"/>
  <c r="CY70" i="1"/>
  <c r="CX70" i="1"/>
  <c r="DA71" i="1"/>
  <c r="CZ71" i="1"/>
  <c r="CY67" i="1"/>
  <c r="CX67" i="1"/>
  <c r="CW68" i="1"/>
  <c r="CV68" i="1"/>
  <c r="DA70" i="1"/>
  <c r="CZ70" i="1"/>
  <c r="CT69" i="1"/>
  <c r="CU69" i="1"/>
  <c r="CU66" i="1"/>
  <c r="CT66" i="1"/>
  <c r="DA67" i="1"/>
  <c r="CZ67" i="1"/>
  <c r="CY68" i="1"/>
  <c r="CX68" i="1"/>
  <c r="CV66" i="1"/>
  <c r="CW66" i="1"/>
  <c r="CZ68" i="1"/>
  <c r="DA68" i="1"/>
  <c r="CM66" i="1"/>
  <c r="CL66" i="1"/>
  <c r="CO66" i="1"/>
  <c r="CN66" i="1"/>
  <c r="CQ66" i="1"/>
  <c r="CP66" i="1"/>
  <c r="CS66" i="1"/>
  <c r="CR66" i="1"/>
  <c r="CO74" i="1"/>
  <c r="CO67" i="1"/>
  <c r="CN67" i="1"/>
  <c r="CM68" i="1"/>
  <c r="CL68" i="1"/>
  <c r="CQ70" i="1"/>
  <c r="CP70" i="1"/>
  <c r="CS71" i="1"/>
  <c r="CR71" i="1"/>
  <c r="CQ67" i="1"/>
  <c r="CP67" i="1"/>
  <c r="CO68" i="1"/>
  <c r="CN68" i="1"/>
  <c r="CS70" i="1"/>
  <c r="CR70" i="1"/>
  <c r="CS67" i="1"/>
  <c r="CR67" i="1"/>
  <c r="CQ68" i="1"/>
  <c r="CP68" i="1"/>
  <c r="CS68" i="1"/>
  <c r="CR68" i="1"/>
  <c r="CM69" i="1"/>
  <c r="CL69" i="1"/>
  <c r="CO69" i="1"/>
  <c r="CN69" i="1"/>
  <c r="CQ69" i="1"/>
  <c r="CP69" i="1"/>
  <c r="CM71" i="1"/>
  <c r="CL71" i="1"/>
  <c r="CS69" i="1"/>
  <c r="CR69" i="1"/>
  <c r="CM70" i="1"/>
  <c r="CL70" i="1"/>
  <c r="CO71" i="1"/>
  <c r="CN71" i="1"/>
  <c r="CM67" i="1"/>
  <c r="CL67" i="1"/>
  <c r="CO70" i="1"/>
  <c r="CN70" i="1"/>
  <c r="CQ71" i="1"/>
  <c r="CP71" i="1"/>
  <c r="CI65" i="1"/>
  <c r="CH65" i="1"/>
  <c r="CK65" i="1"/>
  <c r="CJ65" i="1"/>
  <c r="CI69" i="1"/>
  <c r="CH69" i="1"/>
  <c r="CE71" i="1"/>
  <c r="CD71" i="1"/>
  <c r="CK69" i="1"/>
  <c r="CJ69" i="1"/>
  <c r="CG71" i="1"/>
  <c r="CF71" i="1"/>
  <c r="CI71" i="1"/>
  <c r="CH71" i="1"/>
  <c r="CI70" i="1"/>
  <c r="CH70" i="1"/>
  <c r="CK71" i="1"/>
  <c r="CJ71" i="1"/>
  <c r="CI64" i="1"/>
  <c r="CH64" i="1"/>
  <c r="CI67" i="1"/>
  <c r="CH67" i="1"/>
  <c r="CI68" i="1"/>
  <c r="CH68" i="1"/>
  <c r="CK70" i="1"/>
  <c r="CJ70" i="1"/>
  <c r="CK64" i="1"/>
  <c r="CJ64" i="1"/>
  <c r="CI66" i="1"/>
  <c r="CH66" i="1"/>
  <c r="CK67" i="1"/>
  <c r="CJ67" i="1"/>
  <c r="CK68" i="1"/>
  <c r="CJ68" i="1"/>
  <c r="CK66" i="1"/>
  <c r="CJ66" i="1"/>
  <c r="CC71" i="1"/>
  <c r="CB71" i="1"/>
  <c r="BX74" i="1"/>
  <c r="BY74" i="1"/>
  <c r="BV71" i="1"/>
  <c r="BW71" i="1"/>
  <c r="BX71" i="1"/>
  <c r="BY71" i="1"/>
  <c r="CA71" i="1"/>
  <c r="BZ71" i="1"/>
  <c r="BN71" i="1"/>
  <c r="BO71" i="1"/>
  <c r="BQ71" i="1"/>
  <c r="BP71" i="1"/>
  <c r="BS71" i="1"/>
  <c r="BR71" i="1"/>
  <c r="BU71" i="1"/>
  <c r="BT71" i="1"/>
  <c r="BM71" i="1"/>
  <c r="BL71" i="1"/>
  <c r="BG71" i="1"/>
  <c r="BF71" i="1"/>
  <c r="BH71" i="1"/>
  <c r="BI71" i="1"/>
  <c r="BH74" i="1"/>
  <c r="BK71" i="1"/>
  <c r="BJ71" i="1"/>
  <c r="AX71" i="1"/>
  <c r="AY71" i="1"/>
  <c r="BA71" i="1"/>
  <c r="AZ71" i="1"/>
  <c r="BC71" i="1"/>
  <c r="BB71" i="1"/>
  <c r="BE71" i="1"/>
  <c r="BD71" i="1"/>
  <c r="AW71" i="1"/>
  <c r="AV71" i="1"/>
  <c r="AQ71" i="1"/>
  <c r="AP71" i="1"/>
  <c r="AS71" i="1"/>
  <c r="AR71" i="1"/>
  <c r="AU71" i="1"/>
  <c r="AT71" i="1"/>
  <c r="AI71" i="1"/>
  <c r="AH71" i="1"/>
  <c r="AK71" i="1"/>
  <c r="AJ71" i="1"/>
  <c r="AM71" i="1"/>
  <c r="AL71" i="1"/>
  <c r="AO71" i="1"/>
  <c r="AN71" i="1"/>
  <c r="AG71" i="1"/>
  <c r="AF71" i="1"/>
  <c r="AD74" i="1"/>
  <c r="Z71" i="1"/>
  <c r="AA71" i="1"/>
  <c r="AC71" i="1"/>
  <c r="AB71" i="1"/>
  <c r="AE71" i="1"/>
  <c r="AD71" i="1"/>
  <c r="S71" i="1"/>
  <c r="R71" i="1"/>
  <c r="U71" i="1"/>
  <c r="T71" i="1"/>
  <c r="W71" i="1"/>
  <c r="V71" i="1"/>
  <c r="Y71" i="1"/>
  <c r="X71" i="1"/>
  <c r="Q71" i="1"/>
  <c r="P71" i="1"/>
  <c r="K36" i="1"/>
  <c r="O71" i="1"/>
  <c r="E71" i="1"/>
  <c r="D71" i="1"/>
  <c r="C71" i="1"/>
  <c r="B71" i="1"/>
  <c r="FT68" i="1"/>
  <c r="FU68" i="1"/>
  <c r="FU67" i="1"/>
  <c r="FT67" i="1"/>
  <c r="FU66" i="1"/>
  <c r="FT66" i="1"/>
  <c r="FU65" i="1"/>
  <c r="FT65" i="1"/>
  <c r="FT61" i="1"/>
  <c r="FU61" i="1"/>
  <c r="FT63" i="1"/>
  <c r="FU63" i="1"/>
  <c r="FU60" i="1"/>
  <c r="FT60" i="1"/>
  <c r="FT64" i="1"/>
  <c r="FU64" i="1"/>
  <c r="FU62" i="1"/>
  <c r="FT62" i="1"/>
  <c r="FS68" i="1"/>
  <c r="FR68" i="1"/>
  <c r="FR67" i="1"/>
  <c r="FS67" i="1"/>
  <c r="FS66" i="1"/>
  <c r="FR66" i="1"/>
  <c r="FS65" i="1"/>
  <c r="FR65" i="1"/>
  <c r="FS61" i="1"/>
  <c r="FR61" i="1"/>
  <c r="FS63" i="1"/>
  <c r="FR63" i="1"/>
  <c r="FS60" i="1"/>
  <c r="FR60" i="1"/>
  <c r="FS64" i="1"/>
  <c r="FR64" i="1"/>
  <c r="FS62" i="1"/>
  <c r="FR62" i="1"/>
  <c r="FQ68" i="1"/>
  <c r="FP68" i="1"/>
  <c r="FQ67" i="1"/>
  <c r="FP67" i="1"/>
  <c r="FQ66" i="1"/>
  <c r="FP66" i="1"/>
  <c r="FQ65" i="1"/>
  <c r="FP65" i="1"/>
  <c r="FQ61" i="1"/>
  <c r="FP61" i="1"/>
  <c r="FQ63" i="1"/>
  <c r="FP63" i="1"/>
  <c r="FP60" i="1"/>
  <c r="FQ60" i="1"/>
  <c r="FQ64" i="1"/>
  <c r="FP64" i="1"/>
  <c r="FQ62" i="1"/>
  <c r="FP62" i="1"/>
  <c r="FO68" i="1"/>
  <c r="FN68" i="1"/>
  <c r="FO70" i="1"/>
  <c r="FN70" i="1"/>
  <c r="FO69" i="1"/>
  <c r="FN69" i="1"/>
  <c r="FO71" i="1"/>
  <c r="FN71" i="1"/>
  <c r="FO66" i="1"/>
  <c r="FN66" i="1"/>
  <c r="FN65" i="1"/>
  <c r="FO65" i="1"/>
  <c r="FO61" i="1"/>
  <c r="FN61" i="1"/>
  <c r="FO63" i="1"/>
  <c r="FN63" i="1"/>
  <c r="FO60" i="1"/>
  <c r="FN60" i="1"/>
  <c r="FO64" i="1"/>
  <c r="FN64" i="1"/>
  <c r="FO62" i="1"/>
  <c r="FN62" i="1"/>
  <c r="FL68" i="1"/>
  <c r="FM68" i="1"/>
  <c r="FM67" i="1"/>
  <c r="FL67" i="1"/>
  <c r="FM69" i="1"/>
  <c r="FL69" i="1"/>
  <c r="FM71" i="1"/>
  <c r="FL71" i="1"/>
  <c r="FM70" i="1"/>
  <c r="FL70" i="1"/>
  <c r="FM66" i="1"/>
  <c r="FL66" i="1"/>
  <c r="FM65" i="1"/>
  <c r="FL65" i="1"/>
  <c r="FL61" i="1"/>
  <c r="FM61" i="1"/>
  <c r="FL63" i="1"/>
  <c r="FM63" i="1"/>
  <c r="FM60" i="1"/>
  <c r="FL60" i="1"/>
  <c r="FL64" i="1"/>
  <c r="FM64" i="1"/>
  <c r="FM62" i="1"/>
  <c r="FL62" i="1"/>
  <c r="FK68" i="1"/>
  <c r="FJ68" i="1"/>
  <c r="FJ67" i="1"/>
  <c r="FK67" i="1"/>
  <c r="FK69" i="1"/>
  <c r="FJ69" i="1"/>
  <c r="FJ71" i="1"/>
  <c r="FK71" i="1"/>
  <c r="FK70" i="1"/>
  <c r="FJ70" i="1"/>
  <c r="FK66" i="1"/>
  <c r="FJ66" i="1"/>
  <c r="FK65" i="1"/>
  <c r="FJ65" i="1"/>
  <c r="FK61" i="1"/>
  <c r="FJ61" i="1"/>
  <c r="FK63" i="1"/>
  <c r="FJ63" i="1"/>
  <c r="FK60" i="1"/>
  <c r="FJ60" i="1"/>
  <c r="FK64" i="1"/>
  <c r="FJ64" i="1"/>
  <c r="FK62" i="1"/>
  <c r="FJ62" i="1"/>
  <c r="FI67" i="1"/>
  <c r="FH67" i="1"/>
  <c r="FI69" i="1"/>
  <c r="FH69" i="1"/>
  <c r="FI71" i="1"/>
  <c r="FH71" i="1"/>
  <c r="FH70" i="1"/>
  <c r="FI70" i="1"/>
  <c r="FI68" i="1"/>
  <c r="FH68" i="1"/>
  <c r="FH66" i="1"/>
  <c r="FI66" i="1"/>
  <c r="FI65" i="1"/>
  <c r="FH65" i="1"/>
  <c r="FI61" i="1"/>
  <c r="FH61" i="1"/>
  <c r="FI63" i="1"/>
  <c r="FH63" i="1"/>
  <c r="FH60" i="1"/>
  <c r="FI60" i="1"/>
  <c r="FI64" i="1"/>
  <c r="FH64" i="1"/>
  <c r="FH62" i="1"/>
  <c r="FI62" i="1"/>
  <c r="FG67" i="1"/>
  <c r="FF67" i="1"/>
  <c r="FF69" i="1"/>
  <c r="FG69" i="1"/>
  <c r="FG71" i="1"/>
  <c r="FF71" i="1"/>
  <c r="FG70" i="1"/>
  <c r="FF70" i="1"/>
  <c r="FG68" i="1"/>
  <c r="FF68" i="1"/>
  <c r="FG66" i="1"/>
  <c r="FF66" i="1"/>
  <c r="FF65" i="1"/>
  <c r="FG65" i="1"/>
  <c r="FG61" i="1"/>
  <c r="FF61" i="1"/>
  <c r="FG63" i="1"/>
  <c r="FF63" i="1"/>
  <c r="FG60" i="1"/>
  <c r="FF60" i="1"/>
  <c r="FF74" i="1"/>
  <c r="FG64" i="1"/>
  <c r="FF64" i="1"/>
  <c r="FG62" i="1"/>
  <c r="FF62" i="1"/>
  <c r="FE70" i="1"/>
  <c r="FD70" i="1"/>
  <c r="FE71" i="1"/>
  <c r="FD71" i="1"/>
  <c r="FD68" i="1"/>
  <c r="FE68" i="1"/>
  <c r="FE67" i="1"/>
  <c r="FD67" i="1"/>
  <c r="FE69" i="1"/>
  <c r="FD69" i="1"/>
  <c r="FE66" i="1"/>
  <c r="FD66" i="1"/>
  <c r="FE65" i="1"/>
  <c r="FD65" i="1"/>
  <c r="FD61" i="1"/>
  <c r="FE61" i="1"/>
  <c r="FD63" i="1"/>
  <c r="FE63" i="1"/>
  <c r="FE60" i="1"/>
  <c r="FD60" i="1"/>
  <c r="FD64" i="1"/>
  <c r="FE64" i="1"/>
  <c r="FE62" i="1"/>
  <c r="FD62" i="1"/>
  <c r="FC70" i="1"/>
  <c r="FB70" i="1"/>
  <c r="FC68" i="1"/>
  <c r="FB68" i="1"/>
  <c r="FC67" i="1"/>
  <c r="FB67" i="1"/>
  <c r="FC69" i="1"/>
  <c r="FB69" i="1"/>
  <c r="FC71" i="1"/>
  <c r="FB71" i="1"/>
  <c r="FC66" i="1"/>
  <c r="FB66" i="1"/>
  <c r="FC65" i="1"/>
  <c r="FB65" i="1"/>
  <c r="FC61" i="1"/>
  <c r="FB61" i="1"/>
  <c r="FC63" i="1"/>
  <c r="FB63" i="1"/>
  <c r="FC60" i="1"/>
  <c r="FB60" i="1"/>
  <c r="FC64" i="1"/>
  <c r="FB64" i="1"/>
  <c r="FC74" i="1"/>
  <c r="FC62" i="1"/>
  <c r="FB62" i="1"/>
  <c r="FA71" i="1"/>
  <c r="EZ71" i="1"/>
  <c r="FA70" i="1"/>
  <c r="EZ70" i="1"/>
  <c r="FA69" i="1"/>
  <c r="EZ69" i="1"/>
  <c r="FA68" i="1"/>
  <c r="EZ68" i="1"/>
  <c r="FA67" i="1"/>
  <c r="EZ67" i="1"/>
  <c r="EZ66" i="1"/>
  <c r="FA66" i="1"/>
  <c r="FA65" i="1"/>
  <c r="EZ65" i="1"/>
  <c r="FA61" i="1"/>
  <c r="EZ61" i="1"/>
  <c r="FA63" i="1"/>
  <c r="EZ63" i="1"/>
  <c r="FA60" i="1"/>
  <c r="EZ60" i="1"/>
  <c r="FA64" i="1"/>
  <c r="EZ64" i="1"/>
  <c r="FA74" i="1"/>
  <c r="EZ62" i="1"/>
  <c r="FA62" i="1"/>
  <c r="EX71" i="1"/>
  <c r="EY71" i="1"/>
  <c r="EY70" i="1"/>
  <c r="EX70" i="1"/>
  <c r="EY69" i="1"/>
  <c r="EX69" i="1"/>
  <c r="EY68" i="1"/>
  <c r="EX68" i="1"/>
  <c r="EX67" i="1"/>
  <c r="EY67" i="1"/>
  <c r="EY66" i="1"/>
  <c r="EX66" i="1"/>
  <c r="EY65" i="1"/>
  <c r="EX65" i="1"/>
  <c r="EY61" i="1"/>
  <c r="EX61" i="1"/>
  <c r="EX60" i="1"/>
  <c r="EY60" i="1"/>
  <c r="EY63" i="1"/>
  <c r="EX63" i="1"/>
  <c r="EY64" i="1"/>
  <c r="EX64" i="1"/>
  <c r="EY62" i="1"/>
  <c r="EX62" i="1"/>
  <c r="J60" i="1"/>
  <c r="K60" i="1"/>
  <c r="E62" i="1"/>
  <c r="D62" i="1"/>
  <c r="BE62" i="1"/>
  <c r="BD62" i="1"/>
  <c r="J64" i="1"/>
  <c r="K64" i="1"/>
  <c r="T65" i="1"/>
  <c r="U65" i="1"/>
  <c r="CG65" i="1"/>
  <c r="CF65" i="1"/>
  <c r="AE66" i="1"/>
  <c r="AD66" i="1"/>
  <c r="AA67" i="1"/>
  <c r="Z67" i="1"/>
  <c r="CA67" i="1"/>
  <c r="BZ67" i="1"/>
  <c r="J68" i="1"/>
  <c r="K68" i="1"/>
  <c r="BQ70" i="1"/>
  <c r="BP70" i="1"/>
  <c r="AY60" i="1"/>
  <c r="AX60" i="1"/>
  <c r="S62" i="1"/>
  <c r="R62" i="1"/>
  <c r="AY64" i="1"/>
  <c r="AX64" i="1"/>
  <c r="W65" i="1"/>
  <c r="V65" i="1"/>
  <c r="AG66" i="1"/>
  <c r="AF66" i="1"/>
  <c r="P67" i="1"/>
  <c r="Q67" i="1"/>
  <c r="M68" i="1"/>
  <c r="L68" i="1"/>
  <c r="AY68" i="1"/>
  <c r="AX68" i="1"/>
  <c r="W69" i="1"/>
  <c r="V69" i="1"/>
  <c r="BI69" i="1"/>
  <c r="BH69" i="1"/>
  <c r="S70" i="1"/>
  <c r="R70" i="1"/>
  <c r="BS70" i="1"/>
  <c r="BR70" i="1"/>
  <c r="S74" i="1"/>
  <c r="C62" i="1"/>
  <c r="B62" i="1"/>
  <c r="C70" i="1"/>
  <c r="B70" i="1"/>
  <c r="O60" i="1"/>
  <c r="N60" i="1"/>
  <c r="AA60" i="1"/>
  <c r="Z60" i="1"/>
  <c r="AO74" i="1"/>
  <c r="AO60" i="1"/>
  <c r="AN60" i="1"/>
  <c r="BA60" i="1"/>
  <c r="AZ60" i="1"/>
  <c r="CA60" i="1"/>
  <c r="BZ60" i="1"/>
  <c r="DA74" i="1"/>
  <c r="K61" i="1"/>
  <c r="J61" i="1"/>
  <c r="Y74" i="1"/>
  <c r="Y61" i="1"/>
  <c r="X61" i="1"/>
  <c r="AK61" i="1"/>
  <c r="AJ61" i="1"/>
  <c r="BK61" i="1"/>
  <c r="BJ61" i="1"/>
  <c r="BW61" i="1"/>
  <c r="BV61" i="1"/>
  <c r="CK74" i="1"/>
  <c r="EW74" i="1"/>
  <c r="FH74" i="1"/>
  <c r="I62" i="1"/>
  <c r="H62" i="1"/>
  <c r="U62" i="1"/>
  <c r="T62" i="1"/>
  <c r="AU62" i="1"/>
  <c r="AT62" i="1"/>
  <c r="BG62" i="1"/>
  <c r="BF62" i="1"/>
  <c r="BU62" i="1"/>
  <c r="BT62" i="1"/>
  <c r="CG62" i="1"/>
  <c r="CF62" i="1"/>
  <c r="E63" i="1"/>
  <c r="D63" i="1"/>
  <c r="AE63" i="1"/>
  <c r="AD63" i="1"/>
  <c r="AQ63" i="1"/>
  <c r="AP63" i="1"/>
  <c r="BE63" i="1"/>
  <c r="BD63" i="1"/>
  <c r="BQ63" i="1"/>
  <c r="BP63" i="1"/>
  <c r="O64" i="1"/>
  <c r="N64" i="1"/>
  <c r="AA64" i="1"/>
  <c r="Z64" i="1"/>
  <c r="AO64" i="1"/>
  <c r="AN64" i="1"/>
  <c r="BA64" i="1"/>
  <c r="AZ64" i="1"/>
  <c r="CA64" i="1"/>
  <c r="BZ64" i="1"/>
  <c r="K65" i="1"/>
  <c r="J65" i="1"/>
  <c r="Y65" i="1"/>
  <c r="X65" i="1"/>
  <c r="AK65" i="1"/>
  <c r="AJ65" i="1"/>
  <c r="BK65" i="1"/>
  <c r="BJ65" i="1"/>
  <c r="BW65" i="1"/>
  <c r="BV65" i="1"/>
  <c r="I66" i="1"/>
  <c r="H66" i="1"/>
  <c r="U66" i="1"/>
  <c r="T66" i="1"/>
  <c r="AU66" i="1"/>
  <c r="AT66" i="1"/>
  <c r="BG66" i="1"/>
  <c r="BF66" i="1"/>
  <c r="BU66" i="1"/>
  <c r="BT66" i="1"/>
  <c r="CG66" i="1"/>
  <c r="CF66" i="1"/>
  <c r="E67" i="1"/>
  <c r="D67" i="1"/>
  <c r="AE67" i="1"/>
  <c r="AD67" i="1"/>
  <c r="AQ67" i="1"/>
  <c r="AP67" i="1"/>
  <c r="BE67" i="1"/>
  <c r="BD67" i="1"/>
  <c r="BQ67" i="1"/>
  <c r="BP67" i="1"/>
  <c r="O68" i="1"/>
  <c r="N68" i="1"/>
  <c r="AA68" i="1"/>
  <c r="Z68" i="1"/>
  <c r="AO68" i="1"/>
  <c r="AN68" i="1"/>
  <c r="BA68" i="1"/>
  <c r="AZ68" i="1"/>
  <c r="CA68" i="1"/>
  <c r="BZ68" i="1"/>
  <c r="K69" i="1"/>
  <c r="J69" i="1"/>
  <c r="Y69" i="1"/>
  <c r="X69" i="1"/>
  <c r="AK69" i="1"/>
  <c r="AJ69" i="1"/>
  <c r="BK69" i="1"/>
  <c r="BJ69" i="1"/>
  <c r="BW69" i="1"/>
  <c r="BV69" i="1"/>
  <c r="I70" i="1"/>
  <c r="H70" i="1"/>
  <c r="U70" i="1"/>
  <c r="T70" i="1"/>
  <c r="AU70" i="1"/>
  <c r="AT70" i="1"/>
  <c r="BG70" i="1"/>
  <c r="BF70" i="1"/>
  <c r="BU70" i="1"/>
  <c r="BT70" i="1"/>
  <c r="CG70" i="1"/>
  <c r="CF70" i="1"/>
  <c r="Y60" i="1"/>
  <c r="X60" i="1"/>
  <c r="BQ62" i="1"/>
  <c r="BP62" i="1"/>
  <c r="O63" i="1"/>
  <c r="N63" i="1"/>
  <c r="BU65" i="1"/>
  <c r="BT65" i="1"/>
  <c r="BE66" i="1"/>
  <c r="BD66" i="1"/>
  <c r="BK68" i="1"/>
  <c r="BJ68" i="1"/>
  <c r="BG69" i="1"/>
  <c r="BF69" i="1"/>
  <c r="E70" i="1"/>
  <c r="D70" i="1"/>
  <c r="C69" i="1"/>
  <c r="B69" i="1"/>
  <c r="BM60" i="1"/>
  <c r="BL60" i="1"/>
  <c r="AW61" i="1"/>
  <c r="AV61" i="1"/>
  <c r="BC63" i="1"/>
  <c r="BB63" i="1"/>
  <c r="AM64" i="1"/>
  <c r="AL64" i="1"/>
  <c r="BY64" i="1"/>
  <c r="BX64" i="1"/>
  <c r="F66" i="1"/>
  <c r="G66" i="1"/>
  <c r="CE66" i="1"/>
  <c r="CD66" i="1"/>
  <c r="AM68" i="1"/>
  <c r="AL68" i="1"/>
  <c r="BY68" i="1"/>
  <c r="BX68" i="1"/>
  <c r="AS70" i="1"/>
  <c r="AR70" i="1"/>
  <c r="BN36" i="1"/>
  <c r="C63" i="1"/>
  <c r="B63" i="1"/>
  <c r="Q74" i="1"/>
  <c r="Q60" i="1"/>
  <c r="P60" i="1"/>
  <c r="AC60" i="1"/>
  <c r="AB60" i="1"/>
  <c r="BB74" i="1"/>
  <c r="BC60" i="1"/>
  <c r="BB60" i="1"/>
  <c r="BO60" i="1"/>
  <c r="BN60" i="1"/>
  <c r="CB74" i="1"/>
  <c r="CC60" i="1"/>
  <c r="CB60" i="1"/>
  <c r="DN74" i="1"/>
  <c r="EO74" i="1"/>
  <c r="L61" i="1"/>
  <c r="M61" i="1"/>
  <c r="AL74" i="1"/>
  <c r="AM61" i="1"/>
  <c r="AL61" i="1"/>
  <c r="AY61" i="1"/>
  <c r="AX61" i="1"/>
  <c r="BL74" i="1"/>
  <c r="BM61" i="1"/>
  <c r="BL61" i="1"/>
  <c r="BY61" i="1"/>
  <c r="BX61" i="1"/>
  <c r="CY74" i="1"/>
  <c r="DX74" i="1"/>
  <c r="FJ74" i="1"/>
  <c r="V62" i="1"/>
  <c r="W62" i="1"/>
  <c r="AI62" i="1"/>
  <c r="AH62" i="1"/>
  <c r="AW62" i="1"/>
  <c r="AV62" i="1"/>
  <c r="BI62" i="1"/>
  <c r="BH62" i="1"/>
  <c r="G63" i="1"/>
  <c r="F63" i="1"/>
  <c r="S63" i="1"/>
  <c r="R63" i="1"/>
  <c r="AG63" i="1"/>
  <c r="AF63" i="1"/>
  <c r="AS63" i="1"/>
  <c r="AR63" i="1"/>
  <c r="BS63" i="1"/>
  <c r="BR63" i="1"/>
  <c r="CE63" i="1"/>
  <c r="CD63" i="1"/>
  <c r="Q64" i="1"/>
  <c r="P64" i="1"/>
  <c r="AC64" i="1"/>
  <c r="AB64" i="1"/>
  <c r="BC64" i="1"/>
  <c r="BB64" i="1"/>
  <c r="BO64" i="1"/>
  <c r="BN64" i="1"/>
  <c r="CC64" i="1"/>
  <c r="CB64" i="1"/>
  <c r="L65" i="1"/>
  <c r="M65" i="1"/>
  <c r="AM65" i="1"/>
  <c r="AL65" i="1"/>
  <c r="AY65" i="1"/>
  <c r="AX65" i="1"/>
  <c r="BM65" i="1"/>
  <c r="BL65" i="1"/>
  <c r="BY65" i="1"/>
  <c r="BX65" i="1"/>
  <c r="V66" i="1"/>
  <c r="W66" i="1"/>
  <c r="AI66" i="1"/>
  <c r="AH66" i="1"/>
  <c r="AW66" i="1"/>
  <c r="AV66" i="1"/>
  <c r="BI66" i="1"/>
  <c r="BH66" i="1"/>
  <c r="G67" i="1"/>
  <c r="F67" i="1"/>
  <c r="S67" i="1"/>
  <c r="R67" i="1"/>
  <c r="AG67" i="1"/>
  <c r="AF67" i="1"/>
  <c r="AS67" i="1"/>
  <c r="AR67" i="1"/>
  <c r="BS67" i="1"/>
  <c r="BR67" i="1"/>
  <c r="CE67" i="1"/>
  <c r="CD67" i="1"/>
  <c r="Q68" i="1"/>
  <c r="P68" i="1"/>
  <c r="AC68" i="1"/>
  <c r="AB68" i="1"/>
  <c r="BC68" i="1"/>
  <c r="BB68" i="1"/>
  <c r="BO68" i="1"/>
  <c r="BN68" i="1"/>
  <c r="CC68" i="1"/>
  <c r="CB68" i="1"/>
  <c r="L69" i="1"/>
  <c r="M69" i="1"/>
  <c r="AM69" i="1"/>
  <c r="AL69" i="1"/>
  <c r="AY69" i="1"/>
  <c r="AX69" i="1"/>
  <c r="BM69" i="1"/>
  <c r="BL69" i="1"/>
  <c r="BY69" i="1"/>
  <c r="BX69" i="1"/>
  <c r="V70" i="1"/>
  <c r="W70" i="1"/>
  <c r="AI70" i="1"/>
  <c r="AH70" i="1"/>
  <c r="AW70" i="1"/>
  <c r="AV70" i="1"/>
  <c r="BI70" i="1"/>
  <c r="BH70" i="1"/>
  <c r="B68" i="1"/>
  <c r="C68" i="1"/>
  <c r="BW60" i="1"/>
  <c r="BV60" i="1"/>
  <c r="T61" i="1"/>
  <c r="U61" i="1"/>
  <c r="BA63" i="1"/>
  <c r="AZ63" i="1"/>
  <c r="Y64" i="1"/>
  <c r="X64" i="1"/>
  <c r="AU65" i="1"/>
  <c r="AT65" i="1"/>
  <c r="BW68" i="1"/>
  <c r="BV68" i="1"/>
  <c r="I69" i="1"/>
  <c r="H69" i="1"/>
  <c r="BU69" i="1"/>
  <c r="BT69" i="1"/>
  <c r="AQ70" i="1"/>
  <c r="AP70" i="1"/>
  <c r="BY60" i="1"/>
  <c r="BX60" i="1"/>
  <c r="W61" i="1"/>
  <c r="V61" i="1"/>
  <c r="BI61" i="1"/>
  <c r="BH61" i="1"/>
  <c r="AS62" i="1"/>
  <c r="AR62" i="1"/>
  <c r="AC63" i="1"/>
  <c r="AB63" i="1"/>
  <c r="BI65" i="1"/>
  <c r="BH65" i="1"/>
  <c r="S66" i="1"/>
  <c r="R66" i="1"/>
  <c r="CC67" i="1"/>
  <c r="CB67" i="1"/>
  <c r="AI69" i="1"/>
  <c r="AH69" i="1"/>
  <c r="AG70" i="1"/>
  <c r="AF70" i="1"/>
  <c r="AY74" i="1"/>
  <c r="BS36" i="1"/>
  <c r="B64" i="1"/>
  <c r="C64" i="1"/>
  <c r="D74" i="1"/>
  <c r="E60" i="1"/>
  <c r="D60" i="1"/>
  <c r="AE60" i="1"/>
  <c r="AD60" i="1"/>
  <c r="AQ74" i="1"/>
  <c r="AQ60" i="1"/>
  <c r="AP60" i="1"/>
  <c r="BE74" i="1"/>
  <c r="BE60" i="1"/>
  <c r="BD60" i="1"/>
  <c r="BQ74" i="1"/>
  <c r="BQ60" i="1"/>
  <c r="BP60" i="1"/>
  <c r="DB74" i="1"/>
  <c r="DP74" i="1"/>
  <c r="EB74" i="1"/>
  <c r="O61" i="1"/>
  <c r="N61" i="1"/>
  <c r="AA74" i="1"/>
  <c r="AA61" i="1"/>
  <c r="Z61" i="1"/>
  <c r="AO61" i="1"/>
  <c r="AN61" i="1"/>
  <c r="BA74" i="1"/>
  <c r="BA61" i="1"/>
  <c r="AZ61" i="1"/>
  <c r="CA61" i="1"/>
  <c r="BZ61" i="1"/>
  <c r="CM74" i="1"/>
  <c r="DL74" i="1"/>
  <c r="EX74" i="1"/>
  <c r="FM74" i="1"/>
  <c r="K74" i="1"/>
  <c r="K62" i="1"/>
  <c r="J62" i="1"/>
  <c r="Y62" i="1"/>
  <c r="X62" i="1"/>
  <c r="AK74" i="1"/>
  <c r="AK62" i="1"/>
  <c r="AJ62" i="1"/>
  <c r="BK62" i="1"/>
  <c r="BJ62" i="1"/>
  <c r="BV74" i="1"/>
  <c r="BW62" i="1"/>
  <c r="BV62" i="1"/>
  <c r="CW74" i="1"/>
  <c r="EI74" i="1"/>
  <c r="H63" i="1"/>
  <c r="I63" i="1"/>
  <c r="T74" i="1"/>
  <c r="U63" i="1"/>
  <c r="T63" i="1"/>
  <c r="AU63" i="1"/>
  <c r="AT63" i="1"/>
  <c r="BG74" i="1"/>
  <c r="BG63" i="1"/>
  <c r="BF63" i="1"/>
  <c r="BU63" i="1"/>
  <c r="BT63" i="1"/>
  <c r="CG74" i="1"/>
  <c r="CG63" i="1"/>
  <c r="CF63" i="1"/>
  <c r="DS74" i="1"/>
  <c r="ES74" i="1"/>
  <c r="E64" i="1"/>
  <c r="D64" i="1"/>
  <c r="AE64" i="1"/>
  <c r="AD64" i="1"/>
  <c r="AQ64" i="1"/>
  <c r="AP64" i="1"/>
  <c r="BE64" i="1"/>
  <c r="BD64" i="1"/>
  <c r="BQ64" i="1"/>
  <c r="BP64" i="1"/>
  <c r="O65" i="1"/>
  <c r="N65" i="1"/>
  <c r="AA65" i="1"/>
  <c r="Z65" i="1"/>
  <c r="AO65" i="1"/>
  <c r="AN65" i="1"/>
  <c r="BA65" i="1"/>
  <c r="AZ65" i="1"/>
  <c r="CA65" i="1"/>
  <c r="BZ65" i="1"/>
  <c r="K66" i="1"/>
  <c r="J66" i="1"/>
  <c r="Y66" i="1"/>
  <c r="X66" i="1"/>
  <c r="AK66" i="1"/>
  <c r="AJ66" i="1"/>
  <c r="BK66" i="1"/>
  <c r="BJ66" i="1"/>
  <c r="BW66" i="1"/>
  <c r="BV66" i="1"/>
  <c r="H67" i="1"/>
  <c r="I67" i="1"/>
  <c r="U67" i="1"/>
  <c r="T67" i="1"/>
  <c r="AU67" i="1"/>
  <c r="AT67" i="1"/>
  <c r="BG67" i="1"/>
  <c r="BF67" i="1"/>
  <c r="BU67" i="1"/>
  <c r="BT67" i="1"/>
  <c r="CG67" i="1"/>
  <c r="CF67" i="1"/>
  <c r="E68" i="1"/>
  <c r="D68" i="1"/>
  <c r="AE68" i="1"/>
  <c r="AD68" i="1"/>
  <c r="AQ68" i="1"/>
  <c r="AP68" i="1"/>
  <c r="BE68" i="1"/>
  <c r="BD68" i="1"/>
  <c r="BQ68" i="1"/>
  <c r="BP68" i="1"/>
  <c r="O69" i="1"/>
  <c r="N69" i="1"/>
  <c r="AA69" i="1"/>
  <c r="Z69" i="1"/>
  <c r="AO69" i="1"/>
  <c r="AN69" i="1"/>
  <c r="BA69" i="1"/>
  <c r="AZ69" i="1"/>
  <c r="CA69" i="1"/>
  <c r="BZ69" i="1"/>
  <c r="K70" i="1"/>
  <c r="J70" i="1"/>
  <c r="Y70" i="1"/>
  <c r="X70" i="1"/>
  <c r="AK70" i="1"/>
  <c r="AJ70" i="1"/>
  <c r="BK70" i="1"/>
  <c r="BJ70" i="1"/>
  <c r="BW70" i="1"/>
  <c r="BV70" i="1"/>
  <c r="BK60" i="1"/>
  <c r="BJ60" i="1"/>
  <c r="I61" i="1"/>
  <c r="H61" i="1"/>
  <c r="BU61" i="1"/>
  <c r="BT61" i="1"/>
  <c r="AE62" i="1"/>
  <c r="AD62" i="1"/>
  <c r="CA63" i="1"/>
  <c r="BZ63" i="1"/>
  <c r="I65" i="1"/>
  <c r="H65" i="1"/>
  <c r="AG62" i="1"/>
  <c r="AF62" i="1"/>
  <c r="BO63" i="1"/>
  <c r="BN63" i="1"/>
  <c r="M64" i="1"/>
  <c r="L64" i="1"/>
  <c r="AW65" i="1"/>
  <c r="AV65" i="1"/>
  <c r="AS66" i="1"/>
  <c r="AR66" i="1"/>
  <c r="BS66" i="1"/>
  <c r="BR66" i="1"/>
  <c r="AC67" i="1"/>
  <c r="AB67" i="1"/>
  <c r="BC67" i="1"/>
  <c r="BB67" i="1"/>
  <c r="BM68" i="1"/>
  <c r="BL68" i="1"/>
  <c r="AW69" i="1"/>
  <c r="AV69" i="1"/>
  <c r="G70" i="1"/>
  <c r="F70" i="1"/>
  <c r="CE70" i="1"/>
  <c r="CD70" i="1"/>
  <c r="C65" i="1"/>
  <c r="B65" i="1"/>
  <c r="G60" i="1"/>
  <c r="F60" i="1"/>
  <c r="R60" i="1"/>
  <c r="S60" i="1"/>
  <c r="AG60" i="1"/>
  <c r="AF60" i="1"/>
  <c r="AS60" i="1"/>
  <c r="AR60" i="1"/>
  <c r="BS60" i="1"/>
  <c r="BR60" i="1"/>
  <c r="CE60" i="1"/>
  <c r="CD60" i="1"/>
  <c r="Q61" i="1"/>
  <c r="P61" i="1"/>
  <c r="AC61" i="1"/>
  <c r="AB61" i="1"/>
  <c r="BC61" i="1"/>
  <c r="BB61" i="1"/>
  <c r="BO61" i="1"/>
  <c r="BN61" i="1"/>
  <c r="CC61" i="1"/>
  <c r="CB61" i="1"/>
  <c r="M62" i="1"/>
  <c r="L62" i="1"/>
  <c r="AM62" i="1"/>
  <c r="AL62" i="1"/>
  <c r="AY62" i="1"/>
  <c r="AX62" i="1"/>
  <c r="BM62" i="1"/>
  <c r="BL62" i="1"/>
  <c r="BY62" i="1"/>
  <c r="BX62" i="1"/>
  <c r="W63" i="1"/>
  <c r="V63" i="1"/>
  <c r="AI63" i="1"/>
  <c r="AH63" i="1"/>
  <c r="AW63" i="1"/>
  <c r="AV63" i="1"/>
  <c r="BI63" i="1"/>
  <c r="BH63" i="1"/>
  <c r="G64" i="1"/>
  <c r="F64" i="1"/>
  <c r="R64" i="1"/>
  <c r="S64" i="1"/>
  <c r="AG64" i="1"/>
  <c r="AF64" i="1"/>
  <c r="AS64" i="1"/>
  <c r="AR64" i="1"/>
  <c r="BS64" i="1"/>
  <c r="BR64" i="1"/>
  <c r="CE64" i="1"/>
  <c r="CD64" i="1"/>
  <c r="Q65" i="1"/>
  <c r="P65" i="1"/>
  <c r="AC65" i="1"/>
  <c r="AB65" i="1"/>
  <c r="BC65" i="1"/>
  <c r="BB65" i="1"/>
  <c r="BO65" i="1"/>
  <c r="BN65" i="1"/>
  <c r="CC65" i="1"/>
  <c r="CB65" i="1"/>
  <c r="M66" i="1"/>
  <c r="L66" i="1"/>
  <c r="AM66" i="1"/>
  <c r="AL66" i="1"/>
  <c r="AY66" i="1"/>
  <c r="AX66" i="1"/>
  <c r="BM66" i="1"/>
  <c r="BL66" i="1"/>
  <c r="BY66" i="1"/>
  <c r="BX66" i="1"/>
  <c r="W67" i="1"/>
  <c r="V67" i="1"/>
  <c r="AI67" i="1"/>
  <c r="AH67" i="1"/>
  <c r="AW67" i="1"/>
  <c r="AV67" i="1"/>
  <c r="BI67" i="1"/>
  <c r="BH67" i="1"/>
  <c r="G68" i="1"/>
  <c r="F68" i="1"/>
  <c r="R68" i="1"/>
  <c r="S68" i="1"/>
  <c r="AG68" i="1"/>
  <c r="AF68" i="1"/>
  <c r="AS68" i="1"/>
  <c r="AR68" i="1"/>
  <c r="BS68" i="1"/>
  <c r="BR68" i="1"/>
  <c r="CE68" i="1"/>
  <c r="CD68" i="1"/>
  <c r="Q69" i="1"/>
  <c r="P69" i="1"/>
  <c r="AC69" i="1"/>
  <c r="AB69" i="1"/>
  <c r="BC69" i="1"/>
  <c r="BB69" i="1"/>
  <c r="BO69" i="1"/>
  <c r="BN69" i="1"/>
  <c r="CC69" i="1"/>
  <c r="CB69" i="1"/>
  <c r="M70" i="1"/>
  <c r="L70" i="1"/>
  <c r="AM70" i="1"/>
  <c r="AL70" i="1"/>
  <c r="AY70" i="1"/>
  <c r="AX70" i="1"/>
  <c r="BM70" i="1"/>
  <c r="BL70" i="1"/>
  <c r="BY70" i="1"/>
  <c r="BX70" i="1"/>
  <c r="AU61" i="1"/>
  <c r="AT61" i="1"/>
  <c r="AO63" i="1"/>
  <c r="AN63" i="1"/>
  <c r="AK64" i="1"/>
  <c r="AJ64" i="1"/>
  <c r="BW64" i="1"/>
  <c r="BV64" i="1"/>
  <c r="BG65" i="1"/>
  <c r="BF65" i="1"/>
  <c r="AQ66" i="1"/>
  <c r="AP66" i="1"/>
  <c r="AO67" i="1"/>
  <c r="AN67" i="1"/>
  <c r="Y68" i="1"/>
  <c r="X68" i="1"/>
  <c r="AU69" i="1"/>
  <c r="AT69" i="1"/>
  <c r="AM60" i="1"/>
  <c r="AL60" i="1"/>
  <c r="AI61" i="1"/>
  <c r="AH61" i="1"/>
  <c r="F62" i="1"/>
  <c r="G62" i="1"/>
  <c r="CE62" i="1"/>
  <c r="CD62" i="1"/>
  <c r="P63" i="1"/>
  <c r="Q63" i="1"/>
  <c r="CC63" i="1"/>
  <c r="CB63" i="1"/>
  <c r="BM64" i="1"/>
  <c r="BL64" i="1"/>
  <c r="BO67" i="1"/>
  <c r="BN67" i="1"/>
  <c r="BK74" i="1"/>
  <c r="AO36" i="1"/>
  <c r="CC36" i="1"/>
  <c r="C66" i="1"/>
  <c r="B66" i="1"/>
  <c r="H74" i="1"/>
  <c r="I60" i="1"/>
  <c r="H60" i="1"/>
  <c r="U60" i="1"/>
  <c r="T60" i="1"/>
  <c r="AU60" i="1"/>
  <c r="AT60" i="1"/>
  <c r="BG60" i="1"/>
  <c r="BF60" i="1"/>
  <c r="BT74" i="1"/>
  <c r="BU60" i="1"/>
  <c r="BT60" i="1"/>
  <c r="CG60" i="1"/>
  <c r="CF60" i="1"/>
  <c r="EF74" i="1"/>
  <c r="D61" i="1"/>
  <c r="E61" i="1"/>
  <c r="AE61" i="1"/>
  <c r="AD61" i="1"/>
  <c r="AQ61" i="1"/>
  <c r="AP61" i="1"/>
  <c r="BE61" i="1"/>
  <c r="BD61" i="1"/>
  <c r="BQ61" i="1"/>
  <c r="BP61" i="1"/>
  <c r="N62" i="1"/>
  <c r="O62" i="1"/>
  <c r="AA62" i="1"/>
  <c r="Z62" i="1"/>
  <c r="AO62" i="1"/>
  <c r="AN62" i="1"/>
  <c r="BA62" i="1"/>
  <c r="AZ62" i="1"/>
  <c r="CA62" i="1"/>
  <c r="BZ62" i="1"/>
  <c r="K63" i="1"/>
  <c r="J63" i="1"/>
  <c r="Y63" i="1"/>
  <c r="X63" i="1"/>
  <c r="AK63" i="1"/>
  <c r="AJ63" i="1"/>
  <c r="BK63" i="1"/>
  <c r="BJ63" i="1"/>
  <c r="BW63" i="1"/>
  <c r="BV63" i="1"/>
  <c r="I64" i="1"/>
  <c r="H64" i="1"/>
  <c r="U64" i="1"/>
  <c r="T64" i="1"/>
  <c r="AU64" i="1"/>
  <c r="AT64" i="1"/>
  <c r="BG64" i="1"/>
  <c r="BF64" i="1"/>
  <c r="BU64" i="1"/>
  <c r="BT64" i="1"/>
  <c r="CG64" i="1"/>
  <c r="CF64" i="1"/>
  <c r="D65" i="1"/>
  <c r="E65" i="1"/>
  <c r="AE65" i="1"/>
  <c r="AD65" i="1"/>
  <c r="AQ65" i="1"/>
  <c r="AP65" i="1"/>
  <c r="BE65" i="1"/>
  <c r="BD65" i="1"/>
  <c r="BQ65" i="1"/>
  <c r="BP65" i="1"/>
  <c r="N66" i="1"/>
  <c r="O66" i="1"/>
  <c r="AA66" i="1"/>
  <c r="Z66" i="1"/>
  <c r="AO66" i="1"/>
  <c r="AN66" i="1"/>
  <c r="BA66" i="1"/>
  <c r="AZ66" i="1"/>
  <c r="CA66" i="1"/>
  <c r="BZ66" i="1"/>
  <c r="K67" i="1"/>
  <c r="J67" i="1"/>
  <c r="Y67" i="1"/>
  <c r="X67" i="1"/>
  <c r="AK67" i="1"/>
  <c r="AJ67" i="1"/>
  <c r="BK67" i="1"/>
  <c r="BJ67" i="1"/>
  <c r="BW67" i="1"/>
  <c r="BV67" i="1"/>
  <c r="I68" i="1"/>
  <c r="H68" i="1"/>
  <c r="U68" i="1"/>
  <c r="T68" i="1"/>
  <c r="AU68" i="1"/>
  <c r="AT68" i="1"/>
  <c r="BG68" i="1"/>
  <c r="BF68" i="1"/>
  <c r="BU68" i="1"/>
  <c r="BT68" i="1"/>
  <c r="CG68" i="1"/>
  <c r="CF68" i="1"/>
  <c r="D69" i="1"/>
  <c r="E69" i="1"/>
  <c r="AE69" i="1"/>
  <c r="AD69" i="1"/>
  <c r="AQ69" i="1"/>
  <c r="AP69" i="1"/>
  <c r="BE69" i="1"/>
  <c r="BD69" i="1"/>
  <c r="BQ69" i="1"/>
  <c r="BP69" i="1"/>
  <c r="N70" i="1"/>
  <c r="O70" i="1"/>
  <c r="AA70" i="1"/>
  <c r="Z70" i="1"/>
  <c r="AO70" i="1"/>
  <c r="AN70" i="1"/>
  <c r="BA70" i="1"/>
  <c r="AZ70" i="1"/>
  <c r="CA70" i="1"/>
  <c r="BZ70" i="1"/>
  <c r="AR74" i="1"/>
  <c r="AK60" i="1"/>
  <c r="AJ60" i="1"/>
  <c r="BG61" i="1"/>
  <c r="BF61" i="1"/>
  <c r="CG61" i="1"/>
  <c r="CF61" i="1"/>
  <c r="AQ62" i="1"/>
  <c r="AP62" i="1"/>
  <c r="AA63" i="1"/>
  <c r="Z63" i="1"/>
  <c r="BK64" i="1"/>
  <c r="BJ64" i="1"/>
  <c r="E66" i="1"/>
  <c r="D66" i="1"/>
  <c r="BQ66" i="1"/>
  <c r="BP66" i="1"/>
  <c r="O67" i="1"/>
  <c r="N67" i="1"/>
  <c r="BA67" i="1"/>
  <c r="AZ67" i="1"/>
  <c r="AK68" i="1"/>
  <c r="AJ68" i="1"/>
  <c r="T69" i="1"/>
  <c r="U69" i="1"/>
  <c r="CG69" i="1"/>
  <c r="CF69" i="1"/>
  <c r="AE70" i="1"/>
  <c r="AD70" i="1"/>
  <c r="BE70" i="1"/>
  <c r="BD70" i="1"/>
  <c r="BZ74" i="1"/>
  <c r="CR36" i="1"/>
  <c r="C61" i="1"/>
  <c r="B61" i="1"/>
  <c r="M60" i="1"/>
  <c r="L60" i="1"/>
  <c r="BS62" i="1"/>
  <c r="BR62" i="1"/>
  <c r="AI65" i="1"/>
  <c r="AH65" i="1"/>
  <c r="M74" i="1"/>
  <c r="BO74" i="1"/>
  <c r="C67" i="1"/>
  <c r="B67" i="1"/>
  <c r="W74" i="1"/>
  <c r="W60" i="1"/>
  <c r="V60" i="1"/>
  <c r="AI74" i="1"/>
  <c r="AI60" i="1"/>
  <c r="AH60" i="1"/>
  <c r="AV74" i="1"/>
  <c r="AW60" i="1"/>
  <c r="AV60" i="1"/>
  <c r="BI60" i="1"/>
  <c r="BH60" i="1"/>
  <c r="CH74" i="1"/>
  <c r="CU74" i="1"/>
  <c r="DH74" i="1"/>
  <c r="ET74" i="1"/>
  <c r="G61" i="1"/>
  <c r="F61" i="1"/>
  <c r="S61" i="1"/>
  <c r="R61" i="1"/>
  <c r="AG61" i="1"/>
  <c r="AF61" i="1"/>
  <c r="AS61" i="1"/>
  <c r="AR61" i="1"/>
  <c r="BS61" i="1"/>
  <c r="BR61" i="1"/>
  <c r="CE61" i="1"/>
  <c r="CD61" i="1"/>
  <c r="Q62" i="1"/>
  <c r="P62" i="1"/>
  <c r="AC62" i="1"/>
  <c r="AB62" i="1"/>
  <c r="BC62" i="1"/>
  <c r="BB62" i="1"/>
  <c r="BO62" i="1"/>
  <c r="BN62" i="1"/>
  <c r="CC62" i="1"/>
  <c r="CB62" i="1"/>
  <c r="M63" i="1"/>
  <c r="L63" i="1"/>
  <c r="AM63" i="1"/>
  <c r="AL63" i="1"/>
  <c r="AY63" i="1"/>
  <c r="AX63" i="1"/>
  <c r="BM63" i="1"/>
  <c r="BL63" i="1"/>
  <c r="BY63" i="1"/>
  <c r="BX63" i="1"/>
  <c r="W64" i="1"/>
  <c r="V64" i="1"/>
  <c r="AI64" i="1"/>
  <c r="AH64" i="1"/>
  <c r="AW64" i="1"/>
  <c r="AV64" i="1"/>
  <c r="BI64" i="1"/>
  <c r="BH64" i="1"/>
  <c r="G65" i="1"/>
  <c r="F65" i="1"/>
  <c r="S65" i="1"/>
  <c r="R65" i="1"/>
  <c r="AG65" i="1"/>
  <c r="AF65" i="1"/>
  <c r="AS65" i="1"/>
  <c r="AR65" i="1"/>
  <c r="BS65" i="1"/>
  <c r="BR65" i="1"/>
  <c r="CE65" i="1"/>
  <c r="CD65" i="1"/>
  <c r="Q66" i="1"/>
  <c r="P66" i="1"/>
  <c r="AC66" i="1"/>
  <c r="AB66" i="1"/>
  <c r="BC66" i="1"/>
  <c r="BB66" i="1"/>
  <c r="BO66" i="1"/>
  <c r="BN66" i="1"/>
  <c r="CC66" i="1"/>
  <c r="CB66" i="1"/>
  <c r="M67" i="1"/>
  <c r="L67" i="1"/>
  <c r="AM67" i="1"/>
  <c r="AL67" i="1"/>
  <c r="AY67" i="1"/>
  <c r="AX67" i="1"/>
  <c r="BM67" i="1"/>
  <c r="BL67" i="1"/>
  <c r="BY67" i="1"/>
  <c r="BX67" i="1"/>
  <c r="W68" i="1"/>
  <c r="V68" i="1"/>
  <c r="AI68" i="1"/>
  <c r="AH68" i="1"/>
  <c r="AW68" i="1"/>
  <c r="AV68" i="1"/>
  <c r="BI68" i="1"/>
  <c r="BH68" i="1"/>
  <c r="G69" i="1"/>
  <c r="F69" i="1"/>
  <c r="S69" i="1"/>
  <c r="R69" i="1"/>
  <c r="AG69" i="1"/>
  <c r="AF69" i="1"/>
  <c r="AS69" i="1"/>
  <c r="AR69" i="1"/>
  <c r="BS69" i="1"/>
  <c r="BR69" i="1"/>
  <c r="CE69" i="1"/>
  <c r="CD69" i="1"/>
  <c r="Q70" i="1"/>
  <c r="P70" i="1"/>
  <c r="AC70" i="1"/>
  <c r="AB70" i="1"/>
  <c r="BC70" i="1"/>
  <c r="BB70" i="1"/>
  <c r="BO70" i="1"/>
  <c r="BN70" i="1"/>
  <c r="CC70" i="1"/>
  <c r="CB70" i="1"/>
  <c r="BX36" i="1"/>
  <c r="F36" i="1"/>
  <c r="AT36" i="1"/>
  <c r="CH36" i="1"/>
  <c r="AJ36" i="1"/>
  <c r="C74" i="1"/>
  <c r="G74" i="1"/>
  <c r="AG74" i="1"/>
  <c r="BS74" i="1"/>
  <c r="CE74" i="1"/>
  <c r="CS74" i="1"/>
  <c r="ED74" i="1"/>
  <c r="EP74" i="1"/>
  <c r="FD74" i="1"/>
  <c r="BN55" i="1"/>
  <c r="AT55" i="1"/>
  <c r="K55" i="1"/>
  <c r="U55" i="1"/>
  <c r="AY55" i="1"/>
  <c r="F55" i="1"/>
  <c r="P55" i="1"/>
  <c r="AO55" i="1"/>
  <c r="AE55" i="1"/>
  <c r="Z55" i="1"/>
  <c r="CR55" i="1"/>
  <c r="CC55" i="1"/>
  <c r="BX55" i="1"/>
  <c r="BS55" i="1"/>
  <c r="AJ55" i="1"/>
  <c r="BD55" i="1"/>
  <c r="BI55" i="1"/>
  <c r="CM55" i="1"/>
  <c r="CH55" i="1"/>
  <c r="DE31" i="1" l="1"/>
  <c r="DE12" i="1" s="1"/>
  <c r="DE17" i="1" s="1"/>
  <c r="FN67" i="1"/>
  <c r="FO67" i="1"/>
  <c r="AT17" i="1"/>
  <c r="F17" i="1"/>
  <c r="K17" i="1"/>
  <c r="CC17" i="1"/>
  <c r="CM17" i="1"/>
  <c r="AO17" i="1"/>
  <c r="BX17" i="1"/>
  <c r="AJ17" i="1"/>
  <c r="BS17" i="1"/>
  <c r="BN17" i="1"/>
  <c r="AY17" i="1"/>
  <c r="CR17" i="1"/>
  <c r="CH17" i="1"/>
  <c r="BI17" i="1"/>
  <c r="BD17" i="1"/>
  <c r="DV74" i="1"/>
  <c r="DZ74" i="1"/>
  <c r="DU74" i="1"/>
  <c r="AB74" i="1"/>
  <c r="O74" i="1"/>
  <c r="EJ74" i="1"/>
  <c r="FS71" i="1"/>
  <c r="FZ72" i="1"/>
  <c r="DJ55" i="1"/>
  <c r="FX72" i="1"/>
  <c r="DI55" i="1"/>
  <c r="FU72" i="1"/>
  <c r="DK74" i="1"/>
  <c r="EC74" i="1"/>
  <c r="CN74" i="1"/>
  <c r="DF74" i="1"/>
  <c r="CT74" i="1"/>
  <c r="CP74" i="1"/>
  <c r="CV74" i="1"/>
  <c r="DE74" i="1"/>
  <c r="BU74" i="1"/>
  <c r="L74" i="1"/>
  <c r="BD74" i="1"/>
  <c r="BR74" i="1"/>
  <c r="AF74" i="1"/>
  <c r="DD36" i="1"/>
  <c r="EV74" i="1"/>
  <c r="EU74" i="1"/>
  <c r="ER74" i="1"/>
  <c r="EN74" i="1"/>
  <c r="EQ74" i="1"/>
  <c r="EL74" i="1"/>
  <c r="EH74" i="1"/>
  <c r="EG74" i="1"/>
  <c r="EE74" i="1"/>
  <c r="DR74" i="1"/>
  <c r="DY74" i="1"/>
  <c r="DQ74" i="1"/>
  <c r="DM74" i="1"/>
  <c r="DO74" i="1"/>
  <c r="DI74" i="1"/>
  <c r="DC74" i="1"/>
  <c r="CZ74" i="1"/>
  <c r="CX74" i="1"/>
  <c r="CR74" i="1"/>
  <c r="CL74" i="1"/>
  <c r="CD74" i="1"/>
  <c r="CF74" i="1"/>
  <c r="CI74" i="1"/>
  <c r="CJ74" i="1"/>
  <c r="CC74" i="1"/>
  <c r="BW74" i="1"/>
  <c r="CA74" i="1"/>
  <c r="BP74" i="1"/>
  <c r="BN74" i="1"/>
  <c r="BM74" i="1"/>
  <c r="BI74" i="1"/>
  <c r="BF74" i="1"/>
  <c r="BJ74" i="1"/>
  <c r="BC74" i="1"/>
  <c r="AX74" i="1"/>
  <c r="AZ74" i="1"/>
  <c r="AS74" i="1"/>
  <c r="AP74" i="1"/>
  <c r="AW74" i="1"/>
  <c r="AJ74" i="1"/>
  <c r="AM74" i="1"/>
  <c r="AN74" i="1"/>
  <c r="AH74" i="1"/>
  <c r="AE74" i="1"/>
  <c r="Z74" i="1"/>
  <c r="U74" i="1"/>
  <c r="R74" i="1"/>
  <c r="X74" i="1"/>
  <c r="V74" i="1"/>
  <c r="P74" i="1"/>
  <c r="J74" i="1"/>
  <c r="E74" i="1"/>
  <c r="I74" i="1"/>
  <c r="F74" i="1"/>
  <c r="B74" i="1"/>
  <c r="FO74" i="1"/>
  <c r="FL74" i="1"/>
  <c r="FK74" i="1"/>
  <c r="FI74" i="1"/>
  <c r="FG74" i="1"/>
  <c r="FE74" i="1"/>
  <c r="FB74" i="1"/>
  <c r="EZ74" i="1"/>
  <c r="EY74" i="1"/>
  <c r="DF31" i="1" l="1"/>
  <c r="DF12" i="1" s="1"/>
  <c r="DF17" i="1" s="1"/>
  <c r="FU69" i="1"/>
  <c r="FR71" i="1"/>
  <c r="FQ69" i="1"/>
  <c r="FP69" i="1"/>
  <c r="FP74" i="1"/>
  <c r="FS69" i="1"/>
  <c r="FR69" i="1"/>
  <c r="GB72" i="1"/>
  <c r="DK55" i="1"/>
  <c r="FV71" i="1"/>
  <c r="FW71" i="1"/>
  <c r="FQ71" i="1"/>
  <c r="FP71" i="1"/>
  <c r="DL55" i="1"/>
  <c r="FQ70" i="1"/>
  <c r="FP70" i="1"/>
  <c r="FS70" i="1"/>
  <c r="DE36" i="1"/>
  <c r="DG31" i="1" l="1"/>
  <c r="DH31" i="1" s="1"/>
  <c r="DH12" i="1" s="1"/>
  <c r="DH17" i="1" s="1"/>
  <c r="FT69" i="1"/>
  <c r="FX71" i="1"/>
  <c r="GD72" i="1"/>
  <c r="DM55" i="1"/>
  <c r="FY72" i="1"/>
  <c r="FQ74" i="1"/>
  <c r="FW72" i="1"/>
  <c r="FU71" i="1"/>
  <c r="FT71" i="1"/>
  <c r="FU70" i="1"/>
  <c r="DF36" i="1"/>
  <c r="FR70" i="1"/>
  <c r="FR74" i="1"/>
  <c r="FW69" i="1" l="1"/>
  <c r="DG12" i="1"/>
  <c r="DG17" i="1" s="1"/>
  <c r="FV69" i="1"/>
  <c r="DI31" i="1"/>
  <c r="DJ31" i="1" s="1"/>
  <c r="DJ12" i="1"/>
  <c r="DJ17" i="1" s="1"/>
  <c r="DL31" i="1"/>
  <c r="DL12" i="1" s="1"/>
  <c r="DL17" i="1" s="1"/>
  <c r="DI12" i="1"/>
  <c r="FY69" i="1" s="1"/>
  <c r="FY71" i="1"/>
  <c r="DQ55" i="1"/>
  <c r="GB71" i="1"/>
  <c r="GC71" i="1"/>
  <c r="GA72" i="1"/>
  <c r="FZ71" i="1"/>
  <c r="GA71" i="1"/>
  <c r="GF72" i="1"/>
  <c r="DN55" i="1"/>
  <c r="DG36" i="1"/>
  <c r="GH72" i="1"/>
  <c r="DO55" i="1"/>
  <c r="FS74" i="1"/>
  <c r="FT70" i="1"/>
  <c r="FT74" i="1"/>
  <c r="GA69" i="1" l="1"/>
  <c r="FZ69" i="1"/>
  <c r="DI17" i="1"/>
  <c r="FX69" i="1"/>
  <c r="GL72" i="1"/>
  <c r="GJ72" i="1"/>
  <c r="DP55" i="1"/>
  <c r="FW70" i="1"/>
  <c r="DH36" i="1"/>
  <c r="GC72" i="1"/>
  <c r="FU74" i="1"/>
  <c r="GN72" i="1" l="1"/>
  <c r="DS55" i="1"/>
  <c r="GD71" i="1"/>
  <c r="FV70" i="1"/>
  <c r="FY70" i="1"/>
  <c r="DI36" i="1"/>
  <c r="DR55" i="1"/>
  <c r="GE71" i="1" l="1"/>
  <c r="DL36" i="1"/>
  <c r="GF71" i="1"/>
  <c r="GG71" i="1"/>
  <c r="GE72" i="1"/>
  <c r="GC70" i="1"/>
  <c r="DK36" i="1"/>
  <c r="GA70" i="1"/>
  <c r="DJ36" i="1"/>
  <c r="GP72" i="1"/>
  <c r="DT55" i="1"/>
  <c r="FX70" i="1"/>
  <c r="FW74" i="1"/>
  <c r="FV74" i="1"/>
  <c r="GI72" i="1" l="1"/>
  <c r="GJ71" i="1"/>
  <c r="GK71" i="1"/>
  <c r="GH71" i="1"/>
  <c r="FY74" i="1"/>
  <c r="FX74" i="1"/>
  <c r="GB74" i="1"/>
  <c r="GB70" i="1"/>
  <c r="DM36" i="1"/>
  <c r="GE70" i="1"/>
  <c r="FZ70" i="1"/>
  <c r="GG72" i="1"/>
  <c r="GK70" i="1" l="1"/>
  <c r="DP36" i="1"/>
  <c r="GL71" i="1"/>
  <c r="GM71" i="1"/>
  <c r="DO36" i="1"/>
  <c r="GK72" i="1"/>
  <c r="GQ72" i="1"/>
  <c r="GA74" i="1"/>
  <c r="FZ74" i="1"/>
  <c r="GD74" i="1"/>
  <c r="GD70" i="1"/>
  <c r="GC74" i="1"/>
  <c r="GM72" i="1"/>
  <c r="DN36" i="1"/>
  <c r="GG70" i="1"/>
  <c r="GI71" i="1"/>
  <c r="GO72" i="1"/>
  <c r="GE74" i="1" l="1"/>
  <c r="GH74" i="1"/>
  <c r="GH70" i="1"/>
  <c r="DS36" i="1"/>
  <c r="GO71" i="1"/>
  <c r="DQ36" i="1"/>
  <c r="GF70" i="1"/>
  <c r="GF74" i="1"/>
  <c r="GI70" i="1"/>
  <c r="GJ70" i="1"/>
  <c r="GI74" i="1" l="1"/>
  <c r="GG74" i="1"/>
  <c r="GK74" i="1"/>
  <c r="GJ74" i="1"/>
  <c r="GN71" i="1"/>
  <c r="GM70" i="1"/>
  <c r="DR36" i="1"/>
  <c r="DT36" i="1"/>
  <c r="GQ71" i="1"/>
  <c r="GL70" i="1" l="1"/>
  <c r="GP71" i="1"/>
  <c r="GO74" i="1"/>
  <c r="GN74" i="1"/>
  <c r="GQ74" i="1" l="1"/>
  <c r="GP74" i="1"/>
  <c r="GM74" i="1"/>
  <c r="GL74" i="1"/>
  <c r="DV18" i="6" l="1"/>
  <c r="DV26" i="6" s="1"/>
  <c r="DV110" i="6"/>
  <c r="DV54" i="6"/>
  <c r="DQ18" i="6"/>
  <c r="DQ26" i="6" s="1"/>
  <c r="DQ110" i="6"/>
  <c r="DQ54" i="6"/>
  <c r="DG18" i="6"/>
  <c r="DG26" i="6" s="1"/>
  <c r="DG110" i="6"/>
  <c r="DG54" i="6"/>
  <c r="BX18" i="6"/>
  <c r="BX26" i="6" s="1"/>
  <c r="BX110" i="6"/>
  <c r="BN18" i="6"/>
  <c r="BN26" i="6" s="1"/>
  <c r="BN110" i="6"/>
  <c r="BS18" i="6"/>
  <c r="BS26" i="6" s="1"/>
  <c r="BS110" i="6"/>
  <c r="BS54" i="6"/>
  <c r="CM18" i="6"/>
  <c r="CM26" i="6" s="1"/>
  <c r="CM110" i="6"/>
  <c r="CM54" i="6"/>
  <c r="CW18" i="6"/>
  <c r="CW26" i="6" s="1"/>
  <c r="CW110" i="6"/>
  <c r="CH18" i="6"/>
  <c r="CH26" i="6" s="1"/>
  <c r="CH110" i="6"/>
  <c r="CH54" i="6"/>
  <c r="CR18" i="6"/>
  <c r="CR26" i="6" s="1"/>
  <c r="CR110" i="6"/>
  <c r="CR54" i="6"/>
  <c r="DL18" i="6"/>
  <c r="DL26" i="6" s="1"/>
  <c r="DL110" i="6"/>
  <c r="DL54" i="6"/>
  <c r="CC18" i="6"/>
  <c r="CC26" i="6" s="1"/>
  <c r="CC54" i="6" s="1"/>
  <c r="CC110" i="6"/>
  <c r="DB18" i="6"/>
  <c r="DB26" i="6" s="1"/>
  <c r="DB54" i="6" s="1"/>
  <c r="DB110" i="6"/>
  <c r="BX54" i="6" l="1"/>
  <c r="CW54" i="6"/>
  <c r="BN54" i="6"/>
  <c r="EH200" i="5" l="1"/>
  <c r="EH214" i="4"/>
  <c r="EH36" i="5"/>
  <c r="EH32" i="5"/>
  <c r="EH69" i="5"/>
  <c r="EH209" i="5"/>
  <c r="EH95" i="7" s="1"/>
  <c r="EH195" i="4"/>
  <c r="EH129" i="5"/>
  <c r="EH16" i="7" s="1"/>
  <c r="EH94" i="5"/>
  <c r="EH70" i="5"/>
  <c r="EH68" i="5"/>
  <c r="EH44" i="5"/>
  <c r="EH6" i="5"/>
  <c r="EH101" i="7"/>
  <c r="EH212" i="5"/>
  <c r="EH98" i="7" s="1"/>
  <c r="EH119" i="5"/>
  <c r="EH6" i="7" s="1"/>
  <c r="EH14" i="5"/>
  <c r="EH61" i="5"/>
  <c r="EH231" i="4"/>
  <c r="EH68" i="7"/>
  <c r="EH185" i="5"/>
  <c r="EH26" i="4"/>
  <c r="EH17" i="5"/>
  <c r="EH9" i="5"/>
  <c r="EH182" i="5"/>
  <c r="EH128" i="5"/>
  <c r="EH15" i="7" s="1"/>
  <c r="EH15" i="5"/>
  <c r="EH211" i="5"/>
  <c r="EH97" i="7" s="1"/>
  <c r="EH126" i="5"/>
  <c r="EH13" i="7" s="1"/>
  <c r="EH42" i="5"/>
  <c r="EH227" i="4"/>
  <c r="EH207" i="5"/>
  <c r="EH93" i="7" s="1"/>
  <c r="EH190" i="5"/>
  <c r="EH183" i="5"/>
  <c r="EH82" i="5"/>
  <c r="EH66" i="5"/>
  <c r="EH50" i="5"/>
  <c r="EH41" i="5"/>
  <c r="EH20" i="5"/>
  <c r="EH230" i="4"/>
  <c r="EH74" i="7"/>
  <c r="EH66" i="7"/>
  <c r="EH60" i="7"/>
  <c r="EH116" i="5"/>
  <c r="EH3" i="7" s="1"/>
  <c r="EH53" i="5"/>
  <c r="EH137" i="5"/>
  <c r="EH24" i="7" s="1"/>
  <c r="EH45" i="5"/>
  <c r="EH130" i="5"/>
  <c r="EH71" i="5"/>
  <c r="EH5" i="5"/>
  <c r="EH228" i="4"/>
  <c r="EH4" i="6"/>
  <c r="EH67" i="5"/>
  <c r="EH104" i="7"/>
  <c r="EH103" i="7"/>
  <c r="EH206" i="5"/>
  <c r="EH92" i="7" s="1"/>
  <c r="EH179" i="5"/>
  <c r="EH134" i="5"/>
  <c r="EH21" i="7" s="1"/>
  <c r="EH124" i="5"/>
  <c r="EH11" i="7" s="1"/>
  <c r="EH76" i="5"/>
  <c r="EH65" i="5"/>
  <c r="EH40" i="5"/>
  <c r="EH8" i="5"/>
  <c r="EH226" i="4"/>
  <c r="EH65" i="7"/>
  <c r="EH174" i="5"/>
  <c r="EH13" i="5"/>
  <c r="EH221" i="4"/>
  <c r="EH108" i="7"/>
  <c r="EH118" i="5"/>
  <c r="EH5" i="7" s="1"/>
  <c r="EH7" i="6"/>
  <c r="EH138" i="5"/>
  <c r="EH25" i="7" s="1"/>
  <c r="EH54" i="5"/>
  <c r="EH229" i="4"/>
  <c r="EH55" i="4"/>
  <c r="EH19" i="5"/>
  <c r="EH67" i="7"/>
  <c r="EH180" i="5"/>
  <c r="EH78" i="5"/>
  <c r="EH18" i="5"/>
  <c r="EH70" i="7"/>
  <c r="EH205" i="5"/>
  <c r="EH91" i="7" s="1"/>
  <c r="EH188" i="5"/>
  <c r="EH178" i="5"/>
  <c r="EH127" i="5"/>
  <c r="EH14" i="7" s="1"/>
  <c r="EH100" i="5"/>
  <c r="EH81" i="5"/>
  <c r="EH75" i="5"/>
  <c r="EH64" i="5"/>
  <c r="EH48" i="5"/>
  <c r="EH43" i="5"/>
  <c r="EH7" i="5"/>
  <c r="EH24" i="5"/>
  <c r="EH225" i="4"/>
  <c r="EH62" i="5"/>
  <c r="EH192" i="5"/>
  <c r="EH193" i="5"/>
  <c r="EH172" i="5"/>
  <c r="EH208" i="5"/>
  <c r="EH94" i="7" s="1"/>
  <c r="EH102" i="7"/>
  <c r="EH16" i="6"/>
  <c r="EH203" i="5"/>
  <c r="EH89" i="7" s="1"/>
  <c r="EH187" i="5"/>
  <c r="EH177" i="5"/>
  <c r="EH132" i="5"/>
  <c r="EH19" i="7" s="1"/>
  <c r="EH123" i="5"/>
  <c r="EH10" i="7" s="1"/>
  <c r="EH73" i="5"/>
  <c r="EH77" i="5"/>
  <c r="EH83" i="4"/>
  <c r="EH60" i="5"/>
  <c r="EH47" i="5"/>
  <c r="EH39" i="5"/>
  <c r="EH4" i="5"/>
  <c r="EH16" i="5"/>
  <c r="EH224" i="4"/>
  <c r="EH63" i="7"/>
  <c r="EH136" i="5"/>
  <c r="EH125" i="5"/>
  <c r="EH12" i="7" s="1"/>
  <c r="EH173" i="5"/>
  <c r="EH35" i="5"/>
  <c r="EH117" i="5"/>
  <c r="EH4" i="7" s="1"/>
  <c r="EH21" i="5"/>
  <c r="EH181" i="5"/>
  <c r="EH83" i="3"/>
  <c r="EH107" i="7"/>
  <c r="EH204" i="5"/>
  <c r="EH90" i="7" s="1"/>
  <c r="EH202" i="5"/>
  <c r="EH88" i="7" s="1"/>
  <c r="EH189" i="5"/>
  <c r="EH176" i="5"/>
  <c r="EH131" i="5"/>
  <c r="EH18" i="7" s="1"/>
  <c r="EH122" i="5"/>
  <c r="EH9" i="7" s="1"/>
  <c r="EH72" i="5"/>
  <c r="EH49" i="5"/>
  <c r="EH38" i="5"/>
  <c r="EH25" i="5"/>
  <c r="EH12" i="5"/>
  <c r="EH223" i="4"/>
  <c r="EH73" i="2"/>
  <c r="EH33" i="5"/>
  <c r="EH232" i="4"/>
  <c r="EH194" i="5"/>
  <c r="EH10" i="5"/>
  <c r="EH92" i="2"/>
  <c r="EH219" i="4"/>
  <c r="EH74" i="5"/>
  <c r="EH69" i="7"/>
  <c r="EH210" i="5"/>
  <c r="EH96" i="7" s="1"/>
  <c r="EH98" i="5"/>
  <c r="EH139" i="3"/>
  <c r="EH23" i="5"/>
  <c r="EH201" i="5"/>
  <c r="EH87" i="7" s="1"/>
  <c r="EH213" i="5"/>
  <c r="EH99" i="7" s="1"/>
  <c r="EH184" i="5"/>
  <c r="EH175" i="5"/>
  <c r="EH147" i="5"/>
  <c r="EH133" i="5"/>
  <c r="EH20" i="7" s="1"/>
  <c r="EH120" i="5"/>
  <c r="EH7" i="7" s="1"/>
  <c r="EH63" i="5"/>
  <c r="EH34" i="5"/>
  <c r="EH37" i="5"/>
  <c r="EH11" i="5"/>
  <c r="EH220" i="4"/>
  <c r="EH222" i="4"/>
  <c r="EH61" i="7"/>
  <c r="EH3" i="5"/>
  <c r="EH10" i="6" l="1"/>
  <c r="EH23" i="7"/>
  <c r="EH23" i="2"/>
  <c r="EH97" i="5"/>
  <c r="EH54" i="7"/>
  <c r="EH165" i="5"/>
  <c r="EH46" i="5"/>
  <c r="EH11" i="6"/>
  <c r="EH106" i="5"/>
  <c r="EH5" i="6"/>
  <c r="EH20" i="6"/>
  <c r="EH26" i="5"/>
  <c r="EH17" i="7"/>
  <c r="EH93" i="5"/>
  <c r="EH155" i="5"/>
  <c r="EH163" i="2"/>
  <c r="EH110" i="5"/>
  <c r="EH161" i="5"/>
  <c r="EH145" i="5"/>
  <c r="EH157" i="5"/>
  <c r="EH108" i="5"/>
  <c r="EH150" i="2"/>
  <c r="EH151" i="2"/>
  <c r="EH75" i="7"/>
  <c r="EH225" i="5"/>
  <c r="EH148" i="2"/>
  <c r="EH227" i="5"/>
  <c r="EH6" i="6"/>
  <c r="EH8" i="6"/>
  <c r="EH150" i="5"/>
  <c r="EH147" i="7" s="1"/>
  <c r="EH160" i="5"/>
  <c r="EH164" i="5"/>
  <c r="EH89" i="5"/>
  <c r="EH167" i="4"/>
  <c r="EH223" i="5"/>
  <c r="EH96" i="5"/>
  <c r="EH159" i="2"/>
  <c r="EH117" i="2"/>
  <c r="EH24" i="6"/>
  <c r="EH73" i="7"/>
  <c r="EH25" i="6"/>
  <c r="EH105" i="5"/>
  <c r="EH19" i="6"/>
  <c r="EH18" i="6"/>
  <c r="EH147" i="2"/>
  <c r="EH111" i="3"/>
  <c r="EH160" i="2"/>
  <c r="EH166" i="5"/>
  <c r="EH14" i="6"/>
  <c r="EH12" i="6"/>
  <c r="EH221" i="5"/>
  <c r="EH231" i="5"/>
  <c r="EH139" i="4"/>
  <c r="EH121" i="5"/>
  <c r="EH8" i="7" s="1"/>
  <c r="EH159" i="5"/>
  <c r="EH146" i="5"/>
  <c r="EH152" i="2"/>
  <c r="EH48" i="2"/>
  <c r="EH23" i="6"/>
  <c r="EH148" i="5"/>
  <c r="EH153" i="5"/>
  <c r="EH26" i="3"/>
  <c r="EH144" i="5"/>
  <c r="EH110" i="6"/>
  <c r="EH138" i="6"/>
  <c r="EH222" i="5"/>
  <c r="EH103" i="5"/>
  <c r="EH13" i="6"/>
  <c r="EH229" i="5"/>
  <c r="EH228" i="5"/>
  <c r="EH154" i="2"/>
  <c r="EH15" i="6"/>
  <c r="EH64" i="7"/>
  <c r="EH104" i="5"/>
  <c r="EH230" i="5"/>
  <c r="EH156" i="5"/>
  <c r="EH153" i="7" s="1"/>
  <c r="EH153" i="2"/>
  <c r="EH149" i="2"/>
  <c r="EH157" i="2"/>
  <c r="EH52" i="5"/>
  <c r="EH226" i="5"/>
  <c r="EH109" i="5"/>
  <c r="EH95" i="5"/>
  <c r="EH71" i="7"/>
  <c r="EH78" i="7"/>
  <c r="EH166" i="2"/>
  <c r="EH92" i="5"/>
  <c r="EH195" i="3"/>
  <c r="EH106" i="7"/>
  <c r="EH100" i="7"/>
  <c r="EH99" i="5"/>
  <c r="EH154" i="5"/>
  <c r="EH151" i="7" s="1"/>
  <c r="EH152" i="5"/>
  <c r="EH72" i="7"/>
  <c r="EH90" i="5"/>
  <c r="EH162" i="5"/>
  <c r="EH219" i="5"/>
  <c r="EH233" i="4"/>
  <c r="EH155" i="2"/>
  <c r="EH162" i="2"/>
  <c r="EH3" i="6"/>
  <c r="EH88" i="5"/>
  <c r="EH151" i="5"/>
  <c r="EH158" i="2"/>
  <c r="EH186" i="5"/>
  <c r="EH195" i="5" s="1"/>
  <c r="EH9" i="6"/>
  <c r="EH91" i="5"/>
  <c r="EH144" i="7" s="1"/>
  <c r="EH232" i="5"/>
  <c r="EH224" i="5"/>
  <c r="EH101" i="5"/>
  <c r="EH149" i="5"/>
  <c r="EH220" i="5"/>
  <c r="EH80" i="5"/>
  <c r="EH83" i="5" s="1"/>
  <c r="EH55" i="3"/>
  <c r="EH21" i="6"/>
  <c r="EH54" i="6"/>
  <c r="EH156" i="2"/>
  <c r="EH86" i="7"/>
  <c r="EH214" i="5"/>
  <c r="EH150" i="7" l="1"/>
  <c r="EH146" i="7"/>
  <c r="EH121" i="7"/>
  <c r="EH163" i="7"/>
  <c r="EH162" i="7"/>
  <c r="EH142" i="7"/>
  <c r="EH139" i="5"/>
  <c r="EH159" i="7"/>
  <c r="EH145" i="7"/>
  <c r="EH167" i="3"/>
  <c r="EH130" i="7"/>
  <c r="EH17" i="6"/>
  <c r="EH55" i="5"/>
  <c r="EH148" i="7"/>
  <c r="EH152" i="7"/>
  <c r="EH149" i="7"/>
  <c r="EH127" i="7"/>
  <c r="EH125" i="7"/>
  <c r="EH156" i="7"/>
  <c r="EH157" i="7"/>
  <c r="EH158" i="7"/>
  <c r="EH116" i="7"/>
  <c r="EH124" i="7"/>
  <c r="EH141" i="7"/>
  <c r="EH123" i="7"/>
  <c r="EH143" i="7"/>
  <c r="EH82" i="6"/>
  <c r="EH154" i="7"/>
  <c r="EH122" i="7"/>
  <c r="EH233" i="5"/>
  <c r="EH126" i="7"/>
  <c r="EH26" i="7"/>
  <c r="EH161" i="2"/>
  <c r="EH129" i="7"/>
  <c r="EH142" i="2"/>
  <c r="EH158" i="5"/>
  <c r="EH167" i="5" s="1"/>
  <c r="EH161" i="7"/>
  <c r="EH111" i="4"/>
  <c r="EH102" i="5"/>
  <c r="EH118" i="7"/>
  <c r="EH115" i="7"/>
  <c r="EH109" i="7"/>
  <c r="EH120" i="7"/>
  <c r="EH165" i="2"/>
  <c r="EH77" i="7"/>
  <c r="EH119" i="7"/>
  <c r="EH128" i="7" l="1"/>
  <c r="EH26" i="6"/>
  <c r="EH167" i="2"/>
  <c r="EH136" i="7" s="1"/>
  <c r="EH81" i="7"/>
  <c r="EH79" i="7"/>
  <c r="EH111" i="5"/>
  <c r="EH155" i="7"/>
  <c r="EH16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Jones Luis Ferreira Sehnem</author>
  </authors>
  <commentList>
    <comment ref="A20" authorId="0" shapeId="0" xr:uid="{F3EE3A64-A483-4899-B7B7-DCCA4BF362A1}">
      <text>
        <r>
          <rPr>
            <b/>
            <sz val="9"/>
            <color indexed="81"/>
            <rFont val="Segoe UI"/>
            <family val="2"/>
          </rPr>
          <t>Jones Luis Ferreira Sehnem:</t>
        </r>
        <r>
          <rPr>
            <sz val="9"/>
            <color indexed="81"/>
            <rFont val="Segoe UI"/>
            <family val="2"/>
          </rPr>
          <t xml:space="preserve">
Conta 311101021 da P010</t>
        </r>
      </text>
    </comment>
    <comment ref="A47" authorId="0" shapeId="0" xr:uid="{66AA6727-2E61-467A-AC43-003253CB2239}">
      <text>
        <r>
          <rPr>
            <b/>
            <sz val="9"/>
            <color indexed="81"/>
            <rFont val="Segoe UI"/>
            <family val="2"/>
          </rPr>
          <t>Jones Luis Ferreira Sehnem:</t>
        </r>
        <r>
          <rPr>
            <sz val="9"/>
            <color indexed="81"/>
            <rFont val="Segoe UI"/>
            <family val="2"/>
          </rPr>
          <t xml:space="preserve">
Conta 311101021 da P010</t>
        </r>
      </text>
    </comment>
  </commentList>
</comments>
</file>

<file path=xl/sharedStrings.xml><?xml version="1.0" encoding="utf-8"?>
<sst xmlns="http://schemas.openxmlformats.org/spreadsheetml/2006/main" count="12476" uniqueCount="482">
  <si>
    <t>Tráfego/Veículos Equivalentes</t>
  </si>
  <si>
    <t>Traffic - Equivalent Vehicles</t>
  </si>
  <si>
    <t>Ecovia</t>
  </si>
  <si>
    <t>Ecocataratas</t>
  </si>
  <si>
    <t>1T98</t>
  </si>
  <si>
    <t>2T98</t>
  </si>
  <si>
    <t>3T98</t>
  </si>
  <si>
    <t>4T98</t>
  </si>
  <si>
    <t>1T99</t>
  </si>
  <si>
    <t>2T99</t>
  </si>
  <si>
    <t>3T99</t>
  </si>
  <si>
    <t>4T99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</si>
  <si>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</si>
  <si>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</si>
  <si>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</si>
  <si>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</si>
  <si>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</si>
  <si>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</si>
  <si>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</si>
  <si>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</si>
  <si>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</si>
  <si>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</si>
  <si>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</si>
  <si>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</si>
  <si>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</si>
  <si>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</si>
  <si>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</si>
  <si>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</si>
  <si>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</si>
  <si>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</si>
  <si>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</si>
  <si>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</si>
  <si>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</si>
  <si>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</si>
  <si>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</si>
  <si>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</si>
  <si>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</si>
  <si>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</si>
  <si>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</si>
  <si>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</si>
  <si>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</si>
  <si>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</si>
  <si>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</si>
  <si>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</si>
  <si>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</si>
  <si>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</si>
  <si>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</si>
  <si>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</si>
  <si>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</si>
  <si>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</si>
  <si>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</si>
  <si>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</si>
  <si>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</si>
  <si>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</si>
  <si>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</si>
  <si>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</si>
  <si>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</si>
  <si>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</si>
  <si>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</si>
  <si>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</si>
  <si>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</si>
  <si>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</si>
  <si>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</si>
  <si>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</si>
  <si>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</si>
  <si>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</si>
  <si>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</si>
  <si>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</si>
  <si>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</si>
  <si>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</si>
  <si>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</si>
  <si>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</si>
  <si>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</si>
  <si>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</si>
  <si>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</si>
  <si>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</si>
  <si>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</si>
  <si>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</si>
  <si>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</si>
  <si>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</si>
  <si>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</si>
  <si>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</si>
  <si>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</si>
  <si>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</si>
  <si>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</si>
  <si>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</si>
  <si>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</si>
  <si>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</si>
  <si>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</si>
  <si>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</si>
  <si>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</si>
  <si>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</si>
  <si>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</si>
  <si>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</si>
  <si>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</si>
  <si>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</si>
  <si>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</si>
  <si>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</si>
  <si>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</si>
  <si>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</si>
  <si>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</si>
  <si>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</si>
  <si>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</si>
  <si>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</si>
  <si>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</si>
  <si>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</si>
  <si>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</si>
  <si>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</si>
  <si>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</si>
  <si>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</si>
  <si>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</si>
  <si>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</si>
  <si>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</si>
  <si>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</si>
  <si>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</si>
  <si>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</si>
  <si>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</si>
  <si>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</si>
  <si>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</si>
  <si>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</si>
  <si>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</si>
  <si>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</si>
  <si>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</si>
  <si>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</si>
  <si>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</si>
  <si>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</si>
  <si>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</si>
  <si>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</si>
  <si>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</si>
  <si>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</si>
  <si>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</si>
  <si>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</si>
  <si>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</si>
  <si>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</si>
  <si>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</si>
  <si>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</si>
  <si>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</si>
  <si>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</si>
  <si>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</si>
  <si>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</si>
  <si>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</si>
  <si>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</si>
  <si>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</si>
  <si>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</si>
  <si>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</si>
  <si>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</si>
  <si>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</si>
  <si>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</si>
  <si>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</si>
  <si>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</si>
  <si>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</si>
  <si>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</si>
  <si>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</si>
  <si>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</si>
  <si>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</si>
  <si>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</si>
  <si>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</si>
  <si>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</si>
  <si>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</si>
  <si>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</si>
  <si>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</si>
  <si>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</si>
  <si>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</si>
  <si>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</si>
  <si>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</si>
  <si>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</si>
  <si>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</si>
  <si>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</si>
  <si>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</si>
  <si>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</si>
  <si>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</si>
  <si>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</si>
  <si>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</si>
  <si>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</si>
  <si>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</si>
  <si>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</si>
  <si>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</si>
  <si>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</si>
  <si>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</si>
  <si>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</si>
  <si>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</si>
  <si>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</si>
  <si>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</si>
  <si>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</si>
  <si>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</si>
  <si>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</si>
  <si>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</si>
  <si>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</si>
  <si>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</si>
  <si>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</si>
  <si>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</si>
  <si>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</si>
  <si>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</si>
  <si>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</si>
  <si>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</si>
  <si>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</si>
  <si>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</si>
  <si>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</si>
  <si>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</si>
  <si>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</si>
  <si>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3T22</t>
  </si>
  <si>
    <t>3Q22</t>
  </si>
  <si>
    <t>Veículos Equivalentes</t>
  </si>
  <si>
    <t>3T07
3Q07</t>
  </si>
  <si>
    <t>4T07
4Q07</t>
  </si>
  <si>
    <t>1T08
1Q08</t>
  </si>
  <si>
    <t>2T08
2Q08</t>
  </si>
  <si>
    <t>3T08
3Q08</t>
  </si>
  <si>
    <t>4T08
4Q08</t>
  </si>
  <si>
    <t>1T09
1Q09</t>
  </si>
  <si>
    <t>2T09
2Q09</t>
  </si>
  <si>
    <t>3T09
3Q09</t>
  </si>
  <si>
    <t>4T09
4Q09</t>
  </si>
  <si>
    <t>1T10
1Q10</t>
  </si>
  <si>
    <t>2T10
2Q10</t>
  </si>
  <si>
    <t>3T10
3Q10</t>
  </si>
  <si>
    <t>4T10
4Q10</t>
  </si>
  <si>
    <t>1T11
1Q11</t>
  </si>
  <si>
    <t>2T11
2Q11</t>
  </si>
  <si>
    <t>3T11
3Q11</t>
  </si>
  <si>
    <t>4T11
4Q11</t>
  </si>
  <si>
    <t>1T12
1Q12</t>
  </si>
  <si>
    <t>2T12
2Q12</t>
  </si>
  <si>
    <t>3T12
3Q12</t>
  </si>
  <si>
    <t>4T12
4Q12</t>
  </si>
  <si>
    <t>1T13
1Q13</t>
  </si>
  <si>
    <t>2T13
2Q13</t>
  </si>
  <si>
    <t>3T13
3Q13</t>
  </si>
  <si>
    <t>4T13
4Q13</t>
  </si>
  <si>
    <t>1T14
1Q14</t>
  </si>
  <si>
    <t>2T14
2Q14</t>
  </si>
  <si>
    <t>3T14
3Q14</t>
  </si>
  <si>
    <t>4T14
4Q14</t>
  </si>
  <si>
    <t>1T15
1Q15</t>
  </si>
  <si>
    <t>2T15
2Q15</t>
  </si>
  <si>
    <t>3T15
3Q15</t>
  </si>
  <si>
    <t>4T15
4Q15</t>
  </si>
  <si>
    <t>1T16
1Q16</t>
  </si>
  <si>
    <t>2T16                                     2Q16</t>
  </si>
  <si>
    <t>3T16
3Q16</t>
  </si>
  <si>
    <t>4T16
4Q16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</si>
  <si>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</si>
  <si>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</si>
  <si>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</si>
  <si>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</si>
  <si>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</si>
  <si>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</si>
  <si>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</si>
  <si>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</si>
  <si>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1T19
1Q19</t>
  </si>
  <si>
    <t>4T19
4Q19</t>
  </si>
  <si>
    <t>1T20
1Q20</t>
  </si>
  <si>
    <t>2T20
2Q20</t>
  </si>
  <si>
    <t>3T20
3Q20</t>
  </si>
  <si>
    <t>4T20
4Q20</t>
  </si>
  <si>
    <t>1T21
1Q21</t>
  </si>
  <si>
    <t>2T21
2Q21</t>
  </si>
  <si>
    <t>3T21
3Q21</t>
  </si>
  <si>
    <t>4T21
4Q21</t>
  </si>
  <si>
    <t>1T22
1Q22</t>
  </si>
  <si>
    <t>2T22
2Q22</t>
  </si>
  <si>
    <t xml:space="preserve">Equivalent Vehicles </t>
  </si>
  <si>
    <t>Leves
Light</t>
  </si>
  <si>
    <t>2T07
2Q07</t>
  </si>
  <si>
    <t>1T07
1Q07</t>
  </si>
  <si>
    <t>4T06
4Q06</t>
  </si>
  <si>
    <t>3T06
3Q06</t>
  </si>
  <si>
    <t>2T06
2Q06</t>
  </si>
  <si>
    <t>1T06
1Q06</t>
  </si>
  <si>
    <t>1T05
1Q05</t>
  </si>
  <si>
    <t>2T05
2Q05</t>
  </si>
  <si>
    <t>3T05
3Q05</t>
  </si>
  <si>
    <t>4T05
4Q05</t>
  </si>
  <si>
    <t>2T04
2Q04</t>
  </si>
  <si>
    <t>3T04
3Q04</t>
  </si>
  <si>
    <t>4T04
4Q04</t>
  </si>
  <si>
    <t>1T04
1Q04</t>
  </si>
  <si>
    <t>2T03
2Q03</t>
  </si>
  <si>
    <t>3T03
3Q03</t>
  </si>
  <si>
    <t>1T03
1Q03</t>
  </si>
  <si>
    <t>4T03
4Q03</t>
  </si>
  <si>
    <t>2T02
2Q02</t>
  </si>
  <si>
    <t>4T02
4Q02</t>
  </si>
  <si>
    <t>1T02
1Q02</t>
  </si>
  <si>
    <t>3T02
3Q02</t>
  </si>
  <si>
    <t>1T01
1Q01</t>
  </si>
  <si>
    <t>3T01
3Q01</t>
  </si>
  <si>
    <t>4T01
4Q01</t>
  </si>
  <si>
    <t>2T01
2Q01</t>
  </si>
  <si>
    <t>2T99
2Q99</t>
  </si>
  <si>
    <t>3T99
3Q99</t>
  </si>
  <si>
    <t>4T99
4Q99</t>
  </si>
  <si>
    <t>1T99
1Q99</t>
  </si>
  <si>
    <t>2T98
2Q98</t>
  </si>
  <si>
    <t>3T98
3Q98</t>
  </si>
  <si>
    <t>4T98
4Q98</t>
  </si>
  <si>
    <t>1T98
1Q98</t>
  </si>
  <si>
    <t>2T00
2Q00</t>
  </si>
  <si>
    <t>3T00
3Q00</t>
  </si>
  <si>
    <t>4T00
4Q00</t>
  </si>
  <si>
    <t>1T00
1Q00</t>
  </si>
  <si>
    <t>3T22
3Q22</t>
  </si>
  <si>
    <t>Receita Bruta (com a receita de construção)</t>
  </si>
  <si>
    <t>Gross Revenue (including construction revenues)</t>
  </si>
  <si>
    <t>Ecoporto Santos</t>
  </si>
  <si>
    <t>Ecopátio</t>
  </si>
  <si>
    <t>Ecorodovias Concessões e Serviços</t>
  </si>
  <si>
    <t>Anish</t>
  </si>
  <si>
    <t>Eliminações</t>
  </si>
  <si>
    <t>Receitas de Pedágio</t>
  </si>
  <si>
    <t>Toll Revenues</t>
  </si>
  <si>
    <t>Consolidado (Consolidated)</t>
  </si>
  <si>
    <t>Receitas Acessórias / Outras</t>
  </si>
  <si>
    <t>Receitas de Contrução</t>
  </si>
  <si>
    <t>Construction Revenues</t>
  </si>
  <si>
    <t>Deduções da Receita Bruta</t>
  </si>
  <si>
    <t>Gross Revenues Deductions</t>
  </si>
  <si>
    <t xml:space="preserve">Receita Líquida </t>
  </si>
  <si>
    <t>Net Revenues</t>
  </si>
  <si>
    <t>Receita Líquida (sem a receita de construção)</t>
  </si>
  <si>
    <t>Net Revenues (ex-construction revenues)</t>
  </si>
  <si>
    <t>SG&amp;A</t>
  </si>
  <si>
    <t>Holding do Araguaia</t>
  </si>
  <si>
    <t>Argovias</t>
  </si>
  <si>
    <t>Depreciação e Amortização</t>
  </si>
  <si>
    <t>D&amp;A</t>
  </si>
  <si>
    <t>Serviços de Terceiros</t>
  </si>
  <si>
    <t>Third-Party Services</t>
  </si>
  <si>
    <t xml:space="preserve">Pessoal </t>
  </si>
  <si>
    <t>Payroll</t>
  </si>
  <si>
    <t xml:space="preserve">Outras </t>
  </si>
  <si>
    <t>Ecorodovias Infraestrutura</t>
  </si>
  <si>
    <t>Custos dos Serviços Prestados</t>
  </si>
  <si>
    <t>COGS</t>
  </si>
  <si>
    <t>Provisão de Manutenção</t>
  </si>
  <si>
    <t>Maintenance Provision</t>
  </si>
  <si>
    <t>Custo de Construção</t>
  </si>
  <si>
    <t>Construction Costs</t>
  </si>
  <si>
    <t>Outros</t>
  </si>
  <si>
    <t>Resultado Financeiro Líquido</t>
  </si>
  <si>
    <t>Net Financial Result</t>
  </si>
  <si>
    <t>Receita Financeira</t>
  </si>
  <si>
    <t>Financial Revenues</t>
  </si>
  <si>
    <t xml:space="preserve">Outros </t>
  </si>
  <si>
    <t>Variação Monetária e Cambial</t>
  </si>
  <si>
    <t>Monetary Variation/Exchange Rate Variation</t>
  </si>
  <si>
    <t>EBITDA</t>
  </si>
  <si>
    <t>Margem EBITDA</t>
  </si>
  <si>
    <t>EBITDA Margin</t>
  </si>
  <si>
    <t>EBITDA Ajustado</t>
  </si>
  <si>
    <t>Adjusted EBITDA</t>
  </si>
  <si>
    <t>Adjusted EBITDA Margin</t>
  </si>
  <si>
    <t>Margem EBITDA Ajustada</t>
  </si>
  <si>
    <t xml:space="preserve">EBIT </t>
  </si>
  <si>
    <t>1 - Os investimentos realizados pela Companhia, que serão recebidos dos poderes concedentes como contraprestação pecuniária ou aporte, compõem o ativo financeiro / The investments made by the Company, which will be received from the granting authority as monetary consideration or contribution, compose the financial assets</t>
  </si>
  <si>
    <t>Dividends Paid (Cash)</t>
  </si>
  <si>
    <t>R$ MM</t>
  </si>
  <si>
    <t>Portos/ Port</t>
  </si>
  <si>
    <t>MOVIMENTAÇÃO (em contêineres) / HANDLING (containers)</t>
  </si>
  <si>
    <t>Operação de Cais / Quay Operations</t>
  </si>
  <si>
    <t>Operação de Armazenagem / Warehousing Operations</t>
  </si>
  <si>
    <t>2T19
2Q19</t>
  </si>
  <si>
    <t>3T19
3Q19</t>
  </si>
  <si>
    <r>
      <t>Ecovia</t>
    </r>
    <r>
      <rPr>
        <vertAlign val="superscript"/>
        <sz val="10"/>
        <rFont val="Arial"/>
        <family val="2"/>
      </rPr>
      <t>1</t>
    </r>
  </si>
  <si>
    <r>
      <t>Ecocataratas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</si>
  <si>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Contrato de concessão encerrado em 27 de novembro de 2021. </t>
    </r>
  </si>
  <si>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Contrato de concessão encerrado em 28 de novembro de 2021. </t>
    </r>
  </si>
  <si>
    <t>Dividendos e JSCP Pagos (Caixa)</t>
  </si>
  <si>
    <t xml:space="preserve">    Contêineres Cheios / Full Containers</t>
  </si>
  <si>
    <t xml:space="preserve">    Contêineres Vazios / Empty Containers</t>
  </si>
  <si>
    <t>Elog</t>
  </si>
  <si>
    <t xml:space="preserve">Seguros, Poder Concedente e Locações </t>
  </si>
  <si>
    <t>Insurance, Concession Fees and Leasing</t>
  </si>
  <si>
    <t>Conservação e manutenção</t>
  </si>
  <si>
    <t>Conservation and Maintenance</t>
  </si>
  <si>
    <t xml:space="preserve">Elog </t>
  </si>
  <si>
    <t>Juros</t>
  </si>
  <si>
    <t>Interests</t>
  </si>
  <si>
    <t>,</t>
  </si>
  <si>
    <t>1T23</t>
  </si>
  <si>
    <t>4T22</t>
  </si>
  <si>
    <t>4Q22</t>
  </si>
  <si>
    <t>1Q23</t>
  </si>
  <si>
    <t>4T22
4Q22</t>
  </si>
  <si>
    <t>1T23
1Q23</t>
  </si>
  <si>
    <t>COGS + SG&amp;A</t>
  </si>
  <si>
    <t>Custos dos Serviços Prestados e Despesas Administrativas</t>
  </si>
  <si>
    <t>Despesas Gerais e Administrativas</t>
  </si>
  <si>
    <t>03/2010 - Entrada Logística Brasil Fundo de Investimento (BRZ), com participação 20% - Consolidação proporcional 80% 2010 a 2011</t>
  </si>
  <si>
    <t>06/2015 - Saída participação Logística Brasil Fundo de Investimento</t>
  </si>
  <si>
    <t>Controlada da Elog até 02/2018, estando classificada como "Ativo mantido para venda"</t>
  </si>
  <si>
    <t>02/2018 - Transferência para EcoRodovias Infraestrutura e Logística e mantida a classificação de "Ativo mantido para venda"</t>
  </si>
  <si>
    <t>09/2019 - Reclassificação para investimento, com efeitos retroativos a 01/2019, sendo consolidado 100% a partir desta data</t>
  </si>
  <si>
    <t>STP</t>
  </si>
  <si>
    <t>01/2013 - Alterações CPC36(IFRS10), deixando de ser consolidada proporcionalmente, com efeito retroativo a 01/2012</t>
  </si>
  <si>
    <t>Consolidação proporcional 12,75% 2010 a 2011 (rubrica "Outros")</t>
  </si>
  <si>
    <t>03/2014 - Venda da totalidade da participação</t>
  </si>
  <si>
    <t>06/2016 - Classificação Elog e suas controladas (Ecopátio, Elog Sul, Maringá Armazens Gerais, Maringá Serviços Auxiliares, ELG-01, Anish e Paquetá) como "Ativo mantido para venda"</t>
  </si>
  <si>
    <t>06/2016 - Venda da totalidade da participáção da Elog Sul, Maringá Armazens Gerais e Maringá Serviços Auxiliares para Multilog</t>
  </si>
  <si>
    <t>03/2018 - Venda totalidade da participação da Elog S.A. para Multilog</t>
  </si>
  <si>
    <t>Custo com Manutenção e Construção (R$ MM)</t>
  </si>
  <si>
    <t>Maintenance and Construction Cost (R$ MM)</t>
  </si>
  <si>
    <t>2T23</t>
  </si>
  <si>
    <t>2Q23</t>
  </si>
  <si>
    <t>2T23
2Q23</t>
  </si>
  <si>
    <r>
      <t>Outorga</t>
    </r>
    <r>
      <rPr>
        <b/>
        <vertAlign val="superscript"/>
        <sz val="10"/>
        <color rgb="FFFFFFFF"/>
        <rFont val="Arial"/>
        <family val="2"/>
      </rPr>
      <t>1</t>
    </r>
    <r>
      <rPr>
        <b/>
        <sz val="10"/>
        <color indexed="9"/>
        <rFont val="Arial"/>
        <family val="2"/>
      </rPr>
      <t xml:space="preserve"> (R$ MM)</t>
    </r>
  </si>
  <si>
    <r>
      <t>Grant</t>
    </r>
    <r>
      <rPr>
        <b/>
        <vertAlign val="superscript"/>
        <sz val="10"/>
        <color rgb="FFFFFFFF"/>
        <rFont val="Arial"/>
        <family val="2"/>
      </rPr>
      <t>1</t>
    </r>
    <r>
      <rPr>
        <b/>
        <sz val="10"/>
        <color indexed="9"/>
        <rFont val="Arial"/>
        <family val="2"/>
      </rPr>
      <t xml:space="preserve"> (R$ MM)</t>
    </r>
  </si>
  <si>
    <t>CAPEX (R$ MM) sem Manutenção e Outorga</t>
  </si>
  <si>
    <t>CAPEX (R$ MM) excluding Maintenance and Grant</t>
  </si>
  <si>
    <t>CAPEX (R$ MM)</t>
  </si>
  <si>
    <t>Pesados / Heavy</t>
  </si>
  <si>
    <t>Leves / Light</t>
  </si>
  <si>
    <t>Pesados
Heavy</t>
  </si>
  <si>
    <t>Total</t>
  </si>
  <si>
    <t>3T23</t>
  </si>
  <si>
    <t>3Q23</t>
  </si>
  <si>
    <t>3T23
3Q23</t>
  </si>
  <si>
    <t xml:space="preserve"> </t>
  </si>
  <si>
    <t>4T23
4Q23</t>
  </si>
  <si>
    <t>4T23</t>
  </si>
  <si>
    <t>4Q23</t>
  </si>
  <si>
    <t>Other</t>
  </si>
  <si>
    <t>Outros/Other</t>
  </si>
  <si>
    <t>Ancillary Revenues / Other</t>
  </si>
  <si>
    <t>1T24</t>
  </si>
  <si>
    <t>1Q24</t>
  </si>
  <si>
    <t>1T24
1Q24</t>
  </si>
  <si>
    <t>Custos e Despesas Caixa</t>
  </si>
  <si>
    <t>Cash Costs and Expenses</t>
  </si>
  <si>
    <t>2T24</t>
  </si>
  <si>
    <t>2Q24</t>
  </si>
  <si>
    <t>2T24
2Q24</t>
  </si>
  <si>
    <t>3T24</t>
  </si>
  <si>
    <t>3Q24</t>
  </si>
  <si>
    <t>4T24</t>
  </si>
  <si>
    <t>4Q24</t>
  </si>
  <si>
    <t>3T24
3Q24</t>
  </si>
  <si>
    <t>4T24
4Q24</t>
  </si>
  <si>
    <t>Em 03 de julho de 2024, foi aprovada a alteração da razão social da Anish Empreendimentos e Participações Ltda. para Ecorodovias Desenvolvimento de Negócios Ltda (“EDN”)</t>
  </si>
  <si>
    <t>Nome antigo</t>
  </si>
  <si>
    <t>Novo nome</t>
  </si>
  <si>
    <t>Ecovias</t>
  </si>
  <si>
    <t>Ecovias Imigrantes</t>
  </si>
  <si>
    <t>Ecovias Leste Paulista</t>
  </si>
  <si>
    <t>Ecovias Minas Goiás</t>
  </si>
  <si>
    <t>Ecovias Ponte</t>
  </si>
  <si>
    <t>Ecovias Cerrado</t>
  </si>
  <si>
    <t>Ecovias Araguaia</t>
  </si>
  <si>
    <t>Ecovias Rio Minas</t>
  </si>
  <si>
    <t>Ecovias Noroeste Paulista</t>
  </si>
  <si>
    <t xml:space="preserve">Alteração da Marca </t>
  </si>
  <si>
    <t>1T25</t>
  </si>
  <si>
    <t>1Q25</t>
  </si>
  <si>
    <t>1T25
1Q25</t>
  </si>
  <si>
    <t>Ecovias Sul</t>
  </si>
  <si>
    <t xml:space="preserve">Ecovias Rio Minas </t>
  </si>
  <si>
    <t>Ecovias Norte Minas</t>
  </si>
  <si>
    <t>Ecovias Minas Goias</t>
  </si>
  <si>
    <r>
      <t>Ecovias Raposo Castello</t>
    </r>
    <r>
      <rPr>
        <sz val="8.9"/>
        <color theme="0"/>
        <rFont val="Arial"/>
        <family val="2"/>
      </rPr>
      <t xml:space="preserve"> ³</t>
    </r>
  </si>
  <si>
    <r>
      <t xml:space="preserve">Ecovias Raposo Castello </t>
    </r>
    <r>
      <rPr>
        <sz val="8.9"/>
        <color theme="0" tint="-4.9989318521683403E-2"/>
        <rFont val="Arial"/>
        <family val="2"/>
      </rPr>
      <t>³</t>
    </r>
  </si>
  <si>
    <r>
      <t xml:space="preserve">Ecovias Raposo Castello </t>
    </r>
    <r>
      <rPr>
        <sz val="8.9"/>
        <color theme="0"/>
        <rFont val="Arial"/>
        <family val="2"/>
      </rPr>
      <t>³</t>
    </r>
  </si>
  <si>
    <t>Ecosul</t>
  </si>
  <si>
    <t>Eco135</t>
  </si>
  <si>
    <t xml:space="preserve">Ecovias Norte Minas </t>
  </si>
  <si>
    <t>Ecovias Raposo Castello</t>
  </si>
  <si>
    <t xml:space="preserve">Ecovias Raposo Castello </t>
  </si>
  <si>
    <t>2T25</t>
  </si>
  <si>
    <t>2Q25</t>
  </si>
  <si>
    <t>2T25
2Q25</t>
  </si>
  <si>
    <r>
      <t xml:space="preserve">Ecovias Noroeste Paulista </t>
    </r>
    <r>
      <rPr>
        <sz val="8.9"/>
        <color theme="0" tint="-0.14999847407452621"/>
        <rFont val="Arial"/>
        <family val="2"/>
      </rPr>
      <t>²</t>
    </r>
  </si>
  <si>
    <t>3T25</t>
  </si>
  <si>
    <t>Ecopistas</t>
  </si>
  <si>
    <t>Eco101</t>
  </si>
  <si>
    <t>Eco050</t>
  </si>
  <si>
    <t>EcoPonte</t>
  </si>
  <si>
    <t>Ecovias do Cerrado</t>
  </si>
  <si>
    <t>Ecovias do Araguaia</t>
  </si>
  <si>
    <t>EcoRioMinas</t>
  </si>
  <si>
    <t>EcoNoroeste</t>
  </si>
  <si>
    <t>3Q25</t>
  </si>
  <si>
    <t>3T25
3Q25</t>
  </si>
  <si>
    <t>Ecovias Capixaba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</si>
</sst>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_(* #,##0.0_);_(* \(#,##0.0\);_(* &quot;-&quot;??_);_(@_)"/>
    <numFmt numFmtId="167" formatCode="_(* #,##0.00_);_(* \(#,##0.00\);_(* &quot;-&quot;??_);_(@_)"/>
    <numFmt numFmtId="168" formatCode="_-* #,##0.0_-;\-* #,##0.0_-;_-* &quot;-&quot;?_-;_-@_-"/>
    <numFmt numFmtId="169" formatCode="_-* #,##0_-;\-* #,##0_-;_-* &quot;-&quot;?_-;_-@_-"/>
    <numFmt numFmtId="170" formatCode="_-* #,##0.000_-;\-* #,##0.000_-;_-* &quot;-&quot;???_-;_-@_-"/>
    <numFmt numFmtId="171" formatCode="_-* #,##0.0_-;\-* #,##0.0_-;_-* &quot;-&quot;??_-;_-@_-"/>
    <numFmt numFmtId="172" formatCode="_-* #,##0.0%_-;\-* #,##0.0%_-;_-* &quot;-&quot;??_-;_-@_-"/>
    <numFmt numFmtId="173" formatCode="_(* #,##0.0%_);_(* \(#,##0.0%\);_(* &quot;-&quot;??_);_(@_)"/>
    <numFmt numFmtId="174" formatCode="_-* #,##0.0_-;\-* #,##0.0_-;_-* &quot;-&quot;?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000033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vertAlign val="superscript"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1"/>
      <color theme="0"/>
      <name val="Arial"/>
      <family val="2"/>
    </font>
    <font>
      <sz val="8.9"/>
      <color theme="0" tint="-4.9989318521683403E-2"/>
      <name val="Arial"/>
      <family val="2"/>
    </font>
    <font>
      <sz val="8.9"/>
      <color theme="0" tint="-0.14999847407452621"/>
      <name val="Arial"/>
      <family val="2"/>
    </font>
    <font>
      <sz val="8.9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4">
    <xf numFmtId="0" fontId="0" fillId="0" borderId="0" xfId="0"/>
    <xf numFmtId="0" fontId="2" fillId="2" borderId="2" xfId="3" applyFill="1" applyBorder="1" applyAlignment="1">
      <alignment horizontal="left" vertical="center"/>
    </xf>
    <xf numFmtId="0" fontId="2" fillId="3" borderId="3" xfId="3" applyFill="1" applyBorder="1" applyAlignment="1">
      <alignment horizontal="left" vertical="center"/>
    </xf>
    <xf numFmtId="0" fontId="3" fillId="4" borderId="1" xfId="2" applyFont="1" applyFill="1" applyBorder="1"/>
    <xf numFmtId="0" fontId="3" fillId="4" borderId="0" xfId="2" applyFont="1" applyFill="1"/>
    <xf numFmtId="0" fontId="3" fillId="4" borderId="0" xfId="2" applyFont="1" applyFill="1" applyAlignment="1">
      <alignment horizontal="left"/>
    </xf>
    <xf numFmtId="0" fontId="3" fillId="4" borderId="5" xfId="2" applyFont="1" applyFill="1" applyBorder="1" applyAlignment="1">
      <alignment horizontal="center" vertical="center"/>
    </xf>
    <xf numFmtId="0" fontId="3" fillId="4" borderId="0" xfId="2" applyFont="1" applyFill="1" applyAlignment="1">
      <alignment horizontal="center"/>
    </xf>
    <xf numFmtId="164" fontId="2" fillId="2" borderId="6" xfId="2" applyNumberFormat="1" applyFill="1" applyBorder="1"/>
    <xf numFmtId="164" fontId="2" fillId="3" borderId="0" xfId="2" applyNumberFormat="1" applyFill="1"/>
    <xf numFmtId="164" fontId="3" fillId="4" borderId="0" xfId="2" applyNumberFormat="1" applyFont="1" applyFill="1"/>
    <xf numFmtId="9" fontId="2" fillId="2" borderId="2" xfId="1" applyFont="1" applyFill="1" applyBorder="1" applyAlignment="1">
      <alignment horizontal="left" vertical="center"/>
    </xf>
    <xf numFmtId="9" fontId="0" fillId="0" borderId="0" xfId="1" applyFont="1"/>
    <xf numFmtId="9" fontId="2" fillId="3" borderId="3" xfId="1" applyFont="1" applyFill="1" applyBorder="1" applyAlignment="1">
      <alignment horizontal="left" vertical="center"/>
    </xf>
    <xf numFmtId="9" fontId="2" fillId="3" borderId="4" xfId="1" applyFont="1" applyFill="1" applyBorder="1" applyAlignment="1">
      <alignment horizontal="left" vertical="center"/>
    </xf>
    <xf numFmtId="9" fontId="0" fillId="0" borderId="0" xfId="1" applyFont="1" applyBorder="1"/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9" xfId="2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center" vertical="center" wrapText="1"/>
    </xf>
    <xf numFmtId="0" fontId="3" fillId="0" borderId="0" xfId="2" applyFont="1" applyAlignment="1">
      <alignment horizontal="left"/>
    </xf>
    <xf numFmtId="164" fontId="3" fillId="0" borderId="0" xfId="2" applyNumberFormat="1" applyFont="1"/>
    <xf numFmtId="0" fontId="6" fillId="0" borderId="0" xfId="0" applyFont="1"/>
    <xf numFmtId="0" fontId="5" fillId="5" borderId="0" xfId="0" applyFont="1" applyFill="1" applyAlignment="1">
      <alignment horizontal="center"/>
    </xf>
    <xf numFmtId="165" fontId="0" fillId="5" borderId="0" xfId="4" applyNumberFormat="1" applyFont="1" applyFill="1" applyAlignment="1">
      <alignment horizontal="center"/>
    </xf>
    <xf numFmtId="0" fontId="3" fillId="4" borderId="0" xfId="2" applyFont="1" applyFill="1" applyAlignment="1">
      <alignment horizontal="left" vertical="center"/>
    </xf>
    <xf numFmtId="0" fontId="3" fillId="4" borderId="0" xfId="2" applyFont="1" applyFill="1" applyAlignment="1">
      <alignment horizontal="center" vertical="center"/>
    </xf>
    <xf numFmtId="166" fontId="2" fillId="2" borderId="6" xfId="2" applyNumberFormat="1" applyFill="1" applyBorder="1"/>
    <xf numFmtId="166" fontId="2" fillId="3" borderId="0" xfId="2" applyNumberFormat="1" applyFill="1"/>
    <xf numFmtId="166" fontId="3" fillId="4" borderId="0" xfId="2" applyNumberFormat="1" applyFont="1" applyFill="1"/>
    <xf numFmtId="167" fontId="2" fillId="2" borderId="6" xfId="2" applyNumberFormat="1" applyFill="1" applyBorder="1"/>
    <xf numFmtId="167" fontId="2" fillId="3" borderId="0" xfId="2" applyNumberFormat="1" applyFill="1"/>
    <xf numFmtId="166" fontId="0" fillId="0" borderId="0" xfId="0" applyNumberFormat="1"/>
    <xf numFmtId="168" fontId="0" fillId="0" borderId="0" xfId="0" applyNumberFormat="1"/>
    <xf numFmtId="166" fontId="3" fillId="0" borderId="0" xfId="2" applyNumberFormat="1" applyFont="1"/>
    <xf numFmtId="0" fontId="12" fillId="0" borderId="0" xfId="0" applyFont="1"/>
    <xf numFmtId="169" fontId="0" fillId="0" borderId="0" xfId="0" applyNumberFormat="1"/>
    <xf numFmtId="170" fontId="0" fillId="0" borderId="0" xfId="0" applyNumberFormat="1"/>
    <xf numFmtId="170" fontId="6" fillId="0" borderId="0" xfId="0" applyNumberFormat="1" applyFont="1"/>
    <xf numFmtId="171" fontId="0" fillId="5" borderId="0" xfId="4" applyNumberFormat="1" applyFont="1" applyFill="1" applyAlignment="1">
      <alignment horizontal="center"/>
    </xf>
    <xf numFmtId="0" fontId="0" fillId="0" borderId="0" xfId="0" quotePrefix="1"/>
    <xf numFmtId="171" fontId="0" fillId="0" borderId="0" xfId="4" applyNumberFormat="1" applyFont="1"/>
    <xf numFmtId="164" fontId="13" fillId="0" borderId="0" xfId="2" applyNumberFormat="1" applyFont="1"/>
    <xf numFmtId="0" fontId="5" fillId="0" borderId="0" xfId="0" applyFont="1"/>
    <xf numFmtId="167" fontId="14" fillId="0" borderId="0" xfId="2" applyNumberFormat="1" applyFont="1"/>
    <xf numFmtId="167" fontId="13" fillId="0" borderId="0" xfId="2" applyNumberFormat="1" applyFont="1"/>
    <xf numFmtId="168" fontId="0" fillId="0" borderId="0" xfId="0" quotePrefix="1" applyNumberFormat="1"/>
    <xf numFmtId="166" fontId="13" fillId="0" borderId="0" xfId="2" applyNumberFormat="1" applyFont="1"/>
    <xf numFmtId="172" fontId="2" fillId="2" borderId="6" xfId="1" applyNumberFormat="1" applyFont="1" applyFill="1" applyBorder="1" applyAlignment="1">
      <alignment horizontal="center"/>
    </xf>
    <xf numFmtId="172" fontId="2" fillId="3" borderId="0" xfId="1" applyNumberFormat="1" applyFont="1" applyFill="1" applyBorder="1" applyAlignment="1">
      <alignment horizontal="center"/>
    </xf>
    <xf numFmtId="172" fontId="2" fillId="2" borderId="0" xfId="1" applyNumberFormat="1" applyFont="1" applyFill="1" applyBorder="1" applyAlignment="1">
      <alignment horizontal="center"/>
    </xf>
    <xf numFmtId="172" fontId="3" fillId="4" borderId="0" xfId="1" applyNumberFormat="1" applyFont="1" applyFill="1" applyBorder="1" applyAlignment="1">
      <alignment horizontal="center"/>
    </xf>
    <xf numFmtId="173" fontId="2" fillId="2" borderId="6" xfId="1" applyNumberFormat="1" applyFont="1" applyFill="1" applyBorder="1"/>
    <xf numFmtId="173" fontId="2" fillId="3" borderId="0" xfId="1" applyNumberFormat="1" applyFont="1" applyFill="1" applyBorder="1"/>
    <xf numFmtId="173" fontId="3" fillId="4" borderId="0" xfId="1" applyNumberFormat="1" applyFont="1" applyFill="1" applyBorder="1"/>
    <xf numFmtId="174" fontId="0" fillId="0" borderId="0" xfId="0" applyNumberFormat="1"/>
    <xf numFmtId="0" fontId="3" fillId="4" borderId="5" xfId="2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vertical="center"/>
    </xf>
    <xf numFmtId="0" fontId="17" fillId="3" borderId="14" xfId="0" applyFont="1" applyFill="1" applyBorder="1" applyAlignment="1">
      <alignment vertical="center"/>
    </xf>
    <xf numFmtId="0" fontId="3" fillId="6" borderId="0" xfId="2" applyFont="1" applyFill="1"/>
    <xf numFmtId="0" fontId="0" fillId="6" borderId="0" xfId="0" applyFill="1"/>
    <xf numFmtId="0" fontId="3" fillId="0" borderId="0" xfId="2" applyFont="1"/>
    <xf numFmtId="0" fontId="18" fillId="7" borderId="11" xfId="0" applyFont="1" applyFill="1" applyBorder="1" applyAlignment="1">
      <alignment horizontal="center" vertical="center"/>
    </xf>
    <xf numFmtId="0" fontId="18" fillId="7" borderId="12" xfId="0" applyFont="1" applyFill="1" applyBorder="1" applyAlignment="1">
      <alignment horizontal="center" vertical="center"/>
    </xf>
    <xf numFmtId="0" fontId="16" fillId="4" borderId="5" xfId="2" applyFont="1" applyFill="1" applyBorder="1" applyAlignment="1">
      <alignment horizontal="center" vertical="center"/>
    </xf>
    <xf numFmtId="0" fontId="16" fillId="4" borderId="0" xfId="2" applyFont="1" applyFill="1" applyAlignment="1">
      <alignment horizontal="center"/>
    </xf>
    <xf numFmtId="43" fontId="3" fillId="4" borderId="5" xfId="4" applyFont="1" applyFill="1" applyBorder="1" applyAlignment="1">
      <alignment horizontal="center" vertical="center"/>
    </xf>
    <xf numFmtId="43" fontId="3" fillId="4" borderId="0" xfId="4" applyFont="1" applyFill="1" applyAlignment="1">
      <alignment horizontal="center"/>
    </xf>
    <xf numFmtId="166" fontId="14" fillId="0" borderId="0" xfId="2" applyNumberFormat="1" applyFont="1"/>
    <xf numFmtId="164" fontId="2" fillId="3" borderId="0" xfId="2" applyNumberFormat="1" applyFont="1" applyFill="1"/>
    <xf numFmtId="164" fontId="2" fillId="2" borderId="6" xfId="2" applyNumberFormat="1" applyFont="1" applyFill="1" applyBorder="1"/>
    <xf numFmtId="0" fontId="3" fillId="4" borderId="8" xfId="2" applyFont="1" applyFill="1" applyBorder="1" applyAlignment="1">
      <alignment horizontal="center" vertical="center" wrapText="1"/>
    </xf>
    <xf numFmtId="0" fontId="3" fillId="4" borderId="7" xfId="2" applyFont="1" applyFill="1" applyBorder="1" applyAlignment="1">
      <alignment horizontal="center" vertical="center" wrapText="1"/>
    </xf>
    <xf numFmtId="0" fontId="3" fillId="4" borderId="0" xfId="2" applyFont="1" applyFill="1" applyAlignment="1">
      <alignment horizontal="center" vertical="center"/>
    </xf>
  </cellXfs>
  <cellStyles count="16">
    <cellStyle name="Normal" xfId="0" builtinId="0"/>
    <cellStyle name="Normal 2" xfId="2" xr:uid="{7E7192A2-B256-4058-8E22-311DCC936E93}"/>
    <cellStyle name="Normal_MDA_4T08 2" xfId="3" xr:uid="{BCA65832-3860-4822-BC8D-6F8889DABB79}"/>
    <cellStyle name="Porcentagem" xfId="1" builtinId="5"/>
    <cellStyle name="Porcentagem 10 2" xfId="8" xr:uid="{00000000-0005-0000-0000-000003000000}"/>
    <cellStyle name="Porcentagem 10 2 10" xfId="10" xr:uid="{00000000-0005-0000-0000-000004000000}"/>
    <cellStyle name="Porcentagem 26" xfId="9" xr:uid="{00000000-0005-0000-0000-000005000000}"/>
    <cellStyle name="Vírgula" xfId="4" builtinId="3"/>
    <cellStyle name="Vírgula 10" xfId="5" xr:uid="{FF4B7EDC-C50E-44D7-9DDA-9B1A8EF255FA}"/>
    <cellStyle name="Vírgula 10 2" xfId="7" xr:uid="{00000000-0005-0000-0000-000007000000}"/>
    <cellStyle name="Vírgula 10 4" xfId="11" xr:uid="{00000000-0005-0000-0000-000008000000}"/>
    <cellStyle name="Vírgula 10 4 2" xfId="14" xr:uid="{00000000-0005-0000-0000-000009000000}"/>
    <cellStyle name="Vírgula 18" xfId="12" xr:uid="{00000000-0005-0000-0000-00000A000000}"/>
    <cellStyle name="Vírgula 18 2" xfId="15" xr:uid="{00000000-0005-0000-0000-00000B000000}"/>
    <cellStyle name="Vírgula 2" xfId="13" xr:uid="{00000000-0005-0000-0000-00000C000000}"/>
    <cellStyle name="Vírgula 3" xfId="6" xr:uid="{00000000-0005-0000-0000-000036000000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6A5EA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solidFill>
                  <a:schemeClr val="accent5">
                    <a:lumMod val="50000"/>
                  </a:schemeClr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Dividendos R$ MM</a:t>
            </a:r>
            <a:endParaRPr lang="pt-BR">
              <a:solidFill>
                <a:schemeClr val="accent5">
                  <a:lumMod val="50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6A5EA5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Dividendos!$A$3</c:f>
              <c:strCache>
                <c:ptCount val="1"/>
                <c:pt idx="0">
                  <c:v>R$ MM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953-4815-A3D1-91965911B0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Dividendos!$G$1:$AC$2</c:f>
              <c:strCache>
                <c:ptCount val="2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</c:strCache>
            </c:strRef>
          </c:cat>
          <c:val>
            <c:numRef>
              <c:f>Dividendos!$G$3:$AC$3</c:f>
              <c:numCache>
                <c:formatCode>_-* #,##0.0_-;\-* #,##0.0_-;_-* "-"??_-;_-@_-</c:formatCode>
                <c:ptCount val="23"/>
                <c:pt idx="0">
                  <c:v>0.96499999999999997</c:v>
                </c:pt>
                <c:pt idx="1">
                  <c:v>84.070999999999998</c:v>
                </c:pt>
                <c:pt idx="2">
                  <c:v>36.107999999999997</c:v>
                </c:pt>
                <c:pt idx="3">
                  <c:v>206.89</c:v>
                </c:pt>
                <c:pt idx="4">
                  <c:v>155.99700000000001</c:v>
                </c:pt>
                <c:pt idx="5">
                  <c:v>122.4</c:v>
                </c:pt>
                <c:pt idx="6">
                  <c:v>140.00899999999999</c:v>
                </c:pt>
                <c:pt idx="7">
                  <c:v>278.60000000000002</c:v>
                </c:pt>
                <c:pt idx="8">
                  <c:v>293.71699999999998</c:v>
                </c:pt>
                <c:pt idx="9">
                  <c:v>215.80300000000003</c:v>
                </c:pt>
                <c:pt idx="10">
                  <c:v>435.2</c:v>
                </c:pt>
                <c:pt idx="11">
                  <c:v>798.471</c:v>
                </c:pt>
                <c:pt idx="12">
                  <c:v>248.233</c:v>
                </c:pt>
                <c:pt idx="13">
                  <c:v>146.53800000000001</c:v>
                </c:pt>
                <c:pt idx="14">
                  <c:v>235.01400000000001</c:v>
                </c:pt>
                <c:pt idx="15">
                  <c:v>401.82499999999999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5.2770000000000001</c:v>
                </c:pt>
                <c:pt idx="20">
                  <c:v>58.350999999999999</c:v>
                </c:pt>
                <c:pt idx="21">
                  <c:v>135.27000000000001</c:v>
                </c:pt>
                <c:pt idx="22">
                  <c:v>214.72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77D-B6F7-510A364E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861247152"/>
        <c:axId val="861231376"/>
      </c:barChart>
      <c:catAx>
        <c:axId val="86124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861231376"/>
        <c:crosses val="autoZero"/>
        <c:auto val="1"/>
        <c:lblAlgn val="ctr"/>
        <c:lblOffset val="100"/>
        <c:noMultiLvlLbl val="0"/>
      </c:catAx>
      <c:valAx>
        <c:axId val="861231376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86124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25</xdr:col>
      <xdr:colOff>76200</xdr:colOff>
      <xdr:row>22</xdr:row>
      <xdr:rowOff>44450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C6C145-5D0E-45C9-A01D-795E43D64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C7D2-E419-4E59-9819-D2335DCE4525}">
  <sheetPr codeName="Planilha1">
    <tabColor theme="4" tint="-0.499984740745262"/>
  </sheetPr>
  <dimension ref="A1:HO83"/>
  <sheetViews>
    <sheetView showGridLines="0" tabSelected="1" zoomScale="85" zoomScaleNormal="85" workbookViewId="0">
      <pane xSplit="1" topLeftCell="DY1" activePane="topRight" state="frozen"/>
      <selection activeCell="EK144" sqref="EK144"/>
      <selection pane="topRight" activeCell="EI1" sqref="EI1"/>
    </sheetView>
  </sheetViews>
  <sheetFormatPr defaultRowHeight="14.4" outlineLevelCol="2" x14ac:dyDescent="0.3"/>
  <cols>
    <col min="1" max="1" width="48.77734375" customWidth="1"/>
    <col min="2" max="5" width="11.44140625" hidden="1" customWidth="1" outlineLevel="1"/>
    <col min="6" max="6" width="11.44140625" customWidth="1" collapsed="1"/>
    <col min="7" max="10" width="11.44140625" hidden="1" customWidth="1" outlineLevel="1"/>
    <col min="11" max="11" width="11.44140625" customWidth="1" collapsed="1"/>
    <col min="12" max="15" width="11.44140625" hidden="1" customWidth="1" outlineLevel="1"/>
    <col min="16" max="16" width="11.44140625" customWidth="1" collapsed="1"/>
    <col min="17" max="20" width="11.44140625" hidden="1" customWidth="1" outlineLevel="1"/>
    <col min="21" max="21" width="11.44140625" customWidth="1" collapsed="1"/>
    <col min="22" max="25" width="11.44140625" hidden="1" customWidth="1" outlineLevel="1"/>
    <col min="26" max="26" width="11.44140625" customWidth="1" collapsed="1"/>
    <col min="27" max="30" width="11.44140625" hidden="1" customWidth="1" outlineLevel="2"/>
    <col min="31" max="31" width="11.44140625" customWidth="1" collapsed="1"/>
    <col min="32" max="35" width="11.44140625" hidden="1" customWidth="1" outlineLevel="1"/>
    <col min="36" max="36" width="11.44140625" customWidth="1" collapsed="1"/>
    <col min="37" max="40" width="11.44140625" hidden="1" customWidth="1" outlineLevel="1"/>
    <col min="41" max="41" width="11.44140625" customWidth="1" collapsed="1"/>
    <col min="42" max="45" width="11.44140625" hidden="1" customWidth="1" outlineLevel="1"/>
    <col min="46" max="46" width="11.44140625" customWidth="1" collapsed="1"/>
    <col min="47" max="50" width="11.44140625" hidden="1" customWidth="1" outlineLevel="1"/>
    <col min="51" max="51" width="11.44140625" customWidth="1" collapsed="1"/>
    <col min="52" max="55" width="11.44140625" hidden="1" customWidth="1" outlineLevel="1"/>
    <col min="56" max="56" width="11.44140625" customWidth="1" collapsed="1"/>
    <col min="57" max="60" width="11.44140625" hidden="1" customWidth="1" outlineLevel="1"/>
    <col min="61" max="61" width="11.44140625" customWidth="1" collapsed="1"/>
    <col min="62" max="65" width="11.44140625" hidden="1" customWidth="1" outlineLevel="1"/>
    <col min="66" max="66" width="11.44140625" customWidth="1" collapsed="1"/>
    <col min="67" max="70" width="11.44140625" hidden="1" customWidth="1" outlineLevel="1"/>
    <col min="71" max="71" width="11.44140625" customWidth="1" collapsed="1"/>
    <col min="72" max="75" width="11.44140625" hidden="1" customWidth="1" outlineLevel="1"/>
    <col min="76" max="76" width="11.44140625" customWidth="1" collapsed="1"/>
    <col min="77" max="80" width="11.44140625" hidden="1" customWidth="1" outlineLevel="1"/>
    <col min="81" max="81" width="11.44140625" customWidth="1" collapsed="1"/>
    <col min="82" max="85" width="11.44140625" hidden="1" customWidth="1" outlineLevel="1"/>
    <col min="86" max="86" width="11.44140625" customWidth="1" collapsed="1"/>
    <col min="87" max="90" width="11.44140625" hidden="1" customWidth="1" outlineLevel="1"/>
    <col min="91" max="91" width="11.44140625" customWidth="1" collapsed="1"/>
    <col min="92" max="95" width="11.44140625" hidden="1" customWidth="1" outlineLevel="1"/>
    <col min="96" max="96" width="11.44140625" customWidth="1" collapsed="1"/>
    <col min="97" max="100" width="11.44140625" hidden="1" customWidth="1" outlineLevel="1"/>
    <col min="101" max="101" width="11.44140625" customWidth="1" collapsed="1"/>
    <col min="102" max="105" width="11.44140625" hidden="1" customWidth="1" outlineLevel="1"/>
    <col min="106" max="106" width="11.44140625" customWidth="1" collapsed="1"/>
    <col min="107" max="110" width="11.44140625" hidden="1" customWidth="1" outlineLevel="1"/>
    <col min="111" max="111" width="11.44140625" customWidth="1" collapsed="1"/>
    <col min="112" max="115" width="11.44140625" hidden="1" customWidth="1" outlineLevel="1"/>
    <col min="116" max="116" width="11.44140625" customWidth="1" collapsed="1"/>
    <col min="117" max="134" width="11.44140625" customWidth="1"/>
    <col min="135" max="135" width="11.44140625" bestFit="1" customWidth="1"/>
    <col min="136" max="136" width="10.77734375" customWidth="1"/>
    <col min="137" max="137" width="11.44140625" customWidth="1"/>
    <col min="138" max="138" width="9.21875" customWidth="1"/>
    <col min="139" max="139" width="10.77734375" customWidth="1"/>
    <col min="140" max="140" width="9.5546875" bestFit="1" customWidth="1"/>
    <col min="141" max="141" width="11.44140625" bestFit="1" customWidth="1"/>
    <col min="142" max="142" width="7.44140625" bestFit="1" customWidth="1"/>
    <col min="143" max="143" width="11.44140625" bestFit="1" customWidth="1"/>
    <col min="144" max="144" width="7.44140625" bestFit="1" customWidth="1"/>
    <col min="145" max="145" width="11.44140625" bestFit="1" customWidth="1"/>
    <col min="146" max="146" width="7.44140625" bestFit="1" customWidth="1"/>
    <col min="147" max="147" width="11.44140625" bestFit="1" customWidth="1"/>
    <col min="148" max="148" width="7.44140625" bestFit="1" customWidth="1"/>
    <col min="149" max="149" width="11.44140625" bestFit="1" customWidth="1"/>
    <col min="150" max="150" width="7.44140625" bestFit="1" customWidth="1"/>
    <col min="151" max="151" width="11.44140625" bestFit="1" customWidth="1"/>
    <col min="152" max="152" width="7.44140625" bestFit="1" customWidth="1"/>
    <col min="153" max="153" width="11.44140625" bestFit="1" customWidth="1"/>
    <col min="154" max="154" width="7.44140625" bestFit="1" customWidth="1"/>
    <col min="155" max="155" width="11.44140625" bestFit="1" customWidth="1"/>
    <col min="156" max="156" width="7.44140625" bestFit="1" customWidth="1"/>
    <col min="157" max="157" width="11.44140625" bestFit="1" customWidth="1"/>
    <col min="158" max="158" width="7.44140625" bestFit="1" customWidth="1"/>
    <col min="159" max="159" width="11.44140625" bestFit="1" customWidth="1"/>
    <col min="160" max="160" width="7.44140625" bestFit="1" customWidth="1"/>
    <col min="161" max="161" width="11.44140625" bestFit="1" customWidth="1"/>
    <col min="162" max="162" width="7.44140625" bestFit="1" customWidth="1"/>
    <col min="163" max="163" width="11.44140625" bestFit="1" customWidth="1"/>
    <col min="164" max="164" width="7.44140625" bestFit="1" customWidth="1"/>
    <col min="165" max="165" width="11.44140625" bestFit="1" customWidth="1"/>
    <col min="166" max="166" width="7.44140625" bestFit="1" customWidth="1"/>
    <col min="167" max="167" width="11.44140625" bestFit="1" customWidth="1"/>
    <col min="168" max="168" width="7.44140625" bestFit="1" customWidth="1"/>
    <col min="169" max="169" width="11.44140625" bestFit="1" customWidth="1"/>
    <col min="170" max="170" width="7.44140625" bestFit="1" customWidth="1"/>
    <col min="171" max="171" width="11.44140625" bestFit="1" customWidth="1"/>
    <col min="172" max="172" width="7.44140625" bestFit="1" customWidth="1"/>
    <col min="173" max="173" width="11.44140625" bestFit="1" customWidth="1"/>
    <col min="174" max="174" width="7.44140625" bestFit="1" customWidth="1"/>
    <col min="175" max="175" width="11.44140625" bestFit="1" customWidth="1"/>
    <col min="176" max="176" width="7.44140625" bestFit="1" customWidth="1"/>
    <col min="177" max="177" width="11.44140625" bestFit="1" customWidth="1"/>
    <col min="178" max="178" width="7.44140625" bestFit="1" customWidth="1"/>
    <col min="179" max="179" width="11.44140625" bestFit="1" customWidth="1"/>
    <col min="180" max="180" width="7.44140625" bestFit="1" customWidth="1"/>
    <col min="181" max="181" width="11.44140625" bestFit="1" customWidth="1"/>
    <col min="182" max="182" width="7.44140625" bestFit="1" customWidth="1"/>
    <col min="183" max="183" width="11.44140625" bestFit="1" customWidth="1"/>
    <col min="184" max="184" width="7.44140625" bestFit="1" customWidth="1"/>
    <col min="185" max="185" width="11.44140625" bestFit="1" customWidth="1"/>
    <col min="186" max="186" width="7.44140625" bestFit="1" customWidth="1"/>
    <col min="187" max="187" width="11.44140625" bestFit="1" customWidth="1"/>
    <col min="188" max="188" width="7.44140625" bestFit="1" customWidth="1"/>
    <col min="189" max="189" width="11.44140625" bestFit="1" customWidth="1"/>
    <col min="190" max="190" width="7.44140625" bestFit="1" customWidth="1"/>
    <col min="191" max="191" width="11.44140625" bestFit="1" customWidth="1"/>
    <col min="192" max="192" width="7.44140625" bestFit="1" customWidth="1"/>
    <col min="193" max="193" width="11.44140625" bestFit="1" customWidth="1"/>
    <col min="194" max="194" width="7.44140625" bestFit="1" customWidth="1"/>
    <col min="195" max="195" width="11.44140625" bestFit="1" customWidth="1"/>
    <col min="196" max="196" width="7.44140625" bestFit="1" customWidth="1"/>
    <col min="197" max="197" width="11.44140625" bestFit="1" customWidth="1"/>
    <col min="198" max="198" width="7.44140625" bestFit="1" customWidth="1"/>
    <col min="199" max="199" width="11.44140625" bestFit="1" customWidth="1"/>
    <col min="200" max="200" width="7.44140625" bestFit="1" customWidth="1"/>
    <col min="201" max="201" width="11.44140625" bestFit="1" customWidth="1"/>
    <col min="202" max="202" width="7.44140625" bestFit="1" customWidth="1"/>
    <col min="203" max="205" width="10.21875" customWidth="1"/>
    <col min="206" max="206" width="11.77734375" customWidth="1"/>
    <col min="207" max="207" width="10.21875" customWidth="1"/>
    <col min="208" max="208" width="11.77734375" customWidth="1"/>
    <col min="209" max="209" width="10.21875" customWidth="1"/>
    <col min="210" max="210" width="11.44140625" customWidth="1"/>
    <col min="211" max="211" width="10.21875" customWidth="1"/>
    <col min="212" max="212" width="10.44140625" customWidth="1"/>
    <col min="213" max="215" width="10.21875" customWidth="1"/>
  </cols>
  <sheetData>
    <row r="1" spans="1:139" x14ac:dyDescent="0.3">
      <c r="A1" s="3" t="s">
        <v>0</v>
      </c>
      <c r="B1" s="6" t="s">
        <v>4</v>
      </c>
      <c r="C1" s="6" t="s">
        <v>5</v>
      </c>
      <c r="D1" s="6" t="s">
        <v>6</v>
      </c>
      <c r="E1" s="6" t="s">
        <v>7</v>
      </c>
      <c r="F1" s="6">
        <v>1998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1999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1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1998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1999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</row>
    <row r="3" spans="1:139" ht="16.2" thickTop="1" x14ac:dyDescent="0.3">
      <c r="A3" s="1" t="s">
        <v>363</v>
      </c>
      <c r="B3" s="8">
        <f t="shared" ref="B3:AG3" si="0">(B22+B41)*1</f>
        <v>0</v>
      </c>
      <c r="C3" s="8">
        <f t="shared" si="0"/>
        <v>168.64750000000001</v>
      </c>
      <c r="D3" s="8">
        <f t="shared" si="0"/>
        <v>1876.2235000000001</v>
      </c>
      <c r="E3" s="8">
        <f t="shared" si="0"/>
        <v>2060.8890000000001</v>
      </c>
      <c r="F3" s="8">
        <f t="shared" si="0"/>
        <v>4105.76</v>
      </c>
      <c r="G3" s="8">
        <f t="shared" si="0"/>
        <v>2410.6475</v>
      </c>
      <c r="H3" s="8">
        <f t="shared" si="0"/>
        <v>2023.8130000000001</v>
      </c>
      <c r="I3" s="8">
        <f t="shared" si="0"/>
        <v>1946.5524999999998</v>
      </c>
      <c r="J3" s="8">
        <f t="shared" si="0"/>
        <v>2029.616</v>
      </c>
      <c r="K3" s="8">
        <f t="shared" si="0"/>
        <v>8410.6290000000008</v>
      </c>
      <c r="L3" s="8">
        <f t="shared" si="0"/>
        <v>2326.0745000000002</v>
      </c>
      <c r="M3" s="8">
        <f t="shared" si="0"/>
        <v>2056.8015</v>
      </c>
      <c r="N3" s="8">
        <f t="shared" si="0"/>
        <v>1959.2845</v>
      </c>
      <c r="O3" s="8">
        <f t="shared" si="0"/>
        <v>2011.1554999999998</v>
      </c>
      <c r="P3" s="8">
        <f t="shared" si="0"/>
        <v>8353.3160000000007</v>
      </c>
      <c r="Q3" s="8">
        <f t="shared" si="0"/>
        <v>2600.3845000000001</v>
      </c>
      <c r="R3" s="8">
        <f t="shared" si="0"/>
        <v>2447.4205000000002</v>
      </c>
      <c r="S3" s="8">
        <f t="shared" si="0"/>
        <v>2516.5070000000001</v>
      </c>
      <c r="T3" s="8">
        <f t="shared" si="0"/>
        <v>2237.3679999999999</v>
      </c>
      <c r="U3" s="8">
        <f t="shared" si="0"/>
        <v>9801.68</v>
      </c>
      <c r="V3" s="8">
        <f t="shared" si="0"/>
        <v>2590.0050000000001</v>
      </c>
      <c r="W3" s="8">
        <f t="shared" si="0"/>
        <v>2203.0740000000001</v>
      </c>
      <c r="X3" s="8">
        <f t="shared" si="0"/>
        <v>2678.5445</v>
      </c>
      <c r="Y3" s="8">
        <f t="shared" si="0"/>
        <v>2195.9054999999998</v>
      </c>
      <c r="Z3" s="8">
        <f t="shared" si="0"/>
        <v>9667.5290000000005</v>
      </c>
      <c r="AA3" s="8">
        <f t="shared" si="0"/>
        <v>2559.4445000000001</v>
      </c>
      <c r="AB3" s="8">
        <f t="shared" si="0"/>
        <v>2702.7004999999999</v>
      </c>
      <c r="AC3" s="8">
        <f t="shared" si="0"/>
        <v>2703.9035000000003</v>
      </c>
      <c r="AD3" s="8">
        <f t="shared" si="0"/>
        <v>2461.5405000000001</v>
      </c>
      <c r="AE3" s="8">
        <f t="shared" si="0"/>
        <v>10427.589</v>
      </c>
      <c r="AF3" s="8">
        <f t="shared" si="0"/>
        <v>2709.5365000000002</v>
      </c>
      <c r="AG3" s="8">
        <f t="shared" si="0"/>
        <v>2825.5625</v>
      </c>
      <c r="AH3" s="8">
        <f t="shared" ref="AH3:BM3" si="1">(AH22+AH41)*1</f>
        <v>2774.2485000000001</v>
      </c>
      <c r="AI3" s="8">
        <f t="shared" si="1"/>
        <v>2135.8364999999999</v>
      </c>
      <c r="AJ3" s="8">
        <f t="shared" si="1"/>
        <v>10445.184000000001</v>
      </c>
      <c r="AK3" s="8">
        <f t="shared" si="1"/>
        <v>2631.8513591549299</v>
      </c>
      <c r="AL3" s="8">
        <f t="shared" si="1"/>
        <v>2273.1529999999998</v>
      </c>
      <c r="AM3" s="8">
        <f t="shared" si="1"/>
        <v>2288.7485000000001</v>
      </c>
      <c r="AN3" s="8">
        <f t="shared" si="1"/>
        <v>2187.6369999999997</v>
      </c>
      <c r="AO3" s="8">
        <f t="shared" si="1"/>
        <v>9381.3898591549296</v>
      </c>
      <c r="AP3" s="8">
        <f t="shared" si="1"/>
        <v>2563.3379999999997</v>
      </c>
      <c r="AQ3" s="8">
        <f t="shared" si="1"/>
        <v>2293.5549999999998</v>
      </c>
      <c r="AR3" s="8">
        <f t="shared" si="1"/>
        <v>2458.4994999999999</v>
      </c>
      <c r="AS3" s="8">
        <f t="shared" si="1"/>
        <v>2172.36049998</v>
      </c>
      <c r="AT3" s="8">
        <f t="shared" si="1"/>
        <v>9487.752999979999</v>
      </c>
      <c r="AU3" s="8">
        <f t="shared" si="1"/>
        <v>2903.2684954145079</v>
      </c>
      <c r="AV3" s="8">
        <f t="shared" si="1"/>
        <v>2553.0152660559002</v>
      </c>
      <c r="AW3" s="8">
        <f t="shared" si="1"/>
        <v>2781.959018349768</v>
      </c>
      <c r="AX3" s="8">
        <f t="shared" si="1"/>
        <v>2627.9387247722079</v>
      </c>
      <c r="AY3" s="8">
        <f t="shared" si="1"/>
        <v>10866.181504592383</v>
      </c>
      <c r="AZ3" s="8">
        <f t="shared" si="1"/>
        <v>2944.1109999999999</v>
      </c>
      <c r="BA3" s="8">
        <f t="shared" si="1"/>
        <v>2653.0610000000001</v>
      </c>
      <c r="BB3" s="8">
        <f t="shared" si="1"/>
        <v>2425.5255000000002</v>
      </c>
      <c r="BC3" s="8">
        <f t="shared" si="1"/>
        <v>2396.627</v>
      </c>
      <c r="BD3" s="8">
        <f t="shared" si="1"/>
        <v>10419.324500000001</v>
      </c>
      <c r="BE3" s="8">
        <f t="shared" si="1"/>
        <v>2942.7235000000001</v>
      </c>
      <c r="BF3" s="8">
        <f t="shared" si="1"/>
        <v>2774.498</v>
      </c>
      <c r="BG3" s="8">
        <f t="shared" si="1"/>
        <v>2521.1565000000001</v>
      </c>
      <c r="BH3" s="8">
        <f t="shared" si="1"/>
        <v>2629.4865</v>
      </c>
      <c r="BI3" s="8">
        <f t="shared" si="1"/>
        <v>10867.8645</v>
      </c>
      <c r="BJ3" s="8">
        <f t="shared" si="1"/>
        <v>3400</v>
      </c>
      <c r="BK3" s="8">
        <f t="shared" si="1"/>
        <v>3041</v>
      </c>
      <c r="BL3" s="8">
        <f t="shared" si="1"/>
        <v>3422.5315000000001</v>
      </c>
      <c r="BM3" s="8">
        <f t="shared" si="1"/>
        <v>3137</v>
      </c>
      <c r="BN3" s="8">
        <f t="shared" ref="BN3:CS3" si="2">(BN22+BN41)*1</f>
        <v>13000.531500000001</v>
      </c>
      <c r="BO3" s="8">
        <f t="shared" si="2"/>
        <v>3561</v>
      </c>
      <c r="BP3" s="8">
        <f t="shared" si="2"/>
        <v>3598.47</v>
      </c>
      <c r="BQ3" s="8">
        <f t="shared" si="2"/>
        <v>3595.53</v>
      </c>
      <c r="BR3" s="8">
        <f t="shared" si="2"/>
        <v>3504</v>
      </c>
      <c r="BS3" s="8">
        <f t="shared" si="2"/>
        <v>14259</v>
      </c>
      <c r="BT3" s="8">
        <f t="shared" si="2"/>
        <v>4185</v>
      </c>
      <c r="BU3" s="8">
        <f t="shared" si="2"/>
        <v>3685</v>
      </c>
      <c r="BV3" s="8">
        <f t="shared" si="2"/>
        <v>4227</v>
      </c>
      <c r="BW3" s="8">
        <f t="shared" si="2"/>
        <v>3695.527</v>
      </c>
      <c r="BX3" s="8">
        <f t="shared" si="2"/>
        <v>15792.527</v>
      </c>
      <c r="BY3" s="8">
        <f t="shared" si="2"/>
        <v>3965</v>
      </c>
      <c r="BZ3" s="8">
        <f t="shared" si="2"/>
        <v>3913</v>
      </c>
      <c r="CA3" s="8">
        <f t="shared" si="2"/>
        <v>4165</v>
      </c>
      <c r="CB3" s="8">
        <f t="shared" si="2"/>
        <v>3925</v>
      </c>
      <c r="CC3" s="8">
        <f t="shared" si="2"/>
        <v>15968</v>
      </c>
      <c r="CD3" s="8">
        <f t="shared" si="2"/>
        <v>4474</v>
      </c>
      <c r="CE3" s="8">
        <f t="shared" si="2"/>
        <v>3972</v>
      </c>
      <c r="CF3" s="8">
        <f t="shared" si="2"/>
        <v>3871</v>
      </c>
      <c r="CG3" s="8">
        <f t="shared" si="2"/>
        <v>3797</v>
      </c>
      <c r="CH3" s="8">
        <f t="shared" si="2"/>
        <v>16114</v>
      </c>
      <c r="CI3" s="8">
        <f t="shared" si="2"/>
        <v>4050</v>
      </c>
      <c r="CJ3" s="8">
        <f t="shared" si="2"/>
        <v>3854</v>
      </c>
      <c r="CK3" s="8">
        <f t="shared" si="2"/>
        <v>3905</v>
      </c>
      <c r="CL3" s="8">
        <f t="shared" si="2"/>
        <v>3762</v>
      </c>
      <c r="CM3" s="8">
        <f t="shared" si="2"/>
        <v>15571</v>
      </c>
      <c r="CN3" s="8">
        <f t="shared" si="2"/>
        <v>4644.6869999999999</v>
      </c>
      <c r="CO3" s="8">
        <f t="shared" si="2"/>
        <v>4046.3130000000001</v>
      </c>
      <c r="CP3" s="8">
        <f t="shared" si="2"/>
        <v>3754</v>
      </c>
      <c r="CQ3" s="8">
        <f t="shared" si="2"/>
        <v>3646.6525000000001</v>
      </c>
      <c r="CR3" s="8">
        <f t="shared" si="2"/>
        <v>16091.6525</v>
      </c>
      <c r="CS3" s="8">
        <f t="shared" si="2"/>
        <v>4917</v>
      </c>
      <c r="CT3" s="8">
        <f t="shared" ref="CT3:DX3" si="3">(CT22+CT41)*1</f>
        <v>4351</v>
      </c>
      <c r="CU3" s="8">
        <f t="shared" si="3"/>
        <v>4899</v>
      </c>
      <c r="CV3" s="8">
        <f t="shared" si="3"/>
        <v>4094</v>
      </c>
      <c r="CW3" s="8">
        <f t="shared" si="3"/>
        <v>18261</v>
      </c>
      <c r="CX3" s="8">
        <f t="shared" si="3"/>
        <v>4901</v>
      </c>
      <c r="CY3" s="8">
        <f t="shared" si="3"/>
        <v>4017</v>
      </c>
      <c r="CZ3" s="8">
        <f t="shared" si="3"/>
        <v>4135</v>
      </c>
      <c r="DA3" s="8">
        <f t="shared" si="3"/>
        <v>3811</v>
      </c>
      <c r="DB3" s="8">
        <f t="shared" si="3"/>
        <v>16864</v>
      </c>
      <c r="DC3" s="8">
        <f t="shared" si="3"/>
        <v>4119</v>
      </c>
      <c r="DD3" s="8">
        <f t="shared" si="3"/>
        <v>3786</v>
      </c>
      <c r="DE3" s="8">
        <f t="shared" si="3"/>
        <v>4085</v>
      </c>
      <c r="DF3" s="8">
        <f t="shared" si="3"/>
        <v>4256</v>
      </c>
      <c r="DG3" s="8">
        <f t="shared" si="3"/>
        <v>16246</v>
      </c>
      <c r="DH3" s="8">
        <f t="shared" si="3"/>
        <v>4751</v>
      </c>
      <c r="DI3" s="8">
        <f t="shared" si="3"/>
        <v>4200</v>
      </c>
      <c r="DJ3" s="8">
        <f t="shared" si="3"/>
        <v>4329</v>
      </c>
      <c r="DK3" s="8">
        <f t="shared" si="3"/>
        <v>4129</v>
      </c>
      <c r="DL3" s="8">
        <f t="shared" si="3"/>
        <v>17409</v>
      </c>
      <c r="DM3" s="8">
        <f t="shared" si="3"/>
        <v>4448</v>
      </c>
      <c r="DN3" s="8">
        <f t="shared" si="3"/>
        <v>4165</v>
      </c>
      <c r="DO3" s="8">
        <f t="shared" si="3"/>
        <v>4177</v>
      </c>
      <c r="DP3" s="8">
        <f t="shared" si="3"/>
        <v>2545</v>
      </c>
      <c r="DQ3" s="8">
        <f t="shared" si="3"/>
        <v>15335</v>
      </c>
      <c r="DR3" s="8">
        <f t="shared" si="3"/>
        <v>0</v>
      </c>
      <c r="DS3" s="8">
        <f t="shared" si="3"/>
        <v>0</v>
      </c>
      <c r="DT3" s="8">
        <f t="shared" si="3"/>
        <v>0</v>
      </c>
      <c r="DU3" s="8">
        <f t="shared" si="3"/>
        <v>0</v>
      </c>
      <c r="DV3" s="8">
        <f t="shared" si="3"/>
        <v>0</v>
      </c>
      <c r="DW3" s="8">
        <f t="shared" si="3"/>
        <v>0</v>
      </c>
      <c r="DX3" s="8">
        <f t="shared" si="3"/>
        <v>0</v>
      </c>
      <c r="DY3" s="8">
        <f t="shared" ref="DY3:EG3" si="4">(DY22+DY41)*1</f>
        <v>0</v>
      </c>
      <c r="DZ3" s="8">
        <f t="shared" si="4"/>
        <v>0</v>
      </c>
      <c r="EA3" s="8">
        <f t="shared" si="4"/>
        <v>0</v>
      </c>
      <c r="EB3" s="8">
        <f t="shared" si="4"/>
        <v>0</v>
      </c>
      <c r="EC3" s="8">
        <f t="shared" si="4"/>
        <v>0</v>
      </c>
      <c r="ED3" s="8">
        <f t="shared" si="4"/>
        <v>0</v>
      </c>
      <c r="EE3" s="8">
        <f t="shared" si="4"/>
        <v>0</v>
      </c>
      <c r="EF3" s="8">
        <f t="shared" si="4"/>
        <v>0</v>
      </c>
      <c r="EG3" s="8">
        <f t="shared" si="4"/>
        <v>0</v>
      </c>
      <c r="EH3" s="8">
        <f t="shared" ref="EH3" si="5">(EH22+EH41)*1</f>
        <v>0</v>
      </c>
      <c r="EI3" s="8">
        <f t="shared" ref="EI3" si="6">(EI22+EI41)*1</f>
        <v>0</v>
      </c>
    </row>
    <row r="4" spans="1:139" ht="14.1" customHeight="1" thickBot="1" x14ac:dyDescent="0.35">
      <c r="A4" s="2" t="s">
        <v>454</v>
      </c>
      <c r="B4" s="9">
        <f t="shared" ref="B4:AG4" si="7">(B23+B42)*1</f>
        <v>0</v>
      </c>
      <c r="C4" s="9">
        <f t="shared" si="7"/>
        <v>0</v>
      </c>
      <c r="D4" s="9">
        <f t="shared" si="7"/>
        <v>0</v>
      </c>
      <c r="E4" s="9">
        <f t="shared" si="7"/>
        <v>0</v>
      </c>
      <c r="F4" s="9">
        <f t="shared" si="7"/>
        <v>0</v>
      </c>
      <c r="G4" s="9">
        <f t="shared" si="7"/>
        <v>0</v>
      </c>
      <c r="H4" s="9">
        <f t="shared" si="7"/>
        <v>0</v>
      </c>
      <c r="I4" s="9">
        <f t="shared" si="7"/>
        <v>0</v>
      </c>
      <c r="J4" s="9">
        <f t="shared" si="7"/>
        <v>0</v>
      </c>
      <c r="K4" s="9">
        <f t="shared" si="7"/>
        <v>0</v>
      </c>
      <c r="L4" s="9">
        <f t="shared" si="7"/>
        <v>0</v>
      </c>
      <c r="M4" s="9">
        <f t="shared" si="7"/>
        <v>0</v>
      </c>
      <c r="N4" s="9">
        <f t="shared" si="7"/>
        <v>0</v>
      </c>
      <c r="O4" s="9">
        <f t="shared" si="7"/>
        <v>0</v>
      </c>
      <c r="P4" s="9">
        <f t="shared" si="7"/>
        <v>0</v>
      </c>
      <c r="Q4" s="9">
        <f t="shared" si="7"/>
        <v>690.34950000000003</v>
      </c>
      <c r="R4" s="9">
        <f t="shared" si="7"/>
        <v>3258.9155000000001</v>
      </c>
      <c r="S4" s="9">
        <f t="shared" si="7"/>
        <v>3145.8384999999998</v>
      </c>
      <c r="T4" s="9">
        <f t="shared" si="7"/>
        <v>2870.6420000000003</v>
      </c>
      <c r="U4" s="9">
        <f t="shared" si="7"/>
        <v>9965.7455000000009</v>
      </c>
      <c r="V4" s="9">
        <f t="shared" si="7"/>
        <v>2898.8040000000001</v>
      </c>
      <c r="W4" s="9">
        <f t="shared" si="7"/>
        <v>3808.5839999999998</v>
      </c>
      <c r="X4" s="9">
        <f t="shared" si="7"/>
        <v>3572.0515</v>
      </c>
      <c r="Y4" s="9">
        <f t="shared" si="7"/>
        <v>3245.4205000000002</v>
      </c>
      <c r="Z4" s="9">
        <f t="shared" si="7"/>
        <v>13524.86</v>
      </c>
      <c r="AA4" s="9">
        <f t="shared" si="7"/>
        <v>2917.692</v>
      </c>
      <c r="AB4" s="9">
        <f t="shared" si="7"/>
        <v>4550.2925000000005</v>
      </c>
      <c r="AC4" s="9">
        <f t="shared" si="7"/>
        <v>3808.0985000000001</v>
      </c>
      <c r="AD4" s="9">
        <f t="shared" si="7"/>
        <v>3611.5705000000003</v>
      </c>
      <c r="AE4" s="9">
        <f t="shared" si="7"/>
        <v>14887.6535</v>
      </c>
      <c r="AF4" s="9">
        <f t="shared" si="7"/>
        <v>3762.5230000000001</v>
      </c>
      <c r="AG4" s="9">
        <f t="shared" si="7"/>
        <v>4404.9735000000001</v>
      </c>
      <c r="AH4" s="9">
        <f t="shared" ref="AH4:BM4" si="8">(AH23+AH42)*1</f>
        <v>4066.1330000000003</v>
      </c>
      <c r="AI4" s="9">
        <f t="shared" si="8"/>
        <v>3830.7670000000003</v>
      </c>
      <c r="AJ4" s="9">
        <f t="shared" si="8"/>
        <v>16064.396499999999</v>
      </c>
      <c r="AK4" s="9">
        <f t="shared" si="8"/>
        <v>3514.837</v>
      </c>
      <c r="AL4" s="9">
        <f t="shared" si="8"/>
        <v>3706.8910000000001</v>
      </c>
      <c r="AM4" s="9">
        <f t="shared" si="8"/>
        <v>3595.1120000000001</v>
      </c>
      <c r="AN4" s="9">
        <f t="shared" si="8"/>
        <v>3610.7740000000003</v>
      </c>
      <c r="AO4" s="9">
        <f t="shared" si="8"/>
        <v>14427.614000000001</v>
      </c>
      <c r="AP4" s="9">
        <f t="shared" si="8"/>
        <v>3221.7272169811322</v>
      </c>
      <c r="AQ4" s="9">
        <f t="shared" si="8"/>
        <v>4395.9772283018865</v>
      </c>
      <c r="AR4" s="9">
        <f t="shared" si="8"/>
        <v>3645.0101433962263</v>
      </c>
      <c r="AS4" s="9">
        <f t="shared" si="8"/>
        <v>3638.0871132075472</v>
      </c>
      <c r="AT4" s="9">
        <f t="shared" si="8"/>
        <v>14900.801701886794</v>
      </c>
      <c r="AU4" s="9">
        <f t="shared" si="8"/>
        <v>3733.0075000000002</v>
      </c>
      <c r="AV4" s="9">
        <f t="shared" si="8"/>
        <v>4729.8216271186438</v>
      </c>
      <c r="AW4" s="9">
        <f t="shared" si="8"/>
        <v>4584.914228813559</v>
      </c>
      <c r="AX4" s="9">
        <f t="shared" si="8"/>
        <v>4283.2179915254237</v>
      </c>
      <c r="AY4" s="9">
        <f t="shared" si="8"/>
        <v>17330.961347457625</v>
      </c>
      <c r="AZ4" s="9">
        <f t="shared" si="8"/>
        <v>4137.2814067796608</v>
      </c>
      <c r="BA4" s="9">
        <f t="shared" si="8"/>
        <v>5304.4669274193548</v>
      </c>
      <c r="BB4" s="9">
        <f t="shared" si="8"/>
        <v>4387.2052338709673</v>
      </c>
      <c r="BC4" s="9">
        <f t="shared" si="8"/>
        <v>4166.3108896927788</v>
      </c>
      <c r="BD4" s="9">
        <f t="shared" si="8"/>
        <v>17995.264457762762</v>
      </c>
      <c r="BE4" s="9">
        <f t="shared" si="8"/>
        <v>3895.4122205882359</v>
      </c>
      <c r="BF4" s="9">
        <f t="shared" si="8"/>
        <v>5656.1516911764702</v>
      </c>
      <c r="BG4" s="9">
        <f t="shared" si="8"/>
        <v>4378.8881250000004</v>
      </c>
      <c r="BH4" s="9">
        <f t="shared" si="8"/>
        <v>4201.7190000000001</v>
      </c>
      <c r="BI4" s="9">
        <f t="shared" si="8"/>
        <v>18132.171036764707</v>
      </c>
      <c r="BJ4" s="9">
        <f t="shared" si="8"/>
        <v>4411</v>
      </c>
      <c r="BK4" s="9">
        <f t="shared" si="8"/>
        <v>5639</v>
      </c>
      <c r="BL4" s="9">
        <f t="shared" si="8"/>
        <v>4940.24</v>
      </c>
      <c r="BM4" s="9">
        <f t="shared" si="8"/>
        <v>4901</v>
      </c>
      <c r="BN4" s="9">
        <f t="shared" ref="BN4:CS4" si="9">(BN23+BN42)*1</f>
        <v>19891.239999999998</v>
      </c>
      <c r="BO4" s="9">
        <f t="shared" si="9"/>
        <v>5218</v>
      </c>
      <c r="BP4" s="9">
        <f t="shared" si="9"/>
        <v>6244.512999999999</v>
      </c>
      <c r="BQ4" s="9">
        <f t="shared" si="9"/>
        <v>5585.487000000001</v>
      </c>
      <c r="BR4" s="9">
        <f t="shared" si="9"/>
        <v>5135</v>
      </c>
      <c r="BS4" s="9">
        <f t="shared" si="9"/>
        <v>22183</v>
      </c>
      <c r="BT4" s="9">
        <f t="shared" si="9"/>
        <v>5191</v>
      </c>
      <c r="BU4" s="9">
        <f t="shared" si="9"/>
        <v>6255</v>
      </c>
      <c r="BV4" s="9">
        <f t="shared" si="9"/>
        <v>5299</v>
      </c>
      <c r="BW4" s="9">
        <f t="shared" si="9"/>
        <v>5405.3175000000001</v>
      </c>
      <c r="BX4" s="9">
        <f t="shared" si="9"/>
        <v>22150.317500000001</v>
      </c>
      <c r="BY4" s="9">
        <f t="shared" si="9"/>
        <v>5631</v>
      </c>
      <c r="BZ4" s="9">
        <f t="shared" si="9"/>
        <v>7976</v>
      </c>
      <c r="CA4" s="9">
        <f t="shared" si="9"/>
        <v>7027</v>
      </c>
      <c r="CB4" s="9">
        <f t="shared" si="9"/>
        <v>5793</v>
      </c>
      <c r="CC4" s="9">
        <f t="shared" si="9"/>
        <v>26427</v>
      </c>
      <c r="CD4" s="9">
        <f t="shared" si="9"/>
        <v>6715</v>
      </c>
      <c r="CE4" s="9">
        <f t="shared" si="9"/>
        <v>8122</v>
      </c>
      <c r="CF4" s="9">
        <f t="shared" si="9"/>
        <v>7088</v>
      </c>
      <c r="CG4" s="9">
        <f t="shared" si="9"/>
        <v>6255</v>
      </c>
      <c r="CH4" s="9">
        <f t="shared" si="9"/>
        <v>28180</v>
      </c>
      <c r="CI4" s="9">
        <f t="shared" si="9"/>
        <v>6466</v>
      </c>
      <c r="CJ4" s="9">
        <f t="shared" si="9"/>
        <v>7594</v>
      </c>
      <c r="CK4" s="9">
        <f t="shared" si="9"/>
        <v>7220</v>
      </c>
      <c r="CL4" s="9">
        <f t="shared" si="9"/>
        <v>5922</v>
      </c>
      <c r="CM4" s="9">
        <f t="shared" si="9"/>
        <v>27202</v>
      </c>
      <c r="CN4" s="9">
        <f t="shared" si="9"/>
        <v>6078.3544999999995</v>
      </c>
      <c r="CO4" s="9">
        <f t="shared" si="9"/>
        <v>7657.6455000000005</v>
      </c>
      <c r="CP4" s="9">
        <f t="shared" si="9"/>
        <v>6436</v>
      </c>
      <c r="CQ4" s="9">
        <f t="shared" si="9"/>
        <v>5723.7389999999996</v>
      </c>
      <c r="CR4" s="9">
        <f t="shared" si="9"/>
        <v>25895.739000000001</v>
      </c>
      <c r="CS4" s="9">
        <f t="shared" si="9"/>
        <v>6263</v>
      </c>
      <c r="CT4" s="9">
        <f t="shared" ref="CT4:DX4" si="10">(CT23+CT42)*1</f>
        <v>7300</v>
      </c>
      <c r="CU4" s="9">
        <f t="shared" si="10"/>
        <v>6707</v>
      </c>
      <c r="CV4" s="9">
        <f t="shared" si="10"/>
        <v>6114</v>
      </c>
      <c r="CW4" s="9">
        <f t="shared" si="10"/>
        <v>26384</v>
      </c>
      <c r="CX4" s="9">
        <f t="shared" si="10"/>
        <v>6289</v>
      </c>
      <c r="CY4" s="9">
        <f t="shared" si="10"/>
        <v>6661</v>
      </c>
      <c r="CZ4" s="9">
        <f t="shared" si="10"/>
        <v>7024</v>
      </c>
      <c r="DA4" s="9">
        <f t="shared" si="10"/>
        <v>6498</v>
      </c>
      <c r="DB4" s="9">
        <f t="shared" si="10"/>
        <v>26472</v>
      </c>
      <c r="DC4" s="9">
        <f t="shared" si="10"/>
        <v>5861</v>
      </c>
      <c r="DD4" s="9">
        <f t="shared" si="10"/>
        <v>6902</v>
      </c>
      <c r="DE4" s="9">
        <f t="shared" si="10"/>
        <v>6957</v>
      </c>
      <c r="DF4" s="9">
        <f t="shared" si="10"/>
        <v>6691</v>
      </c>
      <c r="DG4" s="9">
        <f t="shared" si="10"/>
        <v>26411</v>
      </c>
      <c r="DH4" s="9">
        <f t="shared" si="10"/>
        <v>6003</v>
      </c>
      <c r="DI4" s="9">
        <f t="shared" si="10"/>
        <v>6861</v>
      </c>
      <c r="DJ4" s="9">
        <f t="shared" si="10"/>
        <v>6065</v>
      </c>
      <c r="DK4" s="9">
        <f t="shared" si="10"/>
        <v>5657</v>
      </c>
      <c r="DL4" s="9">
        <f t="shared" si="10"/>
        <v>24586</v>
      </c>
      <c r="DM4" s="9">
        <f t="shared" si="10"/>
        <v>5640</v>
      </c>
      <c r="DN4" s="9">
        <f t="shared" si="10"/>
        <v>7714</v>
      </c>
      <c r="DO4" s="9">
        <f t="shared" si="10"/>
        <v>7240</v>
      </c>
      <c r="DP4" s="9">
        <f t="shared" si="10"/>
        <v>6785</v>
      </c>
      <c r="DQ4" s="9">
        <f t="shared" si="10"/>
        <v>27379</v>
      </c>
      <c r="DR4" s="9">
        <f t="shared" si="10"/>
        <v>6328</v>
      </c>
      <c r="DS4" s="9">
        <f t="shared" si="10"/>
        <v>6131</v>
      </c>
      <c r="DT4" s="9">
        <f t="shared" si="10"/>
        <v>6477</v>
      </c>
      <c r="DU4" s="9">
        <f t="shared" si="10"/>
        <v>6638.1525000000001</v>
      </c>
      <c r="DV4" s="9">
        <f t="shared" si="10"/>
        <v>25574.152500000004</v>
      </c>
      <c r="DW4" s="9">
        <f t="shared" si="10"/>
        <v>6890</v>
      </c>
      <c r="DX4" s="9">
        <f t="shared" si="10"/>
        <v>6915</v>
      </c>
      <c r="DY4" s="9">
        <f t="shared" ref="DY4:ED15" si="11">(DY23+DY42)*1</f>
        <v>7723.326</v>
      </c>
      <c r="DZ4" s="9">
        <f t="shared" si="11"/>
        <v>7937</v>
      </c>
      <c r="EA4" s="9">
        <f t="shared" si="11"/>
        <v>29465.326000000001</v>
      </c>
      <c r="EB4" s="9">
        <f t="shared" si="11"/>
        <v>6689</v>
      </c>
      <c r="EC4" s="9">
        <f t="shared" si="11"/>
        <v>6723.0569999999998</v>
      </c>
      <c r="ED4" s="9">
        <f t="shared" si="11"/>
        <v>7649.9719999999998</v>
      </c>
      <c r="EE4" s="9">
        <f t="shared" ref="EE4" si="12">(EE23+EE42)*1</f>
        <v>7893.0645000000004</v>
      </c>
      <c r="EF4" s="9">
        <f t="shared" ref="EF4:EG15" si="13">(EF23+EF42)*1</f>
        <v>28955.093499999999</v>
      </c>
      <c r="EG4" s="9">
        <f t="shared" si="13"/>
        <v>7113.4590000000007</v>
      </c>
      <c r="EH4" s="9">
        <f t="shared" ref="EH4" si="14">(EH23+EH42)*1</f>
        <v>6793.7644999999993</v>
      </c>
      <c r="EI4" s="9">
        <f t="shared" ref="EI4" si="15">(EI23+EI42)*1</f>
        <v>7590.0565000000006</v>
      </c>
    </row>
    <row r="5" spans="1:139" ht="15" thickTop="1" x14ac:dyDescent="0.3">
      <c r="A5" s="1" t="s">
        <v>442</v>
      </c>
      <c r="B5" s="8">
        <f t="shared" ref="B5:AG5" si="16">(B24+B43)*1</f>
        <v>10232.213</v>
      </c>
      <c r="C5" s="8">
        <f t="shared" si="16"/>
        <v>8787.3734999999997</v>
      </c>
      <c r="D5" s="8">
        <f t="shared" si="16"/>
        <v>9451.3865000000005</v>
      </c>
      <c r="E5" s="8">
        <f t="shared" si="16"/>
        <v>10570.439</v>
      </c>
      <c r="F5" s="8">
        <f t="shared" si="16"/>
        <v>39041.411999999997</v>
      </c>
      <c r="G5" s="8">
        <f t="shared" si="16"/>
        <v>10764.181500000001</v>
      </c>
      <c r="H5" s="8">
        <f t="shared" si="16"/>
        <v>9026.6514999999999</v>
      </c>
      <c r="I5" s="8">
        <f t="shared" si="16"/>
        <v>9754.3809999999994</v>
      </c>
      <c r="J5" s="8">
        <f t="shared" si="16"/>
        <v>10457.146500000001</v>
      </c>
      <c r="K5" s="8">
        <f t="shared" si="16"/>
        <v>40002.360499999995</v>
      </c>
      <c r="L5" s="8">
        <f t="shared" si="16"/>
        <v>9945.848</v>
      </c>
      <c r="M5" s="8">
        <f t="shared" si="16"/>
        <v>8937.351999999999</v>
      </c>
      <c r="N5" s="8">
        <f t="shared" si="16"/>
        <v>8830.0684999999994</v>
      </c>
      <c r="O5" s="8">
        <f t="shared" si="16"/>
        <v>10007.373</v>
      </c>
      <c r="P5" s="8">
        <f t="shared" si="16"/>
        <v>37720.641499999998</v>
      </c>
      <c r="Q5" s="8">
        <f t="shared" si="16"/>
        <v>10368.280999999999</v>
      </c>
      <c r="R5" s="8">
        <f t="shared" si="16"/>
        <v>8671.7844999999998</v>
      </c>
      <c r="S5" s="8">
        <f t="shared" si="16"/>
        <v>9148.4775000000009</v>
      </c>
      <c r="T5" s="8">
        <f t="shared" si="16"/>
        <v>9876.7525000000005</v>
      </c>
      <c r="U5" s="8">
        <f t="shared" si="16"/>
        <v>38065.2955</v>
      </c>
      <c r="V5" s="8">
        <f t="shared" si="16"/>
        <v>10166.7245</v>
      </c>
      <c r="W5" s="8">
        <f t="shared" si="16"/>
        <v>8825.9390000000003</v>
      </c>
      <c r="X5" s="8">
        <f t="shared" si="16"/>
        <v>9582.664499999999</v>
      </c>
      <c r="Y5" s="8">
        <f t="shared" si="16"/>
        <v>10718.9445</v>
      </c>
      <c r="Z5" s="8">
        <f t="shared" si="16"/>
        <v>39294.272499999999</v>
      </c>
      <c r="AA5" s="8">
        <f t="shared" si="16"/>
        <v>10453.4545</v>
      </c>
      <c r="AB5" s="8">
        <f t="shared" si="16"/>
        <v>9256.1720000000005</v>
      </c>
      <c r="AC5" s="8">
        <f t="shared" si="16"/>
        <v>9424.6834999999992</v>
      </c>
      <c r="AD5" s="8">
        <f t="shared" si="16"/>
        <v>10793.683999999999</v>
      </c>
      <c r="AE5" s="8">
        <f t="shared" si="16"/>
        <v>39927.993999999999</v>
      </c>
      <c r="AF5" s="8">
        <f t="shared" si="16"/>
        <v>10801.387000000001</v>
      </c>
      <c r="AG5" s="8">
        <f t="shared" si="16"/>
        <v>9555.6605</v>
      </c>
      <c r="AH5" s="8">
        <f t="shared" ref="AH5:BM5" si="17">(AH24+AH43)*1</f>
        <v>10494.391</v>
      </c>
      <c r="AI5" s="8">
        <f t="shared" si="17"/>
        <v>11173.3035</v>
      </c>
      <c r="AJ5" s="8">
        <f t="shared" si="17"/>
        <v>42024.741999999998</v>
      </c>
      <c r="AK5" s="8">
        <f t="shared" si="17"/>
        <v>11290.3325</v>
      </c>
      <c r="AL5" s="8">
        <f t="shared" si="17"/>
        <v>10312.768</v>
      </c>
      <c r="AM5" s="8">
        <f t="shared" si="17"/>
        <v>10695.86</v>
      </c>
      <c r="AN5" s="8">
        <f t="shared" si="17"/>
        <v>11111.255499999999</v>
      </c>
      <c r="AO5" s="8">
        <f t="shared" si="17"/>
        <v>43410.216</v>
      </c>
      <c r="AP5" s="8">
        <f t="shared" si="17"/>
        <v>11673.5695</v>
      </c>
      <c r="AQ5" s="8">
        <f t="shared" si="17"/>
        <v>10002.822</v>
      </c>
      <c r="AR5" s="8">
        <f t="shared" si="17"/>
        <v>11075.939999999999</v>
      </c>
      <c r="AS5" s="8">
        <f t="shared" si="17"/>
        <v>11869.284</v>
      </c>
      <c r="AT5" s="8">
        <f t="shared" si="17"/>
        <v>44621.6155</v>
      </c>
      <c r="AU5" s="8">
        <f t="shared" si="17"/>
        <v>12274.05</v>
      </c>
      <c r="AV5" s="8">
        <f t="shared" si="17"/>
        <v>10762.058000000001</v>
      </c>
      <c r="AW5" s="8">
        <f t="shared" si="17"/>
        <v>11685.5075</v>
      </c>
      <c r="AX5" s="8">
        <f t="shared" si="17"/>
        <v>12426.682000000001</v>
      </c>
      <c r="AY5" s="8">
        <f t="shared" si="17"/>
        <v>47148.297500000001</v>
      </c>
      <c r="AZ5" s="8">
        <f t="shared" si="17"/>
        <v>12486.223999999998</v>
      </c>
      <c r="BA5" s="8">
        <f t="shared" si="17"/>
        <v>11456.387500000001</v>
      </c>
      <c r="BB5" s="8">
        <f t="shared" si="17"/>
        <v>12163.001499999998</v>
      </c>
      <c r="BC5" s="8">
        <f t="shared" si="17"/>
        <v>12859.3285</v>
      </c>
      <c r="BD5" s="8">
        <f t="shared" si="17"/>
        <v>48964.941500000001</v>
      </c>
      <c r="BE5" s="8">
        <f t="shared" si="17"/>
        <v>12326.4985</v>
      </c>
      <c r="BF5" s="8">
        <f t="shared" si="17"/>
        <v>11349</v>
      </c>
      <c r="BG5" s="8">
        <f t="shared" si="17"/>
        <v>11933.7955</v>
      </c>
      <c r="BH5" s="8">
        <f t="shared" si="17"/>
        <v>13853.5015</v>
      </c>
      <c r="BI5" s="8">
        <f t="shared" si="17"/>
        <v>49462.795499999993</v>
      </c>
      <c r="BJ5" s="8">
        <f t="shared" si="17"/>
        <v>13131</v>
      </c>
      <c r="BK5" s="8">
        <f t="shared" si="17"/>
        <v>12484</v>
      </c>
      <c r="BL5" s="8">
        <f t="shared" si="17"/>
        <v>13525.416999999999</v>
      </c>
      <c r="BM5" s="8">
        <f t="shared" si="17"/>
        <v>14528</v>
      </c>
      <c r="BN5" s="8">
        <f t="shared" ref="BN5:CS5" si="18">(BN24+BN43)*1</f>
        <v>53668.417000000001</v>
      </c>
      <c r="BO5" s="8">
        <f t="shared" si="18"/>
        <v>14421</v>
      </c>
      <c r="BP5" s="8">
        <f t="shared" si="18"/>
        <v>13506.760999999999</v>
      </c>
      <c r="BQ5" s="8">
        <f t="shared" si="18"/>
        <v>13952.239000000001</v>
      </c>
      <c r="BR5" s="8">
        <f t="shared" si="18"/>
        <v>14672</v>
      </c>
      <c r="BS5" s="8">
        <f t="shared" si="18"/>
        <v>56552</v>
      </c>
      <c r="BT5" s="8">
        <f t="shared" si="18"/>
        <v>15219</v>
      </c>
      <c r="BU5" s="8">
        <f t="shared" si="18"/>
        <v>13410</v>
      </c>
      <c r="BV5" s="8">
        <f t="shared" si="18"/>
        <v>15139</v>
      </c>
      <c r="BW5" s="8">
        <f t="shared" si="18"/>
        <v>15432.805</v>
      </c>
      <c r="BX5" s="8">
        <f t="shared" si="18"/>
        <v>59200.805</v>
      </c>
      <c r="BY5" s="8">
        <f t="shared" si="18"/>
        <v>15082</v>
      </c>
      <c r="BZ5" s="8">
        <f t="shared" si="18"/>
        <v>14190</v>
      </c>
      <c r="CA5" s="8">
        <f t="shared" si="18"/>
        <v>16057</v>
      </c>
      <c r="CB5" s="8">
        <f t="shared" si="18"/>
        <v>16603</v>
      </c>
      <c r="CC5" s="8">
        <f t="shared" si="18"/>
        <v>61932</v>
      </c>
      <c r="CD5" s="8">
        <f t="shared" si="18"/>
        <v>16752</v>
      </c>
      <c r="CE5" s="8">
        <f t="shared" si="18"/>
        <v>14526</v>
      </c>
      <c r="CF5" s="8">
        <f t="shared" si="18"/>
        <v>15866</v>
      </c>
      <c r="CG5" s="8">
        <f t="shared" si="18"/>
        <v>16844</v>
      </c>
      <c r="CH5" s="8">
        <f t="shared" si="18"/>
        <v>63988</v>
      </c>
      <c r="CI5" s="8">
        <f t="shared" si="18"/>
        <v>16331</v>
      </c>
      <c r="CJ5" s="8">
        <f t="shared" si="18"/>
        <v>15278</v>
      </c>
      <c r="CK5" s="8">
        <f t="shared" si="18"/>
        <v>16153</v>
      </c>
      <c r="CL5" s="8">
        <f t="shared" si="18"/>
        <v>16918</v>
      </c>
      <c r="CM5" s="8">
        <f t="shared" si="18"/>
        <v>64680</v>
      </c>
      <c r="CN5" s="8">
        <f t="shared" si="18"/>
        <v>16257.336499999999</v>
      </c>
      <c r="CO5" s="8">
        <f t="shared" si="18"/>
        <v>14344.663500000001</v>
      </c>
      <c r="CP5" s="8">
        <f t="shared" si="18"/>
        <v>14394</v>
      </c>
      <c r="CQ5" s="8">
        <f t="shared" si="18"/>
        <v>15673.972999999998</v>
      </c>
      <c r="CR5" s="8">
        <f t="shared" si="18"/>
        <v>60669.972999999998</v>
      </c>
      <c r="CS5" s="8">
        <f t="shared" si="18"/>
        <v>16391</v>
      </c>
      <c r="CT5" s="8">
        <f t="shared" ref="CT5:DX5" si="19">(CT24+CT43)*1</f>
        <v>14797</v>
      </c>
      <c r="CU5" s="8">
        <f t="shared" si="19"/>
        <v>16058</v>
      </c>
      <c r="CV5" s="8">
        <f t="shared" si="19"/>
        <v>16477</v>
      </c>
      <c r="CW5" s="8">
        <f t="shared" si="19"/>
        <v>63723</v>
      </c>
      <c r="CX5" s="8">
        <f t="shared" si="19"/>
        <v>16921</v>
      </c>
      <c r="CY5" s="8">
        <f t="shared" si="19"/>
        <v>14087</v>
      </c>
      <c r="CZ5" s="8">
        <f t="shared" si="19"/>
        <v>14661</v>
      </c>
      <c r="DA5" s="8">
        <f t="shared" si="19"/>
        <v>15503</v>
      </c>
      <c r="DB5" s="8">
        <f t="shared" si="19"/>
        <v>61172</v>
      </c>
      <c r="DC5" s="8">
        <f t="shared" si="19"/>
        <v>15903</v>
      </c>
      <c r="DD5" s="8">
        <f t="shared" si="19"/>
        <v>14115</v>
      </c>
      <c r="DE5" s="8">
        <f t="shared" si="19"/>
        <v>14774</v>
      </c>
      <c r="DF5" s="8">
        <f t="shared" si="19"/>
        <v>16196</v>
      </c>
      <c r="DG5" s="8">
        <f t="shared" si="19"/>
        <v>60988</v>
      </c>
      <c r="DH5" s="8">
        <f t="shared" si="19"/>
        <v>15127</v>
      </c>
      <c r="DI5" s="8">
        <f t="shared" si="19"/>
        <v>10957</v>
      </c>
      <c r="DJ5" s="8">
        <f t="shared" si="19"/>
        <v>14712</v>
      </c>
      <c r="DK5" s="8">
        <f t="shared" si="19"/>
        <v>15818</v>
      </c>
      <c r="DL5" s="8">
        <f t="shared" si="19"/>
        <v>56614</v>
      </c>
      <c r="DM5" s="8">
        <f t="shared" si="19"/>
        <v>15055</v>
      </c>
      <c r="DN5" s="8">
        <f t="shared" si="19"/>
        <v>14184</v>
      </c>
      <c r="DO5" s="8">
        <f t="shared" si="19"/>
        <v>14711</v>
      </c>
      <c r="DP5" s="8">
        <f t="shared" si="19"/>
        <v>15416</v>
      </c>
      <c r="DQ5" s="8">
        <f t="shared" si="19"/>
        <v>59366</v>
      </c>
      <c r="DR5" s="8">
        <f t="shared" si="19"/>
        <v>16040</v>
      </c>
      <c r="DS5" s="8">
        <f t="shared" si="19"/>
        <v>14583</v>
      </c>
      <c r="DT5" s="8">
        <f t="shared" si="19"/>
        <v>15406</v>
      </c>
      <c r="DU5" s="8">
        <f t="shared" si="19"/>
        <v>16267.342000000001</v>
      </c>
      <c r="DV5" s="8">
        <f t="shared" si="19"/>
        <v>62296.342000000004</v>
      </c>
      <c r="DW5" s="8">
        <f t="shared" si="19"/>
        <v>16678</v>
      </c>
      <c r="DX5" s="8">
        <f t="shared" si="19"/>
        <v>15960</v>
      </c>
      <c r="DY5" s="8">
        <f t="shared" si="11"/>
        <v>16858.1525</v>
      </c>
      <c r="DZ5" s="8">
        <f t="shared" si="11"/>
        <v>17947</v>
      </c>
      <c r="EA5" s="8">
        <f t="shared" si="11"/>
        <v>67443.152499999997</v>
      </c>
      <c r="EB5" s="8">
        <f t="shared" si="11"/>
        <v>17942</v>
      </c>
      <c r="EC5" s="8">
        <f t="shared" si="11"/>
        <v>17256.745999999999</v>
      </c>
      <c r="ED5" s="8">
        <f t="shared" si="11"/>
        <v>17430.858</v>
      </c>
      <c r="EE5" s="8">
        <f t="shared" ref="EE5" si="20">(EE24+EE43)*1</f>
        <v>17773.693500000001</v>
      </c>
      <c r="EF5" s="8">
        <f t="shared" si="13"/>
        <v>70403.297500000015</v>
      </c>
      <c r="EG5" s="8">
        <f t="shared" si="13"/>
        <v>18470.506000000001</v>
      </c>
      <c r="EH5" s="8">
        <f t="shared" ref="EH5" si="21">(EH24+EH43)*1</f>
        <v>17340.436500000003</v>
      </c>
      <c r="EI5" s="8">
        <f t="shared" ref="EI5" si="22">(EI24+EI43)*1</f>
        <v>18071.138999999999</v>
      </c>
    </row>
    <row r="6" spans="1:139" ht="16.2" thickBot="1" x14ac:dyDescent="0.35">
      <c r="A6" s="2" t="s">
        <v>364</v>
      </c>
      <c r="B6" s="9">
        <f t="shared" ref="B6:AG6" si="23">(B25+B44)*1</f>
        <v>0</v>
      </c>
      <c r="C6" s="9">
        <f t="shared" si="23"/>
        <v>0</v>
      </c>
      <c r="D6" s="9">
        <f t="shared" si="23"/>
        <v>0</v>
      </c>
      <c r="E6" s="9">
        <f t="shared" si="23"/>
        <v>0</v>
      </c>
      <c r="F6" s="9">
        <f t="shared" si="23"/>
        <v>0</v>
      </c>
      <c r="G6" s="9">
        <f t="shared" si="23"/>
        <v>0</v>
      </c>
      <c r="H6" s="9">
        <f t="shared" si="23"/>
        <v>0</v>
      </c>
      <c r="I6" s="9">
        <f t="shared" si="23"/>
        <v>0</v>
      </c>
      <c r="J6" s="9">
        <f t="shared" si="23"/>
        <v>0</v>
      </c>
      <c r="K6" s="9">
        <f t="shared" si="23"/>
        <v>0</v>
      </c>
      <c r="L6" s="9">
        <f t="shared" si="23"/>
        <v>0</v>
      </c>
      <c r="M6" s="9">
        <f t="shared" si="23"/>
        <v>0</v>
      </c>
      <c r="N6" s="9">
        <f t="shared" si="23"/>
        <v>0</v>
      </c>
      <c r="O6" s="9">
        <f t="shared" si="23"/>
        <v>0</v>
      </c>
      <c r="P6" s="9">
        <f t="shared" si="23"/>
        <v>0</v>
      </c>
      <c r="Q6" s="9">
        <f t="shared" si="23"/>
        <v>0</v>
      </c>
      <c r="R6" s="9">
        <f t="shared" si="23"/>
        <v>0</v>
      </c>
      <c r="S6" s="9">
        <f t="shared" si="23"/>
        <v>0</v>
      </c>
      <c r="T6" s="9">
        <f t="shared" si="23"/>
        <v>0</v>
      </c>
      <c r="U6" s="9">
        <f t="shared" si="23"/>
        <v>0</v>
      </c>
      <c r="V6" s="9">
        <f t="shared" si="23"/>
        <v>0</v>
      </c>
      <c r="W6" s="9">
        <f t="shared" si="23"/>
        <v>0</v>
      </c>
      <c r="X6" s="9">
        <f t="shared" si="23"/>
        <v>0</v>
      </c>
      <c r="Y6" s="9">
        <f t="shared" si="23"/>
        <v>0</v>
      </c>
      <c r="Z6" s="9">
        <f t="shared" si="23"/>
        <v>0</v>
      </c>
      <c r="AA6" s="9">
        <f t="shared" si="23"/>
        <v>0</v>
      </c>
      <c r="AB6" s="9">
        <f t="shared" si="23"/>
        <v>0</v>
      </c>
      <c r="AC6" s="9">
        <f t="shared" si="23"/>
        <v>0</v>
      </c>
      <c r="AD6" s="9">
        <f t="shared" si="23"/>
        <v>0</v>
      </c>
      <c r="AE6" s="9">
        <f t="shared" si="23"/>
        <v>0</v>
      </c>
      <c r="AF6" s="9">
        <f t="shared" si="23"/>
        <v>0</v>
      </c>
      <c r="AG6" s="9">
        <f t="shared" si="23"/>
        <v>0</v>
      </c>
      <c r="AH6" s="9">
        <f t="shared" ref="AH6:BM6" si="24">(AH25+AH44)*1</f>
        <v>0</v>
      </c>
      <c r="AI6" s="9">
        <f t="shared" si="24"/>
        <v>0</v>
      </c>
      <c r="AJ6" s="9">
        <f t="shared" si="24"/>
        <v>0</v>
      </c>
      <c r="AK6" s="9">
        <f t="shared" si="24"/>
        <v>0</v>
      </c>
      <c r="AL6" s="9">
        <f t="shared" si="24"/>
        <v>0</v>
      </c>
      <c r="AM6" s="9">
        <f t="shared" si="24"/>
        <v>0</v>
      </c>
      <c r="AN6" s="9">
        <f t="shared" si="24"/>
        <v>0</v>
      </c>
      <c r="AO6" s="9">
        <f t="shared" si="24"/>
        <v>0</v>
      </c>
      <c r="AP6" s="9">
        <f t="shared" si="24"/>
        <v>0</v>
      </c>
      <c r="AQ6" s="9">
        <f t="shared" si="24"/>
        <v>0</v>
      </c>
      <c r="AR6" s="9">
        <f t="shared" si="24"/>
        <v>0</v>
      </c>
      <c r="AS6" s="9">
        <f t="shared" si="24"/>
        <v>0</v>
      </c>
      <c r="AT6" s="9">
        <f t="shared" si="24"/>
        <v>0</v>
      </c>
      <c r="AU6" s="9">
        <f t="shared" si="24"/>
        <v>0</v>
      </c>
      <c r="AV6" s="9">
        <f t="shared" si="24"/>
        <v>0</v>
      </c>
      <c r="AW6" s="9">
        <f t="shared" si="24"/>
        <v>0</v>
      </c>
      <c r="AX6" s="9">
        <f t="shared" si="24"/>
        <v>0</v>
      </c>
      <c r="AY6" s="9">
        <f t="shared" si="24"/>
        <v>0</v>
      </c>
      <c r="AZ6" s="9">
        <f t="shared" si="24"/>
        <v>3256.7354999999998</v>
      </c>
      <c r="BA6" s="9">
        <f t="shared" si="24"/>
        <v>4981.0765000000001</v>
      </c>
      <c r="BB6" s="9">
        <f t="shared" si="24"/>
        <v>5110.5560000000005</v>
      </c>
      <c r="BC6" s="9">
        <f t="shared" si="24"/>
        <v>4567.8194999999996</v>
      </c>
      <c r="BD6" s="9">
        <f t="shared" si="24"/>
        <v>17916.1875</v>
      </c>
      <c r="BE6" s="9">
        <f t="shared" si="24"/>
        <v>4912.8629999999994</v>
      </c>
      <c r="BF6" s="9">
        <f t="shared" si="24"/>
        <v>4711</v>
      </c>
      <c r="BG6" s="9">
        <f t="shared" si="24"/>
        <v>4763.7175000000007</v>
      </c>
      <c r="BH6" s="9">
        <f t="shared" si="24"/>
        <v>5273.4089999999997</v>
      </c>
      <c r="BI6" s="9">
        <f t="shared" si="24"/>
        <v>19660.989500000003</v>
      </c>
      <c r="BJ6" s="9">
        <f t="shared" si="24"/>
        <v>5914</v>
      </c>
      <c r="BK6" s="9">
        <f t="shared" si="24"/>
        <v>5456</v>
      </c>
      <c r="BL6" s="9">
        <f t="shared" si="24"/>
        <v>6027.0715</v>
      </c>
      <c r="BM6" s="9">
        <f t="shared" si="24"/>
        <v>5982</v>
      </c>
      <c r="BN6" s="9">
        <f t="shared" ref="BN6:CS6" si="25">(BN25+BN44)*1</f>
        <v>23379.071499999998</v>
      </c>
      <c r="BO6" s="9">
        <f t="shared" si="25"/>
        <v>6340</v>
      </c>
      <c r="BP6" s="9">
        <f t="shared" si="25"/>
        <v>6154.085</v>
      </c>
      <c r="BQ6" s="9">
        <f t="shared" si="25"/>
        <v>6612.915</v>
      </c>
      <c r="BR6" s="9">
        <f t="shared" si="25"/>
        <v>6625</v>
      </c>
      <c r="BS6" s="9">
        <f t="shared" si="25"/>
        <v>25732</v>
      </c>
      <c r="BT6" s="9">
        <f t="shared" si="25"/>
        <v>6748</v>
      </c>
      <c r="BU6" s="9">
        <f t="shared" si="25"/>
        <v>6202</v>
      </c>
      <c r="BV6" s="9">
        <f t="shared" si="25"/>
        <v>6649</v>
      </c>
      <c r="BW6" s="9">
        <f t="shared" si="25"/>
        <v>6820.4935000000005</v>
      </c>
      <c r="BX6" s="9">
        <f t="shared" si="25"/>
        <v>26419.4935</v>
      </c>
      <c r="BY6" s="9">
        <f t="shared" si="25"/>
        <v>7027</v>
      </c>
      <c r="BZ6" s="9">
        <f t="shared" si="25"/>
        <v>6639</v>
      </c>
      <c r="CA6" s="9">
        <f t="shared" si="25"/>
        <v>7065</v>
      </c>
      <c r="CB6" s="9">
        <f t="shared" si="25"/>
        <v>6979</v>
      </c>
      <c r="CC6" s="9">
        <f t="shared" si="25"/>
        <v>27710</v>
      </c>
      <c r="CD6" s="9">
        <f t="shared" si="25"/>
        <v>7500</v>
      </c>
      <c r="CE6" s="9">
        <f t="shared" si="25"/>
        <v>6988</v>
      </c>
      <c r="CF6" s="9">
        <f t="shared" si="25"/>
        <v>7117</v>
      </c>
      <c r="CG6" s="9">
        <f t="shared" si="25"/>
        <v>6972</v>
      </c>
      <c r="CH6" s="9">
        <f t="shared" si="25"/>
        <v>28577</v>
      </c>
      <c r="CI6" s="9">
        <f t="shared" si="25"/>
        <v>6904</v>
      </c>
      <c r="CJ6" s="9">
        <f t="shared" si="25"/>
        <v>6266</v>
      </c>
      <c r="CK6" s="9">
        <f t="shared" si="25"/>
        <v>6408</v>
      </c>
      <c r="CL6" s="9">
        <f t="shared" si="25"/>
        <v>6551</v>
      </c>
      <c r="CM6" s="9">
        <f t="shared" si="25"/>
        <v>26129</v>
      </c>
      <c r="CN6" s="9">
        <f t="shared" si="25"/>
        <v>7108.1329999999998</v>
      </c>
      <c r="CO6" s="9">
        <f t="shared" si="25"/>
        <v>6410.8670000000002</v>
      </c>
      <c r="CP6" s="9">
        <f t="shared" si="25"/>
        <v>6649</v>
      </c>
      <c r="CQ6" s="9">
        <f t="shared" si="25"/>
        <v>6605.098</v>
      </c>
      <c r="CR6" s="9">
        <f t="shared" si="25"/>
        <v>26773.097999999998</v>
      </c>
      <c r="CS6" s="9">
        <f t="shared" si="25"/>
        <v>7208</v>
      </c>
      <c r="CT6" s="9">
        <f t="shared" ref="CT6:DX6" si="26">(CT25+CT44)*1</f>
        <v>6785</v>
      </c>
      <c r="CU6" s="9">
        <f t="shared" si="26"/>
        <v>7120</v>
      </c>
      <c r="CV6" s="9">
        <f t="shared" si="26"/>
        <v>6716</v>
      </c>
      <c r="CW6" s="9">
        <f t="shared" si="26"/>
        <v>27829</v>
      </c>
      <c r="CX6" s="9">
        <f t="shared" si="26"/>
        <v>7128</v>
      </c>
      <c r="CY6" s="9">
        <f t="shared" si="26"/>
        <v>6200</v>
      </c>
      <c r="CZ6" s="9">
        <f t="shared" si="26"/>
        <v>6701</v>
      </c>
      <c r="DA6" s="9">
        <f t="shared" si="26"/>
        <v>6644</v>
      </c>
      <c r="DB6" s="9">
        <f t="shared" si="26"/>
        <v>26673</v>
      </c>
      <c r="DC6" s="9">
        <f t="shared" si="26"/>
        <v>6813</v>
      </c>
      <c r="DD6" s="9">
        <f t="shared" si="26"/>
        <v>6390</v>
      </c>
      <c r="DE6" s="9">
        <f t="shared" si="26"/>
        <v>6769</v>
      </c>
      <c r="DF6" s="9">
        <f t="shared" si="26"/>
        <v>6997</v>
      </c>
      <c r="DG6" s="9">
        <f t="shared" si="26"/>
        <v>26969</v>
      </c>
      <c r="DH6" s="9">
        <f t="shared" si="26"/>
        <v>7158</v>
      </c>
      <c r="DI6" s="9">
        <f t="shared" si="26"/>
        <v>5391</v>
      </c>
      <c r="DJ6" s="9">
        <f t="shared" si="26"/>
        <v>6255</v>
      </c>
      <c r="DK6" s="9">
        <f t="shared" si="26"/>
        <v>6928</v>
      </c>
      <c r="DL6" s="9">
        <f t="shared" si="26"/>
        <v>25732</v>
      </c>
      <c r="DM6" s="9">
        <f t="shared" si="26"/>
        <v>6812</v>
      </c>
      <c r="DN6" s="9">
        <f t="shared" si="26"/>
        <v>6823</v>
      </c>
      <c r="DO6" s="9">
        <f t="shared" si="26"/>
        <v>7139</v>
      </c>
      <c r="DP6" s="9">
        <f t="shared" si="26"/>
        <v>4728</v>
      </c>
      <c r="DQ6" s="9">
        <f t="shared" si="26"/>
        <v>25502</v>
      </c>
      <c r="DR6" s="9">
        <f t="shared" si="26"/>
        <v>0</v>
      </c>
      <c r="DS6" s="9">
        <f t="shared" si="26"/>
        <v>0</v>
      </c>
      <c r="DT6" s="9">
        <f t="shared" si="26"/>
        <v>0</v>
      </c>
      <c r="DU6" s="9">
        <f t="shared" si="26"/>
        <v>0</v>
      </c>
      <c r="DV6" s="9">
        <f t="shared" si="26"/>
        <v>0</v>
      </c>
      <c r="DW6" s="9">
        <f t="shared" si="26"/>
        <v>0</v>
      </c>
      <c r="DX6" s="9">
        <f t="shared" si="26"/>
        <v>0</v>
      </c>
      <c r="DY6" s="9">
        <f t="shared" si="11"/>
        <v>0</v>
      </c>
      <c r="DZ6" s="9">
        <f t="shared" si="11"/>
        <v>0</v>
      </c>
      <c r="EA6" s="9">
        <f t="shared" si="11"/>
        <v>0</v>
      </c>
      <c r="EB6" s="9">
        <f t="shared" si="11"/>
        <v>0</v>
      </c>
      <c r="EC6" s="9">
        <f t="shared" si="11"/>
        <v>0</v>
      </c>
      <c r="ED6" s="9">
        <f t="shared" si="11"/>
        <v>0</v>
      </c>
      <c r="EE6" s="9">
        <f t="shared" ref="EE6" si="27">(EE25+EE44)*1</f>
        <v>0</v>
      </c>
      <c r="EF6" s="9">
        <f t="shared" si="13"/>
        <v>0</v>
      </c>
      <c r="EG6" s="9">
        <f t="shared" si="13"/>
        <v>0</v>
      </c>
      <c r="EH6" s="9">
        <f t="shared" ref="EH6" si="28">(EH25+EH44)*1</f>
        <v>0</v>
      </c>
      <c r="EI6" s="9">
        <f t="shared" ref="EI6" si="29">(EI25+EI44)*1</f>
        <v>0</v>
      </c>
    </row>
    <row r="7" spans="1:139" ht="15" thickTop="1" x14ac:dyDescent="0.3">
      <c r="A7" s="1" t="s">
        <v>443</v>
      </c>
      <c r="B7" s="8">
        <f t="shared" ref="B7:AG7" si="30">(B26+B45)*1</f>
        <v>0</v>
      </c>
      <c r="C7" s="8">
        <f t="shared" si="30"/>
        <v>0</v>
      </c>
      <c r="D7" s="8">
        <f t="shared" si="30"/>
        <v>0</v>
      </c>
      <c r="E7" s="8">
        <f t="shared" si="30"/>
        <v>0</v>
      </c>
      <c r="F7" s="8">
        <f t="shared" si="30"/>
        <v>0</v>
      </c>
      <c r="G7" s="8">
        <f t="shared" si="30"/>
        <v>0</v>
      </c>
      <c r="H7" s="8">
        <f t="shared" si="30"/>
        <v>0</v>
      </c>
      <c r="I7" s="8">
        <f t="shared" si="30"/>
        <v>0</v>
      </c>
      <c r="J7" s="8">
        <f t="shared" si="30"/>
        <v>0</v>
      </c>
      <c r="K7" s="8">
        <f t="shared" si="30"/>
        <v>0</v>
      </c>
      <c r="L7" s="8">
        <f t="shared" si="30"/>
        <v>0</v>
      </c>
      <c r="M7" s="8">
        <f t="shared" si="30"/>
        <v>0</v>
      </c>
      <c r="N7" s="8">
        <f t="shared" si="30"/>
        <v>0</v>
      </c>
      <c r="O7" s="8">
        <f t="shared" si="30"/>
        <v>0</v>
      </c>
      <c r="P7" s="8">
        <f t="shared" si="30"/>
        <v>0</v>
      </c>
      <c r="Q7" s="8">
        <f t="shared" si="30"/>
        <v>0</v>
      </c>
      <c r="R7" s="8">
        <f t="shared" si="30"/>
        <v>0</v>
      </c>
      <c r="S7" s="8">
        <f t="shared" si="30"/>
        <v>0</v>
      </c>
      <c r="T7" s="8">
        <f t="shared" si="30"/>
        <v>0</v>
      </c>
      <c r="U7" s="8">
        <f t="shared" si="30"/>
        <v>0</v>
      </c>
      <c r="V7" s="8">
        <f t="shared" si="30"/>
        <v>0</v>
      </c>
      <c r="W7" s="8">
        <f t="shared" si="30"/>
        <v>0</v>
      </c>
      <c r="X7" s="8">
        <f t="shared" si="30"/>
        <v>0</v>
      </c>
      <c r="Y7" s="8">
        <f t="shared" si="30"/>
        <v>0</v>
      </c>
      <c r="Z7" s="8">
        <f t="shared" si="30"/>
        <v>0</v>
      </c>
      <c r="AA7" s="8">
        <f t="shared" si="30"/>
        <v>0</v>
      </c>
      <c r="AB7" s="8">
        <f t="shared" si="30"/>
        <v>0</v>
      </c>
      <c r="AC7" s="8">
        <f t="shared" si="30"/>
        <v>0</v>
      </c>
      <c r="AD7" s="8">
        <f t="shared" si="30"/>
        <v>0</v>
      </c>
      <c r="AE7" s="8">
        <f t="shared" si="30"/>
        <v>0</v>
      </c>
      <c r="AF7" s="8">
        <f t="shared" si="30"/>
        <v>0</v>
      </c>
      <c r="AG7" s="8">
        <f t="shared" si="30"/>
        <v>0</v>
      </c>
      <c r="AH7" s="8">
        <f t="shared" ref="AH7:BM7" si="31">(AH26+AH45)*1</f>
        <v>0</v>
      </c>
      <c r="AI7" s="8">
        <f t="shared" si="31"/>
        <v>0</v>
      </c>
      <c r="AJ7" s="8">
        <f t="shared" si="31"/>
        <v>0</v>
      </c>
      <c r="AK7" s="8">
        <f t="shared" si="31"/>
        <v>0</v>
      </c>
      <c r="AL7" s="8">
        <f t="shared" si="31"/>
        <v>0</v>
      </c>
      <c r="AM7" s="8">
        <f t="shared" si="31"/>
        <v>0</v>
      </c>
      <c r="AN7" s="8">
        <f t="shared" si="31"/>
        <v>0</v>
      </c>
      <c r="AO7" s="8">
        <f t="shared" si="31"/>
        <v>0</v>
      </c>
      <c r="AP7" s="8">
        <f t="shared" si="31"/>
        <v>0</v>
      </c>
      <c r="AQ7" s="8">
        <f t="shared" si="31"/>
        <v>0</v>
      </c>
      <c r="AR7" s="8">
        <f t="shared" si="31"/>
        <v>0</v>
      </c>
      <c r="AS7" s="8">
        <f t="shared" si="31"/>
        <v>0</v>
      </c>
      <c r="AT7" s="8">
        <f t="shared" si="31"/>
        <v>0</v>
      </c>
      <c r="AU7" s="8">
        <f t="shared" si="31"/>
        <v>0</v>
      </c>
      <c r="AV7" s="8">
        <f t="shared" si="31"/>
        <v>0</v>
      </c>
      <c r="AW7" s="8">
        <f t="shared" si="31"/>
        <v>0</v>
      </c>
      <c r="AX7" s="8">
        <f t="shared" si="31"/>
        <v>0</v>
      </c>
      <c r="AY7" s="8">
        <f t="shared" si="31"/>
        <v>0</v>
      </c>
      <c r="AZ7" s="8">
        <f t="shared" si="31"/>
        <v>0</v>
      </c>
      <c r="BA7" s="8">
        <f t="shared" si="31"/>
        <v>0</v>
      </c>
      <c r="BB7" s="8">
        <f t="shared" si="31"/>
        <v>0</v>
      </c>
      <c r="BC7" s="8">
        <f t="shared" si="31"/>
        <v>0</v>
      </c>
      <c r="BD7" s="8">
        <f t="shared" si="31"/>
        <v>0</v>
      </c>
      <c r="BE7" s="8">
        <f t="shared" si="31"/>
        <v>0</v>
      </c>
      <c r="BF7" s="8">
        <f t="shared" si="31"/>
        <v>990.25800000000004</v>
      </c>
      <c r="BG7" s="8">
        <f t="shared" si="31"/>
        <v>8401.3045000000002</v>
      </c>
      <c r="BH7" s="8">
        <f t="shared" si="31"/>
        <v>10583.5435</v>
      </c>
      <c r="BI7" s="8">
        <f t="shared" si="31"/>
        <v>19975.106</v>
      </c>
      <c r="BJ7" s="8">
        <f t="shared" si="31"/>
        <v>13879</v>
      </c>
      <c r="BK7" s="8">
        <f t="shared" si="31"/>
        <v>17610</v>
      </c>
      <c r="BL7" s="8">
        <f t="shared" si="31"/>
        <v>18598.182499999999</v>
      </c>
      <c r="BM7" s="8">
        <f t="shared" si="31"/>
        <v>20024</v>
      </c>
      <c r="BN7" s="8">
        <f t="shared" ref="BN7:CS7" si="32">(BN26+BN45)*1</f>
        <v>70111.182499999995</v>
      </c>
      <c r="BO7" s="8">
        <f t="shared" si="32"/>
        <v>19795</v>
      </c>
      <c r="BP7" s="8">
        <f t="shared" si="32"/>
        <v>20000.052000000003</v>
      </c>
      <c r="BQ7" s="8">
        <f t="shared" si="32"/>
        <v>20544.947999999997</v>
      </c>
      <c r="BR7" s="8">
        <f t="shared" si="32"/>
        <v>21278</v>
      </c>
      <c r="BS7" s="8">
        <f t="shared" si="32"/>
        <v>81618</v>
      </c>
      <c r="BT7" s="8">
        <f t="shared" si="32"/>
        <v>20904</v>
      </c>
      <c r="BU7" s="8">
        <f t="shared" si="32"/>
        <v>19960</v>
      </c>
      <c r="BV7" s="8">
        <f t="shared" si="32"/>
        <v>21377</v>
      </c>
      <c r="BW7" s="8">
        <f t="shared" si="32"/>
        <v>21568.220999999998</v>
      </c>
      <c r="BX7" s="8">
        <f t="shared" si="32"/>
        <v>83809.22099999999</v>
      </c>
      <c r="BY7" s="8">
        <f t="shared" si="32"/>
        <v>20921</v>
      </c>
      <c r="BZ7" s="8">
        <f t="shared" si="32"/>
        <v>20610</v>
      </c>
      <c r="CA7" s="8">
        <f t="shared" si="32"/>
        <v>22841</v>
      </c>
      <c r="CB7" s="8">
        <f t="shared" si="32"/>
        <v>23642</v>
      </c>
      <c r="CC7" s="8">
        <f t="shared" si="32"/>
        <v>88014</v>
      </c>
      <c r="CD7" s="8">
        <f t="shared" si="32"/>
        <v>22946</v>
      </c>
      <c r="CE7" s="8">
        <f t="shared" si="32"/>
        <v>21947</v>
      </c>
      <c r="CF7" s="8">
        <f t="shared" si="32"/>
        <v>22648</v>
      </c>
      <c r="CG7" s="8">
        <f t="shared" si="32"/>
        <v>24402</v>
      </c>
      <c r="CH7" s="8">
        <f t="shared" si="32"/>
        <v>91943</v>
      </c>
      <c r="CI7" s="8">
        <f t="shared" si="32"/>
        <v>23059</v>
      </c>
      <c r="CJ7" s="8">
        <f t="shared" si="32"/>
        <v>21999</v>
      </c>
      <c r="CK7" s="8">
        <f t="shared" si="32"/>
        <v>21418</v>
      </c>
      <c r="CL7" s="8">
        <f t="shared" si="32"/>
        <v>21971</v>
      </c>
      <c r="CM7" s="8">
        <f t="shared" si="32"/>
        <v>88447</v>
      </c>
      <c r="CN7" s="8">
        <f t="shared" si="32"/>
        <v>20636.597000000002</v>
      </c>
      <c r="CO7" s="8">
        <f t="shared" si="32"/>
        <v>19156.402999999998</v>
      </c>
      <c r="CP7" s="8">
        <f t="shared" si="32"/>
        <v>19967</v>
      </c>
      <c r="CQ7" s="8">
        <f t="shared" si="32"/>
        <v>20946.726999999999</v>
      </c>
      <c r="CR7" s="8">
        <f t="shared" si="32"/>
        <v>80706.726999999999</v>
      </c>
      <c r="CS7" s="8">
        <f t="shared" si="32"/>
        <v>20514</v>
      </c>
      <c r="CT7" s="8">
        <f t="shared" ref="CT7:DX7" si="33">(CT26+CT45)*1</f>
        <v>19788</v>
      </c>
      <c r="CU7" s="8">
        <f t="shared" si="33"/>
        <v>20983</v>
      </c>
      <c r="CV7" s="8">
        <f t="shared" si="33"/>
        <v>21889</v>
      </c>
      <c r="CW7" s="8">
        <f t="shared" si="33"/>
        <v>83174</v>
      </c>
      <c r="CX7" s="8">
        <f t="shared" si="33"/>
        <v>21279</v>
      </c>
      <c r="CY7" s="8">
        <f t="shared" si="33"/>
        <v>19253</v>
      </c>
      <c r="CZ7" s="8">
        <f t="shared" si="33"/>
        <v>21217</v>
      </c>
      <c r="DA7" s="8">
        <f t="shared" si="33"/>
        <v>22273</v>
      </c>
      <c r="DB7" s="8">
        <f t="shared" si="33"/>
        <v>84022</v>
      </c>
      <c r="DC7" s="8">
        <f t="shared" si="33"/>
        <v>22126</v>
      </c>
      <c r="DD7" s="8">
        <f t="shared" si="33"/>
        <v>20988</v>
      </c>
      <c r="DE7" s="8">
        <f t="shared" si="33"/>
        <v>21513</v>
      </c>
      <c r="DF7" s="8">
        <f t="shared" si="33"/>
        <v>22829</v>
      </c>
      <c r="DG7" s="8">
        <f t="shared" si="33"/>
        <v>87456</v>
      </c>
      <c r="DH7" s="8">
        <f t="shared" si="33"/>
        <v>20048</v>
      </c>
      <c r="DI7" s="8">
        <f t="shared" si="33"/>
        <v>12473</v>
      </c>
      <c r="DJ7" s="8">
        <f t="shared" si="33"/>
        <v>19016</v>
      </c>
      <c r="DK7" s="8">
        <f t="shared" si="33"/>
        <v>21877</v>
      </c>
      <c r="DL7" s="8">
        <f t="shared" si="33"/>
        <v>73414</v>
      </c>
      <c r="DM7" s="8">
        <f t="shared" si="33"/>
        <v>19653</v>
      </c>
      <c r="DN7" s="8">
        <f t="shared" si="33"/>
        <v>18661</v>
      </c>
      <c r="DO7" s="8">
        <f t="shared" si="33"/>
        <v>21268</v>
      </c>
      <c r="DP7" s="8">
        <f t="shared" si="33"/>
        <v>22494</v>
      </c>
      <c r="DQ7" s="8">
        <f t="shared" si="33"/>
        <v>82076</v>
      </c>
      <c r="DR7" s="8">
        <f t="shared" si="33"/>
        <v>21136</v>
      </c>
      <c r="DS7" s="8">
        <f t="shared" si="33"/>
        <v>20519</v>
      </c>
      <c r="DT7" s="8">
        <f t="shared" si="33"/>
        <v>22187</v>
      </c>
      <c r="DU7" s="8">
        <f t="shared" si="33"/>
        <v>23092.753999999997</v>
      </c>
      <c r="DV7" s="8">
        <f t="shared" si="33"/>
        <v>86934.754000000001</v>
      </c>
      <c r="DW7" s="8">
        <f t="shared" si="33"/>
        <v>22487</v>
      </c>
      <c r="DX7" s="8">
        <f t="shared" si="33"/>
        <v>21957</v>
      </c>
      <c r="DY7" s="8">
        <f t="shared" si="11"/>
        <v>23971.557499999999</v>
      </c>
      <c r="DZ7" s="8">
        <f t="shared" si="11"/>
        <v>25868</v>
      </c>
      <c r="EA7" s="8">
        <f t="shared" si="11"/>
        <v>94283.557499999995</v>
      </c>
      <c r="EB7" s="8">
        <f t="shared" si="11"/>
        <v>25138</v>
      </c>
      <c r="EC7" s="8">
        <f t="shared" si="11"/>
        <v>25713.184000000001</v>
      </c>
      <c r="ED7" s="8">
        <f t="shared" si="11"/>
        <v>27192.906999999999</v>
      </c>
      <c r="EE7" s="8">
        <f t="shared" ref="EE7" si="34">(EE26+EE45)*1</f>
        <v>28622.905499999997</v>
      </c>
      <c r="EF7" s="8">
        <f t="shared" si="13"/>
        <v>106666.99650000001</v>
      </c>
      <c r="EG7" s="8">
        <f t="shared" si="13"/>
        <v>28060.722999999998</v>
      </c>
      <c r="EH7" s="8">
        <f t="shared" ref="EH7" si="35">(EH26+EH45)*1</f>
        <v>26381.785000000003</v>
      </c>
      <c r="EI7" s="8">
        <f t="shared" ref="EI7" si="36">(EI26+EI45)*1</f>
        <v>27781.086499999998</v>
      </c>
    </row>
    <row r="8" spans="1:139" ht="15" thickBot="1" x14ac:dyDescent="0.35">
      <c r="A8" s="2" t="s">
        <v>481</v>
      </c>
      <c r="B8" s="9">
        <f t="shared" ref="B8:AG8" si="37">(B27+B46)*1</f>
        <v>0</v>
      </c>
      <c r="C8" s="9">
        <f t="shared" si="37"/>
        <v>0</v>
      </c>
      <c r="D8" s="9">
        <f t="shared" si="37"/>
        <v>0</v>
      </c>
      <c r="E8" s="9">
        <f t="shared" si="37"/>
        <v>0</v>
      </c>
      <c r="F8" s="9">
        <f t="shared" si="37"/>
        <v>0</v>
      </c>
      <c r="G8" s="9">
        <f t="shared" si="37"/>
        <v>0</v>
      </c>
      <c r="H8" s="9">
        <f t="shared" si="37"/>
        <v>0</v>
      </c>
      <c r="I8" s="9">
        <f t="shared" si="37"/>
        <v>0</v>
      </c>
      <c r="J8" s="9">
        <f t="shared" si="37"/>
        <v>0</v>
      </c>
      <c r="K8" s="9">
        <f t="shared" si="37"/>
        <v>0</v>
      </c>
      <c r="L8" s="9">
        <f t="shared" si="37"/>
        <v>0</v>
      </c>
      <c r="M8" s="9">
        <f t="shared" si="37"/>
        <v>0</v>
      </c>
      <c r="N8" s="9">
        <f t="shared" si="37"/>
        <v>0</v>
      </c>
      <c r="O8" s="9">
        <f t="shared" si="37"/>
        <v>0</v>
      </c>
      <c r="P8" s="9">
        <f t="shared" si="37"/>
        <v>0</v>
      </c>
      <c r="Q8" s="9">
        <f t="shared" si="37"/>
        <v>0</v>
      </c>
      <c r="R8" s="9">
        <f t="shared" si="37"/>
        <v>0</v>
      </c>
      <c r="S8" s="9">
        <f t="shared" si="37"/>
        <v>0</v>
      </c>
      <c r="T8" s="9">
        <f t="shared" si="37"/>
        <v>0</v>
      </c>
      <c r="U8" s="9">
        <f t="shared" si="37"/>
        <v>0</v>
      </c>
      <c r="V8" s="9">
        <f t="shared" si="37"/>
        <v>0</v>
      </c>
      <c r="W8" s="9">
        <f t="shared" si="37"/>
        <v>0</v>
      </c>
      <c r="X8" s="9">
        <f t="shared" si="37"/>
        <v>0</v>
      </c>
      <c r="Y8" s="9">
        <f t="shared" si="37"/>
        <v>0</v>
      </c>
      <c r="Z8" s="9">
        <f t="shared" si="37"/>
        <v>0</v>
      </c>
      <c r="AA8" s="9">
        <f t="shared" si="37"/>
        <v>0</v>
      </c>
      <c r="AB8" s="9">
        <f t="shared" si="37"/>
        <v>0</v>
      </c>
      <c r="AC8" s="9">
        <f t="shared" si="37"/>
        <v>0</v>
      </c>
      <c r="AD8" s="9">
        <f t="shared" si="37"/>
        <v>0</v>
      </c>
      <c r="AE8" s="9">
        <f t="shared" si="37"/>
        <v>0</v>
      </c>
      <c r="AF8" s="9">
        <f t="shared" si="37"/>
        <v>0</v>
      </c>
      <c r="AG8" s="9">
        <f t="shared" si="37"/>
        <v>0</v>
      </c>
      <c r="AH8" s="9">
        <f t="shared" ref="AH8:BM8" si="38">(AH27+AH46)*1</f>
        <v>0</v>
      </c>
      <c r="AI8" s="9">
        <f t="shared" si="38"/>
        <v>0</v>
      </c>
      <c r="AJ8" s="9">
        <f t="shared" si="38"/>
        <v>0</v>
      </c>
      <c r="AK8" s="9">
        <f t="shared" si="38"/>
        <v>0</v>
      </c>
      <c r="AL8" s="9">
        <f t="shared" si="38"/>
        <v>0</v>
      </c>
      <c r="AM8" s="9">
        <f t="shared" si="38"/>
        <v>0</v>
      </c>
      <c r="AN8" s="9">
        <f t="shared" si="38"/>
        <v>0</v>
      </c>
      <c r="AO8" s="9">
        <f t="shared" si="38"/>
        <v>0</v>
      </c>
      <c r="AP8" s="9">
        <f t="shared" si="38"/>
        <v>0</v>
      </c>
      <c r="AQ8" s="9">
        <f t="shared" si="38"/>
        <v>0</v>
      </c>
      <c r="AR8" s="9">
        <f t="shared" si="38"/>
        <v>0</v>
      </c>
      <c r="AS8" s="9">
        <f t="shared" si="38"/>
        <v>0</v>
      </c>
      <c r="AT8" s="9">
        <f t="shared" si="38"/>
        <v>0</v>
      </c>
      <c r="AU8" s="9">
        <f t="shared" si="38"/>
        <v>0</v>
      </c>
      <c r="AV8" s="9">
        <f t="shared" si="38"/>
        <v>0</v>
      </c>
      <c r="AW8" s="9">
        <f t="shared" si="38"/>
        <v>0</v>
      </c>
      <c r="AX8" s="9">
        <f t="shared" si="38"/>
        <v>0</v>
      </c>
      <c r="AY8" s="9">
        <f t="shared" si="38"/>
        <v>0</v>
      </c>
      <c r="AZ8" s="9">
        <f t="shared" si="38"/>
        <v>0</v>
      </c>
      <c r="BA8" s="9">
        <f t="shared" si="38"/>
        <v>0</v>
      </c>
      <c r="BB8" s="9">
        <f t="shared" si="38"/>
        <v>0</v>
      </c>
      <c r="BC8" s="9">
        <f t="shared" si="38"/>
        <v>0</v>
      </c>
      <c r="BD8" s="9">
        <f t="shared" si="38"/>
        <v>0</v>
      </c>
      <c r="BE8" s="9">
        <f t="shared" si="38"/>
        <v>0</v>
      </c>
      <c r="BF8" s="9">
        <f t="shared" si="38"/>
        <v>0</v>
      </c>
      <c r="BG8" s="9">
        <f t="shared" si="38"/>
        <v>0</v>
      </c>
      <c r="BH8" s="9">
        <f t="shared" si="38"/>
        <v>0</v>
      </c>
      <c r="BI8" s="9">
        <f t="shared" si="38"/>
        <v>0</v>
      </c>
      <c r="BJ8" s="9">
        <f t="shared" si="38"/>
        <v>0</v>
      </c>
      <c r="BK8" s="9">
        <f t="shared" si="38"/>
        <v>0</v>
      </c>
      <c r="BL8" s="9">
        <f t="shared" si="38"/>
        <v>0</v>
      </c>
      <c r="BM8" s="9">
        <f t="shared" si="38"/>
        <v>0</v>
      </c>
      <c r="BN8" s="9">
        <f t="shared" ref="BN8:CS8" si="39">(BN27+BN46)*1</f>
        <v>0</v>
      </c>
      <c r="BO8" s="9">
        <f t="shared" si="39"/>
        <v>0</v>
      </c>
      <c r="BP8" s="9">
        <f t="shared" si="39"/>
        <v>0</v>
      </c>
      <c r="BQ8" s="9">
        <f t="shared" si="39"/>
        <v>0</v>
      </c>
      <c r="BR8" s="9">
        <f t="shared" si="39"/>
        <v>0</v>
      </c>
      <c r="BS8" s="9">
        <f t="shared" si="39"/>
        <v>0</v>
      </c>
      <c r="BT8" s="9">
        <f t="shared" si="39"/>
        <v>0</v>
      </c>
      <c r="BU8" s="9">
        <f t="shared" si="39"/>
        <v>0</v>
      </c>
      <c r="BV8" s="9">
        <f t="shared" si="39"/>
        <v>0</v>
      </c>
      <c r="BW8" s="9">
        <f t="shared" si="39"/>
        <v>0</v>
      </c>
      <c r="BX8" s="9">
        <f t="shared" si="39"/>
        <v>0</v>
      </c>
      <c r="BY8" s="9">
        <f t="shared" si="39"/>
        <v>0</v>
      </c>
      <c r="BZ8" s="9">
        <f t="shared" si="39"/>
        <v>0</v>
      </c>
      <c r="CA8" s="9">
        <f t="shared" si="39"/>
        <v>0</v>
      </c>
      <c r="CB8" s="9">
        <f t="shared" si="39"/>
        <v>0</v>
      </c>
      <c r="CC8" s="9">
        <f t="shared" si="39"/>
        <v>0</v>
      </c>
      <c r="CD8" s="9">
        <f t="shared" si="39"/>
        <v>0</v>
      </c>
      <c r="CE8" s="9">
        <f t="shared" si="39"/>
        <v>6503</v>
      </c>
      <c r="CF8" s="9">
        <f t="shared" si="39"/>
        <v>14331</v>
      </c>
      <c r="CG8" s="9">
        <f t="shared" si="39"/>
        <v>14565</v>
      </c>
      <c r="CH8" s="9">
        <f t="shared" si="39"/>
        <v>35399</v>
      </c>
      <c r="CI8" s="9">
        <f t="shared" si="39"/>
        <v>14219</v>
      </c>
      <c r="CJ8" s="9">
        <f t="shared" si="39"/>
        <v>12547</v>
      </c>
      <c r="CK8" s="9">
        <f t="shared" si="39"/>
        <v>12687</v>
      </c>
      <c r="CL8" s="9">
        <f t="shared" si="39"/>
        <v>12695</v>
      </c>
      <c r="CM8" s="9">
        <f t="shared" si="39"/>
        <v>52148</v>
      </c>
      <c r="CN8" s="9">
        <f t="shared" si="39"/>
        <v>12131.420999999998</v>
      </c>
      <c r="CO8" s="9">
        <f t="shared" si="39"/>
        <v>10903.579000000002</v>
      </c>
      <c r="CP8" s="9">
        <f t="shared" si="39"/>
        <v>11511</v>
      </c>
      <c r="CQ8" s="9">
        <f t="shared" si="39"/>
        <v>11662.2125</v>
      </c>
      <c r="CR8" s="9">
        <f t="shared" si="39"/>
        <v>46208.212499999994</v>
      </c>
      <c r="CS8" s="9">
        <f t="shared" si="39"/>
        <v>11576</v>
      </c>
      <c r="CT8" s="9">
        <f t="shared" ref="CT8:DX8" si="40">(CT27+CT46)*1</f>
        <v>11181</v>
      </c>
      <c r="CU8" s="9">
        <f t="shared" si="40"/>
        <v>11576</v>
      </c>
      <c r="CV8" s="9">
        <f t="shared" si="40"/>
        <v>12185</v>
      </c>
      <c r="CW8" s="9">
        <f t="shared" si="40"/>
        <v>46518</v>
      </c>
      <c r="CX8" s="9">
        <f t="shared" si="40"/>
        <v>11962</v>
      </c>
      <c r="CY8" s="9">
        <f t="shared" si="40"/>
        <v>10575</v>
      </c>
      <c r="CZ8" s="9">
        <f t="shared" si="40"/>
        <v>12112</v>
      </c>
      <c r="DA8" s="9">
        <f t="shared" si="40"/>
        <v>12327</v>
      </c>
      <c r="DB8" s="9">
        <f t="shared" si="40"/>
        <v>46976</v>
      </c>
      <c r="DC8" s="9">
        <f t="shared" si="40"/>
        <v>12241</v>
      </c>
      <c r="DD8" s="9">
        <f t="shared" si="40"/>
        <v>11332</v>
      </c>
      <c r="DE8" s="9">
        <f t="shared" si="40"/>
        <v>11449</v>
      </c>
      <c r="DF8" s="9">
        <f t="shared" si="40"/>
        <v>11967</v>
      </c>
      <c r="DG8" s="9">
        <f t="shared" si="40"/>
        <v>46989</v>
      </c>
      <c r="DH8" s="9">
        <f t="shared" si="40"/>
        <v>11841</v>
      </c>
      <c r="DI8" s="9">
        <f t="shared" si="40"/>
        <v>9799</v>
      </c>
      <c r="DJ8" s="9">
        <f t="shared" si="40"/>
        <v>12526</v>
      </c>
      <c r="DK8" s="9">
        <f t="shared" si="40"/>
        <v>13708</v>
      </c>
      <c r="DL8" s="9">
        <f t="shared" si="40"/>
        <v>47874</v>
      </c>
      <c r="DM8" s="9">
        <f t="shared" si="40"/>
        <v>13494</v>
      </c>
      <c r="DN8" s="9">
        <f t="shared" si="40"/>
        <v>13111</v>
      </c>
      <c r="DO8" s="9">
        <f t="shared" si="40"/>
        <v>13805</v>
      </c>
      <c r="DP8" s="9">
        <f t="shared" si="40"/>
        <v>13982</v>
      </c>
      <c r="DQ8" s="9">
        <f t="shared" si="40"/>
        <v>54392</v>
      </c>
      <c r="DR8" s="9">
        <f t="shared" si="40"/>
        <v>14684</v>
      </c>
      <c r="DS8" s="9">
        <f t="shared" si="40"/>
        <v>14296</v>
      </c>
      <c r="DT8" s="9">
        <f t="shared" si="40"/>
        <v>14795</v>
      </c>
      <c r="DU8" s="9">
        <f t="shared" si="40"/>
        <v>13565.377499999999</v>
      </c>
      <c r="DV8" s="9">
        <f t="shared" si="40"/>
        <v>57340.377499999995</v>
      </c>
      <c r="DW8" s="9">
        <f t="shared" si="40"/>
        <v>15008</v>
      </c>
      <c r="DX8" s="9">
        <f t="shared" si="40"/>
        <v>14288</v>
      </c>
      <c r="DY8" s="9">
        <f t="shared" si="11"/>
        <v>15194.478999999999</v>
      </c>
      <c r="DZ8" s="9">
        <f t="shared" si="11"/>
        <v>15757</v>
      </c>
      <c r="EA8" s="9">
        <f t="shared" si="11"/>
        <v>60247.478999999999</v>
      </c>
      <c r="EB8" s="9">
        <f t="shared" si="11"/>
        <v>15523</v>
      </c>
      <c r="EC8" s="9">
        <f t="shared" si="11"/>
        <v>15218.125</v>
      </c>
      <c r="ED8" s="9">
        <f t="shared" si="11"/>
        <v>16381.397499999999</v>
      </c>
      <c r="EE8" s="9">
        <f t="shared" ref="EE8" si="41">(EE27+EE46)*1</f>
        <v>16562.161</v>
      </c>
      <c r="EF8" s="9">
        <f t="shared" si="13"/>
        <v>63684.683499999999</v>
      </c>
      <c r="EG8" s="9">
        <f t="shared" si="13"/>
        <v>16254.83</v>
      </c>
      <c r="EH8" s="9">
        <f t="shared" ref="EH8" si="42">(EH27+EH46)*1</f>
        <v>15939.862000000001</v>
      </c>
      <c r="EI8" s="9">
        <f t="shared" ref="EI8" si="43">(EI27+EI46)*1</f>
        <v>17150.611000000001</v>
      </c>
    </row>
    <row r="9" spans="1:139" ht="15" thickTop="1" x14ac:dyDescent="0.3">
      <c r="A9" s="1" t="s">
        <v>445</v>
      </c>
      <c r="B9" s="8">
        <f t="shared" ref="B9:AG9" si="44">(B28+B47)*1</f>
        <v>0</v>
      </c>
      <c r="C9" s="8">
        <f t="shared" si="44"/>
        <v>0</v>
      </c>
      <c r="D9" s="8">
        <f t="shared" si="44"/>
        <v>0</v>
      </c>
      <c r="E9" s="8">
        <f t="shared" si="44"/>
        <v>0</v>
      </c>
      <c r="F9" s="8">
        <f t="shared" si="44"/>
        <v>0</v>
      </c>
      <c r="G9" s="8">
        <f t="shared" si="44"/>
        <v>0</v>
      </c>
      <c r="H9" s="8">
        <f t="shared" si="44"/>
        <v>0</v>
      </c>
      <c r="I9" s="8">
        <f t="shared" si="44"/>
        <v>0</v>
      </c>
      <c r="J9" s="8">
        <f t="shared" si="44"/>
        <v>0</v>
      </c>
      <c r="K9" s="8">
        <f t="shared" si="44"/>
        <v>0</v>
      </c>
      <c r="L9" s="8">
        <f t="shared" si="44"/>
        <v>0</v>
      </c>
      <c r="M9" s="8">
        <f t="shared" si="44"/>
        <v>0</v>
      </c>
      <c r="N9" s="8">
        <f t="shared" si="44"/>
        <v>0</v>
      </c>
      <c r="O9" s="8">
        <f t="shared" si="44"/>
        <v>0</v>
      </c>
      <c r="P9" s="8">
        <f t="shared" si="44"/>
        <v>0</v>
      </c>
      <c r="Q9" s="8">
        <f t="shared" si="44"/>
        <v>0</v>
      </c>
      <c r="R9" s="8">
        <f t="shared" si="44"/>
        <v>0</v>
      </c>
      <c r="S9" s="8">
        <f t="shared" si="44"/>
        <v>0</v>
      </c>
      <c r="T9" s="8">
        <f t="shared" si="44"/>
        <v>0</v>
      </c>
      <c r="U9" s="8">
        <f t="shared" si="44"/>
        <v>0</v>
      </c>
      <c r="V9" s="8">
        <f t="shared" si="44"/>
        <v>0</v>
      </c>
      <c r="W9" s="8">
        <f t="shared" si="44"/>
        <v>0</v>
      </c>
      <c r="X9" s="8">
        <f t="shared" si="44"/>
        <v>0</v>
      </c>
      <c r="Y9" s="8">
        <f t="shared" si="44"/>
        <v>0</v>
      </c>
      <c r="Z9" s="8">
        <f t="shared" si="44"/>
        <v>0</v>
      </c>
      <c r="AA9" s="8">
        <f t="shared" si="44"/>
        <v>0</v>
      </c>
      <c r="AB9" s="8">
        <f t="shared" si="44"/>
        <v>0</v>
      </c>
      <c r="AC9" s="8">
        <f t="shared" si="44"/>
        <v>0</v>
      </c>
      <c r="AD9" s="8">
        <f t="shared" si="44"/>
        <v>0</v>
      </c>
      <c r="AE9" s="8">
        <f t="shared" si="44"/>
        <v>0</v>
      </c>
      <c r="AF9" s="8">
        <f t="shared" si="44"/>
        <v>0</v>
      </c>
      <c r="AG9" s="8">
        <f t="shared" si="44"/>
        <v>0</v>
      </c>
      <c r="AH9" s="8">
        <f t="shared" ref="AH9:BM9" si="45">(AH28+AH47)*1</f>
        <v>0</v>
      </c>
      <c r="AI9" s="8">
        <f t="shared" si="45"/>
        <v>0</v>
      </c>
      <c r="AJ9" s="8">
        <f t="shared" si="45"/>
        <v>0</v>
      </c>
      <c r="AK9" s="8">
        <f t="shared" si="45"/>
        <v>0</v>
      </c>
      <c r="AL9" s="8">
        <f t="shared" si="45"/>
        <v>0</v>
      </c>
      <c r="AM9" s="8">
        <f t="shared" si="45"/>
        <v>0</v>
      </c>
      <c r="AN9" s="8">
        <f t="shared" si="45"/>
        <v>0</v>
      </c>
      <c r="AO9" s="8">
        <f t="shared" si="45"/>
        <v>0</v>
      </c>
      <c r="AP9" s="8">
        <f t="shared" si="45"/>
        <v>0</v>
      </c>
      <c r="AQ9" s="8">
        <f t="shared" si="45"/>
        <v>0</v>
      </c>
      <c r="AR9" s="8">
        <f t="shared" si="45"/>
        <v>0</v>
      </c>
      <c r="AS9" s="8">
        <f t="shared" si="45"/>
        <v>0</v>
      </c>
      <c r="AT9" s="8">
        <f t="shared" si="45"/>
        <v>0</v>
      </c>
      <c r="AU9" s="8">
        <f t="shared" si="45"/>
        <v>0</v>
      </c>
      <c r="AV9" s="8">
        <f t="shared" si="45"/>
        <v>0</v>
      </c>
      <c r="AW9" s="8">
        <f t="shared" si="45"/>
        <v>0</v>
      </c>
      <c r="AX9" s="8">
        <f t="shared" si="45"/>
        <v>0</v>
      </c>
      <c r="AY9" s="8">
        <f t="shared" si="45"/>
        <v>0</v>
      </c>
      <c r="AZ9" s="8">
        <f t="shared" si="45"/>
        <v>0</v>
      </c>
      <c r="BA9" s="8">
        <f t="shared" si="45"/>
        <v>0</v>
      </c>
      <c r="BB9" s="8">
        <f t="shared" si="45"/>
        <v>0</v>
      </c>
      <c r="BC9" s="8">
        <f t="shared" si="45"/>
        <v>0</v>
      </c>
      <c r="BD9" s="8">
        <f t="shared" si="45"/>
        <v>0</v>
      </c>
      <c r="BE9" s="8">
        <f t="shared" si="45"/>
        <v>0</v>
      </c>
      <c r="BF9" s="8">
        <f t="shared" si="45"/>
        <v>0</v>
      </c>
      <c r="BG9" s="8">
        <f t="shared" si="45"/>
        <v>0</v>
      </c>
      <c r="BH9" s="8">
        <f t="shared" si="45"/>
        <v>0</v>
      </c>
      <c r="BI9" s="8">
        <f t="shared" si="45"/>
        <v>0</v>
      </c>
      <c r="BJ9" s="8">
        <f t="shared" si="45"/>
        <v>0</v>
      </c>
      <c r="BK9" s="8">
        <f t="shared" si="45"/>
        <v>0</v>
      </c>
      <c r="BL9" s="8">
        <f t="shared" si="45"/>
        <v>0</v>
      </c>
      <c r="BM9" s="8">
        <f t="shared" si="45"/>
        <v>0</v>
      </c>
      <c r="BN9" s="8">
        <f t="shared" ref="BN9:CS9" si="46">(BN28+BN47)*1</f>
        <v>0</v>
      </c>
      <c r="BO9" s="8">
        <f t="shared" si="46"/>
        <v>0</v>
      </c>
      <c r="BP9" s="8">
        <f t="shared" si="46"/>
        <v>0</v>
      </c>
      <c r="BQ9" s="8">
        <f t="shared" si="46"/>
        <v>0</v>
      </c>
      <c r="BR9" s="8">
        <f t="shared" si="46"/>
        <v>0</v>
      </c>
      <c r="BS9" s="8">
        <f t="shared" si="46"/>
        <v>0</v>
      </c>
      <c r="BT9" s="8">
        <f t="shared" si="46"/>
        <v>0</v>
      </c>
      <c r="BU9" s="8">
        <f t="shared" si="46"/>
        <v>0</v>
      </c>
      <c r="BV9" s="8">
        <f t="shared" si="46"/>
        <v>0</v>
      </c>
      <c r="BW9" s="8">
        <f t="shared" si="46"/>
        <v>0</v>
      </c>
      <c r="BX9" s="8">
        <f t="shared" si="46"/>
        <v>0</v>
      </c>
      <c r="BY9" s="8">
        <f t="shared" si="46"/>
        <v>0</v>
      </c>
      <c r="BZ9" s="8">
        <f t="shared" si="46"/>
        <v>0</v>
      </c>
      <c r="CA9" s="8">
        <f t="shared" si="46"/>
        <v>0</v>
      </c>
      <c r="CB9" s="8">
        <f t="shared" si="46"/>
        <v>0</v>
      </c>
      <c r="CC9" s="8">
        <f t="shared" si="46"/>
        <v>0</v>
      </c>
      <c r="CD9" s="8">
        <f t="shared" si="46"/>
        <v>0</v>
      </c>
      <c r="CE9" s="8">
        <f t="shared" si="46"/>
        <v>0</v>
      </c>
      <c r="CF9" s="8">
        <f t="shared" si="46"/>
        <v>0</v>
      </c>
      <c r="CG9" s="8">
        <f t="shared" si="46"/>
        <v>0</v>
      </c>
      <c r="CH9" s="8">
        <f t="shared" si="46"/>
        <v>0</v>
      </c>
      <c r="CI9" s="8">
        <f t="shared" si="46"/>
        <v>0</v>
      </c>
      <c r="CJ9" s="8">
        <f t="shared" si="46"/>
        <v>2328</v>
      </c>
      <c r="CK9" s="8">
        <f t="shared" si="46"/>
        <v>7297</v>
      </c>
      <c r="CL9" s="8">
        <f t="shared" si="46"/>
        <v>7421</v>
      </c>
      <c r="CM9" s="8">
        <f t="shared" si="46"/>
        <v>17046</v>
      </c>
      <c r="CN9" s="8">
        <f t="shared" si="46"/>
        <v>6952.8730000000005</v>
      </c>
      <c r="CO9" s="8">
        <f t="shared" si="46"/>
        <v>6977.1269999999995</v>
      </c>
      <c r="CP9" s="8">
        <f t="shared" si="46"/>
        <v>7342</v>
      </c>
      <c r="CQ9" s="8">
        <f t="shared" si="46"/>
        <v>7563.3009999999995</v>
      </c>
      <c r="CR9" s="8">
        <f t="shared" si="46"/>
        <v>28835.300999999999</v>
      </c>
      <c r="CS9" s="8">
        <f t="shared" si="46"/>
        <v>7397</v>
      </c>
      <c r="CT9" s="8">
        <f t="shared" ref="CT9:DX9" si="47">(CT28+CT47)*1</f>
        <v>7317</v>
      </c>
      <c r="CU9" s="8">
        <f t="shared" si="47"/>
        <v>7599</v>
      </c>
      <c r="CV9" s="8">
        <f t="shared" si="47"/>
        <v>7697</v>
      </c>
      <c r="CW9" s="8">
        <f t="shared" si="47"/>
        <v>30010</v>
      </c>
      <c r="CX9" s="8">
        <f t="shared" si="47"/>
        <v>7272</v>
      </c>
      <c r="CY9" s="8">
        <f t="shared" si="47"/>
        <v>7094</v>
      </c>
      <c r="CZ9" s="8">
        <f t="shared" si="47"/>
        <v>7480</v>
      </c>
      <c r="DA9" s="8">
        <f t="shared" si="47"/>
        <v>7605</v>
      </c>
      <c r="DB9" s="8">
        <f t="shared" si="47"/>
        <v>29451</v>
      </c>
      <c r="DC9" s="8">
        <f t="shared" si="47"/>
        <v>7259</v>
      </c>
      <c r="DD9" s="8">
        <f t="shared" si="47"/>
        <v>7190</v>
      </c>
      <c r="DE9" s="8">
        <f t="shared" si="47"/>
        <v>7428</v>
      </c>
      <c r="DF9" s="8">
        <f t="shared" si="47"/>
        <v>7511</v>
      </c>
      <c r="DG9" s="8">
        <f t="shared" si="47"/>
        <v>29388</v>
      </c>
      <c r="DH9" s="8">
        <f t="shared" si="47"/>
        <v>6594</v>
      </c>
      <c r="DI9" s="8">
        <f t="shared" si="47"/>
        <v>4423</v>
      </c>
      <c r="DJ9" s="8">
        <f t="shared" si="47"/>
        <v>6598</v>
      </c>
      <c r="DK9" s="8">
        <f t="shared" si="47"/>
        <v>7053</v>
      </c>
      <c r="DL9" s="8">
        <f t="shared" si="47"/>
        <v>24668</v>
      </c>
      <c r="DM9" s="8">
        <f t="shared" si="47"/>
        <v>6652</v>
      </c>
      <c r="DN9" s="8">
        <f t="shared" si="47"/>
        <v>6610</v>
      </c>
      <c r="DO9" s="8">
        <f t="shared" si="47"/>
        <v>7204</v>
      </c>
      <c r="DP9" s="8">
        <f t="shared" si="47"/>
        <v>7334</v>
      </c>
      <c r="DQ9" s="8">
        <f t="shared" si="47"/>
        <v>27800</v>
      </c>
      <c r="DR9" s="8">
        <f t="shared" si="47"/>
        <v>6932</v>
      </c>
      <c r="DS9" s="8">
        <f t="shared" si="47"/>
        <v>7044</v>
      </c>
      <c r="DT9" s="8">
        <f t="shared" si="47"/>
        <v>7368</v>
      </c>
      <c r="DU9" s="8">
        <f t="shared" si="47"/>
        <v>7284.5079999999998</v>
      </c>
      <c r="DV9" s="8">
        <f t="shared" si="47"/>
        <v>28628.508000000002</v>
      </c>
      <c r="DW9" s="8">
        <f t="shared" si="47"/>
        <v>7050</v>
      </c>
      <c r="DX9" s="8">
        <f t="shared" si="47"/>
        <v>7146</v>
      </c>
      <c r="DY9" s="8">
        <f t="shared" si="11"/>
        <v>7357.3250000000007</v>
      </c>
      <c r="DZ9" s="8">
        <f t="shared" si="11"/>
        <v>7312</v>
      </c>
      <c r="EA9" s="8">
        <f t="shared" si="11"/>
        <v>28865.325000000001</v>
      </c>
      <c r="EB9" s="8">
        <f t="shared" si="11"/>
        <v>6902</v>
      </c>
      <c r="EC9" s="8">
        <f t="shared" si="11"/>
        <v>7150.0425000000005</v>
      </c>
      <c r="ED9" s="8">
        <f t="shared" si="11"/>
        <v>7411.7600000000011</v>
      </c>
      <c r="EE9" s="8">
        <f t="shared" ref="EE9" si="48">(EE28+EE47)*1</f>
        <v>7410.4555</v>
      </c>
      <c r="EF9" s="8">
        <f t="shared" si="13"/>
        <v>28874.258000000002</v>
      </c>
      <c r="EG9" s="8">
        <f t="shared" si="13"/>
        <v>7101.3825000000006</v>
      </c>
      <c r="EH9" s="8">
        <f t="shared" ref="EH9" si="49">(EH28+EH47)*1</f>
        <v>7198.0134999999991</v>
      </c>
      <c r="EI9" s="8">
        <f t="shared" ref="EI9" si="50">(EI28+EI47)*1</f>
        <v>7557.4855000000007</v>
      </c>
    </row>
    <row r="10" spans="1:139" ht="15" thickBot="1" x14ac:dyDescent="0.35">
      <c r="A10" s="2" t="s">
        <v>456</v>
      </c>
      <c r="B10" s="9">
        <f t="shared" ref="B10:AG10" si="51">(B29+B48)*1</f>
        <v>0</v>
      </c>
      <c r="C10" s="9">
        <f t="shared" si="51"/>
        <v>0</v>
      </c>
      <c r="D10" s="9">
        <f t="shared" si="51"/>
        <v>0</v>
      </c>
      <c r="E10" s="9">
        <f t="shared" si="51"/>
        <v>0</v>
      </c>
      <c r="F10" s="9">
        <f t="shared" si="51"/>
        <v>0</v>
      </c>
      <c r="G10" s="9">
        <f t="shared" si="51"/>
        <v>0</v>
      </c>
      <c r="H10" s="9">
        <f t="shared" si="51"/>
        <v>0</v>
      </c>
      <c r="I10" s="9">
        <f t="shared" si="51"/>
        <v>0</v>
      </c>
      <c r="J10" s="9">
        <f t="shared" si="51"/>
        <v>0</v>
      </c>
      <c r="K10" s="9">
        <f t="shared" si="51"/>
        <v>0</v>
      </c>
      <c r="L10" s="9">
        <f t="shared" si="51"/>
        <v>0</v>
      </c>
      <c r="M10" s="9">
        <f t="shared" si="51"/>
        <v>0</v>
      </c>
      <c r="N10" s="9">
        <f t="shared" si="51"/>
        <v>0</v>
      </c>
      <c r="O10" s="9">
        <f t="shared" si="51"/>
        <v>0</v>
      </c>
      <c r="P10" s="9">
        <f t="shared" si="51"/>
        <v>0</v>
      </c>
      <c r="Q10" s="9">
        <f t="shared" si="51"/>
        <v>0</v>
      </c>
      <c r="R10" s="9">
        <f t="shared" si="51"/>
        <v>0</v>
      </c>
      <c r="S10" s="9">
        <f t="shared" si="51"/>
        <v>0</v>
      </c>
      <c r="T10" s="9">
        <f t="shared" si="51"/>
        <v>0</v>
      </c>
      <c r="U10" s="9">
        <f t="shared" si="51"/>
        <v>0</v>
      </c>
      <c r="V10" s="9">
        <f t="shared" si="51"/>
        <v>0</v>
      </c>
      <c r="W10" s="9">
        <f t="shared" si="51"/>
        <v>0</v>
      </c>
      <c r="X10" s="9">
        <f t="shared" si="51"/>
        <v>0</v>
      </c>
      <c r="Y10" s="9">
        <f t="shared" si="51"/>
        <v>0</v>
      </c>
      <c r="Z10" s="9">
        <f t="shared" si="51"/>
        <v>0</v>
      </c>
      <c r="AA10" s="9">
        <f t="shared" si="51"/>
        <v>0</v>
      </c>
      <c r="AB10" s="9">
        <f t="shared" si="51"/>
        <v>0</v>
      </c>
      <c r="AC10" s="9">
        <f t="shared" si="51"/>
        <v>0</v>
      </c>
      <c r="AD10" s="9">
        <f t="shared" si="51"/>
        <v>0</v>
      </c>
      <c r="AE10" s="9">
        <f t="shared" si="51"/>
        <v>0</v>
      </c>
      <c r="AF10" s="9">
        <f t="shared" si="51"/>
        <v>0</v>
      </c>
      <c r="AG10" s="9">
        <f t="shared" si="51"/>
        <v>0</v>
      </c>
      <c r="AH10" s="9">
        <f t="shared" ref="AH10:BM10" si="52">(AH29+AH48)*1</f>
        <v>0</v>
      </c>
      <c r="AI10" s="9">
        <f t="shared" si="52"/>
        <v>0</v>
      </c>
      <c r="AJ10" s="9">
        <f t="shared" si="52"/>
        <v>0</v>
      </c>
      <c r="AK10" s="9">
        <f t="shared" si="52"/>
        <v>0</v>
      </c>
      <c r="AL10" s="9">
        <f t="shared" si="52"/>
        <v>0</v>
      </c>
      <c r="AM10" s="9">
        <f t="shared" si="52"/>
        <v>0</v>
      </c>
      <c r="AN10" s="9">
        <f t="shared" si="52"/>
        <v>0</v>
      </c>
      <c r="AO10" s="9">
        <f t="shared" si="52"/>
        <v>0</v>
      </c>
      <c r="AP10" s="9">
        <f t="shared" si="52"/>
        <v>0</v>
      </c>
      <c r="AQ10" s="9">
        <f t="shared" si="52"/>
        <v>0</v>
      </c>
      <c r="AR10" s="9">
        <f t="shared" si="52"/>
        <v>0</v>
      </c>
      <c r="AS10" s="9">
        <f t="shared" si="52"/>
        <v>0</v>
      </c>
      <c r="AT10" s="9">
        <f t="shared" si="52"/>
        <v>0</v>
      </c>
      <c r="AU10" s="9">
        <f t="shared" si="52"/>
        <v>0</v>
      </c>
      <c r="AV10" s="9">
        <f t="shared" si="52"/>
        <v>0</v>
      </c>
      <c r="AW10" s="9">
        <f t="shared" si="52"/>
        <v>0</v>
      </c>
      <c r="AX10" s="9">
        <f t="shared" si="52"/>
        <v>0</v>
      </c>
      <c r="AY10" s="9">
        <f t="shared" si="52"/>
        <v>0</v>
      </c>
      <c r="AZ10" s="9">
        <f t="shared" si="52"/>
        <v>0</v>
      </c>
      <c r="BA10" s="9">
        <f t="shared" si="52"/>
        <v>0</v>
      </c>
      <c r="BB10" s="9">
        <f t="shared" si="52"/>
        <v>0</v>
      </c>
      <c r="BC10" s="9">
        <f t="shared" si="52"/>
        <v>0</v>
      </c>
      <c r="BD10" s="9">
        <f t="shared" si="52"/>
        <v>0</v>
      </c>
      <c r="BE10" s="9">
        <f t="shared" si="52"/>
        <v>0</v>
      </c>
      <c r="BF10" s="9">
        <f t="shared" si="52"/>
        <v>0</v>
      </c>
      <c r="BG10" s="9">
        <f t="shared" si="52"/>
        <v>0</v>
      </c>
      <c r="BH10" s="9">
        <f t="shared" si="52"/>
        <v>0</v>
      </c>
      <c r="BI10" s="9">
        <f t="shared" si="52"/>
        <v>0</v>
      </c>
      <c r="BJ10" s="9">
        <f t="shared" si="52"/>
        <v>0</v>
      </c>
      <c r="BK10" s="9">
        <f t="shared" si="52"/>
        <v>0</v>
      </c>
      <c r="BL10" s="9">
        <f t="shared" si="52"/>
        <v>0</v>
      </c>
      <c r="BM10" s="9">
        <f t="shared" si="52"/>
        <v>0</v>
      </c>
      <c r="BN10" s="9">
        <f t="shared" ref="BN10:CS10" si="53">(BN29+BN48)*1</f>
        <v>0</v>
      </c>
      <c r="BO10" s="9">
        <f t="shared" si="53"/>
        <v>0</v>
      </c>
      <c r="BP10" s="9">
        <f t="shared" si="53"/>
        <v>0</v>
      </c>
      <c r="BQ10" s="9">
        <f t="shared" si="53"/>
        <v>0</v>
      </c>
      <c r="BR10" s="9">
        <f t="shared" si="53"/>
        <v>0</v>
      </c>
      <c r="BS10" s="9">
        <f t="shared" si="53"/>
        <v>0</v>
      </c>
      <c r="BT10" s="9">
        <f t="shared" si="53"/>
        <v>0</v>
      </c>
      <c r="BU10" s="9">
        <f t="shared" si="53"/>
        <v>0</v>
      </c>
      <c r="BV10" s="9">
        <f t="shared" si="53"/>
        <v>0</v>
      </c>
      <c r="BW10" s="9">
        <f t="shared" si="53"/>
        <v>0</v>
      </c>
      <c r="BX10" s="9">
        <f t="shared" si="53"/>
        <v>0</v>
      </c>
      <c r="BY10" s="9">
        <f t="shared" si="53"/>
        <v>0</v>
      </c>
      <c r="BZ10" s="9">
        <f t="shared" si="53"/>
        <v>0</v>
      </c>
      <c r="CA10" s="9">
        <f t="shared" si="53"/>
        <v>0</v>
      </c>
      <c r="CB10" s="9">
        <f t="shared" si="53"/>
        <v>0</v>
      </c>
      <c r="CC10" s="9">
        <f t="shared" si="53"/>
        <v>0</v>
      </c>
      <c r="CD10" s="9">
        <f t="shared" si="53"/>
        <v>0</v>
      </c>
      <c r="CE10" s="9">
        <f t="shared" si="53"/>
        <v>0</v>
      </c>
      <c r="CF10" s="9">
        <f t="shared" si="53"/>
        <v>0</v>
      </c>
      <c r="CG10" s="9">
        <f t="shared" si="53"/>
        <v>0</v>
      </c>
      <c r="CH10" s="9">
        <f t="shared" si="53"/>
        <v>0</v>
      </c>
      <c r="CI10" s="9">
        <f t="shared" si="53"/>
        <v>0</v>
      </c>
      <c r="CJ10" s="9">
        <f t="shared" si="53"/>
        <v>0</v>
      </c>
      <c r="CK10" s="9">
        <f t="shared" si="53"/>
        <v>0</v>
      </c>
      <c r="CL10" s="9">
        <f t="shared" si="53"/>
        <v>0</v>
      </c>
      <c r="CM10" s="9">
        <f t="shared" si="53"/>
        <v>0</v>
      </c>
      <c r="CN10" s="9">
        <f t="shared" si="53"/>
        <v>0</v>
      </c>
      <c r="CO10" s="9">
        <f t="shared" si="53"/>
        <v>0</v>
      </c>
      <c r="CP10" s="9">
        <f t="shared" si="53"/>
        <v>0</v>
      </c>
      <c r="CQ10" s="9">
        <f t="shared" si="53"/>
        <v>0</v>
      </c>
      <c r="CR10" s="9">
        <f t="shared" si="53"/>
        <v>0</v>
      </c>
      <c r="CS10" s="9">
        <f t="shared" si="53"/>
        <v>0</v>
      </c>
      <c r="CT10" s="9">
        <f t="shared" ref="CT10:DX10" si="54">(CT29+CT48)*1</f>
        <v>0</v>
      </c>
      <c r="CU10" s="9">
        <f t="shared" si="54"/>
        <v>0</v>
      </c>
      <c r="CV10" s="9">
        <f t="shared" si="54"/>
        <v>0</v>
      </c>
      <c r="CW10" s="9">
        <f t="shared" si="54"/>
        <v>0</v>
      </c>
      <c r="CX10" s="9">
        <f t="shared" si="54"/>
        <v>0</v>
      </c>
      <c r="CY10" s="9">
        <f t="shared" si="54"/>
        <v>0</v>
      </c>
      <c r="CZ10" s="9">
        <f t="shared" si="54"/>
        <v>0</v>
      </c>
      <c r="DA10" s="9">
        <f t="shared" si="54"/>
        <v>0</v>
      </c>
      <c r="DB10" s="9">
        <f t="shared" si="54"/>
        <v>0</v>
      </c>
      <c r="DC10" s="9">
        <f t="shared" si="54"/>
        <v>0</v>
      </c>
      <c r="DD10" s="9">
        <f t="shared" si="54"/>
        <v>7923</v>
      </c>
      <c r="DE10" s="9">
        <f t="shared" si="54"/>
        <v>8450</v>
      </c>
      <c r="DF10" s="9">
        <f t="shared" si="54"/>
        <v>8913</v>
      </c>
      <c r="DG10" s="9">
        <f t="shared" si="54"/>
        <v>25286</v>
      </c>
      <c r="DH10" s="9">
        <f t="shared" si="54"/>
        <v>8115</v>
      </c>
      <c r="DI10" s="9">
        <f t="shared" si="54"/>
        <v>6617</v>
      </c>
      <c r="DJ10" s="9">
        <f t="shared" si="54"/>
        <v>9059</v>
      </c>
      <c r="DK10" s="9">
        <f t="shared" si="54"/>
        <v>9583</v>
      </c>
      <c r="DL10" s="9">
        <f t="shared" si="54"/>
        <v>33374</v>
      </c>
      <c r="DM10" s="9">
        <f t="shared" si="54"/>
        <v>8689</v>
      </c>
      <c r="DN10" s="9">
        <f t="shared" si="54"/>
        <v>8669</v>
      </c>
      <c r="DO10" s="9">
        <f t="shared" si="54"/>
        <v>9469</v>
      </c>
      <c r="DP10" s="9">
        <f t="shared" si="54"/>
        <v>9953</v>
      </c>
      <c r="DQ10" s="9">
        <f t="shared" si="54"/>
        <v>36780</v>
      </c>
      <c r="DR10" s="9">
        <f t="shared" si="54"/>
        <v>9516</v>
      </c>
      <c r="DS10" s="9">
        <f t="shared" si="54"/>
        <v>9658</v>
      </c>
      <c r="DT10" s="9">
        <f t="shared" si="54"/>
        <v>10089</v>
      </c>
      <c r="DU10" s="9">
        <f t="shared" si="54"/>
        <v>9816.7554999999993</v>
      </c>
      <c r="DV10" s="9">
        <f t="shared" si="54"/>
        <v>39079.755499999999</v>
      </c>
      <c r="DW10" s="9">
        <f t="shared" si="54"/>
        <v>9418</v>
      </c>
      <c r="DX10" s="9">
        <f t="shared" si="54"/>
        <v>9376</v>
      </c>
      <c r="DY10" s="9">
        <f t="shared" si="11"/>
        <v>10043.084000000001</v>
      </c>
      <c r="DZ10" s="9">
        <f t="shared" si="11"/>
        <v>10159</v>
      </c>
      <c r="EA10" s="9">
        <f t="shared" si="11"/>
        <v>38996.084000000003</v>
      </c>
      <c r="EB10" s="9">
        <f t="shared" si="11"/>
        <v>9921</v>
      </c>
      <c r="EC10" s="9">
        <f t="shared" si="11"/>
        <v>10043.315999999999</v>
      </c>
      <c r="ED10" s="9">
        <f t="shared" si="11"/>
        <v>11045.321000000002</v>
      </c>
      <c r="EE10" s="9">
        <f t="shared" ref="EE10" si="55">(EE29+EE48)*1</f>
        <v>11007.050500000001</v>
      </c>
      <c r="EF10" s="9">
        <f t="shared" si="13"/>
        <v>42016.6875</v>
      </c>
      <c r="EG10" s="9">
        <f t="shared" si="13"/>
        <v>11128.593000000001</v>
      </c>
      <c r="EH10" s="9">
        <f t="shared" ref="EH10" si="56">(EH29+EH48)*1</f>
        <v>11239.2395</v>
      </c>
      <c r="EI10" s="9">
        <f t="shared" ref="EI10" si="57">(EI29+EI48)*1</f>
        <v>11932.675000000001</v>
      </c>
    </row>
    <row r="11" spans="1:139" ht="15" thickTop="1" x14ac:dyDescent="0.3">
      <c r="A11" s="1" t="s">
        <v>457</v>
      </c>
      <c r="B11" s="8">
        <f t="shared" ref="B11:AG11" si="58">(B30+B49)*1</f>
        <v>0</v>
      </c>
      <c r="C11" s="8">
        <f t="shared" si="58"/>
        <v>0</v>
      </c>
      <c r="D11" s="8">
        <f t="shared" si="58"/>
        <v>0</v>
      </c>
      <c r="E11" s="8">
        <f t="shared" si="58"/>
        <v>0</v>
      </c>
      <c r="F11" s="8">
        <f t="shared" si="58"/>
        <v>0</v>
      </c>
      <c r="G11" s="8">
        <f t="shared" si="58"/>
        <v>0</v>
      </c>
      <c r="H11" s="8">
        <f t="shared" si="58"/>
        <v>0</v>
      </c>
      <c r="I11" s="8">
        <f t="shared" si="58"/>
        <v>0</v>
      </c>
      <c r="J11" s="8">
        <f t="shared" si="58"/>
        <v>0</v>
      </c>
      <c r="K11" s="8">
        <f t="shared" si="58"/>
        <v>0</v>
      </c>
      <c r="L11" s="8">
        <f t="shared" si="58"/>
        <v>0</v>
      </c>
      <c r="M11" s="8">
        <f t="shared" si="58"/>
        <v>0</v>
      </c>
      <c r="N11" s="8">
        <f t="shared" si="58"/>
        <v>0</v>
      </c>
      <c r="O11" s="8">
        <f t="shared" si="58"/>
        <v>0</v>
      </c>
      <c r="P11" s="8">
        <f t="shared" si="58"/>
        <v>0</v>
      </c>
      <c r="Q11" s="8">
        <f t="shared" si="58"/>
        <v>0</v>
      </c>
      <c r="R11" s="8">
        <f t="shared" si="58"/>
        <v>0</v>
      </c>
      <c r="S11" s="8">
        <f t="shared" si="58"/>
        <v>0</v>
      </c>
      <c r="T11" s="8">
        <f t="shared" si="58"/>
        <v>0</v>
      </c>
      <c r="U11" s="8">
        <f t="shared" si="58"/>
        <v>0</v>
      </c>
      <c r="V11" s="8">
        <f t="shared" si="58"/>
        <v>0</v>
      </c>
      <c r="W11" s="8">
        <f t="shared" si="58"/>
        <v>0</v>
      </c>
      <c r="X11" s="8">
        <f t="shared" si="58"/>
        <v>0</v>
      </c>
      <c r="Y11" s="8">
        <f t="shared" si="58"/>
        <v>0</v>
      </c>
      <c r="Z11" s="8">
        <f t="shared" si="58"/>
        <v>0</v>
      </c>
      <c r="AA11" s="8">
        <f t="shared" si="58"/>
        <v>0</v>
      </c>
      <c r="AB11" s="8">
        <f t="shared" si="58"/>
        <v>0</v>
      </c>
      <c r="AC11" s="8">
        <f t="shared" si="58"/>
        <v>0</v>
      </c>
      <c r="AD11" s="8">
        <f t="shared" si="58"/>
        <v>0</v>
      </c>
      <c r="AE11" s="8">
        <f t="shared" si="58"/>
        <v>0</v>
      </c>
      <c r="AF11" s="8">
        <f t="shared" si="58"/>
        <v>0</v>
      </c>
      <c r="AG11" s="8">
        <f t="shared" si="58"/>
        <v>0</v>
      </c>
      <c r="AH11" s="8">
        <f t="shared" ref="AH11:BM11" si="59">(AH30+AH49)*1</f>
        <v>0</v>
      </c>
      <c r="AI11" s="8">
        <f t="shared" si="59"/>
        <v>0</v>
      </c>
      <c r="AJ11" s="8">
        <f t="shared" si="59"/>
        <v>0</v>
      </c>
      <c r="AK11" s="8">
        <f t="shared" si="59"/>
        <v>0</v>
      </c>
      <c r="AL11" s="8">
        <f t="shared" si="59"/>
        <v>0</v>
      </c>
      <c r="AM11" s="8">
        <f t="shared" si="59"/>
        <v>0</v>
      </c>
      <c r="AN11" s="8">
        <f t="shared" si="59"/>
        <v>0</v>
      </c>
      <c r="AO11" s="8">
        <f t="shared" si="59"/>
        <v>0</v>
      </c>
      <c r="AP11" s="8">
        <f t="shared" si="59"/>
        <v>0</v>
      </c>
      <c r="AQ11" s="8">
        <f t="shared" si="59"/>
        <v>0</v>
      </c>
      <c r="AR11" s="8">
        <f t="shared" si="59"/>
        <v>0</v>
      </c>
      <c r="AS11" s="8">
        <f t="shared" si="59"/>
        <v>0</v>
      </c>
      <c r="AT11" s="8">
        <f t="shared" si="59"/>
        <v>0</v>
      </c>
      <c r="AU11" s="8">
        <f t="shared" si="59"/>
        <v>0</v>
      </c>
      <c r="AV11" s="8">
        <f t="shared" si="59"/>
        <v>0</v>
      </c>
      <c r="AW11" s="8">
        <f t="shared" si="59"/>
        <v>0</v>
      </c>
      <c r="AX11" s="8">
        <f t="shared" si="59"/>
        <v>0</v>
      </c>
      <c r="AY11" s="8">
        <f t="shared" si="59"/>
        <v>0</v>
      </c>
      <c r="AZ11" s="8">
        <f t="shared" si="59"/>
        <v>0</v>
      </c>
      <c r="BA11" s="8">
        <f t="shared" si="59"/>
        <v>0</v>
      </c>
      <c r="BB11" s="8">
        <f t="shared" si="59"/>
        <v>0</v>
      </c>
      <c r="BC11" s="8">
        <f t="shared" si="59"/>
        <v>0</v>
      </c>
      <c r="BD11" s="8">
        <f t="shared" si="59"/>
        <v>0</v>
      </c>
      <c r="BE11" s="8">
        <f t="shared" si="59"/>
        <v>0</v>
      </c>
      <c r="BF11" s="8">
        <f t="shared" si="59"/>
        <v>0</v>
      </c>
      <c r="BG11" s="8">
        <f t="shared" si="59"/>
        <v>0</v>
      </c>
      <c r="BH11" s="8">
        <f t="shared" si="59"/>
        <v>0</v>
      </c>
      <c r="BI11" s="8">
        <f t="shared" si="59"/>
        <v>0</v>
      </c>
      <c r="BJ11" s="8">
        <f t="shared" si="59"/>
        <v>0</v>
      </c>
      <c r="BK11" s="8">
        <f t="shared" si="59"/>
        <v>0</v>
      </c>
      <c r="BL11" s="8">
        <f t="shared" si="59"/>
        <v>0</v>
      </c>
      <c r="BM11" s="8">
        <f t="shared" si="59"/>
        <v>0</v>
      </c>
      <c r="BN11" s="8">
        <f t="shared" ref="BN11:CS11" si="60">(BN30+BN49)*1</f>
        <v>0</v>
      </c>
      <c r="BO11" s="8">
        <f t="shared" si="60"/>
        <v>0</v>
      </c>
      <c r="BP11" s="8">
        <f t="shared" si="60"/>
        <v>0</v>
      </c>
      <c r="BQ11" s="8">
        <f t="shared" si="60"/>
        <v>0</v>
      </c>
      <c r="BR11" s="8">
        <f t="shared" si="60"/>
        <v>0</v>
      </c>
      <c r="BS11" s="8">
        <f t="shared" si="60"/>
        <v>0</v>
      </c>
      <c r="BT11" s="8">
        <f t="shared" si="60"/>
        <v>0</v>
      </c>
      <c r="BU11" s="8">
        <f t="shared" si="60"/>
        <v>0</v>
      </c>
      <c r="BV11" s="8">
        <f t="shared" si="60"/>
        <v>0</v>
      </c>
      <c r="BW11" s="8">
        <f t="shared" si="60"/>
        <v>0</v>
      </c>
      <c r="BX11" s="8">
        <f t="shared" si="60"/>
        <v>0</v>
      </c>
      <c r="BY11" s="8">
        <f t="shared" si="60"/>
        <v>0</v>
      </c>
      <c r="BZ11" s="8">
        <f t="shared" si="60"/>
        <v>0</v>
      </c>
      <c r="CA11" s="8">
        <f t="shared" si="60"/>
        <v>0</v>
      </c>
      <c r="CB11" s="8">
        <f t="shared" si="60"/>
        <v>0</v>
      </c>
      <c r="CC11" s="8">
        <f t="shared" si="60"/>
        <v>0</v>
      </c>
      <c r="CD11" s="8">
        <f t="shared" si="60"/>
        <v>0</v>
      </c>
      <c r="CE11" s="8">
        <f t="shared" si="60"/>
        <v>0</v>
      </c>
      <c r="CF11" s="8">
        <f t="shared" si="60"/>
        <v>0</v>
      </c>
      <c r="CG11" s="8">
        <f t="shared" si="60"/>
        <v>0</v>
      </c>
      <c r="CH11" s="8">
        <f t="shared" si="60"/>
        <v>0</v>
      </c>
      <c r="CI11" s="8">
        <f t="shared" si="60"/>
        <v>0</v>
      </c>
      <c r="CJ11" s="8">
        <f t="shared" si="60"/>
        <v>0</v>
      </c>
      <c r="CK11" s="8">
        <f t="shared" si="60"/>
        <v>0</v>
      </c>
      <c r="CL11" s="8">
        <f t="shared" si="60"/>
        <v>0</v>
      </c>
      <c r="CM11" s="8">
        <f t="shared" si="60"/>
        <v>0</v>
      </c>
      <c r="CN11" s="8">
        <f t="shared" si="60"/>
        <v>0</v>
      </c>
      <c r="CO11" s="8">
        <f t="shared" si="60"/>
        <v>0</v>
      </c>
      <c r="CP11" s="8">
        <f t="shared" si="60"/>
        <v>0</v>
      </c>
      <c r="CQ11" s="8">
        <f t="shared" si="60"/>
        <v>0</v>
      </c>
      <c r="CR11" s="8">
        <f t="shared" si="60"/>
        <v>0</v>
      </c>
      <c r="CS11" s="8">
        <f t="shared" si="60"/>
        <v>0</v>
      </c>
      <c r="CT11" s="8">
        <f t="shared" ref="CT11:DX11" si="61">(CT30+CT49)*1</f>
        <v>0</v>
      </c>
      <c r="CU11" s="8">
        <f t="shared" si="61"/>
        <v>0</v>
      </c>
      <c r="CV11" s="8">
        <f t="shared" si="61"/>
        <v>0</v>
      </c>
      <c r="CW11" s="8">
        <f t="shared" si="61"/>
        <v>0</v>
      </c>
      <c r="CX11" s="8">
        <f t="shared" si="61"/>
        <v>0</v>
      </c>
      <c r="CY11" s="8">
        <f t="shared" si="61"/>
        <v>0</v>
      </c>
      <c r="CZ11" s="8">
        <f t="shared" si="61"/>
        <v>0</v>
      </c>
      <c r="DA11" s="8">
        <f t="shared" si="61"/>
        <v>0</v>
      </c>
      <c r="DB11" s="8">
        <f t="shared" si="61"/>
        <v>0</v>
      </c>
      <c r="DC11" s="8">
        <f t="shared" si="61"/>
        <v>0</v>
      </c>
      <c r="DD11" s="8">
        <f t="shared" si="61"/>
        <v>3466</v>
      </c>
      <c r="DE11" s="8">
        <f t="shared" si="61"/>
        <v>11887</v>
      </c>
      <c r="DF11" s="8">
        <f t="shared" si="61"/>
        <v>11516</v>
      </c>
      <c r="DG11" s="8">
        <f t="shared" si="61"/>
        <v>26869</v>
      </c>
      <c r="DH11" s="8">
        <f t="shared" si="61"/>
        <v>10408</v>
      </c>
      <c r="DI11" s="8">
        <f t="shared" si="61"/>
        <v>10581</v>
      </c>
      <c r="DJ11" s="8">
        <f t="shared" si="61"/>
        <v>12475</v>
      </c>
      <c r="DK11" s="8">
        <f t="shared" si="61"/>
        <v>12255</v>
      </c>
      <c r="DL11" s="8">
        <f t="shared" si="61"/>
        <v>45719</v>
      </c>
      <c r="DM11" s="8">
        <f t="shared" si="61"/>
        <v>11752</v>
      </c>
      <c r="DN11" s="8">
        <f t="shared" si="61"/>
        <v>12093</v>
      </c>
      <c r="DO11" s="8">
        <f t="shared" si="61"/>
        <v>13170</v>
      </c>
      <c r="DP11" s="8">
        <f t="shared" si="61"/>
        <v>12799</v>
      </c>
      <c r="DQ11" s="8">
        <f t="shared" si="61"/>
        <v>49814</v>
      </c>
      <c r="DR11" s="8">
        <f t="shared" si="61"/>
        <v>12750</v>
      </c>
      <c r="DS11" s="8">
        <f t="shared" si="61"/>
        <v>13294</v>
      </c>
      <c r="DT11" s="8">
        <f t="shared" si="61"/>
        <v>14257</v>
      </c>
      <c r="DU11" s="8">
        <f t="shared" si="61"/>
        <v>13262.5465</v>
      </c>
      <c r="DV11" s="8">
        <f t="shared" si="61"/>
        <v>53563.546500000004</v>
      </c>
      <c r="DW11" s="8">
        <f t="shared" si="61"/>
        <v>13309</v>
      </c>
      <c r="DX11" s="8">
        <f t="shared" si="61"/>
        <v>13711</v>
      </c>
      <c r="DY11" s="8">
        <f t="shared" si="11"/>
        <v>15146.234499999999</v>
      </c>
      <c r="DZ11" s="8">
        <f t="shared" si="11"/>
        <v>14569</v>
      </c>
      <c r="EA11" s="8">
        <f t="shared" si="11"/>
        <v>56735.234499999999</v>
      </c>
      <c r="EB11" s="8">
        <f t="shared" si="11"/>
        <v>13954</v>
      </c>
      <c r="EC11" s="8">
        <f t="shared" si="11"/>
        <v>15083.690500000001</v>
      </c>
      <c r="ED11" s="8">
        <f t="shared" si="11"/>
        <v>15823.147499999999</v>
      </c>
      <c r="EE11" s="8">
        <f t="shared" ref="EE11" si="62">(EE30+EE49)*1</f>
        <v>14900.498000000001</v>
      </c>
      <c r="EF11" s="8">
        <f t="shared" si="13"/>
        <v>59761.335999999996</v>
      </c>
      <c r="EG11" s="8">
        <f t="shared" si="13"/>
        <v>14920.1535</v>
      </c>
      <c r="EH11" s="8">
        <f t="shared" ref="EH11" si="63">(EH30+EH49)*1</f>
        <v>15846.263999999999</v>
      </c>
      <c r="EI11" s="8">
        <f t="shared" ref="EI11" si="64">(EI30+EI49)*1</f>
        <v>16889.7955</v>
      </c>
    </row>
    <row r="12" spans="1:139" ht="15" thickBot="1" x14ac:dyDescent="0.35">
      <c r="A12" s="2" t="s">
        <v>446</v>
      </c>
      <c r="B12" s="9">
        <f t="shared" ref="B12:AG12" si="65">(B31+B50)*1</f>
        <v>0</v>
      </c>
      <c r="C12" s="9">
        <f t="shared" si="65"/>
        <v>0</v>
      </c>
      <c r="D12" s="9">
        <f t="shared" si="65"/>
        <v>0</v>
      </c>
      <c r="E12" s="9">
        <f t="shared" si="65"/>
        <v>0</v>
      </c>
      <c r="F12" s="9">
        <f t="shared" si="65"/>
        <v>0</v>
      </c>
      <c r="G12" s="9">
        <f t="shared" si="65"/>
        <v>0</v>
      </c>
      <c r="H12" s="9">
        <f t="shared" si="65"/>
        <v>0</v>
      </c>
      <c r="I12" s="9">
        <f t="shared" si="65"/>
        <v>0</v>
      </c>
      <c r="J12" s="9">
        <f t="shared" si="65"/>
        <v>0</v>
      </c>
      <c r="K12" s="9">
        <f t="shared" si="65"/>
        <v>0</v>
      </c>
      <c r="L12" s="9">
        <f t="shared" si="65"/>
        <v>0</v>
      </c>
      <c r="M12" s="9">
        <f t="shared" si="65"/>
        <v>0</v>
      </c>
      <c r="N12" s="9">
        <f t="shared" si="65"/>
        <v>0</v>
      </c>
      <c r="O12" s="9">
        <f t="shared" si="65"/>
        <v>0</v>
      </c>
      <c r="P12" s="9">
        <f t="shared" si="65"/>
        <v>0</v>
      </c>
      <c r="Q12" s="9">
        <f t="shared" si="65"/>
        <v>0</v>
      </c>
      <c r="R12" s="9">
        <f t="shared" si="65"/>
        <v>0</v>
      </c>
      <c r="S12" s="9">
        <f t="shared" si="65"/>
        <v>0</v>
      </c>
      <c r="T12" s="9">
        <f t="shared" si="65"/>
        <v>0</v>
      </c>
      <c r="U12" s="9">
        <f t="shared" si="65"/>
        <v>0</v>
      </c>
      <c r="V12" s="9">
        <f t="shared" si="65"/>
        <v>0</v>
      </c>
      <c r="W12" s="9">
        <f t="shared" si="65"/>
        <v>0</v>
      </c>
      <c r="X12" s="9">
        <f t="shared" si="65"/>
        <v>0</v>
      </c>
      <c r="Y12" s="9">
        <f t="shared" si="65"/>
        <v>0</v>
      </c>
      <c r="Z12" s="9">
        <f t="shared" si="65"/>
        <v>0</v>
      </c>
      <c r="AA12" s="9">
        <f t="shared" si="65"/>
        <v>0</v>
      </c>
      <c r="AB12" s="9">
        <f t="shared" si="65"/>
        <v>0</v>
      </c>
      <c r="AC12" s="9">
        <f t="shared" si="65"/>
        <v>0</v>
      </c>
      <c r="AD12" s="9">
        <f t="shared" si="65"/>
        <v>0</v>
      </c>
      <c r="AE12" s="9">
        <f t="shared" si="65"/>
        <v>0</v>
      </c>
      <c r="AF12" s="9">
        <f t="shared" si="65"/>
        <v>0</v>
      </c>
      <c r="AG12" s="9">
        <f t="shared" si="65"/>
        <v>0</v>
      </c>
      <c r="AH12" s="9">
        <f t="shared" ref="AH12:BM12" si="66">(AH31+AH50)*1</f>
        <v>0</v>
      </c>
      <c r="AI12" s="9">
        <f t="shared" si="66"/>
        <v>0</v>
      </c>
      <c r="AJ12" s="9">
        <f t="shared" si="66"/>
        <v>0</v>
      </c>
      <c r="AK12" s="9">
        <f t="shared" si="66"/>
        <v>0</v>
      </c>
      <c r="AL12" s="9">
        <f t="shared" si="66"/>
        <v>0</v>
      </c>
      <c r="AM12" s="9">
        <f t="shared" si="66"/>
        <v>0</v>
      </c>
      <c r="AN12" s="9">
        <f t="shared" si="66"/>
        <v>0</v>
      </c>
      <c r="AO12" s="9">
        <f t="shared" si="66"/>
        <v>0</v>
      </c>
      <c r="AP12" s="9">
        <f t="shared" si="66"/>
        <v>0</v>
      </c>
      <c r="AQ12" s="9">
        <f t="shared" si="66"/>
        <v>0</v>
      </c>
      <c r="AR12" s="9">
        <f t="shared" si="66"/>
        <v>0</v>
      </c>
      <c r="AS12" s="9">
        <f t="shared" si="66"/>
        <v>0</v>
      </c>
      <c r="AT12" s="9">
        <f t="shared" si="66"/>
        <v>0</v>
      </c>
      <c r="AU12" s="9">
        <f t="shared" si="66"/>
        <v>0</v>
      </c>
      <c r="AV12" s="9">
        <f t="shared" si="66"/>
        <v>0</v>
      </c>
      <c r="AW12" s="9">
        <f t="shared" si="66"/>
        <v>0</v>
      </c>
      <c r="AX12" s="9">
        <f t="shared" si="66"/>
        <v>0</v>
      </c>
      <c r="AY12" s="9">
        <f t="shared" si="66"/>
        <v>0</v>
      </c>
      <c r="AZ12" s="9">
        <f t="shared" si="66"/>
        <v>0</v>
      </c>
      <c r="BA12" s="9">
        <f t="shared" si="66"/>
        <v>0</v>
      </c>
      <c r="BB12" s="9">
        <f t="shared" si="66"/>
        <v>0</v>
      </c>
      <c r="BC12" s="9">
        <f t="shared" si="66"/>
        <v>0</v>
      </c>
      <c r="BD12" s="9">
        <f t="shared" si="66"/>
        <v>0</v>
      </c>
      <c r="BE12" s="9">
        <f t="shared" si="66"/>
        <v>0</v>
      </c>
      <c r="BF12" s="9">
        <f t="shared" si="66"/>
        <v>0</v>
      </c>
      <c r="BG12" s="9">
        <f t="shared" si="66"/>
        <v>0</v>
      </c>
      <c r="BH12" s="9">
        <f t="shared" si="66"/>
        <v>0</v>
      </c>
      <c r="BI12" s="9">
        <f t="shared" si="66"/>
        <v>0</v>
      </c>
      <c r="BJ12" s="9">
        <f t="shared" si="66"/>
        <v>0</v>
      </c>
      <c r="BK12" s="9">
        <f t="shared" si="66"/>
        <v>0</v>
      </c>
      <c r="BL12" s="9">
        <f t="shared" si="66"/>
        <v>0</v>
      </c>
      <c r="BM12" s="9">
        <f t="shared" si="66"/>
        <v>0</v>
      </c>
      <c r="BN12" s="9">
        <f t="shared" ref="BN12:CS12" si="67">(BN31+BN50)*1</f>
        <v>0</v>
      </c>
      <c r="BO12" s="9">
        <f t="shared" si="67"/>
        <v>0</v>
      </c>
      <c r="BP12" s="9">
        <f t="shared" si="67"/>
        <v>0</v>
      </c>
      <c r="BQ12" s="9">
        <f t="shared" si="67"/>
        <v>0</v>
      </c>
      <c r="BR12" s="9">
        <f t="shared" si="67"/>
        <v>0</v>
      </c>
      <c r="BS12" s="9">
        <f t="shared" si="67"/>
        <v>0</v>
      </c>
      <c r="BT12" s="9">
        <f t="shared" si="67"/>
        <v>0</v>
      </c>
      <c r="BU12" s="9">
        <f t="shared" si="67"/>
        <v>0</v>
      </c>
      <c r="BV12" s="9">
        <f t="shared" si="67"/>
        <v>0</v>
      </c>
      <c r="BW12" s="9">
        <f t="shared" si="67"/>
        <v>0</v>
      </c>
      <c r="BX12" s="9">
        <f t="shared" si="67"/>
        <v>0</v>
      </c>
      <c r="BY12" s="9">
        <f t="shared" si="67"/>
        <v>0</v>
      </c>
      <c r="BZ12" s="9">
        <f t="shared" si="67"/>
        <v>0</v>
      </c>
      <c r="CA12" s="9">
        <f t="shared" si="67"/>
        <v>0</v>
      </c>
      <c r="CB12" s="9">
        <f t="shared" si="67"/>
        <v>0</v>
      </c>
      <c r="CC12" s="9">
        <f t="shared" si="67"/>
        <v>0</v>
      </c>
      <c r="CD12" s="9">
        <f t="shared" si="67"/>
        <v>0</v>
      </c>
      <c r="CE12" s="9">
        <f t="shared" si="67"/>
        <v>0</v>
      </c>
      <c r="CF12" s="9">
        <f t="shared" si="67"/>
        <v>0</v>
      </c>
      <c r="CG12" s="9">
        <f t="shared" si="67"/>
        <v>0</v>
      </c>
      <c r="CH12" s="9">
        <f t="shared" si="67"/>
        <v>0</v>
      </c>
      <c r="CI12" s="9">
        <f t="shared" si="67"/>
        <v>0</v>
      </c>
      <c r="CJ12" s="9">
        <f t="shared" si="67"/>
        <v>0</v>
      </c>
      <c r="CK12" s="9">
        <f t="shared" si="67"/>
        <v>0</v>
      </c>
      <c r="CL12" s="9">
        <f t="shared" si="67"/>
        <v>0</v>
      </c>
      <c r="CM12" s="9">
        <f t="shared" si="67"/>
        <v>0</v>
      </c>
      <c r="CN12" s="9">
        <f t="shared" si="67"/>
        <v>0</v>
      </c>
      <c r="CO12" s="9">
        <f t="shared" si="67"/>
        <v>0</v>
      </c>
      <c r="CP12" s="9">
        <f t="shared" si="67"/>
        <v>0</v>
      </c>
      <c r="CQ12" s="9">
        <f t="shared" si="67"/>
        <v>0</v>
      </c>
      <c r="CR12" s="9">
        <f t="shared" si="67"/>
        <v>0</v>
      </c>
      <c r="CS12" s="9">
        <f t="shared" si="67"/>
        <v>0</v>
      </c>
      <c r="CT12" s="9">
        <f t="shared" ref="CT12:DX12" si="68">(CT31+CT50)*1</f>
        <v>0</v>
      </c>
      <c r="CU12" s="9">
        <f t="shared" si="68"/>
        <v>0</v>
      </c>
      <c r="CV12" s="9">
        <f t="shared" si="68"/>
        <v>0</v>
      </c>
      <c r="CW12" s="9">
        <f t="shared" si="68"/>
        <v>0</v>
      </c>
      <c r="CX12" s="9">
        <f t="shared" si="68"/>
        <v>0</v>
      </c>
      <c r="CY12" s="9">
        <f t="shared" si="68"/>
        <v>0</v>
      </c>
      <c r="CZ12" s="9">
        <f t="shared" si="68"/>
        <v>0</v>
      </c>
      <c r="DA12" s="9">
        <f t="shared" si="68"/>
        <v>0</v>
      </c>
      <c r="DB12" s="9">
        <f t="shared" si="68"/>
        <v>0</v>
      </c>
      <c r="DC12" s="9">
        <f t="shared" si="68"/>
        <v>0</v>
      </c>
      <c r="DD12" s="9">
        <f t="shared" si="68"/>
        <v>0</v>
      </c>
      <c r="DE12" s="9">
        <f t="shared" si="68"/>
        <v>0</v>
      </c>
      <c r="DF12" s="9">
        <f t="shared" si="68"/>
        <v>0</v>
      </c>
      <c r="DG12" s="9">
        <f t="shared" si="68"/>
        <v>0</v>
      </c>
      <c r="DH12" s="9">
        <f t="shared" si="68"/>
        <v>0</v>
      </c>
      <c r="DI12" s="9">
        <f t="shared" si="68"/>
        <v>0</v>
      </c>
      <c r="DJ12" s="9">
        <f t="shared" si="68"/>
        <v>0</v>
      </c>
      <c r="DK12" s="9">
        <f t="shared" si="68"/>
        <v>2594</v>
      </c>
      <c r="DL12" s="9">
        <f t="shared" si="68"/>
        <v>2594</v>
      </c>
      <c r="DM12" s="9">
        <f t="shared" si="68"/>
        <v>7006</v>
      </c>
      <c r="DN12" s="9">
        <f t="shared" si="68"/>
        <v>8807</v>
      </c>
      <c r="DO12" s="9">
        <f t="shared" si="68"/>
        <v>8994</v>
      </c>
      <c r="DP12" s="9">
        <f t="shared" si="68"/>
        <v>7995</v>
      </c>
      <c r="DQ12" s="9">
        <f t="shared" si="68"/>
        <v>32802</v>
      </c>
      <c r="DR12" s="9">
        <f t="shared" si="68"/>
        <v>8125</v>
      </c>
      <c r="DS12" s="9">
        <f t="shared" si="68"/>
        <v>8545</v>
      </c>
      <c r="DT12" s="9">
        <f t="shared" si="68"/>
        <v>8929</v>
      </c>
      <c r="DU12" s="9">
        <f t="shared" si="68"/>
        <v>8235.5314999999991</v>
      </c>
      <c r="DV12" s="9">
        <f t="shared" si="68"/>
        <v>33834.531499999997</v>
      </c>
      <c r="DW12" s="9">
        <f t="shared" si="68"/>
        <v>8510</v>
      </c>
      <c r="DX12" s="9">
        <f t="shared" si="68"/>
        <v>9077</v>
      </c>
      <c r="DY12" s="9">
        <f t="shared" si="11"/>
        <v>10127.992</v>
      </c>
      <c r="DZ12" s="9">
        <f t="shared" si="11"/>
        <v>9746</v>
      </c>
      <c r="EA12" s="9">
        <f t="shared" si="11"/>
        <v>37460.991999999998</v>
      </c>
      <c r="EB12" s="9">
        <f t="shared" si="11"/>
        <v>8978</v>
      </c>
      <c r="EC12" s="9">
        <f t="shared" si="11"/>
        <v>9339.0434999999998</v>
      </c>
      <c r="ED12" s="9">
        <f t="shared" si="11"/>
        <v>10004.3665</v>
      </c>
      <c r="EE12" s="9">
        <f t="shared" ref="EE12" si="69">(EE31+EE50)*1</f>
        <v>9320.9570000000003</v>
      </c>
      <c r="EF12" s="9">
        <f t="shared" si="13"/>
        <v>37642.366999999998</v>
      </c>
      <c r="EG12" s="9">
        <f t="shared" si="13"/>
        <v>9060.2669999999998</v>
      </c>
      <c r="EH12" s="9">
        <f t="shared" ref="EH12" si="70">(EH31+EH50)*1</f>
        <v>9670.6934999999994</v>
      </c>
      <c r="EI12" s="9">
        <f t="shared" ref="EI12" si="71">(EI31+EI50)*1</f>
        <v>10416.406999999999</v>
      </c>
    </row>
    <row r="13" spans="1:139" ht="15" thickTop="1" x14ac:dyDescent="0.3">
      <c r="A13" s="1" t="s">
        <v>448</v>
      </c>
      <c r="B13" s="8">
        <f t="shared" ref="B13:AG13" si="72">(B32+B51)*1</f>
        <v>0</v>
      </c>
      <c r="C13" s="8">
        <f t="shared" si="72"/>
        <v>0</v>
      </c>
      <c r="D13" s="8">
        <f t="shared" si="72"/>
        <v>0</v>
      </c>
      <c r="E13" s="8">
        <f t="shared" si="72"/>
        <v>0</v>
      </c>
      <c r="F13" s="8">
        <f t="shared" si="72"/>
        <v>0</v>
      </c>
      <c r="G13" s="8">
        <f t="shared" si="72"/>
        <v>0</v>
      </c>
      <c r="H13" s="8">
        <f t="shared" si="72"/>
        <v>0</v>
      </c>
      <c r="I13" s="8">
        <f t="shared" si="72"/>
        <v>0</v>
      </c>
      <c r="J13" s="8">
        <f t="shared" si="72"/>
        <v>0</v>
      </c>
      <c r="K13" s="8">
        <f t="shared" si="72"/>
        <v>0</v>
      </c>
      <c r="L13" s="8">
        <f t="shared" si="72"/>
        <v>0</v>
      </c>
      <c r="M13" s="8">
        <f t="shared" si="72"/>
        <v>0</v>
      </c>
      <c r="N13" s="8">
        <f t="shared" si="72"/>
        <v>0</v>
      </c>
      <c r="O13" s="8">
        <f t="shared" si="72"/>
        <v>0</v>
      </c>
      <c r="P13" s="8">
        <f t="shared" si="72"/>
        <v>0</v>
      </c>
      <c r="Q13" s="8">
        <f t="shared" si="72"/>
        <v>0</v>
      </c>
      <c r="R13" s="8">
        <f t="shared" si="72"/>
        <v>0</v>
      </c>
      <c r="S13" s="8">
        <f t="shared" si="72"/>
        <v>0</v>
      </c>
      <c r="T13" s="8">
        <f t="shared" si="72"/>
        <v>0</v>
      </c>
      <c r="U13" s="8">
        <f t="shared" si="72"/>
        <v>0</v>
      </c>
      <c r="V13" s="8">
        <f t="shared" si="72"/>
        <v>0</v>
      </c>
      <c r="W13" s="8">
        <f t="shared" si="72"/>
        <v>0</v>
      </c>
      <c r="X13" s="8">
        <f t="shared" si="72"/>
        <v>0</v>
      </c>
      <c r="Y13" s="8">
        <f t="shared" si="72"/>
        <v>0</v>
      </c>
      <c r="Z13" s="8">
        <f t="shared" si="72"/>
        <v>0</v>
      </c>
      <c r="AA13" s="8">
        <f t="shared" si="72"/>
        <v>0</v>
      </c>
      <c r="AB13" s="8">
        <f t="shared" si="72"/>
        <v>0</v>
      </c>
      <c r="AC13" s="8">
        <f t="shared" si="72"/>
        <v>0</v>
      </c>
      <c r="AD13" s="8">
        <f t="shared" si="72"/>
        <v>0</v>
      </c>
      <c r="AE13" s="8">
        <f t="shared" si="72"/>
        <v>0</v>
      </c>
      <c r="AF13" s="8">
        <f t="shared" si="72"/>
        <v>0</v>
      </c>
      <c r="AG13" s="8">
        <f t="shared" si="72"/>
        <v>0</v>
      </c>
      <c r="AH13" s="8">
        <f t="shared" ref="AH13:BM13" si="73">(AH32+AH51)*1</f>
        <v>0</v>
      </c>
      <c r="AI13" s="8">
        <f t="shared" si="73"/>
        <v>0</v>
      </c>
      <c r="AJ13" s="8">
        <f t="shared" si="73"/>
        <v>0</v>
      </c>
      <c r="AK13" s="8">
        <f t="shared" si="73"/>
        <v>0</v>
      </c>
      <c r="AL13" s="8">
        <f t="shared" si="73"/>
        <v>0</v>
      </c>
      <c r="AM13" s="8">
        <f t="shared" si="73"/>
        <v>0</v>
      </c>
      <c r="AN13" s="8">
        <f t="shared" si="73"/>
        <v>0</v>
      </c>
      <c r="AO13" s="8">
        <f t="shared" si="73"/>
        <v>0</v>
      </c>
      <c r="AP13" s="8">
        <f t="shared" si="73"/>
        <v>0</v>
      </c>
      <c r="AQ13" s="8">
        <f t="shared" si="73"/>
        <v>0</v>
      </c>
      <c r="AR13" s="8">
        <f t="shared" si="73"/>
        <v>0</v>
      </c>
      <c r="AS13" s="8">
        <f t="shared" si="73"/>
        <v>0</v>
      </c>
      <c r="AT13" s="8">
        <f t="shared" si="73"/>
        <v>0</v>
      </c>
      <c r="AU13" s="8">
        <f t="shared" si="73"/>
        <v>0</v>
      </c>
      <c r="AV13" s="8">
        <f t="shared" si="73"/>
        <v>0</v>
      </c>
      <c r="AW13" s="8">
        <f t="shared" si="73"/>
        <v>0</v>
      </c>
      <c r="AX13" s="8">
        <f t="shared" si="73"/>
        <v>0</v>
      </c>
      <c r="AY13" s="8">
        <f t="shared" si="73"/>
        <v>0</v>
      </c>
      <c r="AZ13" s="8">
        <f t="shared" si="73"/>
        <v>0</v>
      </c>
      <c r="BA13" s="8">
        <f t="shared" si="73"/>
        <v>0</v>
      </c>
      <c r="BB13" s="8">
        <f t="shared" si="73"/>
        <v>0</v>
      </c>
      <c r="BC13" s="8">
        <f t="shared" si="73"/>
        <v>0</v>
      </c>
      <c r="BD13" s="8">
        <f t="shared" si="73"/>
        <v>0</v>
      </c>
      <c r="BE13" s="8">
        <f t="shared" si="73"/>
        <v>0</v>
      </c>
      <c r="BF13" s="8">
        <f t="shared" si="73"/>
        <v>0</v>
      </c>
      <c r="BG13" s="8">
        <f t="shared" si="73"/>
        <v>0</v>
      </c>
      <c r="BH13" s="8">
        <f t="shared" si="73"/>
        <v>0</v>
      </c>
      <c r="BI13" s="8">
        <f t="shared" si="73"/>
        <v>0</v>
      </c>
      <c r="BJ13" s="8">
        <f t="shared" si="73"/>
        <v>0</v>
      </c>
      <c r="BK13" s="8">
        <f t="shared" si="73"/>
        <v>0</v>
      </c>
      <c r="BL13" s="8">
        <f t="shared" si="73"/>
        <v>0</v>
      </c>
      <c r="BM13" s="8">
        <f t="shared" si="73"/>
        <v>0</v>
      </c>
      <c r="BN13" s="8">
        <f t="shared" ref="BN13:CS13" si="74">(BN32+BN51)*1</f>
        <v>0</v>
      </c>
      <c r="BO13" s="8">
        <f t="shared" si="74"/>
        <v>0</v>
      </c>
      <c r="BP13" s="8">
        <f t="shared" si="74"/>
        <v>0</v>
      </c>
      <c r="BQ13" s="8">
        <f t="shared" si="74"/>
        <v>0</v>
      </c>
      <c r="BR13" s="8">
        <f t="shared" si="74"/>
        <v>0</v>
      </c>
      <c r="BS13" s="8">
        <f t="shared" si="74"/>
        <v>0</v>
      </c>
      <c r="BT13" s="8">
        <f t="shared" si="74"/>
        <v>0</v>
      </c>
      <c r="BU13" s="8">
        <f t="shared" si="74"/>
        <v>0</v>
      </c>
      <c r="BV13" s="8">
        <f t="shared" si="74"/>
        <v>0</v>
      </c>
      <c r="BW13" s="8">
        <f t="shared" si="74"/>
        <v>0</v>
      </c>
      <c r="BX13" s="8">
        <f t="shared" si="74"/>
        <v>0</v>
      </c>
      <c r="BY13" s="8">
        <f t="shared" si="74"/>
        <v>0</v>
      </c>
      <c r="BZ13" s="8">
        <f t="shared" si="74"/>
        <v>0</v>
      </c>
      <c r="CA13" s="8">
        <f t="shared" si="74"/>
        <v>0</v>
      </c>
      <c r="CB13" s="8">
        <f t="shared" si="74"/>
        <v>0</v>
      </c>
      <c r="CC13" s="8">
        <f t="shared" si="74"/>
        <v>0</v>
      </c>
      <c r="CD13" s="8">
        <f t="shared" si="74"/>
        <v>0</v>
      </c>
      <c r="CE13" s="8">
        <f t="shared" si="74"/>
        <v>0</v>
      </c>
      <c r="CF13" s="8">
        <f t="shared" si="74"/>
        <v>0</v>
      </c>
      <c r="CG13" s="8">
        <f t="shared" si="74"/>
        <v>0</v>
      </c>
      <c r="CH13" s="8">
        <f t="shared" si="74"/>
        <v>0</v>
      </c>
      <c r="CI13" s="8">
        <f t="shared" si="74"/>
        <v>0</v>
      </c>
      <c r="CJ13" s="8">
        <f t="shared" si="74"/>
        <v>0</v>
      </c>
      <c r="CK13" s="8">
        <f t="shared" si="74"/>
        <v>0</v>
      </c>
      <c r="CL13" s="8">
        <f t="shared" si="74"/>
        <v>0</v>
      </c>
      <c r="CM13" s="8">
        <f t="shared" si="74"/>
        <v>0</v>
      </c>
      <c r="CN13" s="8">
        <f t="shared" si="74"/>
        <v>0</v>
      </c>
      <c r="CO13" s="8">
        <f t="shared" si="74"/>
        <v>0</v>
      </c>
      <c r="CP13" s="8">
        <f t="shared" si="74"/>
        <v>0</v>
      </c>
      <c r="CQ13" s="8">
        <f t="shared" si="74"/>
        <v>0</v>
      </c>
      <c r="CR13" s="8">
        <f t="shared" si="74"/>
        <v>0</v>
      </c>
      <c r="CS13" s="8">
        <f t="shared" si="74"/>
        <v>0</v>
      </c>
      <c r="CT13" s="8">
        <f t="shared" ref="CT13:DX13" si="75">(CT32+CT51)*1</f>
        <v>0</v>
      </c>
      <c r="CU13" s="8">
        <f t="shared" si="75"/>
        <v>0</v>
      </c>
      <c r="CV13" s="8">
        <f t="shared" si="75"/>
        <v>0</v>
      </c>
      <c r="CW13" s="8">
        <f t="shared" si="75"/>
        <v>0</v>
      </c>
      <c r="CX13" s="8">
        <f t="shared" si="75"/>
        <v>0</v>
      </c>
      <c r="CY13" s="8">
        <f t="shared" si="75"/>
        <v>0</v>
      </c>
      <c r="CZ13" s="8">
        <f t="shared" si="75"/>
        <v>0</v>
      </c>
      <c r="DA13" s="8">
        <f t="shared" si="75"/>
        <v>0</v>
      </c>
      <c r="DB13" s="8">
        <f t="shared" si="75"/>
        <v>0</v>
      </c>
      <c r="DC13" s="8">
        <f t="shared" si="75"/>
        <v>0</v>
      </c>
      <c r="DD13" s="8">
        <f t="shared" si="75"/>
        <v>0</v>
      </c>
      <c r="DE13" s="8">
        <f t="shared" si="75"/>
        <v>0</v>
      </c>
      <c r="DF13" s="8">
        <f t="shared" si="75"/>
        <v>0</v>
      </c>
      <c r="DG13" s="8">
        <f t="shared" si="75"/>
        <v>0</v>
      </c>
      <c r="DH13" s="8">
        <f t="shared" si="75"/>
        <v>0</v>
      </c>
      <c r="DI13" s="8">
        <f t="shared" si="75"/>
        <v>0</v>
      </c>
      <c r="DJ13" s="8">
        <f t="shared" si="75"/>
        <v>0</v>
      </c>
      <c r="DK13" s="8">
        <f t="shared" si="75"/>
        <v>0</v>
      </c>
      <c r="DL13" s="8">
        <f t="shared" si="75"/>
        <v>0</v>
      </c>
      <c r="DM13" s="8">
        <f t="shared" si="75"/>
        <v>0</v>
      </c>
      <c r="DN13" s="8">
        <f t="shared" si="75"/>
        <v>0</v>
      </c>
      <c r="DO13" s="8">
        <f t="shared" si="75"/>
        <v>0</v>
      </c>
      <c r="DP13" s="8">
        <f t="shared" si="75"/>
        <v>0</v>
      </c>
      <c r="DQ13" s="8">
        <f t="shared" si="75"/>
        <v>0</v>
      </c>
      <c r="DR13" s="8">
        <f t="shared" si="75"/>
        <v>0</v>
      </c>
      <c r="DS13" s="8">
        <f t="shared" si="75"/>
        <v>0</v>
      </c>
      <c r="DT13" s="8">
        <f t="shared" si="75"/>
        <v>358</v>
      </c>
      <c r="DU13" s="8">
        <f t="shared" si="75"/>
        <v>3821.4884999999999</v>
      </c>
      <c r="DV13" s="8">
        <f t="shared" si="75"/>
        <v>4179.4884999999995</v>
      </c>
      <c r="DW13" s="8">
        <f t="shared" si="75"/>
        <v>5633</v>
      </c>
      <c r="DX13" s="8">
        <f t="shared" si="75"/>
        <v>9278</v>
      </c>
      <c r="DY13" s="8">
        <f t="shared" si="11"/>
        <v>9943.8614999999991</v>
      </c>
      <c r="DZ13" s="8">
        <f t="shared" si="11"/>
        <v>15860</v>
      </c>
      <c r="EA13" s="8">
        <f t="shared" si="11"/>
        <v>40714.861499999999</v>
      </c>
      <c r="EB13" s="8">
        <f t="shared" si="11"/>
        <v>18128</v>
      </c>
      <c r="EC13" s="8">
        <f t="shared" si="11"/>
        <v>18367.128499999999</v>
      </c>
      <c r="ED13" s="8">
        <f t="shared" si="11"/>
        <v>19801.494500000001</v>
      </c>
      <c r="EE13" s="8">
        <f t="shared" ref="EE13" si="76">(EE32+EE51)*1</f>
        <v>19875.158499999998</v>
      </c>
      <c r="EF13" s="8">
        <f t="shared" si="13"/>
        <v>76171.781500000012</v>
      </c>
      <c r="EG13" s="8">
        <f t="shared" si="13"/>
        <v>19057.0465</v>
      </c>
      <c r="EH13" s="8">
        <f t="shared" ref="EH13" si="77">(EH32+EH51)*1</f>
        <v>18918.333999999999</v>
      </c>
      <c r="EI13" s="8">
        <f t="shared" ref="EI13" si="78">(EI32+EI51)*1</f>
        <v>20173.952000000001</v>
      </c>
    </row>
    <row r="14" spans="1:139" ht="15" thickBot="1" x14ac:dyDescent="0.35">
      <c r="A14" s="2" t="s">
        <v>447</v>
      </c>
      <c r="B14" s="9">
        <f t="shared" ref="B14:AG14" si="79">(B33+B52)*1</f>
        <v>0</v>
      </c>
      <c r="C14" s="9">
        <f t="shared" si="79"/>
        <v>0</v>
      </c>
      <c r="D14" s="9">
        <f t="shared" si="79"/>
        <v>0</v>
      </c>
      <c r="E14" s="9">
        <f t="shared" si="79"/>
        <v>0</v>
      </c>
      <c r="F14" s="9">
        <f t="shared" si="79"/>
        <v>0</v>
      </c>
      <c r="G14" s="9">
        <f t="shared" si="79"/>
        <v>0</v>
      </c>
      <c r="H14" s="9">
        <f t="shared" si="79"/>
        <v>0</v>
      </c>
      <c r="I14" s="9">
        <f t="shared" si="79"/>
        <v>0</v>
      </c>
      <c r="J14" s="9">
        <f t="shared" si="79"/>
        <v>0</v>
      </c>
      <c r="K14" s="9">
        <f t="shared" si="79"/>
        <v>0</v>
      </c>
      <c r="L14" s="9">
        <f t="shared" si="79"/>
        <v>0</v>
      </c>
      <c r="M14" s="9">
        <f t="shared" si="79"/>
        <v>0</v>
      </c>
      <c r="N14" s="9">
        <f t="shared" si="79"/>
        <v>0</v>
      </c>
      <c r="O14" s="9">
        <f t="shared" si="79"/>
        <v>0</v>
      </c>
      <c r="P14" s="9">
        <f t="shared" si="79"/>
        <v>0</v>
      </c>
      <c r="Q14" s="9">
        <f t="shared" si="79"/>
        <v>0</v>
      </c>
      <c r="R14" s="9">
        <f t="shared" si="79"/>
        <v>0</v>
      </c>
      <c r="S14" s="9">
        <f t="shared" si="79"/>
        <v>0</v>
      </c>
      <c r="T14" s="9">
        <f t="shared" si="79"/>
        <v>0</v>
      </c>
      <c r="U14" s="9">
        <f t="shared" si="79"/>
        <v>0</v>
      </c>
      <c r="V14" s="9">
        <f t="shared" si="79"/>
        <v>0</v>
      </c>
      <c r="W14" s="9">
        <f t="shared" si="79"/>
        <v>0</v>
      </c>
      <c r="X14" s="9">
        <f t="shared" si="79"/>
        <v>0</v>
      </c>
      <c r="Y14" s="9">
        <f t="shared" si="79"/>
        <v>0</v>
      </c>
      <c r="Z14" s="9">
        <f t="shared" si="79"/>
        <v>0</v>
      </c>
      <c r="AA14" s="9">
        <f t="shared" si="79"/>
        <v>0</v>
      </c>
      <c r="AB14" s="9">
        <f t="shared" si="79"/>
        <v>0</v>
      </c>
      <c r="AC14" s="9">
        <f t="shared" si="79"/>
        <v>0</v>
      </c>
      <c r="AD14" s="9">
        <f t="shared" si="79"/>
        <v>0</v>
      </c>
      <c r="AE14" s="9">
        <f t="shared" si="79"/>
        <v>0</v>
      </c>
      <c r="AF14" s="9">
        <f t="shared" si="79"/>
        <v>0</v>
      </c>
      <c r="AG14" s="9">
        <f t="shared" si="79"/>
        <v>0</v>
      </c>
      <c r="AH14" s="9">
        <f t="shared" ref="AH14:BM14" si="80">(AH33+AH52)*1</f>
        <v>0</v>
      </c>
      <c r="AI14" s="9">
        <f t="shared" si="80"/>
        <v>0</v>
      </c>
      <c r="AJ14" s="9">
        <f t="shared" si="80"/>
        <v>0</v>
      </c>
      <c r="AK14" s="9">
        <f t="shared" si="80"/>
        <v>0</v>
      </c>
      <c r="AL14" s="9">
        <f t="shared" si="80"/>
        <v>0</v>
      </c>
      <c r="AM14" s="9">
        <f t="shared" si="80"/>
        <v>0</v>
      </c>
      <c r="AN14" s="9">
        <f t="shared" si="80"/>
        <v>0</v>
      </c>
      <c r="AO14" s="9">
        <f t="shared" si="80"/>
        <v>0</v>
      </c>
      <c r="AP14" s="9">
        <f t="shared" si="80"/>
        <v>0</v>
      </c>
      <c r="AQ14" s="9">
        <f t="shared" si="80"/>
        <v>0</v>
      </c>
      <c r="AR14" s="9">
        <f t="shared" si="80"/>
        <v>0</v>
      </c>
      <c r="AS14" s="9">
        <f t="shared" si="80"/>
        <v>0</v>
      </c>
      <c r="AT14" s="9">
        <f t="shared" si="80"/>
        <v>0</v>
      </c>
      <c r="AU14" s="9">
        <f t="shared" si="80"/>
        <v>0</v>
      </c>
      <c r="AV14" s="9">
        <f t="shared" si="80"/>
        <v>0</v>
      </c>
      <c r="AW14" s="9">
        <f t="shared" si="80"/>
        <v>0</v>
      </c>
      <c r="AX14" s="9">
        <f t="shared" si="80"/>
        <v>0</v>
      </c>
      <c r="AY14" s="9">
        <f t="shared" si="80"/>
        <v>0</v>
      </c>
      <c r="AZ14" s="9">
        <f t="shared" si="80"/>
        <v>0</v>
      </c>
      <c r="BA14" s="9">
        <f t="shared" si="80"/>
        <v>0</v>
      </c>
      <c r="BB14" s="9">
        <f t="shared" si="80"/>
        <v>0</v>
      </c>
      <c r="BC14" s="9">
        <f t="shared" si="80"/>
        <v>0</v>
      </c>
      <c r="BD14" s="9">
        <f t="shared" si="80"/>
        <v>0</v>
      </c>
      <c r="BE14" s="9">
        <f t="shared" si="80"/>
        <v>0</v>
      </c>
      <c r="BF14" s="9">
        <f t="shared" si="80"/>
        <v>0</v>
      </c>
      <c r="BG14" s="9">
        <f t="shared" si="80"/>
        <v>0</v>
      </c>
      <c r="BH14" s="9">
        <f t="shared" si="80"/>
        <v>0</v>
      </c>
      <c r="BI14" s="9">
        <f t="shared" si="80"/>
        <v>0</v>
      </c>
      <c r="BJ14" s="9">
        <f t="shared" si="80"/>
        <v>0</v>
      </c>
      <c r="BK14" s="9">
        <f t="shared" si="80"/>
        <v>0</v>
      </c>
      <c r="BL14" s="9">
        <f t="shared" si="80"/>
        <v>0</v>
      </c>
      <c r="BM14" s="9">
        <f t="shared" si="80"/>
        <v>0</v>
      </c>
      <c r="BN14" s="9">
        <f t="shared" ref="BN14:CS14" si="81">(BN33+BN52)*1</f>
        <v>0</v>
      </c>
      <c r="BO14" s="9">
        <f t="shared" si="81"/>
        <v>0</v>
      </c>
      <c r="BP14" s="9">
        <f t="shared" si="81"/>
        <v>0</v>
      </c>
      <c r="BQ14" s="9">
        <f t="shared" si="81"/>
        <v>0</v>
      </c>
      <c r="BR14" s="9">
        <f t="shared" si="81"/>
        <v>0</v>
      </c>
      <c r="BS14" s="9">
        <f t="shared" si="81"/>
        <v>0</v>
      </c>
      <c r="BT14" s="9">
        <f t="shared" si="81"/>
        <v>0</v>
      </c>
      <c r="BU14" s="9">
        <f t="shared" si="81"/>
        <v>0</v>
      </c>
      <c r="BV14" s="9">
        <f t="shared" si="81"/>
        <v>0</v>
      </c>
      <c r="BW14" s="9">
        <f t="shared" si="81"/>
        <v>0</v>
      </c>
      <c r="BX14" s="9">
        <f t="shared" si="81"/>
        <v>0</v>
      </c>
      <c r="BY14" s="9">
        <f t="shared" si="81"/>
        <v>0</v>
      </c>
      <c r="BZ14" s="9">
        <f t="shared" si="81"/>
        <v>0</v>
      </c>
      <c r="CA14" s="9">
        <f t="shared" si="81"/>
        <v>0</v>
      </c>
      <c r="CB14" s="9">
        <f t="shared" si="81"/>
        <v>0</v>
      </c>
      <c r="CC14" s="9">
        <f t="shared" si="81"/>
        <v>0</v>
      </c>
      <c r="CD14" s="9">
        <f t="shared" si="81"/>
        <v>0</v>
      </c>
      <c r="CE14" s="9">
        <f t="shared" si="81"/>
        <v>0</v>
      </c>
      <c r="CF14" s="9">
        <f t="shared" si="81"/>
        <v>0</v>
      </c>
      <c r="CG14" s="9">
        <f t="shared" si="81"/>
        <v>0</v>
      </c>
      <c r="CH14" s="9">
        <f t="shared" si="81"/>
        <v>0</v>
      </c>
      <c r="CI14" s="9">
        <f t="shared" si="81"/>
        <v>0</v>
      </c>
      <c r="CJ14" s="9">
        <f t="shared" si="81"/>
        <v>0</v>
      </c>
      <c r="CK14" s="9">
        <f t="shared" si="81"/>
        <v>0</v>
      </c>
      <c r="CL14" s="9">
        <f t="shared" si="81"/>
        <v>0</v>
      </c>
      <c r="CM14" s="9">
        <f t="shared" si="81"/>
        <v>0</v>
      </c>
      <c r="CN14" s="9">
        <f t="shared" si="81"/>
        <v>0</v>
      </c>
      <c r="CO14" s="9">
        <f t="shared" si="81"/>
        <v>0</v>
      </c>
      <c r="CP14" s="9">
        <f t="shared" si="81"/>
        <v>0</v>
      </c>
      <c r="CQ14" s="9">
        <f t="shared" si="81"/>
        <v>0</v>
      </c>
      <c r="CR14" s="9">
        <f t="shared" si="81"/>
        <v>0</v>
      </c>
      <c r="CS14" s="9">
        <f t="shared" si="81"/>
        <v>0</v>
      </c>
      <c r="CT14" s="9">
        <f t="shared" ref="CT14:DX14" si="82">(CT33+CT52)*1</f>
        <v>0</v>
      </c>
      <c r="CU14" s="9">
        <f t="shared" si="82"/>
        <v>0</v>
      </c>
      <c r="CV14" s="9">
        <f t="shared" si="82"/>
        <v>0</v>
      </c>
      <c r="CW14" s="9">
        <f t="shared" si="82"/>
        <v>0</v>
      </c>
      <c r="CX14" s="9">
        <f t="shared" si="82"/>
        <v>0</v>
      </c>
      <c r="CY14" s="9">
        <f t="shared" si="82"/>
        <v>0</v>
      </c>
      <c r="CZ14" s="9">
        <f t="shared" si="82"/>
        <v>0</v>
      </c>
      <c r="DA14" s="9">
        <f t="shared" si="82"/>
        <v>0</v>
      </c>
      <c r="DB14" s="9">
        <f t="shared" si="82"/>
        <v>0</v>
      </c>
      <c r="DC14" s="9">
        <f t="shared" si="82"/>
        <v>0</v>
      </c>
      <c r="DD14" s="9">
        <f t="shared" si="82"/>
        <v>0</v>
      </c>
      <c r="DE14" s="9">
        <f t="shared" si="82"/>
        <v>0</v>
      </c>
      <c r="DF14" s="9">
        <f t="shared" si="82"/>
        <v>0</v>
      </c>
      <c r="DG14" s="9">
        <f t="shared" si="82"/>
        <v>0</v>
      </c>
      <c r="DH14" s="9">
        <f t="shared" si="82"/>
        <v>0</v>
      </c>
      <c r="DI14" s="9">
        <f t="shared" si="82"/>
        <v>0</v>
      </c>
      <c r="DJ14" s="9">
        <f t="shared" si="82"/>
        <v>0</v>
      </c>
      <c r="DK14" s="9">
        <f t="shared" si="82"/>
        <v>0</v>
      </c>
      <c r="DL14" s="9">
        <f t="shared" si="82"/>
        <v>0</v>
      </c>
      <c r="DM14" s="9">
        <f t="shared" si="82"/>
        <v>0</v>
      </c>
      <c r="DN14" s="9">
        <f t="shared" si="82"/>
        <v>0</v>
      </c>
      <c r="DO14" s="9">
        <f t="shared" si="82"/>
        <v>0</v>
      </c>
      <c r="DP14" s="9">
        <f t="shared" si="82"/>
        <v>0</v>
      </c>
      <c r="DQ14" s="9">
        <f t="shared" si="82"/>
        <v>0</v>
      </c>
      <c r="DR14" s="9">
        <f t="shared" si="82"/>
        <v>0</v>
      </c>
      <c r="DS14" s="9">
        <f t="shared" si="82"/>
        <v>0</v>
      </c>
      <c r="DT14" s="9">
        <f t="shared" si="82"/>
        <v>0</v>
      </c>
      <c r="DU14" s="9">
        <f t="shared" si="82"/>
        <v>11281.9215</v>
      </c>
      <c r="DV14" s="9">
        <f t="shared" si="82"/>
        <v>11281.9215</v>
      </c>
      <c r="DW14" s="9">
        <f t="shared" si="82"/>
        <v>11158</v>
      </c>
      <c r="DX14" s="9">
        <f t="shared" si="82"/>
        <v>12447</v>
      </c>
      <c r="DY14" s="9">
        <f t="shared" si="11"/>
        <v>13470.021000000001</v>
      </c>
      <c r="DZ14" s="9">
        <f t="shared" si="11"/>
        <v>13093</v>
      </c>
      <c r="EA14" s="9">
        <f t="shared" si="11"/>
        <v>50168.021000000001</v>
      </c>
      <c r="EB14" s="9">
        <f t="shared" si="11"/>
        <v>11904</v>
      </c>
      <c r="EC14" s="9">
        <f t="shared" si="11"/>
        <v>12933.978999999999</v>
      </c>
      <c r="ED14" s="9">
        <f t="shared" si="11"/>
        <v>14233.922499999999</v>
      </c>
      <c r="EE14" s="9">
        <f t="shared" ref="EE14" si="83">(EE33+EE52)*1</f>
        <v>13631.804</v>
      </c>
      <c r="EF14" s="9">
        <f t="shared" si="13"/>
        <v>52703.705499999996</v>
      </c>
      <c r="EG14" s="9">
        <f t="shared" si="13"/>
        <v>12078.5005</v>
      </c>
      <c r="EH14" s="9">
        <f t="shared" ref="EH14" si="84">(EH33+EH52)*1</f>
        <v>12979.161499999998</v>
      </c>
      <c r="EI14" s="9">
        <f t="shared" ref="EI14" si="85">(EI33+EI52)*1</f>
        <v>14100.601499999995</v>
      </c>
    </row>
    <row r="15" spans="1:139" ht="15" customHeight="1" thickTop="1" x14ac:dyDescent="0.3">
      <c r="A15" s="1" t="s">
        <v>469</v>
      </c>
      <c r="B15" s="8">
        <f t="shared" ref="B15:AG15" si="86">(B34+B53)*1</f>
        <v>0</v>
      </c>
      <c r="C15" s="8">
        <f t="shared" si="86"/>
        <v>0</v>
      </c>
      <c r="D15" s="8">
        <f t="shared" si="86"/>
        <v>0</v>
      </c>
      <c r="E15" s="8">
        <f t="shared" si="86"/>
        <v>0</v>
      </c>
      <c r="F15" s="8">
        <f t="shared" si="86"/>
        <v>0</v>
      </c>
      <c r="G15" s="8">
        <f t="shared" si="86"/>
        <v>0</v>
      </c>
      <c r="H15" s="8">
        <f t="shared" si="86"/>
        <v>0</v>
      </c>
      <c r="I15" s="8">
        <f t="shared" si="86"/>
        <v>0</v>
      </c>
      <c r="J15" s="8">
        <f t="shared" si="86"/>
        <v>0</v>
      </c>
      <c r="K15" s="8">
        <f t="shared" si="86"/>
        <v>0</v>
      </c>
      <c r="L15" s="8">
        <f t="shared" si="86"/>
        <v>0</v>
      </c>
      <c r="M15" s="8">
        <f t="shared" si="86"/>
        <v>0</v>
      </c>
      <c r="N15" s="8">
        <f t="shared" si="86"/>
        <v>0</v>
      </c>
      <c r="O15" s="8">
        <f t="shared" si="86"/>
        <v>0</v>
      </c>
      <c r="P15" s="8">
        <f t="shared" si="86"/>
        <v>0</v>
      </c>
      <c r="Q15" s="8">
        <f t="shared" si="86"/>
        <v>0</v>
      </c>
      <c r="R15" s="8">
        <f t="shared" si="86"/>
        <v>0</v>
      </c>
      <c r="S15" s="8">
        <f t="shared" si="86"/>
        <v>0</v>
      </c>
      <c r="T15" s="8">
        <f t="shared" si="86"/>
        <v>0</v>
      </c>
      <c r="U15" s="8">
        <f t="shared" si="86"/>
        <v>0</v>
      </c>
      <c r="V15" s="8">
        <f t="shared" si="86"/>
        <v>0</v>
      </c>
      <c r="W15" s="8">
        <f t="shared" si="86"/>
        <v>0</v>
      </c>
      <c r="X15" s="8">
        <f t="shared" si="86"/>
        <v>0</v>
      </c>
      <c r="Y15" s="8">
        <f t="shared" si="86"/>
        <v>0</v>
      </c>
      <c r="Z15" s="8">
        <f t="shared" si="86"/>
        <v>0</v>
      </c>
      <c r="AA15" s="8">
        <f t="shared" si="86"/>
        <v>0</v>
      </c>
      <c r="AB15" s="8">
        <f t="shared" si="86"/>
        <v>0</v>
      </c>
      <c r="AC15" s="8">
        <f t="shared" si="86"/>
        <v>0</v>
      </c>
      <c r="AD15" s="8">
        <f t="shared" si="86"/>
        <v>0</v>
      </c>
      <c r="AE15" s="8">
        <f t="shared" si="86"/>
        <v>0</v>
      </c>
      <c r="AF15" s="8">
        <f t="shared" si="86"/>
        <v>0</v>
      </c>
      <c r="AG15" s="8">
        <f t="shared" si="86"/>
        <v>0</v>
      </c>
      <c r="AH15" s="8">
        <f t="shared" ref="AH15:BM15" si="87">(AH34+AH53)*1</f>
        <v>0</v>
      </c>
      <c r="AI15" s="8">
        <f t="shared" si="87"/>
        <v>0</v>
      </c>
      <c r="AJ15" s="8">
        <f t="shared" si="87"/>
        <v>0</v>
      </c>
      <c r="AK15" s="8">
        <f t="shared" si="87"/>
        <v>0</v>
      </c>
      <c r="AL15" s="8">
        <f t="shared" si="87"/>
        <v>0</v>
      </c>
      <c r="AM15" s="8">
        <f t="shared" si="87"/>
        <v>0</v>
      </c>
      <c r="AN15" s="8">
        <f t="shared" si="87"/>
        <v>0</v>
      </c>
      <c r="AO15" s="8">
        <f t="shared" si="87"/>
        <v>0</v>
      </c>
      <c r="AP15" s="8">
        <f t="shared" si="87"/>
        <v>0</v>
      </c>
      <c r="AQ15" s="8">
        <f t="shared" si="87"/>
        <v>0</v>
      </c>
      <c r="AR15" s="8">
        <f t="shared" si="87"/>
        <v>0</v>
      </c>
      <c r="AS15" s="8">
        <f t="shared" si="87"/>
        <v>0</v>
      </c>
      <c r="AT15" s="8">
        <f t="shared" si="87"/>
        <v>0</v>
      </c>
      <c r="AU15" s="8">
        <f t="shared" si="87"/>
        <v>0</v>
      </c>
      <c r="AV15" s="8">
        <f t="shared" si="87"/>
        <v>0</v>
      </c>
      <c r="AW15" s="8">
        <f t="shared" si="87"/>
        <v>0</v>
      </c>
      <c r="AX15" s="8">
        <f t="shared" si="87"/>
        <v>0</v>
      </c>
      <c r="AY15" s="8">
        <f t="shared" si="87"/>
        <v>0</v>
      </c>
      <c r="AZ15" s="8">
        <f t="shared" si="87"/>
        <v>0</v>
      </c>
      <c r="BA15" s="8">
        <f t="shared" si="87"/>
        <v>0</v>
      </c>
      <c r="BB15" s="8">
        <f t="shared" si="87"/>
        <v>0</v>
      </c>
      <c r="BC15" s="8">
        <f t="shared" si="87"/>
        <v>0</v>
      </c>
      <c r="BD15" s="8">
        <f t="shared" si="87"/>
        <v>0</v>
      </c>
      <c r="BE15" s="8">
        <f t="shared" si="87"/>
        <v>0</v>
      </c>
      <c r="BF15" s="8">
        <f t="shared" si="87"/>
        <v>0</v>
      </c>
      <c r="BG15" s="8">
        <f t="shared" si="87"/>
        <v>0</v>
      </c>
      <c r="BH15" s="8">
        <f t="shared" si="87"/>
        <v>0</v>
      </c>
      <c r="BI15" s="8">
        <f t="shared" si="87"/>
        <v>0</v>
      </c>
      <c r="BJ15" s="8">
        <f t="shared" si="87"/>
        <v>0</v>
      </c>
      <c r="BK15" s="8">
        <f t="shared" si="87"/>
        <v>0</v>
      </c>
      <c r="BL15" s="8">
        <f t="shared" si="87"/>
        <v>0</v>
      </c>
      <c r="BM15" s="8">
        <f t="shared" si="87"/>
        <v>0</v>
      </c>
      <c r="BN15" s="8">
        <f t="shared" ref="BN15:CS15" si="88">(BN34+BN53)*1</f>
        <v>0</v>
      </c>
      <c r="BO15" s="8">
        <f t="shared" si="88"/>
        <v>0</v>
      </c>
      <c r="BP15" s="8">
        <f t="shared" si="88"/>
        <v>0</v>
      </c>
      <c r="BQ15" s="8">
        <f t="shared" si="88"/>
        <v>0</v>
      </c>
      <c r="BR15" s="8">
        <f t="shared" si="88"/>
        <v>0</v>
      </c>
      <c r="BS15" s="8">
        <f t="shared" si="88"/>
        <v>0</v>
      </c>
      <c r="BT15" s="8">
        <f t="shared" si="88"/>
        <v>0</v>
      </c>
      <c r="BU15" s="8">
        <f t="shared" si="88"/>
        <v>0</v>
      </c>
      <c r="BV15" s="8">
        <f t="shared" si="88"/>
        <v>0</v>
      </c>
      <c r="BW15" s="8">
        <f t="shared" si="88"/>
        <v>0</v>
      </c>
      <c r="BX15" s="8">
        <f t="shared" si="88"/>
        <v>0</v>
      </c>
      <c r="BY15" s="8">
        <f t="shared" si="88"/>
        <v>0</v>
      </c>
      <c r="BZ15" s="8">
        <f t="shared" si="88"/>
        <v>0</v>
      </c>
      <c r="CA15" s="8">
        <f t="shared" si="88"/>
        <v>0</v>
      </c>
      <c r="CB15" s="8">
        <f t="shared" si="88"/>
        <v>0</v>
      </c>
      <c r="CC15" s="8">
        <f t="shared" si="88"/>
        <v>0</v>
      </c>
      <c r="CD15" s="8">
        <f t="shared" si="88"/>
        <v>0</v>
      </c>
      <c r="CE15" s="8">
        <f t="shared" si="88"/>
        <v>0</v>
      </c>
      <c r="CF15" s="8">
        <f t="shared" si="88"/>
        <v>0</v>
      </c>
      <c r="CG15" s="8">
        <f t="shared" si="88"/>
        <v>0</v>
      </c>
      <c r="CH15" s="8">
        <f t="shared" si="88"/>
        <v>0</v>
      </c>
      <c r="CI15" s="8">
        <f t="shared" si="88"/>
        <v>0</v>
      </c>
      <c r="CJ15" s="8">
        <f t="shared" si="88"/>
        <v>0</v>
      </c>
      <c r="CK15" s="8">
        <f t="shared" si="88"/>
        <v>0</v>
      </c>
      <c r="CL15" s="8">
        <f t="shared" si="88"/>
        <v>0</v>
      </c>
      <c r="CM15" s="8">
        <f t="shared" si="88"/>
        <v>0</v>
      </c>
      <c r="CN15" s="8">
        <f t="shared" si="88"/>
        <v>0</v>
      </c>
      <c r="CO15" s="8">
        <f t="shared" si="88"/>
        <v>0</v>
      </c>
      <c r="CP15" s="8">
        <f t="shared" si="88"/>
        <v>0</v>
      </c>
      <c r="CQ15" s="8">
        <f t="shared" si="88"/>
        <v>0</v>
      </c>
      <c r="CR15" s="8">
        <f t="shared" si="88"/>
        <v>0</v>
      </c>
      <c r="CS15" s="8">
        <f t="shared" si="88"/>
        <v>0</v>
      </c>
      <c r="CT15" s="8">
        <f t="shared" ref="CT15:DX15" si="89">(CT34+CT53)*1</f>
        <v>0</v>
      </c>
      <c r="CU15" s="8">
        <f t="shared" si="89"/>
        <v>0</v>
      </c>
      <c r="CV15" s="8">
        <f t="shared" si="89"/>
        <v>0</v>
      </c>
      <c r="CW15" s="8">
        <f t="shared" si="89"/>
        <v>0</v>
      </c>
      <c r="CX15" s="8">
        <f t="shared" si="89"/>
        <v>0</v>
      </c>
      <c r="CY15" s="8">
        <f t="shared" si="89"/>
        <v>0</v>
      </c>
      <c r="CZ15" s="8">
        <f t="shared" si="89"/>
        <v>0</v>
      </c>
      <c r="DA15" s="8">
        <f t="shared" si="89"/>
        <v>0</v>
      </c>
      <c r="DB15" s="8">
        <f t="shared" si="89"/>
        <v>0</v>
      </c>
      <c r="DC15" s="8">
        <f t="shared" si="89"/>
        <v>0</v>
      </c>
      <c r="DD15" s="8">
        <f t="shared" si="89"/>
        <v>0</v>
      </c>
      <c r="DE15" s="8">
        <f t="shared" si="89"/>
        <v>0</v>
      </c>
      <c r="DF15" s="8">
        <f t="shared" si="89"/>
        <v>0</v>
      </c>
      <c r="DG15" s="8">
        <f t="shared" si="89"/>
        <v>0</v>
      </c>
      <c r="DH15" s="8">
        <f t="shared" si="89"/>
        <v>0</v>
      </c>
      <c r="DI15" s="8">
        <f t="shared" si="89"/>
        <v>0</v>
      </c>
      <c r="DJ15" s="8">
        <f t="shared" si="89"/>
        <v>0</v>
      </c>
      <c r="DK15" s="8">
        <f t="shared" si="89"/>
        <v>0</v>
      </c>
      <c r="DL15" s="8">
        <f t="shared" si="89"/>
        <v>0</v>
      </c>
      <c r="DM15" s="8">
        <f t="shared" si="89"/>
        <v>0</v>
      </c>
      <c r="DN15" s="8">
        <f t="shared" si="89"/>
        <v>0</v>
      </c>
      <c r="DO15" s="8">
        <f t="shared" si="89"/>
        <v>0</v>
      </c>
      <c r="DP15" s="8">
        <f t="shared" si="89"/>
        <v>0</v>
      </c>
      <c r="DQ15" s="8">
        <f t="shared" si="89"/>
        <v>0</v>
      </c>
      <c r="DR15" s="8">
        <f t="shared" si="89"/>
        <v>0</v>
      </c>
      <c r="DS15" s="8">
        <f t="shared" si="89"/>
        <v>0</v>
      </c>
      <c r="DT15" s="8">
        <f t="shared" si="89"/>
        <v>0</v>
      </c>
      <c r="DU15" s="8">
        <f t="shared" si="89"/>
        <v>0</v>
      </c>
      <c r="DV15" s="8">
        <f t="shared" si="89"/>
        <v>0</v>
      </c>
      <c r="DW15" s="8">
        <f t="shared" si="89"/>
        <v>0</v>
      </c>
      <c r="DX15" s="8">
        <f t="shared" si="89"/>
        <v>8845</v>
      </c>
      <c r="DY15" s="8">
        <f t="shared" si="11"/>
        <v>14757.45</v>
      </c>
      <c r="DZ15" s="8">
        <f t="shared" si="11"/>
        <v>14940</v>
      </c>
      <c r="EA15" s="8">
        <f t="shared" si="11"/>
        <v>38542.449999999997</v>
      </c>
      <c r="EB15" s="8">
        <f t="shared" si="11"/>
        <v>13813</v>
      </c>
      <c r="EC15" s="8">
        <f t="shared" si="11"/>
        <v>14545.862499999999</v>
      </c>
      <c r="ED15" s="8">
        <f t="shared" si="11"/>
        <v>15962.637000000001</v>
      </c>
      <c r="EE15" s="8">
        <f t="shared" ref="EE15" si="90">(EE34+EE53)*1</f>
        <v>15097.684499999999</v>
      </c>
      <c r="EF15" s="8">
        <f t="shared" si="13"/>
        <v>59419.184000000008</v>
      </c>
      <c r="EG15" s="8">
        <f t="shared" si="13"/>
        <v>15385.573</v>
      </c>
      <c r="EH15" s="8">
        <f t="shared" ref="EH15" si="91">(EH34+EH53)*1</f>
        <v>18209.306</v>
      </c>
      <c r="EI15" s="8">
        <f t="shared" ref="EI15" si="92">(EI34+EI53)*1</f>
        <v>19942.2215</v>
      </c>
    </row>
    <row r="16" spans="1:139" ht="15" customHeight="1" x14ac:dyDescent="0.3">
      <c r="A16" s="2" t="s">
        <v>458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>
        <f>(EG35+EG54)*1</f>
        <v>627.98500000000001</v>
      </c>
      <c r="EH16" s="9">
        <f>(EH35+EH54)*1</f>
        <v>33292.524950000006</v>
      </c>
      <c r="EI16" s="9">
        <f>(EI35+EI54)*1</f>
        <v>34376.519</v>
      </c>
    </row>
    <row r="17" spans="1:139" x14ac:dyDescent="0.3">
      <c r="A17" s="5" t="s">
        <v>413</v>
      </c>
      <c r="B17" s="10">
        <f t="shared" ref="B17:AG17" si="93">(SUM(B3:B15))*1</f>
        <v>10232.213</v>
      </c>
      <c r="C17" s="10">
        <f t="shared" si="93"/>
        <v>8956.0209999999988</v>
      </c>
      <c r="D17" s="10">
        <f t="shared" si="93"/>
        <v>11327.61</v>
      </c>
      <c r="E17" s="10">
        <f t="shared" si="93"/>
        <v>12631.328000000001</v>
      </c>
      <c r="F17" s="10">
        <f t="shared" si="93"/>
        <v>43147.171999999999</v>
      </c>
      <c r="G17" s="10">
        <f t="shared" si="93"/>
        <v>13174.829000000002</v>
      </c>
      <c r="H17" s="10">
        <f t="shared" si="93"/>
        <v>11050.4645</v>
      </c>
      <c r="I17" s="10">
        <f t="shared" si="93"/>
        <v>11700.933499999999</v>
      </c>
      <c r="J17" s="10">
        <f t="shared" si="93"/>
        <v>12486.762500000001</v>
      </c>
      <c r="K17" s="10">
        <f t="shared" si="93"/>
        <v>48412.989499999996</v>
      </c>
      <c r="L17" s="10">
        <f t="shared" si="93"/>
        <v>12271.922500000001</v>
      </c>
      <c r="M17" s="10">
        <f t="shared" si="93"/>
        <v>10994.153499999999</v>
      </c>
      <c r="N17" s="10">
        <f t="shared" si="93"/>
        <v>10789.352999999999</v>
      </c>
      <c r="O17" s="10">
        <f t="shared" si="93"/>
        <v>12018.5285</v>
      </c>
      <c r="P17" s="10">
        <f t="shared" si="93"/>
        <v>46073.957499999997</v>
      </c>
      <c r="Q17" s="10">
        <f t="shared" si="93"/>
        <v>13659.014999999999</v>
      </c>
      <c r="R17" s="10">
        <f t="shared" si="93"/>
        <v>14378.120500000001</v>
      </c>
      <c r="S17" s="10">
        <f t="shared" si="93"/>
        <v>14810.823</v>
      </c>
      <c r="T17" s="10">
        <f t="shared" si="93"/>
        <v>14984.762500000001</v>
      </c>
      <c r="U17" s="10">
        <f t="shared" si="93"/>
        <v>57832.721000000005</v>
      </c>
      <c r="V17" s="10">
        <f t="shared" si="93"/>
        <v>15655.533500000001</v>
      </c>
      <c r="W17" s="10">
        <f t="shared" si="93"/>
        <v>14837.597</v>
      </c>
      <c r="X17" s="10">
        <f t="shared" si="93"/>
        <v>15833.260499999999</v>
      </c>
      <c r="Y17" s="10">
        <f t="shared" si="93"/>
        <v>16160.270499999999</v>
      </c>
      <c r="Z17" s="10">
        <f t="shared" si="93"/>
        <v>62486.661500000002</v>
      </c>
      <c r="AA17" s="10">
        <f t="shared" si="93"/>
        <v>15930.591</v>
      </c>
      <c r="AB17" s="10">
        <f t="shared" si="93"/>
        <v>16509.165000000001</v>
      </c>
      <c r="AC17" s="10">
        <f t="shared" si="93"/>
        <v>15936.6855</v>
      </c>
      <c r="AD17" s="10">
        <f t="shared" si="93"/>
        <v>16866.794999999998</v>
      </c>
      <c r="AE17" s="10">
        <f t="shared" si="93"/>
        <v>65243.236499999999</v>
      </c>
      <c r="AF17" s="10">
        <f t="shared" si="93"/>
        <v>17273.446500000002</v>
      </c>
      <c r="AG17" s="10">
        <f t="shared" si="93"/>
        <v>16786.196499999998</v>
      </c>
      <c r="AH17" s="10">
        <f t="shared" ref="AH17:BM17" si="94">(SUM(AH3:AH15))*1</f>
        <v>17334.772499999999</v>
      </c>
      <c r="AI17" s="10">
        <f t="shared" si="94"/>
        <v>17139.906999999999</v>
      </c>
      <c r="AJ17" s="10">
        <f t="shared" si="94"/>
        <v>68534.322499999995</v>
      </c>
      <c r="AK17" s="10">
        <f t="shared" si="94"/>
        <v>17437.020859154931</v>
      </c>
      <c r="AL17" s="10">
        <f t="shared" si="94"/>
        <v>16292.812</v>
      </c>
      <c r="AM17" s="10">
        <f t="shared" si="94"/>
        <v>16579.720500000003</v>
      </c>
      <c r="AN17" s="10">
        <f t="shared" si="94"/>
        <v>16909.666499999999</v>
      </c>
      <c r="AO17" s="10">
        <f t="shared" si="94"/>
        <v>67219.219859154924</v>
      </c>
      <c r="AP17" s="10">
        <f t="shared" si="94"/>
        <v>17458.634716981131</v>
      </c>
      <c r="AQ17" s="10">
        <f t="shared" si="94"/>
        <v>16692.354228301887</v>
      </c>
      <c r="AR17" s="10">
        <f t="shared" si="94"/>
        <v>17179.449643396227</v>
      </c>
      <c r="AS17" s="10">
        <f t="shared" si="94"/>
        <v>17679.731613187549</v>
      </c>
      <c r="AT17" s="10">
        <f t="shared" si="94"/>
        <v>69010.1702018668</v>
      </c>
      <c r="AU17" s="10">
        <f t="shared" si="94"/>
        <v>18910.325995414507</v>
      </c>
      <c r="AV17" s="10">
        <f t="shared" si="94"/>
        <v>18044.894893174547</v>
      </c>
      <c r="AW17" s="10">
        <f t="shared" si="94"/>
        <v>19052.380747163326</v>
      </c>
      <c r="AX17" s="10">
        <f t="shared" si="94"/>
        <v>19337.838716297632</v>
      </c>
      <c r="AY17" s="10">
        <f t="shared" si="94"/>
        <v>75345.440352050005</v>
      </c>
      <c r="AZ17" s="10">
        <f t="shared" si="94"/>
        <v>22824.351906779659</v>
      </c>
      <c r="BA17" s="10">
        <f t="shared" si="94"/>
        <v>24394.991927419356</v>
      </c>
      <c r="BB17" s="10">
        <f t="shared" si="94"/>
        <v>24086.288233870964</v>
      </c>
      <c r="BC17" s="10">
        <f t="shared" si="94"/>
        <v>23990.085889692775</v>
      </c>
      <c r="BD17" s="10">
        <f t="shared" si="94"/>
        <v>95295.717957762768</v>
      </c>
      <c r="BE17" s="10">
        <f t="shared" si="94"/>
        <v>24077.497220588237</v>
      </c>
      <c r="BF17" s="10">
        <f t="shared" si="94"/>
        <v>25480.907691176471</v>
      </c>
      <c r="BG17" s="10">
        <f t="shared" si="94"/>
        <v>31998.862125</v>
      </c>
      <c r="BH17" s="10">
        <f t="shared" si="94"/>
        <v>36541.659500000002</v>
      </c>
      <c r="BI17" s="10">
        <f t="shared" si="94"/>
        <v>118098.92653676469</v>
      </c>
      <c r="BJ17" s="10">
        <f t="shared" si="94"/>
        <v>40735</v>
      </c>
      <c r="BK17" s="10">
        <f t="shared" si="94"/>
        <v>44230</v>
      </c>
      <c r="BL17" s="10">
        <f t="shared" si="94"/>
        <v>46513.44249999999</v>
      </c>
      <c r="BM17" s="10">
        <f t="shared" si="94"/>
        <v>48572</v>
      </c>
      <c r="BN17" s="10">
        <f t="shared" ref="BN17:CS17" si="95">(SUM(BN3:BN15))*1</f>
        <v>180050.4425</v>
      </c>
      <c r="BO17" s="10">
        <f t="shared" si="95"/>
        <v>49335</v>
      </c>
      <c r="BP17" s="10">
        <f t="shared" si="95"/>
        <v>49503.881000000001</v>
      </c>
      <c r="BQ17" s="10">
        <f t="shared" si="95"/>
        <v>50291.118999999999</v>
      </c>
      <c r="BR17" s="10">
        <f t="shared" si="95"/>
        <v>51214</v>
      </c>
      <c r="BS17" s="10">
        <f t="shared" si="95"/>
        <v>200344</v>
      </c>
      <c r="BT17" s="10">
        <f t="shared" si="95"/>
        <v>52247</v>
      </c>
      <c r="BU17" s="10">
        <f t="shared" si="95"/>
        <v>49512</v>
      </c>
      <c r="BV17" s="10">
        <f t="shared" si="95"/>
        <v>52691</v>
      </c>
      <c r="BW17" s="10">
        <f t="shared" si="95"/>
        <v>52922.364000000001</v>
      </c>
      <c r="BX17" s="10">
        <f t="shared" si="95"/>
        <v>207372.364</v>
      </c>
      <c r="BY17" s="10">
        <f t="shared" si="95"/>
        <v>52626</v>
      </c>
      <c r="BZ17" s="10">
        <f t="shared" si="95"/>
        <v>53328</v>
      </c>
      <c r="CA17" s="10">
        <f t="shared" si="95"/>
        <v>57155</v>
      </c>
      <c r="CB17" s="10">
        <f t="shared" si="95"/>
        <v>56942</v>
      </c>
      <c r="CC17" s="10">
        <f t="shared" si="95"/>
        <v>220051</v>
      </c>
      <c r="CD17" s="10">
        <f t="shared" si="95"/>
        <v>58387</v>
      </c>
      <c r="CE17" s="10">
        <f t="shared" si="95"/>
        <v>62058</v>
      </c>
      <c r="CF17" s="10">
        <f t="shared" si="95"/>
        <v>70921</v>
      </c>
      <c r="CG17" s="10">
        <f t="shared" si="95"/>
        <v>72835</v>
      </c>
      <c r="CH17" s="10">
        <f t="shared" si="95"/>
        <v>264201</v>
      </c>
      <c r="CI17" s="10">
        <f t="shared" si="95"/>
        <v>71029</v>
      </c>
      <c r="CJ17" s="10">
        <f t="shared" si="95"/>
        <v>69866</v>
      </c>
      <c r="CK17" s="10">
        <f t="shared" si="95"/>
        <v>75088</v>
      </c>
      <c r="CL17" s="10">
        <f t="shared" si="95"/>
        <v>75240</v>
      </c>
      <c r="CM17" s="10">
        <f t="shared" si="95"/>
        <v>291223</v>
      </c>
      <c r="CN17" s="10">
        <f t="shared" si="95"/>
        <v>73809.402000000002</v>
      </c>
      <c r="CO17" s="10">
        <f t="shared" si="95"/>
        <v>69496.597999999998</v>
      </c>
      <c r="CP17" s="10">
        <f t="shared" si="95"/>
        <v>70053</v>
      </c>
      <c r="CQ17" s="10">
        <f t="shared" si="95"/>
        <v>71821.702999999994</v>
      </c>
      <c r="CR17" s="10">
        <f t="shared" si="95"/>
        <v>285180.70299999998</v>
      </c>
      <c r="CS17" s="10">
        <f t="shared" si="95"/>
        <v>74266</v>
      </c>
      <c r="CT17" s="10">
        <f t="shared" ref="CT17:DX17" si="96">(SUM(CT3:CT15))*1</f>
        <v>71519</v>
      </c>
      <c r="CU17" s="10">
        <f t="shared" si="96"/>
        <v>74942</v>
      </c>
      <c r="CV17" s="10">
        <f t="shared" si="96"/>
        <v>75172</v>
      </c>
      <c r="CW17" s="10">
        <f t="shared" si="96"/>
        <v>295899</v>
      </c>
      <c r="CX17" s="10">
        <f t="shared" si="96"/>
        <v>75752</v>
      </c>
      <c r="CY17" s="10">
        <f t="shared" si="96"/>
        <v>67887</v>
      </c>
      <c r="CZ17" s="10">
        <f t="shared" si="96"/>
        <v>73330</v>
      </c>
      <c r="DA17" s="10">
        <f t="shared" si="96"/>
        <v>74661</v>
      </c>
      <c r="DB17" s="10">
        <f t="shared" si="96"/>
        <v>291630</v>
      </c>
      <c r="DC17" s="10">
        <f t="shared" si="96"/>
        <v>74322</v>
      </c>
      <c r="DD17" s="10">
        <f t="shared" si="96"/>
        <v>82092</v>
      </c>
      <c r="DE17" s="10">
        <f t="shared" si="96"/>
        <v>93312</v>
      </c>
      <c r="DF17" s="10">
        <f t="shared" si="96"/>
        <v>96876</v>
      </c>
      <c r="DG17" s="10">
        <f t="shared" si="96"/>
        <v>346602</v>
      </c>
      <c r="DH17" s="10">
        <f t="shared" si="96"/>
        <v>90045</v>
      </c>
      <c r="DI17" s="10">
        <f t="shared" si="96"/>
        <v>71302</v>
      </c>
      <c r="DJ17" s="10">
        <f t="shared" si="96"/>
        <v>91035</v>
      </c>
      <c r="DK17" s="10">
        <f t="shared" si="96"/>
        <v>99602</v>
      </c>
      <c r="DL17" s="10">
        <f t="shared" si="96"/>
        <v>351984</v>
      </c>
      <c r="DM17" s="10">
        <f t="shared" si="96"/>
        <v>99201</v>
      </c>
      <c r="DN17" s="10">
        <f t="shared" si="96"/>
        <v>100837</v>
      </c>
      <c r="DO17" s="10">
        <f t="shared" si="96"/>
        <v>107177</v>
      </c>
      <c r="DP17" s="10">
        <f t="shared" si="96"/>
        <v>104031</v>
      </c>
      <c r="DQ17" s="10">
        <f t="shared" si="96"/>
        <v>411246</v>
      </c>
      <c r="DR17" s="10">
        <f t="shared" si="96"/>
        <v>95511</v>
      </c>
      <c r="DS17" s="10">
        <f t="shared" si="96"/>
        <v>94070</v>
      </c>
      <c r="DT17" s="10">
        <f t="shared" si="96"/>
        <v>99866</v>
      </c>
      <c r="DU17" s="10">
        <f t="shared" si="96"/>
        <v>113266.3775</v>
      </c>
      <c r="DV17" s="10">
        <f t="shared" si="96"/>
        <v>402713.37749999994</v>
      </c>
      <c r="DW17" s="10">
        <f t="shared" si="96"/>
        <v>116141</v>
      </c>
      <c r="DX17" s="10">
        <f t="shared" si="96"/>
        <v>129000</v>
      </c>
      <c r="DY17" s="10">
        <f t="shared" ref="DY17:ED17" si="97">(SUM(DY3:DY15))*1</f>
        <v>144593.48300000001</v>
      </c>
      <c r="DZ17" s="10">
        <f t="shared" si="97"/>
        <v>153188</v>
      </c>
      <c r="EA17" s="10">
        <f t="shared" si="97"/>
        <v>542922.48300000001</v>
      </c>
      <c r="EB17" s="10">
        <f t="shared" si="97"/>
        <v>148892</v>
      </c>
      <c r="EC17" s="10">
        <f t="shared" si="97"/>
        <v>152374.17449999996</v>
      </c>
      <c r="ED17" s="10">
        <f t="shared" si="97"/>
        <v>162937.78349999996</v>
      </c>
      <c r="EE17" s="10">
        <f t="shared" ref="EE17:EF17" si="98">(SUM(EE3:EE15))*1</f>
        <v>162095.4325</v>
      </c>
      <c r="EF17" s="10">
        <f t="shared" si="98"/>
        <v>626299.3905000001</v>
      </c>
      <c r="EG17" s="10">
        <f>SUM(EG3:EG16)</f>
        <v>159259.019</v>
      </c>
      <c r="EH17" s="10">
        <f>SUM(EH3:EH16)</f>
        <v>193809.38494999998</v>
      </c>
      <c r="EI17" s="10">
        <f>SUM(EI3:EI16)</f>
        <v>205982.54999999996</v>
      </c>
    </row>
    <row r="18" spans="1:139" x14ac:dyDescent="0.3">
      <c r="A18" s="22" t="s">
        <v>366</v>
      </c>
    </row>
    <row r="19" spans="1:139" x14ac:dyDescent="0.3">
      <c r="A19" s="22" t="s">
        <v>365</v>
      </c>
    </row>
    <row r="20" spans="1:139" x14ac:dyDescent="0.3">
      <c r="A20" s="3" t="s">
        <v>410</v>
      </c>
      <c r="B20" s="6" t="s">
        <v>4</v>
      </c>
      <c r="C20" s="6" t="s">
        <v>5</v>
      </c>
      <c r="D20" s="6" t="s">
        <v>6</v>
      </c>
      <c r="E20" s="6" t="s">
        <v>7</v>
      </c>
      <c r="F20" s="6">
        <v>1998</v>
      </c>
      <c r="G20" s="6" t="s">
        <v>8</v>
      </c>
      <c r="H20" s="6" t="s">
        <v>9</v>
      </c>
      <c r="I20" s="6" t="s">
        <v>10</v>
      </c>
      <c r="J20" s="6" t="s">
        <v>11</v>
      </c>
      <c r="K20" s="6">
        <v>1999</v>
      </c>
      <c r="L20" s="6" t="s">
        <v>12</v>
      </c>
      <c r="M20" s="6" t="s">
        <v>13</v>
      </c>
      <c r="N20" s="6" t="s">
        <v>14</v>
      </c>
      <c r="O20" s="6" t="s">
        <v>15</v>
      </c>
      <c r="P20" s="6">
        <v>2000</v>
      </c>
      <c r="Q20" s="6" t="s">
        <v>16</v>
      </c>
      <c r="R20" s="6" t="s">
        <v>17</v>
      </c>
      <c r="S20" s="6" t="s">
        <v>18</v>
      </c>
      <c r="T20" s="6" t="s">
        <v>19</v>
      </c>
      <c r="U20" s="6">
        <v>2001</v>
      </c>
      <c r="V20" s="6" t="s">
        <v>20</v>
      </c>
      <c r="W20" s="6" t="s">
        <v>21</v>
      </c>
      <c r="X20" s="6" t="s">
        <v>22</v>
      </c>
      <c r="Y20" s="6" t="s">
        <v>23</v>
      </c>
      <c r="Z20" s="6">
        <v>2002</v>
      </c>
      <c r="AA20" s="6" t="s">
        <v>24</v>
      </c>
      <c r="AB20" s="6" t="s">
        <v>25</v>
      </c>
      <c r="AC20" s="6" t="s">
        <v>26</v>
      </c>
      <c r="AD20" s="6" t="s">
        <v>27</v>
      </c>
      <c r="AE20" s="6">
        <v>2003</v>
      </c>
      <c r="AF20" s="6" t="s">
        <v>28</v>
      </c>
      <c r="AG20" s="6" t="s">
        <v>29</v>
      </c>
      <c r="AH20" s="6" t="s">
        <v>30</v>
      </c>
      <c r="AI20" s="6" t="s">
        <v>31</v>
      </c>
      <c r="AJ20" s="6">
        <v>2004</v>
      </c>
      <c r="AK20" s="6" t="s">
        <v>32</v>
      </c>
      <c r="AL20" s="6" t="s">
        <v>33</v>
      </c>
      <c r="AM20" s="6" t="s">
        <v>34</v>
      </c>
      <c r="AN20" s="6" t="s">
        <v>35</v>
      </c>
      <c r="AO20" s="6">
        <v>2005</v>
      </c>
      <c r="AP20" s="6" t="s">
        <v>36</v>
      </c>
      <c r="AQ20" s="6" t="s">
        <v>37</v>
      </c>
      <c r="AR20" s="6" t="s">
        <v>38</v>
      </c>
      <c r="AS20" s="6" t="s">
        <v>39</v>
      </c>
      <c r="AT20" s="6">
        <v>2006</v>
      </c>
      <c r="AU20" s="6" t="s">
        <v>40</v>
      </c>
      <c r="AV20" s="6" t="s">
        <v>41</v>
      </c>
      <c r="AW20" s="6" t="s">
        <v>42</v>
      </c>
      <c r="AX20" s="6" t="s">
        <v>43</v>
      </c>
      <c r="AY20" s="6">
        <v>2007</v>
      </c>
      <c r="AZ20" s="6" t="s">
        <v>44</v>
      </c>
      <c r="BA20" s="6" t="s">
        <v>45</v>
      </c>
      <c r="BB20" s="6" t="s">
        <v>46</v>
      </c>
      <c r="BC20" s="6" t="s">
        <v>47</v>
      </c>
      <c r="BD20" s="6">
        <v>2008</v>
      </c>
      <c r="BE20" s="6" t="s">
        <v>48</v>
      </c>
      <c r="BF20" s="6" t="s">
        <v>49</v>
      </c>
      <c r="BG20" s="6" t="s">
        <v>50</v>
      </c>
      <c r="BH20" s="6" t="s">
        <v>51</v>
      </c>
      <c r="BI20" s="6">
        <v>2009</v>
      </c>
      <c r="BJ20" s="6" t="s">
        <v>52</v>
      </c>
      <c r="BK20" s="6" t="s">
        <v>53</v>
      </c>
      <c r="BL20" s="6" t="s">
        <v>54</v>
      </c>
      <c r="BM20" s="6" t="s">
        <v>55</v>
      </c>
      <c r="BN20" s="6">
        <v>2010</v>
      </c>
      <c r="BO20" s="6" t="s">
        <v>56</v>
      </c>
      <c r="BP20" s="6" t="s">
        <v>57</v>
      </c>
      <c r="BQ20" s="6" t="s">
        <v>58</v>
      </c>
      <c r="BR20" s="6" t="s">
        <v>59</v>
      </c>
      <c r="BS20" s="6">
        <v>2011</v>
      </c>
      <c r="BT20" s="6" t="s">
        <v>60</v>
      </c>
      <c r="BU20" s="6" t="s">
        <v>61</v>
      </c>
      <c r="BV20" s="6" t="s">
        <v>62</v>
      </c>
      <c r="BW20" s="6" t="s">
        <v>63</v>
      </c>
      <c r="BX20" s="6">
        <v>2012</v>
      </c>
      <c r="BY20" s="6" t="s">
        <v>64</v>
      </c>
      <c r="BZ20" s="6" t="s">
        <v>65</v>
      </c>
      <c r="CA20" s="6" t="s">
        <v>66</v>
      </c>
      <c r="CB20" s="6" t="s">
        <v>67</v>
      </c>
      <c r="CC20" s="6">
        <v>2013</v>
      </c>
      <c r="CD20" s="6" t="s">
        <v>68</v>
      </c>
      <c r="CE20" s="6" t="s">
        <v>69</v>
      </c>
      <c r="CF20" s="6" t="s">
        <v>70</v>
      </c>
      <c r="CG20" s="6" t="s">
        <v>71</v>
      </c>
      <c r="CH20" s="6">
        <v>2014</v>
      </c>
      <c r="CI20" s="6" t="s">
        <v>72</v>
      </c>
      <c r="CJ20" s="6" t="s">
        <v>73</v>
      </c>
      <c r="CK20" s="6" t="s">
        <v>74</v>
      </c>
      <c r="CL20" s="6" t="s">
        <v>75</v>
      </c>
      <c r="CM20" s="6">
        <v>2015</v>
      </c>
      <c r="CN20" s="6" t="s">
        <v>76</v>
      </c>
      <c r="CO20" s="6" t="s">
        <v>77</v>
      </c>
      <c r="CP20" s="6" t="s">
        <v>78</v>
      </c>
      <c r="CQ20" s="6" t="s">
        <v>79</v>
      </c>
      <c r="CR20" s="6">
        <v>2016</v>
      </c>
      <c r="CS20" s="6" t="s">
        <v>80</v>
      </c>
      <c r="CT20" s="6" t="s">
        <v>81</v>
      </c>
      <c r="CU20" s="6" t="s">
        <v>82</v>
      </c>
      <c r="CV20" s="6" t="s">
        <v>83</v>
      </c>
      <c r="CW20" s="6">
        <v>2017</v>
      </c>
      <c r="CX20" s="6" t="s">
        <v>84</v>
      </c>
      <c r="CY20" s="6" t="s">
        <v>85</v>
      </c>
      <c r="CZ20" s="6" t="s">
        <v>86</v>
      </c>
      <c r="DA20" s="6" t="s">
        <v>87</v>
      </c>
      <c r="DB20" s="6">
        <v>2018</v>
      </c>
      <c r="DC20" s="6" t="s">
        <v>88</v>
      </c>
      <c r="DD20" s="6" t="s">
        <v>89</v>
      </c>
      <c r="DE20" s="6" t="s">
        <v>90</v>
      </c>
      <c r="DF20" s="6" t="s">
        <v>91</v>
      </c>
      <c r="DG20" s="6">
        <v>2019</v>
      </c>
      <c r="DH20" s="6" t="s">
        <v>92</v>
      </c>
      <c r="DI20" s="6" t="s">
        <v>93</v>
      </c>
      <c r="DJ20" s="6" t="s">
        <v>94</v>
      </c>
      <c r="DK20" s="6" t="s">
        <v>95</v>
      </c>
      <c r="DL20" s="6">
        <v>2020</v>
      </c>
      <c r="DM20" s="6" t="s">
        <v>96</v>
      </c>
      <c r="DN20" s="6" t="s">
        <v>97</v>
      </c>
      <c r="DO20" s="6" t="s">
        <v>98</v>
      </c>
      <c r="DP20" s="6" t="s">
        <v>99</v>
      </c>
      <c r="DQ20" s="6">
        <v>2021</v>
      </c>
      <c r="DR20" s="6" t="s">
        <v>100</v>
      </c>
      <c r="DS20" s="6" t="s">
        <v>101</v>
      </c>
      <c r="DT20" s="6" t="s">
        <v>200</v>
      </c>
      <c r="DU20" s="6" t="s">
        <v>380</v>
      </c>
      <c r="DV20" s="6">
        <v>2022</v>
      </c>
      <c r="DW20" s="6" t="s">
        <v>379</v>
      </c>
      <c r="DX20" s="6" t="s">
        <v>402</v>
      </c>
      <c r="DY20" s="6" t="s">
        <v>414</v>
      </c>
      <c r="DZ20" s="6" t="s">
        <v>419</v>
      </c>
      <c r="EA20" s="6">
        <v>2023</v>
      </c>
      <c r="EB20" s="6" t="s">
        <v>424</v>
      </c>
      <c r="EC20" s="6" t="s">
        <v>429</v>
      </c>
      <c r="ED20" s="6" t="str">
        <f>$ED$1</f>
        <v>3T24</v>
      </c>
      <c r="EE20" s="6" t="str">
        <f>$EE$1</f>
        <v>4T24</v>
      </c>
      <c r="EF20" s="6">
        <f>$EF$1</f>
        <v>2024</v>
      </c>
      <c r="EG20" s="6" t="str">
        <f>EG$1</f>
        <v>1T25</v>
      </c>
      <c r="EH20" s="6" t="str">
        <f>EH$1</f>
        <v>2T25</v>
      </c>
      <c r="EI20" s="6" t="str">
        <f>EI$1</f>
        <v>3T25</v>
      </c>
    </row>
    <row r="21" spans="1:139" ht="15" thickBot="1" x14ac:dyDescent="0.35">
      <c r="A21" s="4" t="s">
        <v>1</v>
      </c>
      <c r="B21" s="7" t="s">
        <v>102</v>
      </c>
      <c r="C21" s="7" t="s">
        <v>103</v>
      </c>
      <c r="D21" s="7" t="s">
        <v>104</v>
      </c>
      <c r="E21" s="7" t="s">
        <v>105</v>
      </c>
      <c r="F21" s="7">
        <v>1998</v>
      </c>
      <c r="G21" s="7" t="s">
        <v>106</v>
      </c>
      <c r="H21" s="7" t="s">
        <v>107</v>
      </c>
      <c r="I21" s="7" t="s">
        <v>108</v>
      </c>
      <c r="J21" s="7" t="s">
        <v>109</v>
      </c>
      <c r="K21" s="7">
        <v>1999</v>
      </c>
      <c r="L21" s="7" t="s">
        <v>110</v>
      </c>
      <c r="M21" s="7" t="s">
        <v>111</v>
      </c>
      <c r="N21" s="7" t="s">
        <v>112</v>
      </c>
      <c r="O21" s="7" t="s">
        <v>113</v>
      </c>
      <c r="P21" s="7">
        <v>2000</v>
      </c>
      <c r="Q21" s="7" t="s">
        <v>114</v>
      </c>
      <c r="R21" s="7" t="s">
        <v>115</v>
      </c>
      <c r="S21" s="7" t="s">
        <v>116</v>
      </c>
      <c r="T21" s="7" t="s">
        <v>117</v>
      </c>
      <c r="U21" s="7">
        <v>2001</v>
      </c>
      <c r="V21" s="7" t="s">
        <v>118</v>
      </c>
      <c r="W21" s="7" t="s">
        <v>119</v>
      </c>
      <c r="X21" s="7" t="s">
        <v>120</v>
      </c>
      <c r="Y21" s="7" t="s">
        <v>121</v>
      </c>
      <c r="Z21" s="7">
        <v>2002</v>
      </c>
      <c r="AA21" s="7" t="s">
        <v>122</v>
      </c>
      <c r="AB21" s="7" t="s">
        <v>123</v>
      </c>
      <c r="AC21" s="7" t="s">
        <v>124</v>
      </c>
      <c r="AD21" s="7" t="s">
        <v>125</v>
      </c>
      <c r="AE21" s="7">
        <v>2003</v>
      </c>
      <c r="AF21" s="7" t="s">
        <v>126</v>
      </c>
      <c r="AG21" s="7" t="s">
        <v>127</v>
      </c>
      <c r="AH21" s="7" t="s">
        <v>128</v>
      </c>
      <c r="AI21" s="7" t="s">
        <v>129</v>
      </c>
      <c r="AJ21" s="7">
        <v>2004</v>
      </c>
      <c r="AK21" s="7" t="s">
        <v>130</v>
      </c>
      <c r="AL21" s="7" t="s">
        <v>131</v>
      </c>
      <c r="AM21" s="7" t="s">
        <v>132</v>
      </c>
      <c r="AN21" s="7" t="s">
        <v>133</v>
      </c>
      <c r="AO21" s="7">
        <v>2005</v>
      </c>
      <c r="AP21" s="7" t="s">
        <v>134</v>
      </c>
      <c r="AQ21" s="7" t="s">
        <v>135</v>
      </c>
      <c r="AR21" s="7" t="s">
        <v>136</v>
      </c>
      <c r="AS21" s="7" t="s">
        <v>137</v>
      </c>
      <c r="AT21" s="7">
        <v>2006</v>
      </c>
      <c r="AU21" s="7" t="s">
        <v>138</v>
      </c>
      <c r="AV21" s="7" t="s">
        <v>139</v>
      </c>
      <c r="AW21" s="7" t="s">
        <v>140</v>
      </c>
      <c r="AX21" s="7" t="s">
        <v>141</v>
      </c>
      <c r="AY21" s="7">
        <v>2007</v>
      </c>
      <c r="AZ21" s="7" t="s">
        <v>142</v>
      </c>
      <c r="BA21" s="7" t="s">
        <v>143</v>
      </c>
      <c r="BB21" s="7" t="s">
        <v>144</v>
      </c>
      <c r="BC21" s="7" t="s">
        <v>145</v>
      </c>
      <c r="BD21" s="7">
        <v>2008</v>
      </c>
      <c r="BE21" s="7" t="s">
        <v>146</v>
      </c>
      <c r="BF21" s="7" t="s">
        <v>147</v>
      </c>
      <c r="BG21" s="7" t="s">
        <v>148</v>
      </c>
      <c r="BH21" s="7" t="s">
        <v>149</v>
      </c>
      <c r="BI21" s="7">
        <v>2009</v>
      </c>
      <c r="BJ21" s="7" t="s">
        <v>150</v>
      </c>
      <c r="BK21" s="7" t="s">
        <v>151</v>
      </c>
      <c r="BL21" s="7" t="s">
        <v>152</v>
      </c>
      <c r="BM21" s="7" t="s">
        <v>153</v>
      </c>
      <c r="BN21" s="7">
        <v>2010</v>
      </c>
      <c r="BO21" s="7" t="s">
        <v>154</v>
      </c>
      <c r="BP21" s="7" t="s">
        <v>155</v>
      </c>
      <c r="BQ21" s="7" t="s">
        <v>156</v>
      </c>
      <c r="BR21" s="7" t="s">
        <v>157</v>
      </c>
      <c r="BS21" s="7">
        <v>2011</v>
      </c>
      <c r="BT21" s="7" t="s">
        <v>158</v>
      </c>
      <c r="BU21" s="7" t="s">
        <v>159</v>
      </c>
      <c r="BV21" s="7" t="s">
        <v>160</v>
      </c>
      <c r="BW21" s="7" t="s">
        <v>161</v>
      </c>
      <c r="BX21" s="7">
        <v>2012</v>
      </c>
      <c r="BY21" s="7" t="s">
        <v>162</v>
      </c>
      <c r="BZ21" s="7" t="s">
        <v>163</v>
      </c>
      <c r="CA21" s="7" t="s">
        <v>164</v>
      </c>
      <c r="CB21" s="7" t="s">
        <v>165</v>
      </c>
      <c r="CC21" s="7">
        <v>2013</v>
      </c>
      <c r="CD21" s="7" t="s">
        <v>166</v>
      </c>
      <c r="CE21" s="7" t="s">
        <v>167</v>
      </c>
      <c r="CF21" s="7" t="s">
        <v>168</v>
      </c>
      <c r="CG21" s="7" t="s">
        <v>169</v>
      </c>
      <c r="CH21" s="7">
        <v>2014</v>
      </c>
      <c r="CI21" s="7" t="s">
        <v>170</v>
      </c>
      <c r="CJ21" s="7" t="s">
        <v>171</v>
      </c>
      <c r="CK21" s="7" t="s">
        <v>172</v>
      </c>
      <c r="CL21" s="7" t="s">
        <v>173</v>
      </c>
      <c r="CM21" s="7">
        <v>2015</v>
      </c>
      <c r="CN21" s="7" t="s">
        <v>174</v>
      </c>
      <c r="CO21" s="7" t="s">
        <v>175</v>
      </c>
      <c r="CP21" s="7" t="s">
        <v>176</v>
      </c>
      <c r="CQ21" s="7" t="s">
        <v>177</v>
      </c>
      <c r="CR21" s="7">
        <v>2016</v>
      </c>
      <c r="CS21" s="7" t="s">
        <v>178</v>
      </c>
      <c r="CT21" s="7" t="s">
        <v>179</v>
      </c>
      <c r="CU21" s="7" t="s">
        <v>180</v>
      </c>
      <c r="CV21" s="7" t="s">
        <v>181</v>
      </c>
      <c r="CW21" s="7">
        <v>2017</v>
      </c>
      <c r="CX21" s="7" t="s">
        <v>182</v>
      </c>
      <c r="CY21" s="7" t="s">
        <v>183</v>
      </c>
      <c r="CZ21" s="7" t="s">
        <v>184</v>
      </c>
      <c r="DA21" s="7" t="s">
        <v>185</v>
      </c>
      <c r="DB21" s="7">
        <v>2018</v>
      </c>
      <c r="DC21" s="7" t="s">
        <v>186</v>
      </c>
      <c r="DD21" s="7" t="s">
        <v>187</v>
      </c>
      <c r="DE21" s="7" t="s">
        <v>188</v>
      </c>
      <c r="DF21" s="7" t="s">
        <v>189</v>
      </c>
      <c r="DG21" s="7">
        <v>2019</v>
      </c>
      <c r="DH21" s="7" t="s">
        <v>190</v>
      </c>
      <c r="DI21" s="7" t="s">
        <v>191</v>
      </c>
      <c r="DJ21" s="7" t="s">
        <v>192</v>
      </c>
      <c r="DK21" s="7" t="s">
        <v>193</v>
      </c>
      <c r="DL21" s="7">
        <v>2020</v>
      </c>
      <c r="DM21" s="7" t="s">
        <v>194</v>
      </c>
      <c r="DN21" s="7" t="s">
        <v>195</v>
      </c>
      <c r="DO21" s="7" t="s">
        <v>196</v>
      </c>
      <c r="DP21" s="7" t="s">
        <v>197</v>
      </c>
      <c r="DQ21" s="7">
        <v>2021</v>
      </c>
      <c r="DR21" s="7" t="s">
        <v>198</v>
      </c>
      <c r="DS21" s="7" t="s">
        <v>199</v>
      </c>
      <c r="DT21" s="7" t="s">
        <v>201</v>
      </c>
      <c r="DU21" s="7" t="s">
        <v>381</v>
      </c>
      <c r="DV21" s="7">
        <v>2022</v>
      </c>
      <c r="DW21" s="7" t="s">
        <v>382</v>
      </c>
      <c r="DX21" s="7" t="s">
        <v>403</v>
      </c>
      <c r="DY21" s="7" t="s">
        <v>415</v>
      </c>
      <c r="DZ21" s="7" t="s">
        <v>420</v>
      </c>
      <c r="EA21" s="7">
        <v>2023</v>
      </c>
      <c r="EB21" s="7" t="s">
        <v>425</v>
      </c>
      <c r="EC21" s="7" t="s">
        <v>430</v>
      </c>
      <c r="ED21" s="7" t="str">
        <f>$ED$2</f>
        <v>3Q24</v>
      </c>
      <c r="EE21" s="7" t="str">
        <f>$EE$2</f>
        <v>4Q24</v>
      </c>
      <c r="EF21" s="7">
        <f>$EF$2</f>
        <v>2024</v>
      </c>
      <c r="EG21" s="7" t="str">
        <f>EG$2</f>
        <v>1Q25</v>
      </c>
      <c r="EH21" s="7" t="str">
        <f>EH$2</f>
        <v>2Q25</v>
      </c>
      <c r="EI21" s="7" t="str">
        <f>EI$2</f>
        <v>3Q25</v>
      </c>
    </row>
    <row r="22" spans="1:139" ht="16.2" thickTop="1" x14ac:dyDescent="0.3">
      <c r="A22" s="1" t="s">
        <v>363</v>
      </c>
      <c r="B22" s="8">
        <v>0</v>
      </c>
      <c r="C22" s="8">
        <v>125.833</v>
      </c>
      <c r="D22" s="8">
        <v>1209.586</v>
      </c>
      <c r="E22" s="8">
        <v>1025.606</v>
      </c>
      <c r="F22" s="8">
        <f>SUM(B22:E22)</f>
        <v>2361.0250000000001</v>
      </c>
      <c r="G22" s="8">
        <v>1132.2809999999999</v>
      </c>
      <c r="H22" s="8">
        <v>1404.425</v>
      </c>
      <c r="I22" s="8">
        <v>1188.3579999999999</v>
      </c>
      <c r="J22" s="8">
        <v>1060.434</v>
      </c>
      <c r="K22" s="8">
        <f>SUM(G22:J22)</f>
        <v>4785.4980000000005</v>
      </c>
      <c r="L22" s="8">
        <v>1009.323</v>
      </c>
      <c r="M22" s="8">
        <v>1443.1210000000001</v>
      </c>
      <c r="N22" s="8">
        <v>1351.203</v>
      </c>
      <c r="O22" s="8">
        <v>1128.251</v>
      </c>
      <c r="P22" s="8">
        <f>SUM(L22:O22)</f>
        <v>4931.8980000000001</v>
      </c>
      <c r="Q22" s="8">
        <v>1454.588</v>
      </c>
      <c r="R22" s="8">
        <v>1894.1369999999999</v>
      </c>
      <c r="S22" s="8">
        <v>1908.749</v>
      </c>
      <c r="T22" s="8">
        <v>1394.83</v>
      </c>
      <c r="U22" s="8">
        <f>SUM(Q22:T22)</f>
        <v>6652.3040000000001</v>
      </c>
      <c r="V22" s="8">
        <v>1458.933</v>
      </c>
      <c r="W22" s="8">
        <v>1694.4960000000001</v>
      </c>
      <c r="X22" s="8">
        <v>2084.5720000000001</v>
      </c>
      <c r="Y22" s="8">
        <v>1327.4290000000001</v>
      </c>
      <c r="Z22" s="8">
        <f t="shared" ref="Z22:Z36" si="99">SUM(V22:Y22)</f>
        <v>6565.43</v>
      </c>
      <c r="AA22" s="8">
        <v>1539.4549999999999</v>
      </c>
      <c r="AB22" s="8">
        <v>2172.3719999999998</v>
      </c>
      <c r="AC22" s="8">
        <v>2125.1790000000001</v>
      </c>
      <c r="AD22" s="8">
        <v>1642.4480000000001</v>
      </c>
      <c r="AE22" s="8">
        <f>SUM(AA22:AD22)</f>
        <v>7479.4539999999997</v>
      </c>
      <c r="AF22" s="8">
        <v>1649.2860000000001</v>
      </c>
      <c r="AG22" s="8">
        <v>2282.027</v>
      </c>
      <c r="AH22" s="8">
        <v>2131.9830000000002</v>
      </c>
      <c r="AI22" s="8">
        <v>1331.261</v>
      </c>
      <c r="AJ22" s="8">
        <f>SUM(AF22:AI22)</f>
        <v>7394.5570000000007</v>
      </c>
      <c r="AK22" s="8">
        <v>1571.2018591549297</v>
      </c>
      <c r="AL22" s="8">
        <v>1746.2349999999999</v>
      </c>
      <c r="AM22" s="8">
        <v>1698.4870000000001</v>
      </c>
      <c r="AN22" s="8">
        <v>1406.002</v>
      </c>
      <c r="AO22" s="8">
        <f>SUM(AK22:AN22)</f>
        <v>6421.9258591549296</v>
      </c>
      <c r="AP22" s="8">
        <v>1492.548</v>
      </c>
      <c r="AQ22" s="8">
        <v>1771.3489999999999</v>
      </c>
      <c r="AR22" s="8">
        <v>1877.54</v>
      </c>
      <c r="AS22" s="8">
        <v>1373.75699998</v>
      </c>
      <c r="AT22" s="8">
        <f>SUM(AP22:AS22)</f>
        <v>6515.1939999799997</v>
      </c>
      <c r="AU22" s="8">
        <v>1806.126</v>
      </c>
      <c r="AV22" s="8">
        <v>1998.0150000000001</v>
      </c>
      <c r="AW22" s="8">
        <v>2136.7829999999999</v>
      </c>
      <c r="AX22" s="8">
        <v>1724.44</v>
      </c>
      <c r="AY22" s="8">
        <f>SUM(AU22:AX22)</f>
        <v>7665.3639999999996</v>
      </c>
      <c r="AZ22" s="8">
        <v>1854.915</v>
      </c>
      <c r="BA22" s="8">
        <v>2077.277</v>
      </c>
      <c r="BB22" s="8">
        <v>1756.662</v>
      </c>
      <c r="BC22" s="8">
        <v>1457.5239999999999</v>
      </c>
      <c r="BD22" s="8">
        <f>SUM(AZ22:BC22)</f>
        <v>7146.3780000000006</v>
      </c>
      <c r="BE22" s="8">
        <v>1195.3354999999999</v>
      </c>
      <c r="BF22" s="8">
        <v>2127.8180000000002</v>
      </c>
      <c r="BG22" s="8">
        <v>1794.951</v>
      </c>
      <c r="BH22" s="8">
        <v>1609.441</v>
      </c>
      <c r="BI22" s="8">
        <f>SUM(BE22:BH22)</f>
        <v>6727.5455000000002</v>
      </c>
      <c r="BJ22" s="8">
        <v>2213</v>
      </c>
      <c r="BK22" s="8">
        <v>669</v>
      </c>
      <c r="BL22" s="8">
        <v>2596.19</v>
      </c>
      <c r="BM22" s="8">
        <v>2041</v>
      </c>
      <c r="BN22" s="8">
        <f>SUM(BJ22:BM22)</f>
        <v>7519.1900000000005</v>
      </c>
      <c r="BO22" s="8">
        <v>2277</v>
      </c>
      <c r="BP22" s="8">
        <v>2850.0259999999998</v>
      </c>
      <c r="BQ22" s="8">
        <v>2812.9740000000002</v>
      </c>
      <c r="BR22" s="8">
        <v>2367</v>
      </c>
      <c r="BS22" s="8">
        <f>SUM(BO22:BR22)</f>
        <v>10307</v>
      </c>
      <c r="BT22" s="8">
        <v>2713</v>
      </c>
      <c r="BU22" s="8">
        <v>2907</v>
      </c>
      <c r="BV22" s="8">
        <v>3241</v>
      </c>
      <c r="BW22" s="8">
        <v>2475</v>
      </c>
      <c r="BX22" s="8">
        <f>SUM(BT22:BW22)</f>
        <v>11336</v>
      </c>
      <c r="BY22" s="8">
        <v>2549</v>
      </c>
      <c r="BZ22" s="8">
        <v>3101</v>
      </c>
      <c r="CA22" s="8">
        <v>3233</v>
      </c>
      <c r="CB22" s="8">
        <v>2589</v>
      </c>
      <c r="CC22" s="8">
        <f>SUM(BY22:CB22)</f>
        <v>11472</v>
      </c>
      <c r="CD22" s="8">
        <v>2920</v>
      </c>
      <c r="CE22" s="8">
        <v>3008</v>
      </c>
      <c r="CF22" s="8">
        <v>2842</v>
      </c>
      <c r="CG22" s="8">
        <v>2401</v>
      </c>
      <c r="CH22" s="8">
        <f>SUM(CD22:CG22)</f>
        <v>11171</v>
      </c>
      <c r="CI22" s="8">
        <v>2552</v>
      </c>
      <c r="CJ22" s="8">
        <v>2930</v>
      </c>
      <c r="CK22" s="8">
        <v>2876</v>
      </c>
      <c r="CL22" s="8">
        <v>2539</v>
      </c>
      <c r="CM22" s="8">
        <f>SUM(CI22:CL22)</f>
        <v>10897</v>
      </c>
      <c r="CN22" s="8">
        <v>3163.73</v>
      </c>
      <c r="CO22" s="8">
        <v>3211.27</v>
      </c>
      <c r="CP22" s="8">
        <v>2835</v>
      </c>
      <c r="CQ22" s="8">
        <v>2451.42</v>
      </c>
      <c r="CR22" s="8">
        <f>SUM(CN22:CQ22)</f>
        <v>11661.42</v>
      </c>
      <c r="CS22" s="8">
        <v>3391</v>
      </c>
      <c r="CT22" s="8">
        <v>3473</v>
      </c>
      <c r="CU22" s="8">
        <v>3853</v>
      </c>
      <c r="CV22" s="8">
        <v>2854</v>
      </c>
      <c r="CW22" s="8">
        <f>SUM(CS22:CV22)</f>
        <v>13571</v>
      </c>
      <c r="CX22" s="8">
        <v>3435</v>
      </c>
      <c r="CY22" s="8">
        <v>3158</v>
      </c>
      <c r="CZ22" s="8">
        <v>3121</v>
      </c>
      <c r="DA22" s="8">
        <v>2492</v>
      </c>
      <c r="DB22" s="8">
        <f t="shared" ref="DB22:DB31" si="100">SUM(CX22:DA22)</f>
        <v>12206</v>
      </c>
      <c r="DC22" s="8">
        <v>2640</v>
      </c>
      <c r="DD22" s="8">
        <v>2898</v>
      </c>
      <c r="DE22" s="8">
        <v>3159</v>
      </c>
      <c r="DF22" s="8">
        <v>2798</v>
      </c>
      <c r="DG22" s="8">
        <f t="shared" ref="DG22:DG28" si="101">SUM(DC22:DF22)</f>
        <v>11495</v>
      </c>
      <c r="DH22" s="8">
        <v>3247</v>
      </c>
      <c r="DI22" s="8">
        <v>3471</v>
      </c>
      <c r="DJ22" s="8">
        <v>3283</v>
      </c>
      <c r="DK22" s="8">
        <v>2700</v>
      </c>
      <c r="DL22" s="8">
        <f>SUM(DH22:DK22)</f>
        <v>12701</v>
      </c>
      <c r="DM22" s="8">
        <v>3163</v>
      </c>
      <c r="DN22" s="8">
        <v>3293</v>
      </c>
      <c r="DO22" s="8">
        <v>3084</v>
      </c>
      <c r="DP22" s="8">
        <v>1818</v>
      </c>
      <c r="DQ22" s="8">
        <f>SUM(DM22:DP22)</f>
        <v>11358</v>
      </c>
      <c r="DR22" s="8">
        <v>0</v>
      </c>
      <c r="DS22" s="8">
        <v>0</v>
      </c>
      <c r="DT22" s="8">
        <v>0</v>
      </c>
      <c r="DU22" s="8">
        <v>0</v>
      </c>
      <c r="DV22" s="8">
        <f>SUM(DR22:DU22)</f>
        <v>0</v>
      </c>
      <c r="DW22" s="8">
        <v>0</v>
      </c>
      <c r="DX22" s="8">
        <v>0</v>
      </c>
      <c r="DY22" s="8">
        <v>0</v>
      </c>
      <c r="DZ22" s="8">
        <v>0</v>
      </c>
      <c r="EA22" s="8">
        <f>SUM(DW22:DZ22)</f>
        <v>0</v>
      </c>
      <c r="EB22" s="8">
        <v>0</v>
      </c>
      <c r="EC22" s="8">
        <v>0</v>
      </c>
      <c r="ED22" s="8">
        <v>0</v>
      </c>
      <c r="EE22" s="8">
        <v>0</v>
      </c>
      <c r="EF22" s="8">
        <f>SUM(EB22:EE22)</f>
        <v>0</v>
      </c>
      <c r="EG22" s="8">
        <v>0</v>
      </c>
      <c r="EH22" s="8">
        <v>0</v>
      </c>
      <c r="EI22" s="8">
        <v>0</v>
      </c>
    </row>
    <row r="23" spans="1:139" ht="15" thickBot="1" x14ac:dyDescent="0.35">
      <c r="A23" s="2" t="s">
        <v>454</v>
      </c>
      <c r="B23" s="9">
        <v>0</v>
      </c>
      <c r="C23" s="9">
        <v>0</v>
      </c>
      <c r="D23" s="9">
        <v>0</v>
      </c>
      <c r="E23" s="9">
        <v>0</v>
      </c>
      <c r="F23" s="9">
        <f>SUM(B23:E23)</f>
        <v>0</v>
      </c>
      <c r="G23" s="9">
        <v>0</v>
      </c>
      <c r="H23" s="9">
        <v>0</v>
      </c>
      <c r="I23" s="9">
        <v>0</v>
      </c>
      <c r="J23" s="9">
        <v>0</v>
      </c>
      <c r="K23" s="9">
        <f>SUM(G23:J23)</f>
        <v>0</v>
      </c>
      <c r="L23" s="9">
        <v>0</v>
      </c>
      <c r="M23" s="9">
        <v>0</v>
      </c>
      <c r="N23" s="9">
        <v>0</v>
      </c>
      <c r="O23" s="9">
        <v>0</v>
      </c>
      <c r="P23" s="9">
        <f>SUM(L23:O23)</f>
        <v>0</v>
      </c>
      <c r="Q23" s="9">
        <v>530.18899999999996</v>
      </c>
      <c r="R23" s="9">
        <v>2648.6019999999999</v>
      </c>
      <c r="S23" s="9">
        <v>2520.7640000000001</v>
      </c>
      <c r="T23" s="9">
        <v>2151.9450000000002</v>
      </c>
      <c r="U23" s="9">
        <f>SUM(Q23:T23)</f>
        <v>7851.5</v>
      </c>
      <c r="V23" s="9">
        <v>1987.7860000000001</v>
      </c>
      <c r="W23" s="9">
        <v>3035.1239999999998</v>
      </c>
      <c r="X23" s="9">
        <v>2802.348</v>
      </c>
      <c r="Y23" s="9">
        <v>2403.94</v>
      </c>
      <c r="Z23" s="9">
        <f t="shared" si="99"/>
        <v>10229.198</v>
      </c>
      <c r="AA23" s="9">
        <v>2015.7049999999999</v>
      </c>
      <c r="AB23" s="9">
        <v>3804.2530000000002</v>
      </c>
      <c r="AC23" s="9">
        <v>3085.2579999999998</v>
      </c>
      <c r="AD23" s="9">
        <v>2769.8780000000002</v>
      </c>
      <c r="AE23" s="9">
        <f>SUM(AA23:AD23)</f>
        <v>11675.094000000001</v>
      </c>
      <c r="AF23" s="9">
        <v>2805.0120000000002</v>
      </c>
      <c r="AG23" s="9">
        <v>3611.4949999999999</v>
      </c>
      <c r="AH23" s="9">
        <v>3274.9450000000002</v>
      </c>
      <c r="AI23" s="9">
        <v>2948.6680000000001</v>
      </c>
      <c r="AJ23" s="9">
        <f>SUM(AF23:AI23)</f>
        <v>12640.119999999999</v>
      </c>
      <c r="AK23" s="9">
        <v>2507.422</v>
      </c>
      <c r="AL23" s="9">
        <v>2960.953</v>
      </c>
      <c r="AM23" s="9">
        <v>2843.9659999999999</v>
      </c>
      <c r="AN23" s="9">
        <v>2774.7350000000001</v>
      </c>
      <c r="AO23" s="9">
        <f>SUM(AK23:AN23)</f>
        <v>11087.076000000001</v>
      </c>
      <c r="AP23" s="9">
        <v>2271.355</v>
      </c>
      <c r="AQ23" s="9">
        <v>3615.5749999999998</v>
      </c>
      <c r="AR23" s="9">
        <v>2870.7440000000001</v>
      </c>
      <c r="AS23" s="9">
        <v>2732.6880000000001</v>
      </c>
      <c r="AT23" s="9">
        <f>SUM(AP23:AS23)</f>
        <v>11490.362000000001</v>
      </c>
      <c r="AU23" s="9">
        <v>2713.2570000000001</v>
      </c>
      <c r="AV23" s="9">
        <v>3884.1950000000002</v>
      </c>
      <c r="AW23" s="9">
        <v>3711.2530000000002</v>
      </c>
      <c r="AX23" s="9">
        <v>3241.8620000000001</v>
      </c>
      <c r="AY23" s="9">
        <f>SUM(AU23:AX23)</f>
        <v>13550.566999999999</v>
      </c>
      <c r="AZ23" s="9">
        <v>2960.0940000000001</v>
      </c>
      <c r="BA23" s="9">
        <v>4336.9949999999999</v>
      </c>
      <c r="BB23" s="9">
        <v>3408.4279999999999</v>
      </c>
      <c r="BC23" s="9">
        <v>3096.9344332411661</v>
      </c>
      <c r="BD23" s="9">
        <f>SUM(AZ23:BC23)</f>
        <v>13802.451433241165</v>
      </c>
      <c r="BE23" s="9">
        <v>1143.9362205882355</v>
      </c>
      <c r="BF23" s="9">
        <v>4617.2939999999999</v>
      </c>
      <c r="BG23" s="9">
        <v>3362.84</v>
      </c>
      <c r="BH23" s="9">
        <v>2970.6790000000001</v>
      </c>
      <c r="BI23" s="9">
        <f>SUM(BE23:BH23)</f>
        <v>12094.749220588235</v>
      </c>
      <c r="BJ23" s="9">
        <v>3060</v>
      </c>
      <c r="BK23" s="9">
        <v>1141</v>
      </c>
      <c r="BL23" s="9">
        <v>3768.4409999999998</v>
      </c>
      <c r="BM23" s="9">
        <v>3528</v>
      </c>
      <c r="BN23" s="9">
        <f>SUM(BJ23:BM23)</f>
        <v>11497.440999999999</v>
      </c>
      <c r="BO23" s="9">
        <v>3741</v>
      </c>
      <c r="BP23" s="9">
        <v>4973.3729999999996</v>
      </c>
      <c r="BQ23" s="9">
        <v>4302.6270000000004</v>
      </c>
      <c r="BR23" s="9">
        <v>3698</v>
      </c>
      <c r="BS23" s="9">
        <f>SUM(BO23:BR23)</f>
        <v>16715</v>
      </c>
      <c r="BT23" s="9">
        <v>3566</v>
      </c>
      <c r="BU23" s="9">
        <v>4889</v>
      </c>
      <c r="BV23" s="9">
        <v>3932</v>
      </c>
      <c r="BW23" s="9">
        <v>3812</v>
      </c>
      <c r="BX23" s="9">
        <f>SUM(BT23:BW23)</f>
        <v>16199</v>
      </c>
      <c r="BY23" s="9">
        <v>3884</v>
      </c>
      <c r="BZ23" s="9">
        <v>6505</v>
      </c>
      <c r="CA23" s="9">
        <v>5526</v>
      </c>
      <c r="CB23" s="9">
        <v>4058</v>
      </c>
      <c r="CC23" s="9">
        <f>SUM(BY23:CB23)</f>
        <v>19973</v>
      </c>
      <c r="CD23" s="9">
        <v>4781</v>
      </c>
      <c r="CE23" s="9">
        <v>6383</v>
      </c>
      <c r="CF23" s="9">
        <v>5395</v>
      </c>
      <c r="CG23" s="9">
        <v>4365</v>
      </c>
      <c r="CH23" s="9">
        <f>SUM(CD23:CG23)</f>
        <v>20924</v>
      </c>
      <c r="CI23" s="9">
        <v>4492</v>
      </c>
      <c r="CJ23" s="9">
        <v>5911</v>
      </c>
      <c r="CK23" s="9">
        <v>5644</v>
      </c>
      <c r="CL23" s="9">
        <v>4170</v>
      </c>
      <c r="CM23" s="9">
        <f>SUM(CI23:CL23)</f>
        <v>20217</v>
      </c>
      <c r="CN23" s="9">
        <v>4134.6629999999996</v>
      </c>
      <c r="CO23" s="9">
        <v>6186.3370000000004</v>
      </c>
      <c r="CP23" s="9">
        <v>4893</v>
      </c>
      <c r="CQ23" s="9">
        <v>4012.018</v>
      </c>
      <c r="CR23" s="9">
        <f>SUM(CN23:CQ23)</f>
        <v>19226.018</v>
      </c>
      <c r="CS23" s="9">
        <v>4339</v>
      </c>
      <c r="CT23" s="9">
        <v>5666</v>
      </c>
      <c r="CU23" s="9">
        <v>5116</v>
      </c>
      <c r="CV23" s="9">
        <v>4364</v>
      </c>
      <c r="CW23" s="9">
        <f t="shared" ref="CW23:CW36" si="102">SUM(CS23:CV23)</f>
        <v>19485</v>
      </c>
      <c r="CX23" s="9">
        <v>4323</v>
      </c>
      <c r="CY23" s="9">
        <v>5217</v>
      </c>
      <c r="CZ23" s="9">
        <v>5502</v>
      </c>
      <c r="DA23" s="9">
        <v>4773</v>
      </c>
      <c r="DB23" s="9">
        <f t="shared" si="100"/>
        <v>19815</v>
      </c>
      <c r="DC23" s="9">
        <v>3950</v>
      </c>
      <c r="DD23" s="9">
        <v>5305</v>
      </c>
      <c r="DE23" s="9">
        <v>5385</v>
      </c>
      <c r="DF23" s="9">
        <v>4932</v>
      </c>
      <c r="DG23" s="9">
        <f t="shared" si="101"/>
        <v>19572</v>
      </c>
      <c r="DH23" s="9">
        <v>4154</v>
      </c>
      <c r="DI23" s="9">
        <v>5884</v>
      </c>
      <c r="DJ23" s="9">
        <v>4888</v>
      </c>
      <c r="DK23" s="9">
        <v>4122</v>
      </c>
      <c r="DL23" s="9">
        <f t="shared" ref="DL23:DL28" si="103">SUM(DH23:DK23)</f>
        <v>19048</v>
      </c>
      <c r="DM23" s="9">
        <v>4121</v>
      </c>
      <c r="DN23" s="9">
        <v>6369</v>
      </c>
      <c r="DO23" s="9">
        <v>5746</v>
      </c>
      <c r="DP23" s="9">
        <v>5085</v>
      </c>
      <c r="DQ23" s="9">
        <f t="shared" ref="DQ23:DQ28" si="104">SUM(DM23:DP23)</f>
        <v>21321</v>
      </c>
      <c r="DR23" s="9">
        <v>4586</v>
      </c>
      <c r="DS23" s="9">
        <v>4520</v>
      </c>
      <c r="DT23" s="9">
        <v>4817</v>
      </c>
      <c r="DU23" s="9">
        <v>4810.6350000000002</v>
      </c>
      <c r="DV23" s="9">
        <f t="shared" ref="DV23:DV33" si="105">SUM(DR23:DU23)</f>
        <v>18733.635000000002</v>
      </c>
      <c r="DW23" s="9">
        <v>4792</v>
      </c>
      <c r="DX23" s="9">
        <v>5148</v>
      </c>
      <c r="DY23" s="9">
        <v>6023</v>
      </c>
      <c r="DZ23" s="9">
        <v>6027</v>
      </c>
      <c r="EA23" s="9">
        <f t="shared" ref="EA23:EA34" si="106">SUM(DW23:DZ23)</f>
        <v>21990</v>
      </c>
      <c r="EB23" s="9">
        <v>4592</v>
      </c>
      <c r="EC23" s="9">
        <v>5348.7139999999999</v>
      </c>
      <c r="ED23" s="9">
        <v>5930.2219999999998</v>
      </c>
      <c r="EE23" s="9">
        <v>5980.5240000000003</v>
      </c>
      <c r="EF23" s="9">
        <f t="shared" ref="EF23:EF34" si="107">SUM(EB23:EE23)</f>
        <v>21851.46</v>
      </c>
      <c r="EG23" s="9">
        <v>4956.8540000000003</v>
      </c>
      <c r="EH23" s="9">
        <v>5033.0519999999997</v>
      </c>
      <c r="EI23" s="69">
        <v>5835.9120000000003</v>
      </c>
    </row>
    <row r="24" spans="1:139" ht="15" thickTop="1" x14ac:dyDescent="0.3">
      <c r="A24" s="1" t="s">
        <v>442</v>
      </c>
      <c r="B24" s="8">
        <v>2974.2339999999999</v>
      </c>
      <c r="C24" s="8">
        <v>3219.5129999999999</v>
      </c>
      <c r="D24" s="8">
        <v>3470.848</v>
      </c>
      <c r="E24" s="8">
        <v>3344.0140000000001</v>
      </c>
      <c r="F24" s="8">
        <f>SUM(B24:E24)</f>
        <v>13008.609</v>
      </c>
      <c r="G24" s="8">
        <v>3031.4490000000001</v>
      </c>
      <c r="H24" s="8">
        <v>3328.4340000000002</v>
      </c>
      <c r="I24" s="8">
        <v>3607.1950000000002</v>
      </c>
      <c r="J24" s="8">
        <v>3566.0070000000001</v>
      </c>
      <c r="K24" s="8">
        <f>SUM(G24:J24)</f>
        <v>13533.084999999999</v>
      </c>
      <c r="L24" s="8">
        <v>3038.4690000000001</v>
      </c>
      <c r="M24" s="8">
        <v>3186.884</v>
      </c>
      <c r="N24" s="8">
        <v>3426.7669999999998</v>
      </c>
      <c r="O24" s="8">
        <v>3379.5729999999999</v>
      </c>
      <c r="P24" s="8">
        <f>SUM(L24:O24)</f>
        <v>13031.692999999999</v>
      </c>
      <c r="Q24" s="8">
        <v>3092.5889999999999</v>
      </c>
      <c r="R24" s="8">
        <v>3280.54</v>
      </c>
      <c r="S24" s="8">
        <v>3663.5610000000001</v>
      </c>
      <c r="T24" s="8">
        <v>3328.078</v>
      </c>
      <c r="U24" s="8">
        <f>SUM(Q24:T24)</f>
        <v>13364.768</v>
      </c>
      <c r="V24" s="8">
        <v>3042.0920000000001</v>
      </c>
      <c r="W24" s="8">
        <v>3636.3130000000001</v>
      </c>
      <c r="X24" s="8">
        <v>4163.0789999999997</v>
      </c>
      <c r="Y24" s="8">
        <v>3870.5970000000002</v>
      </c>
      <c r="Z24" s="8">
        <f>SUM(V24:Y24)</f>
        <v>14712.081</v>
      </c>
      <c r="AA24" s="8">
        <v>3377.7150000000001</v>
      </c>
      <c r="AB24" s="8">
        <v>3905.9670000000001</v>
      </c>
      <c r="AC24" s="8">
        <v>4150.9049999999997</v>
      </c>
      <c r="AD24" s="8">
        <v>4092.1</v>
      </c>
      <c r="AE24" s="8">
        <f>SUM(AA24:AD24)</f>
        <v>15526.687</v>
      </c>
      <c r="AF24" s="8">
        <v>4017.7109999999998</v>
      </c>
      <c r="AG24" s="8">
        <v>4409.3639999999996</v>
      </c>
      <c r="AH24" s="8">
        <v>4803.826</v>
      </c>
      <c r="AI24" s="8">
        <v>4540.6329999999998</v>
      </c>
      <c r="AJ24" s="8">
        <f>SUM(AF24:AI24)</f>
        <v>17771.534</v>
      </c>
      <c r="AK24" s="8">
        <v>4256.0039999999999</v>
      </c>
      <c r="AL24" s="8">
        <v>4924.3509999999997</v>
      </c>
      <c r="AM24" s="8">
        <v>5142.7489999999998</v>
      </c>
      <c r="AN24" s="8">
        <v>4461.799</v>
      </c>
      <c r="AO24" s="8">
        <f>SUM(AK24:AN24)</f>
        <v>18784.902999999998</v>
      </c>
      <c r="AP24" s="8">
        <v>4359.4709999999995</v>
      </c>
      <c r="AQ24" s="8">
        <v>4763.2669999999998</v>
      </c>
      <c r="AR24" s="8">
        <v>5366.3639999999996</v>
      </c>
      <c r="AS24" s="8">
        <v>4955.6440000000002</v>
      </c>
      <c r="AT24" s="8">
        <f>SUM(AP24:AS24)</f>
        <v>19444.745999999999</v>
      </c>
      <c r="AU24" s="8">
        <v>4737.4290000000001</v>
      </c>
      <c r="AV24" s="8">
        <v>5204.7120000000004</v>
      </c>
      <c r="AW24" s="8">
        <v>5607.8990000000003</v>
      </c>
      <c r="AX24" s="8">
        <v>5282.24</v>
      </c>
      <c r="AY24" s="8">
        <f>SUM(AU24:AX24)</f>
        <v>20832.28</v>
      </c>
      <c r="AZ24" s="8">
        <v>5042.7299999999996</v>
      </c>
      <c r="BA24" s="8">
        <v>5671.9930000000004</v>
      </c>
      <c r="BB24" s="8">
        <v>6063.8739999999998</v>
      </c>
      <c r="BC24" s="8">
        <v>5482.2539999999999</v>
      </c>
      <c r="BD24" s="8">
        <f>SUM(AZ24:BC24)</f>
        <v>22260.851000000002</v>
      </c>
      <c r="BE24" s="8">
        <v>7686.6115</v>
      </c>
      <c r="BF24" s="8">
        <v>5389</v>
      </c>
      <c r="BG24" s="8">
        <v>6329.1815000000006</v>
      </c>
      <c r="BH24" s="8">
        <v>5780.9170000000004</v>
      </c>
      <c r="BI24" s="8">
        <f>SUM(BE24:BH24)</f>
        <v>25185.71</v>
      </c>
      <c r="BJ24" s="8">
        <v>5442</v>
      </c>
      <c r="BK24" s="8">
        <v>6306</v>
      </c>
      <c r="BL24" s="8">
        <v>7055.7849999999999</v>
      </c>
      <c r="BM24" s="8">
        <v>6041</v>
      </c>
      <c r="BN24" s="8">
        <f>SUM(BJ24:BM24)</f>
        <v>24844.785</v>
      </c>
      <c r="BO24" s="8">
        <v>5677</v>
      </c>
      <c r="BP24" s="8">
        <v>6341.6479999999992</v>
      </c>
      <c r="BQ24" s="8">
        <v>6643.3520000000008</v>
      </c>
      <c r="BR24" s="8">
        <v>6007</v>
      </c>
      <c r="BS24" s="8">
        <f>SUM(BO24:BR24)</f>
        <v>24669</v>
      </c>
      <c r="BT24" s="8">
        <v>5931</v>
      </c>
      <c r="BU24" s="8">
        <v>6259</v>
      </c>
      <c r="BV24" s="8">
        <v>7125</v>
      </c>
      <c r="BW24" s="8">
        <v>6606</v>
      </c>
      <c r="BX24" s="8">
        <f>SUM(BT24:BW24)</f>
        <v>25921</v>
      </c>
      <c r="BY24" s="8">
        <v>6369</v>
      </c>
      <c r="BZ24" s="8">
        <v>7114</v>
      </c>
      <c r="CA24" s="8">
        <v>8178</v>
      </c>
      <c r="CB24" s="8">
        <v>7398</v>
      </c>
      <c r="CC24" s="8">
        <f>SUM(BY24:CB24)</f>
        <v>29059</v>
      </c>
      <c r="CD24" s="8">
        <v>7334</v>
      </c>
      <c r="CE24" s="8">
        <v>7161</v>
      </c>
      <c r="CF24" s="8">
        <v>7730</v>
      </c>
      <c r="CG24" s="8">
        <v>7044</v>
      </c>
      <c r="CH24" s="8">
        <f>SUM(CD24:CG24)</f>
        <v>29269</v>
      </c>
      <c r="CI24" s="8">
        <v>6945</v>
      </c>
      <c r="CJ24" s="8">
        <v>7315</v>
      </c>
      <c r="CK24" s="8">
        <v>7588</v>
      </c>
      <c r="CL24" s="8">
        <v>7290</v>
      </c>
      <c r="CM24" s="8">
        <f>SUM(CI24:CL24)</f>
        <v>29138</v>
      </c>
      <c r="CN24" s="8">
        <v>6726.3889999999992</v>
      </c>
      <c r="CO24" s="8">
        <v>6743.6110000000008</v>
      </c>
      <c r="CP24" s="8">
        <v>6669</v>
      </c>
      <c r="CQ24" s="8">
        <v>6533.2719999999999</v>
      </c>
      <c r="CR24" s="8">
        <f>SUM(CN24:CQ24)</f>
        <v>26672.272000000001</v>
      </c>
      <c r="CS24" s="8">
        <v>6911</v>
      </c>
      <c r="CT24" s="8">
        <v>7199</v>
      </c>
      <c r="CU24" s="8">
        <v>7549</v>
      </c>
      <c r="CV24" s="8">
        <v>6957</v>
      </c>
      <c r="CW24" s="8">
        <f t="shared" si="102"/>
        <v>28616</v>
      </c>
      <c r="CX24" s="8">
        <v>7067</v>
      </c>
      <c r="CY24" s="8">
        <v>6547</v>
      </c>
      <c r="CZ24" s="8">
        <v>6405</v>
      </c>
      <c r="DA24" s="8">
        <v>5813</v>
      </c>
      <c r="DB24" s="8">
        <f t="shared" si="100"/>
        <v>25832</v>
      </c>
      <c r="DC24" s="8">
        <v>6097</v>
      </c>
      <c r="DD24" s="8">
        <v>6170</v>
      </c>
      <c r="DE24" s="8">
        <v>6659</v>
      </c>
      <c r="DF24" s="8">
        <v>6138</v>
      </c>
      <c r="DG24" s="8">
        <f t="shared" si="101"/>
        <v>25064</v>
      </c>
      <c r="DH24" s="8">
        <v>6409</v>
      </c>
      <c r="DI24" s="8">
        <v>6564</v>
      </c>
      <c r="DJ24" s="8">
        <v>6847</v>
      </c>
      <c r="DK24" s="8">
        <v>6456</v>
      </c>
      <c r="DL24" s="8">
        <f t="shared" si="103"/>
        <v>26276</v>
      </c>
      <c r="DM24" s="8">
        <v>6802</v>
      </c>
      <c r="DN24" s="8">
        <v>7169</v>
      </c>
      <c r="DO24" s="8">
        <v>6430</v>
      </c>
      <c r="DP24" s="8">
        <v>6062</v>
      </c>
      <c r="DQ24" s="8">
        <f t="shared" si="104"/>
        <v>26463</v>
      </c>
      <c r="DR24" s="8">
        <v>6825</v>
      </c>
      <c r="DS24" s="8">
        <v>6996</v>
      </c>
      <c r="DT24" s="8">
        <v>7186</v>
      </c>
      <c r="DU24" s="8">
        <v>6676.5190000000002</v>
      </c>
      <c r="DV24" s="8">
        <f t="shared" si="105"/>
        <v>27683.519</v>
      </c>
      <c r="DW24" s="8">
        <v>6871</v>
      </c>
      <c r="DX24" s="8">
        <v>7713</v>
      </c>
      <c r="DY24" s="8">
        <v>7704</v>
      </c>
      <c r="DZ24" s="8">
        <v>8185</v>
      </c>
      <c r="EA24" s="8">
        <f t="shared" si="106"/>
        <v>30473</v>
      </c>
      <c r="EB24" s="8">
        <v>8218</v>
      </c>
      <c r="EC24" s="8">
        <v>8726.7070000000003</v>
      </c>
      <c r="ED24" s="8">
        <v>8712.8450000000012</v>
      </c>
      <c r="EE24" s="8">
        <v>7989.9310000000005</v>
      </c>
      <c r="EF24" s="8">
        <f t="shared" si="107"/>
        <v>33647.483000000007</v>
      </c>
      <c r="EG24" s="8">
        <v>8610.0950000000012</v>
      </c>
      <c r="EH24" s="8">
        <v>9084.3340000000007</v>
      </c>
      <c r="EI24" s="70">
        <v>9378.0810000000001</v>
      </c>
    </row>
    <row r="25" spans="1:139" ht="16.2" thickBot="1" x14ac:dyDescent="0.35">
      <c r="A25" s="2" t="s">
        <v>364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f t="shared" si="99"/>
        <v>0</v>
      </c>
      <c r="AA25" s="9">
        <v>0</v>
      </c>
      <c r="AB25" s="9">
        <v>0</v>
      </c>
      <c r="AC25" s="9">
        <v>0</v>
      </c>
      <c r="AD25" s="9">
        <v>0</v>
      </c>
      <c r="AE25" s="9">
        <f t="shared" ref="AE25:AE34" si="108">SUM(AA25:AD25)</f>
        <v>0</v>
      </c>
      <c r="AF25" s="9">
        <v>0</v>
      </c>
      <c r="AG25" s="9">
        <v>0</v>
      </c>
      <c r="AH25" s="9">
        <v>0</v>
      </c>
      <c r="AI25" s="9">
        <v>0</v>
      </c>
      <c r="AJ25" s="9">
        <f t="shared" ref="AJ25:AJ34" si="109">SUM(AF25:AI25)</f>
        <v>0</v>
      </c>
      <c r="AK25" s="9">
        <v>0</v>
      </c>
      <c r="AL25" s="9">
        <v>0</v>
      </c>
      <c r="AM25" s="9">
        <v>0</v>
      </c>
      <c r="AN25" s="9">
        <v>0</v>
      </c>
      <c r="AO25" s="9">
        <f t="shared" ref="AO25:AO34" si="110">SUM(AK25:AN25)</f>
        <v>0</v>
      </c>
      <c r="AP25" s="9">
        <v>0</v>
      </c>
      <c r="AQ25" s="9">
        <v>0</v>
      </c>
      <c r="AR25" s="9">
        <v>0</v>
      </c>
      <c r="AS25" s="9">
        <v>0</v>
      </c>
      <c r="AT25" s="9">
        <f t="shared" ref="AT25:AT34" si="111">SUM(AP25:AS25)</f>
        <v>0</v>
      </c>
      <c r="AU25" s="9">
        <v>0</v>
      </c>
      <c r="AV25" s="9">
        <v>0</v>
      </c>
      <c r="AW25" s="9">
        <v>0</v>
      </c>
      <c r="AX25" s="9">
        <v>0</v>
      </c>
      <c r="AY25" s="9">
        <f t="shared" ref="AY25:AY34" si="112">SUM(AU25:AX25)</f>
        <v>0</v>
      </c>
      <c r="AZ25" s="9">
        <v>2145.5630000000001</v>
      </c>
      <c r="BA25" s="9">
        <v>3030.3820000000001</v>
      </c>
      <c r="BB25" s="9">
        <v>3006.4749999999999</v>
      </c>
      <c r="BC25" s="9">
        <v>2548.7669999999998</v>
      </c>
      <c r="BD25" s="9">
        <f t="shared" ref="BD25:BD34" si="113">SUM(AZ25:BC25)</f>
        <v>10731.187</v>
      </c>
      <c r="BE25" s="9">
        <v>2053.6819999999998</v>
      </c>
      <c r="BF25" s="9">
        <v>2818</v>
      </c>
      <c r="BG25" s="9">
        <v>1936.4185000000002</v>
      </c>
      <c r="BH25" s="9">
        <v>2900.5889999999999</v>
      </c>
      <c r="BI25" s="9">
        <f>SUM(BE25:BH25)</f>
        <v>9708.6895000000004</v>
      </c>
      <c r="BJ25" s="9">
        <v>3546</v>
      </c>
      <c r="BK25" s="9">
        <v>2207</v>
      </c>
      <c r="BL25" s="9">
        <v>2383.4395</v>
      </c>
      <c r="BM25" s="9">
        <v>3324</v>
      </c>
      <c r="BN25" s="9">
        <f>SUM(BJ25:BM25)</f>
        <v>11460.4395</v>
      </c>
      <c r="BO25" s="9">
        <v>3705</v>
      </c>
      <c r="BP25" s="9">
        <v>3726.3540000000003</v>
      </c>
      <c r="BQ25" s="9">
        <v>4137.6459999999997</v>
      </c>
      <c r="BR25" s="9">
        <v>3930</v>
      </c>
      <c r="BS25" s="9">
        <f>SUM(BO25:BR25)</f>
        <v>15499</v>
      </c>
      <c r="BT25" s="9">
        <v>3990</v>
      </c>
      <c r="BU25" s="9">
        <v>3814</v>
      </c>
      <c r="BV25" s="9">
        <v>4192</v>
      </c>
      <c r="BW25" s="9">
        <v>4000</v>
      </c>
      <c r="BX25" s="9">
        <f>SUM(BT25:BW25)</f>
        <v>15996</v>
      </c>
      <c r="BY25" s="9">
        <v>4203</v>
      </c>
      <c r="BZ25" s="9">
        <v>4333</v>
      </c>
      <c r="CA25" s="9">
        <v>4584</v>
      </c>
      <c r="CB25" s="9">
        <v>4109</v>
      </c>
      <c r="CC25" s="9">
        <f t="shared" ref="CC25:CC34" si="114">SUM(BY25:CB25)</f>
        <v>17229</v>
      </c>
      <c r="CD25" s="9">
        <v>4693</v>
      </c>
      <c r="CE25" s="9">
        <v>4457</v>
      </c>
      <c r="CF25" s="9">
        <v>4537</v>
      </c>
      <c r="CG25" s="9">
        <v>4113</v>
      </c>
      <c r="CH25" s="9">
        <f t="shared" ref="CH25:CH31" si="115">SUM(CD25:CG25)</f>
        <v>17800</v>
      </c>
      <c r="CI25" s="9">
        <v>4215</v>
      </c>
      <c r="CJ25" s="9">
        <v>3971</v>
      </c>
      <c r="CK25" s="9">
        <v>4114</v>
      </c>
      <c r="CL25" s="9">
        <v>4094</v>
      </c>
      <c r="CM25" s="9">
        <f t="shared" ref="CM25:CM31" si="116">SUM(CI25:CL25)</f>
        <v>16394</v>
      </c>
      <c r="CN25" s="9">
        <v>4470.2539999999999</v>
      </c>
      <c r="CO25" s="9">
        <v>4261.7460000000001</v>
      </c>
      <c r="CP25" s="9">
        <v>4311</v>
      </c>
      <c r="CQ25" s="9">
        <v>3942.4589999999998</v>
      </c>
      <c r="CR25" s="9">
        <f t="shared" ref="CR25:CR31" si="117">SUM(CN25:CQ25)</f>
        <v>16985.458999999999</v>
      </c>
      <c r="CS25" s="9">
        <v>4366</v>
      </c>
      <c r="CT25" s="9">
        <v>4295</v>
      </c>
      <c r="CU25" s="9">
        <v>4544</v>
      </c>
      <c r="CV25" s="9">
        <v>3947</v>
      </c>
      <c r="CW25" s="9">
        <f t="shared" si="102"/>
        <v>17152</v>
      </c>
      <c r="CX25" s="9">
        <v>4223</v>
      </c>
      <c r="CY25" s="9">
        <v>3971</v>
      </c>
      <c r="CZ25" s="9">
        <v>4275</v>
      </c>
      <c r="DA25" s="9">
        <v>3869</v>
      </c>
      <c r="DB25" s="9">
        <f t="shared" si="100"/>
        <v>16338</v>
      </c>
      <c r="DC25" s="9">
        <v>3944</v>
      </c>
      <c r="DD25" s="9">
        <v>4045</v>
      </c>
      <c r="DE25" s="9">
        <v>4281</v>
      </c>
      <c r="DF25" s="9">
        <v>4095</v>
      </c>
      <c r="DG25" s="9">
        <f t="shared" si="101"/>
        <v>16365</v>
      </c>
      <c r="DH25" s="9">
        <v>4361</v>
      </c>
      <c r="DI25" s="9">
        <v>4037</v>
      </c>
      <c r="DJ25" s="9">
        <v>4474</v>
      </c>
      <c r="DK25" s="9">
        <v>4317</v>
      </c>
      <c r="DL25" s="9">
        <f t="shared" si="103"/>
        <v>17189</v>
      </c>
      <c r="DM25" s="9">
        <v>4520</v>
      </c>
      <c r="DN25" s="9">
        <v>4737</v>
      </c>
      <c r="DO25" s="9">
        <v>4763</v>
      </c>
      <c r="DP25" s="9">
        <v>3156</v>
      </c>
      <c r="DQ25" s="9">
        <f t="shared" si="104"/>
        <v>17176</v>
      </c>
      <c r="DR25" s="9">
        <v>0</v>
      </c>
      <c r="DS25" s="9">
        <v>0</v>
      </c>
      <c r="DT25" s="9">
        <v>0</v>
      </c>
      <c r="DU25" s="9">
        <v>0</v>
      </c>
      <c r="DV25" s="9">
        <f t="shared" si="105"/>
        <v>0</v>
      </c>
      <c r="DW25" s="9">
        <v>0</v>
      </c>
      <c r="DX25" s="9"/>
      <c r="DY25" s="9">
        <v>0</v>
      </c>
      <c r="DZ25" s="9">
        <v>0</v>
      </c>
      <c r="EA25" s="9">
        <f t="shared" si="106"/>
        <v>0</v>
      </c>
      <c r="EB25" s="9">
        <v>0</v>
      </c>
      <c r="EC25" s="9">
        <v>0</v>
      </c>
      <c r="ED25" s="9">
        <v>0</v>
      </c>
      <c r="EE25" s="9">
        <v>0</v>
      </c>
      <c r="EF25" s="9">
        <f t="shared" si="107"/>
        <v>0</v>
      </c>
      <c r="EG25" s="9">
        <v>0</v>
      </c>
      <c r="EH25" s="9">
        <v>0</v>
      </c>
      <c r="EI25" s="69">
        <v>0</v>
      </c>
    </row>
    <row r="26" spans="1:139" ht="15" thickTop="1" x14ac:dyDescent="0.3">
      <c r="A26" s="1" t="s">
        <v>443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f t="shared" si="99"/>
        <v>0</v>
      </c>
      <c r="AA26" s="8">
        <v>0</v>
      </c>
      <c r="AB26" s="8">
        <v>0</v>
      </c>
      <c r="AC26" s="8">
        <v>0</v>
      </c>
      <c r="AD26" s="8">
        <v>0</v>
      </c>
      <c r="AE26" s="8">
        <f t="shared" si="108"/>
        <v>0</v>
      </c>
      <c r="AF26" s="8">
        <v>0</v>
      </c>
      <c r="AG26" s="8">
        <v>0</v>
      </c>
      <c r="AH26" s="8">
        <v>0</v>
      </c>
      <c r="AI26" s="8">
        <v>0</v>
      </c>
      <c r="AJ26" s="8">
        <f t="shared" si="109"/>
        <v>0</v>
      </c>
      <c r="AK26" s="8">
        <v>0</v>
      </c>
      <c r="AL26" s="8">
        <v>0</v>
      </c>
      <c r="AM26" s="8">
        <v>0</v>
      </c>
      <c r="AN26" s="8">
        <v>0</v>
      </c>
      <c r="AO26" s="8">
        <f t="shared" si="110"/>
        <v>0</v>
      </c>
      <c r="AP26" s="8">
        <v>0</v>
      </c>
      <c r="AQ26" s="8">
        <v>0</v>
      </c>
      <c r="AR26" s="8">
        <v>0</v>
      </c>
      <c r="AS26" s="8">
        <v>0</v>
      </c>
      <c r="AT26" s="8">
        <f t="shared" si="111"/>
        <v>0</v>
      </c>
      <c r="AU26" s="8">
        <v>0</v>
      </c>
      <c r="AV26" s="8">
        <v>0</v>
      </c>
      <c r="AW26" s="8">
        <v>0</v>
      </c>
      <c r="AX26" s="8">
        <v>0</v>
      </c>
      <c r="AY26" s="8">
        <f t="shared" si="112"/>
        <v>0</v>
      </c>
      <c r="AZ26" s="8">
        <v>0</v>
      </c>
      <c r="BA26" s="8">
        <v>0</v>
      </c>
      <c r="BB26" s="8">
        <v>0</v>
      </c>
      <c r="BC26" s="8">
        <v>0</v>
      </c>
      <c r="BD26" s="8">
        <f t="shared" si="113"/>
        <v>0</v>
      </c>
      <c r="BE26" s="8">
        <v>0</v>
      </c>
      <c r="BF26" s="8">
        <v>327.23700000000002</v>
      </c>
      <c r="BG26" s="8">
        <v>3622.1350000000002</v>
      </c>
      <c r="BH26" s="8">
        <v>4631.701</v>
      </c>
      <c r="BI26" s="8">
        <f>SUM(BE26:BH26)</f>
        <v>8581.0730000000003</v>
      </c>
      <c r="BJ26" s="8">
        <v>5491</v>
      </c>
      <c r="BK26" s="8">
        <v>11882</v>
      </c>
      <c r="BL26" s="8">
        <v>5805.36</v>
      </c>
      <c r="BM26" s="8">
        <v>6351</v>
      </c>
      <c r="BN26" s="8">
        <f>SUM(BJ26:BM26)</f>
        <v>29529.360000000001</v>
      </c>
      <c r="BO26" s="8">
        <v>6375</v>
      </c>
      <c r="BP26" s="8">
        <v>7016.2450000000008</v>
      </c>
      <c r="BQ26" s="8">
        <v>7252.7549999999992</v>
      </c>
      <c r="BR26" s="8">
        <v>7151</v>
      </c>
      <c r="BS26" s="8">
        <f>SUM(BO26:BR26)</f>
        <v>27795</v>
      </c>
      <c r="BT26" s="8">
        <v>6825</v>
      </c>
      <c r="BU26" s="8">
        <v>7032</v>
      </c>
      <c r="BV26" s="8">
        <v>7372</v>
      </c>
      <c r="BW26" s="8">
        <v>7224</v>
      </c>
      <c r="BX26" s="8">
        <f>SUM(BT26:BW26)</f>
        <v>28453</v>
      </c>
      <c r="BY26" s="8">
        <v>6705</v>
      </c>
      <c r="BZ26" s="8">
        <v>7322</v>
      </c>
      <c r="CA26" s="8">
        <v>8431</v>
      </c>
      <c r="CB26" s="8">
        <v>8518</v>
      </c>
      <c r="CC26" s="8">
        <f t="shared" si="114"/>
        <v>30976</v>
      </c>
      <c r="CD26" s="8">
        <v>7889</v>
      </c>
      <c r="CE26" s="8">
        <v>7816</v>
      </c>
      <c r="CF26" s="8">
        <v>8039</v>
      </c>
      <c r="CG26" s="8">
        <v>8385</v>
      </c>
      <c r="CH26" s="8">
        <f t="shared" si="115"/>
        <v>32129</v>
      </c>
      <c r="CI26" s="8">
        <v>7794</v>
      </c>
      <c r="CJ26" s="8">
        <v>7412</v>
      </c>
      <c r="CK26" s="8">
        <v>6644</v>
      </c>
      <c r="CL26" s="8">
        <v>6384</v>
      </c>
      <c r="CM26" s="8">
        <f t="shared" si="116"/>
        <v>28234</v>
      </c>
      <c r="CN26" s="8">
        <v>5706.9070000000002</v>
      </c>
      <c r="CO26" s="8">
        <v>5805.0929999999998</v>
      </c>
      <c r="CP26" s="8">
        <v>6031</v>
      </c>
      <c r="CQ26" s="8">
        <v>6292.0789999999997</v>
      </c>
      <c r="CR26" s="8">
        <f t="shared" si="117"/>
        <v>23835.078999999998</v>
      </c>
      <c r="CS26" s="8">
        <v>6084</v>
      </c>
      <c r="CT26" s="8">
        <v>6190</v>
      </c>
      <c r="CU26" s="8">
        <v>6534</v>
      </c>
      <c r="CV26" s="8">
        <v>6634</v>
      </c>
      <c r="CW26" s="8">
        <f t="shared" si="102"/>
        <v>25442</v>
      </c>
      <c r="CX26" s="8">
        <v>6265</v>
      </c>
      <c r="CY26" s="8">
        <v>6056</v>
      </c>
      <c r="CZ26" s="8">
        <v>6457</v>
      </c>
      <c r="DA26" s="8">
        <v>6550</v>
      </c>
      <c r="DB26" s="8">
        <f t="shared" si="100"/>
        <v>25328</v>
      </c>
      <c r="DC26" s="8">
        <v>6326</v>
      </c>
      <c r="DD26" s="8">
        <v>6451</v>
      </c>
      <c r="DE26" s="8">
        <v>6554</v>
      </c>
      <c r="DF26" s="8">
        <v>6543</v>
      </c>
      <c r="DG26" s="8">
        <f t="shared" si="101"/>
        <v>25874</v>
      </c>
      <c r="DH26" s="8">
        <v>6031</v>
      </c>
      <c r="DI26" s="8">
        <v>4654</v>
      </c>
      <c r="DJ26" s="8">
        <v>5970</v>
      </c>
      <c r="DK26" s="8">
        <v>6453</v>
      </c>
      <c r="DL26" s="8">
        <f t="shared" si="103"/>
        <v>23108</v>
      </c>
      <c r="DM26" s="8">
        <v>6280</v>
      </c>
      <c r="DN26" s="8">
        <v>6107</v>
      </c>
      <c r="DO26" s="8">
        <v>6636</v>
      </c>
      <c r="DP26" s="8">
        <v>6734</v>
      </c>
      <c r="DQ26" s="8">
        <f t="shared" si="104"/>
        <v>25757</v>
      </c>
      <c r="DR26" s="8">
        <v>6392</v>
      </c>
      <c r="DS26" s="8">
        <v>6655</v>
      </c>
      <c r="DT26" s="8">
        <v>7206</v>
      </c>
      <c r="DU26" s="8">
        <v>7077.0919999999996</v>
      </c>
      <c r="DV26" s="8">
        <f t="shared" si="105"/>
        <v>27330.092000000001</v>
      </c>
      <c r="DW26" s="8">
        <v>6584</v>
      </c>
      <c r="DX26" s="8">
        <v>6910</v>
      </c>
      <c r="DY26" s="8">
        <v>7396</v>
      </c>
      <c r="DZ26" s="8">
        <v>8346</v>
      </c>
      <c r="EA26" s="8">
        <f t="shared" si="106"/>
        <v>29236</v>
      </c>
      <c r="EB26" s="8">
        <v>8329</v>
      </c>
      <c r="EC26" s="8">
        <v>9330.2780000000002</v>
      </c>
      <c r="ED26" s="8">
        <v>9992.7780000000002</v>
      </c>
      <c r="EE26" s="8">
        <v>10462.558000000001</v>
      </c>
      <c r="EF26" s="8">
        <f t="shared" si="107"/>
        <v>38114.614000000001</v>
      </c>
      <c r="EG26" s="8">
        <v>10157.972</v>
      </c>
      <c r="EH26" s="8">
        <v>10070.756000000001</v>
      </c>
      <c r="EI26" s="70">
        <v>10537.694</v>
      </c>
    </row>
    <row r="27" spans="1:139" ht="15" thickBot="1" x14ac:dyDescent="0.35">
      <c r="A27" s="2" t="s">
        <v>481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f t="shared" si="99"/>
        <v>0</v>
      </c>
      <c r="AA27" s="9">
        <v>0</v>
      </c>
      <c r="AB27" s="9">
        <v>0</v>
      </c>
      <c r="AC27" s="9">
        <v>0</v>
      </c>
      <c r="AD27" s="9">
        <v>0</v>
      </c>
      <c r="AE27" s="9">
        <f t="shared" si="108"/>
        <v>0</v>
      </c>
      <c r="AF27" s="9">
        <v>0</v>
      </c>
      <c r="AG27" s="9">
        <v>0</v>
      </c>
      <c r="AH27" s="9">
        <v>0</v>
      </c>
      <c r="AI27" s="9">
        <v>0</v>
      </c>
      <c r="AJ27" s="9">
        <f t="shared" si="109"/>
        <v>0</v>
      </c>
      <c r="AK27" s="9">
        <v>0</v>
      </c>
      <c r="AL27" s="9">
        <v>0</v>
      </c>
      <c r="AM27" s="9">
        <v>0</v>
      </c>
      <c r="AN27" s="9">
        <v>0</v>
      </c>
      <c r="AO27" s="9">
        <f t="shared" si="110"/>
        <v>0</v>
      </c>
      <c r="AP27" s="9">
        <v>0</v>
      </c>
      <c r="AQ27" s="9">
        <v>0</v>
      </c>
      <c r="AR27" s="9">
        <v>0</v>
      </c>
      <c r="AS27" s="9">
        <v>0</v>
      </c>
      <c r="AT27" s="9">
        <f t="shared" si="111"/>
        <v>0</v>
      </c>
      <c r="AU27" s="9">
        <v>0</v>
      </c>
      <c r="AV27" s="9">
        <v>0</v>
      </c>
      <c r="AW27" s="9">
        <v>0</v>
      </c>
      <c r="AX27" s="9">
        <v>0</v>
      </c>
      <c r="AY27" s="9">
        <f t="shared" si="112"/>
        <v>0</v>
      </c>
      <c r="AZ27" s="9">
        <v>0</v>
      </c>
      <c r="BA27" s="9">
        <v>0</v>
      </c>
      <c r="BB27" s="9">
        <v>0</v>
      </c>
      <c r="BC27" s="9">
        <v>0</v>
      </c>
      <c r="BD27" s="9">
        <f t="shared" si="113"/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f t="shared" si="114"/>
        <v>0</v>
      </c>
      <c r="CD27" s="9">
        <v>0</v>
      </c>
      <c r="CE27" s="9">
        <v>4722</v>
      </c>
      <c r="CF27" s="9">
        <v>10367</v>
      </c>
      <c r="CG27" s="9">
        <v>10207</v>
      </c>
      <c r="CH27" s="9">
        <f t="shared" si="115"/>
        <v>25296</v>
      </c>
      <c r="CI27" s="9">
        <v>9550</v>
      </c>
      <c r="CJ27" s="9">
        <v>8700</v>
      </c>
      <c r="CK27" s="9">
        <v>8722</v>
      </c>
      <c r="CL27" s="9">
        <v>8463</v>
      </c>
      <c r="CM27" s="9">
        <f t="shared" si="116"/>
        <v>35435</v>
      </c>
      <c r="CN27" s="9">
        <v>7626.0709999999999</v>
      </c>
      <c r="CO27" s="9">
        <v>7296.9290000000001</v>
      </c>
      <c r="CP27" s="9">
        <v>7731</v>
      </c>
      <c r="CQ27" s="9">
        <v>7716.6019999999999</v>
      </c>
      <c r="CR27" s="9">
        <f t="shared" si="117"/>
        <v>30370.601999999999</v>
      </c>
      <c r="CS27" s="9">
        <v>7325</v>
      </c>
      <c r="CT27" s="9">
        <v>7494</v>
      </c>
      <c r="CU27" s="9">
        <v>7835</v>
      </c>
      <c r="CV27" s="9">
        <v>8198</v>
      </c>
      <c r="CW27" s="9">
        <f t="shared" si="102"/>
        <v>30852</v>
      </c>
      <c r="CX27" s="9">
        <v>7644</v>
      </c>
      <c r="CY27" s="9">
        <v>7184</v>
      </c>
      <c r="CZ27" s="9">
        <v>8343</v>
      </c>
      <c r="DA27" s="9">
        <v>8279</v>
      </c>
      <c r="DB27" s="9">
        <f t="shared" si="100"/>
        <v>31450</v>
      </c>
      <c r="DC27" s="9">
        <v>7779</v>
      </c>
      <c r="DD27" s="9">
        <v>7736</v>
      </c>
      <c r="DE27" s="9">
        <v>7707</v>
      </c>
      <c r="DF27" s="9">
        <v>7936</v>
      </c>
      <c r="DG27" s="9">
        <f t="shared" si="101"/>
        <v>31158</v>
      </c>
      <c r="DH27" s="9">
        <v>7723</v>
      </c>
      <c r="DI27" s="9">
        <v>7224</v>
      </c>
      <c r="DJ27" s="9">
        <v>8931</v>
      </c>
      <c r="DK27" s="9">
        <v>9364</v>
      </c>
      <c r="DL27" s="9">
        <f t="shared" si="103"/>
        <v>33242</v>
      </c>
      <c r="DM27" s="9">
        <v>9375</v>
      </c>
      <c r="DN27" s="9">
        <v>9511</v>
      </c>
      <c r="DO27" s="9">
        <v>9766</v>
      </c>
      <c r="DP27" s="9">
        <v>9683</v>
      </c>
      <c r="DQ27" s="9">
        <f t="shared" si="104"/>
        <v>38335</v>
      </c>
      <c r="DR27" s="9">
        <v>10141</v>
      </c>
      <c r="DS27" s="9">
        <v>10358</v>
      </c>
      <c r="DT27" s="9">
        <v>10594</v>
      </c>
      <c r="DU27" s="9">
        <v>9444.0859999999993</v>
      </c>
      <c r="DV27" s="9">
        <f t="shared" si="105"/>
        <v>40537.085999999996</v>
      </c>
      <c r="DW27" s="9">
        <v>9944</v>
      </c>
      <c r="DX27" s="9">
        <v>10030</v>
      </c>
      <c r="DY27" s="9">
        <v>10724</v>
      </c>
      <c r="DZ27" s="9">
        <v>10904</v>
      </c>
      <c r="EA27" s="9">
        <f t="shared" si="106"/>
        <v>41602</v>
      </c>
      <c r="EB27" s="9">
        <v>10417</v>
      </c>
      <c r="EC27" s="9">
        <v>10874.464</v>
      </c>
      <c r="ED27" s="9">
        <v>11683.147999999999</v>
      </c>
      <c r="EE27" s="9">
        <v>11592.135</v>
      </c>
      <c r="EF27" s="9">
        <f t="shared" si="107"/>
        <v>44566.747000000003</v>
      </c>
      <c r="EG27" s="9">
        <v>10848.277</v>
      </c>
      <c r="EH27" s="9">
        <v>11193.697</v>
      </c>
      <c r="EI27" s="69">
        <v>12169.359</v>
      </c>
    </row>
    <row r="28" spans="1:139" ht="15" thickTop="1" x14ac:dyDescent="0.3">
      <c r="A28" s="1" t="s">
        <v>445</v>
      </c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f t="shared" si="99"/>
        <v>0</v>
      </c>
      <c r="AA28" s="8">
        <v>0</v>
      </c>
      <c r="AB28" s="8">
        <v>0</v>
      </c>
      <c r="AC28" s="8">
        <v>0</v>
      </c>
      <c r="AD28" s="8">
        <v>0</v>
      </c>
      <c r="AE28" s="8">
        <f t="shared" si="108"/>
        <v>0</v>
      </c>
      <c r="AF28" s="8">
        <v>0</v>
      </c>
      <c r="AG28" s="8">
        <v>0</v>
      </c>
      <c r="AH28" s="8">
        <v>0</v>
      </c>
      <c r="AI28" s="8">
        <v>0</v>
      </c>
      <c r="AJ28" s="8">
        <f t="shared" si="109"/>
        <v>0</v>
      </c>
      <c r="AK28" s="8">
        <v>0</v>
      </c>
      <c r="AL28" s="8">
        <v>0</v>
      </c>
      <c r="AM28" s="8">
        <v>0</v>
      </c>
      <c r="AN28" s="8">
        <v>0</v>
      </c>
      <c r="AO28" s="8">
        <f t="shared" si="110"/>
        <v>0</v>
      </c>
      <c r="AP28" s="8">
        <v>0</v>
      </c>
      <c r="AQ28" s="8">
        <v>0</v>
      </c>
      <c r="AR28" s="8">
        <v>0</v>
      </c>
      <c r="AS28" s="8">
        <v>0</v>
      </c>
      <c r="AT28" s="8">
        <f t="shared" si="111"/>
        <v>0</v>
      </c>
      <c r="AU28" s="8">
        <v>0</v>
      </c>
      <c r="AV28" s="8">
        <v>0</v>
      </c>
      <c r="AW28" s="8">
        <v>0</v>
      </c>
      <c r="AX28" s="8">
        <v>0</v>
      </c>
      <c r="AY28" s="8">
        <f t="shared" si="112"/>
        <v>0</v>
      </c>
      <c r="AZ28" s="8">
        <v>0</v>
      </c>
      <c r="BA28" s="8">
        <v>0</v>
      </c>
      <c r="BB28" s="8">
        <v>0</v>
      </c>
      <c r="BC28" s="8">
        <v>0</v>
      </c>
      <c r="BD28" s="8">
        <f t="shared" si="113"/>
        <v>0</v>
      </c>
      <c r="BE28" s="8">
        <v>0</v>
      </c>
      <c r="BF28" s="8">
        <v>0</v>
      </c>
      <c r="BG28" s="8">
        <v>0</v>
      </c>
      <c r="BH28" s="8">
        <v>0</v>
      </c>
      <c r="BI28" s="8">
        <f t="shared" ref="BI28:BI34" si="118">SUM(BE28:BH28)</f>
        <v>0</v>
      </c>
      <c r="BJ28" s="8">
        <v>0</v>
      </c>
      <c r="BK28" s="8">
        <v>0</v>
      </c>
      <c r="BL28" s="8">
        <v>0</v>
      </c>
      <c r="BM28" s="8">
        <v>0</v>
      </c>
      <c r="BN28" s="8">
        <f t="shared" ref="BN28:BN34" si="119">SUM(BJ28:BM28)</f>
        <v>0</v>
      </c>
      <c r="BO28" s="8">
        <v>0</v>
      </c>
      <c r="BP28" s="8">
        <v>0</v>
      </c>
      <c r="BQ28" s="8">
        <v>0</v>
      </c>
      <c r="BR28" s="8">
        <v>0</v>
      </c>
      <c r="BS28" s="8">
        <f t="shared" ref="BS28:BS34" si="120">SUM(BO28:BR28)</f>
        <v>0</v>
      </c>
      <c r="BT28" s="8">
        <v>0</v>
      </c>
      <c r="BU28" s="8">
        <v>0</v>
      </c>
      <c r="BV28" s="8">
        <v>0</v>
      </c>
      <c r="BW28" s="8">
        <v>0</v>
      </c>
      <c r="BX28" s="8">
        <f t="shared" ref="BX28:BX34" si="121">SUM(BT28:BW28)</f>
        <v>0</v>
      </c>
      <c r="BY28" s="8">
        <v>0</v>
      </c>
      <c r="BZ28" s="8">
        <v>0</v>
      </c>
      <c r="CA28" s="8">
        <v>0</v>
      </c>
      <c r="CB28" s="8">
        <v>0</v>
      </c>
      <c r="CC28" s="8">
        <f t="shared" si="114"/>
        <v>0</v>
      </c>
      <c r="CD28" s="8">
        <v>0</v>
      </c>
      <c r="CE28" s="8">
        <v>0</v>
      </c>
      <c r="CF28" s="8">
        <v>0</v>
      </c>
      <c r="CG28" s="8">
        <v>0</v>
      </c>
      <c r="CH28" s="8">
        <f t="shared" si="115"/>
        <v>0</v>
      </c>
      <c r="CI28" s="8">
        <v>0</v>
      </c>
      <c r="CJ28" s="8">
        <v>390</v>
      </c>
      <c r="CK28" s="8">
        <v>1281</v>
      </c>
      <c r="CL28" s="8">
        <v>1239</v>
      </c>
      <c r="CM28" s="8">
        <f t="shared" si="116"/>
        <v>2910</v>
      </c>
      <c r="CN28" s="8">
        <v>1138.202</v>
      </c>
      <c r="CO28" s="8">
        <v>1145.798</v>
      </c>
      <c r="CP28" s="8">
        <v>1130</v>
      </c>
      <c r="CQ28" s="8">
        <v>1146.1949999999999</v>
      </c>
      <c r="CR28" s="8">
        <f t="shared" si="117"/>
        <v>4560.1949999999997</v>
      </c>
      <c r="CS28" s="8">
        <v>1105</v>
      </c>
      <c r="CT28" s="8">
        <v>1075</v>
      </c>
      <c r="CU28" s="8">
        <v>1118</v>
      </c>
      <c r="CV28" s="8">
        <v>1093</v>
      </c>
      <c r="CW28" s="8">
        <f t="shared" si="102"/>
        <v>4391</v>
      </c>
      <c r="CX28" s="8">
        <v>1037</v>
      </c>
      <c r="CY28" s="8">
        <v>1018</v>
      </c>
      <c r="CZ28" s="8">
        <v>1073</v>
      </c>
      <c r="DA28" s="8">
        <v>1084</v>
      </c>
      <c r="DB28" s="8">
        <f t="shared" si="100"/>
        <v>4212</v>
      </c>
      <c r="DC28" s="8">
        <v>1036</v>
      </c>
      <c r="DD28" s="8">
        <v>1045</v>
      </c>
      <c r="DE28" s="8">
        <v>1096</v>
      </c>
      <c r="DF28" s="8">
        <v>1082</v>
      </c>
      <c r="DG28" s="8">
        <f t="shared" si="101"/>
        <v>4259</v>
      </c>
      <c r="DH28" s="8">
        <v>971</v>
      </c>
      <c r="DI28" s="8">
        <v>741</v>
      </c>
      <c r="DJ28" s="8">
        <v>1075</v>
      </c>
      <c r="DK28" s="8">
        <v>1110</v>
      </c>
      <c r="DL28" s="8">
        <f t="shared" si="103"/>
        <v>3897</v>
      </c>
      <c r="DM28" s="8">
        <v>1014</v>
      </c>
      <c r="DN28" s="8">
        <v>1024</v>
      </c>
      <c r="DO28" s="8">
        <v>1105</v>
      </c>
      <c r="DP28" s="8">
        <v>1129</v>
      </c>
      <c r="DQ28" s="8">
        <f t="shared" si="104"/>
        <v>4272</v>
      </c>
      <c r="DR28" s="8">
        <v>1077</v>
      </c>
      <c r="DS28" s="8">
        <v>1109</v>
      </c>
      <c r="DT28" s="8">
        <v>1118</v>
      </c>
      <c r="DU28" s="8">
        <v>1061.627</v>
      </c>
      <c r="DV28" s="8">
        <f t="shared" si="105"/>
        <v>4365.6270000000004</v>
      </c>
      <c r="DW28" s="8">
        <v>1067</v>
      </c>
      <c r="DX28" s="8">
        <v>1063</v>
      </c>
      <c r="DY28" s="8">
        <v>1116</v>
      </c>
      <c r="DZ28" s="8">
        <v>1116</v>
      </c>
      <c r="EA28" s="8">
        <f t="shared" si="106"/>
        <v>4362</v>
      </c>
      <c r="EB28" s="8">
        <v>1052</v>
      </c>
      <c r="EC28" s="8">
        <v>1076.1610000000001</v>
      </c>
      <c r="ED28" s="8">
        <v>1122.845</v>
      </c>
      <c r="EE28" s="8">
        <v>1098.9749999999999</v>
      </c>
      <c r="EF28" s="8">
        <f t="shared" si="107"/>
        <v>4349.9809999999998</v>
      </c>
      <c r="EG28" s="8">
        <v>1055.492</v>
      </c>
      <c r="EH28" s="8">
        <v>1093.5419999999999</v>
      </c>
      <c r="EI28" s="70">
        <v>1168.7070000000003</v>
      </c>
    </row>
    <row r="29" spans="1:139" ht="15" thickBot="1" x14ac:dyDescent="0.35">
      <c r="A29" s="2" t="s">
        <v>456</v>
      </c>
      <c r="B29" s="9">
        <v>0</v>
      </c>
      <c r="C29" s="9">
        <v>0</v>
      </c>
      <c r="D29" s="9">
        <v>0</v>
      </c>
      <c r="E29" s="9">
        <v>0</v>
      </c>
      <c r="F29" s="9">
        <f t="shared" ref="F29:F34" si="122">SUM(B29:E29)</f>
        <v>0</v>
      </c>
      <c r="G29" s="9">
        <v>0</v>
      </c>
      <c r="H29" s="9">
        <v>0</v>
      </c>
      <c r="I29" s="9">
        <v>0</v>
      </c>
      <c r="J29" s="9">
        <v>0</v>
      </c>
      <c r="K29" s="9">
        <f t="shared" ref="K29:K34" si="123">SUM(G29:J29)</f>
        <v>0</v>
      </c>
      <c r="L29" s="9">
        <v>0</v>
      </c>
      <c r="M29" s="9">
        <v>0</v>
      </c>
      <c r="N29" s="9">
        <v>0</v>
      </c>
      <c r="O29" s="9">
        <v>0</v>
      </c>
      <c r="P29" s="9">
        <f t="shared" ref="P29:P34" si="124">SUM(L29:O29)</f>
        <v>0</v>
      </c>
      <c r="Q29" s="9">
        <v>0</v>
      </c>
      <c r="R29" s="9">
        <v>0</v>
      </c>
      <c r="S29" s="9">
        <v>0</v>
      </c>
      <c r="T29" s="9">
        <v>0</v>
      </c>
      <c r="U29" s="9">
        <f t="shared" ref="U29:U34" si="125">SUM(Q29:T29)</f>
        <v>0</v>
      </c>
      <c r="V29" s="9">
        <v>0</v>
      </c>
      <c r="W29" s="9">
        <v>0</v>
      </c>
      <c r="X29" s="9">
        <v>0</v>
      </c>
      <c r="Y29" s="9">
        <v>0</v>
      </c>
      <c r="Z29" s="9">
        <f t="shared" si="99"/>
        <v>0</v>
      </c>
      <c r="AA29" s="9">
        <v>0</v>
      </c>
      <c r="AB29" s="9">
        <v>0</v>
      </c>
      <c r="AC29" s="9">
        <v>0</v>
      </c>
      <c r="AD29" s="9">
        <v>0</v>
      </c>
      <c r="AE29" s="9">
        <f t="shared" si="108"/>
        <v>0</v>
      </c>
      <c r="AF29" s="9">
        <v>0</v>
      </c>
      <c r="AG29" s="9">
        <v>0</v>
      </c>
      <c r="AH29" s="9">
        <v>0</v>
      </c>
      <c r="AI29" s="9">
        <v>0</v>
      </c>
      <c r="AJ29" s="9">
        <f t="shared" si="109"/>
        <v>0</v>
      </c>
      <c r="AK29" s="9">
        <v>0</v>
      </c>
      <c r="AL29" s="9">
        <v>0</v>
      </c>
      <c r="AM29" s="9">
        <v>0</v>
      </c>
      <c r="AN29" s="9">
        <v>0</v>
      </c>
      <c r="AO29" s="9">
        <f t="shared" si="110"/>
        <v>0</v>
      </c>
      <c r="AP29" s="9">
        <v>0</v>
      </c>
      <c r="AQ29" s="9">
        <v>0</v>
      </c>
      <c r="AR29" s="9">
        <v>0</v>
      </c>
      <c r="AS29" s="9">
        <v>0</v>
      </c>
      <c r="AT29" s="9">
        <f t="shared" si="111"/>
        <v>0</v>
      </c>
      <c r="AU29" s="9">
        <v>0</v>
      </c>
      <c r="AV29" s="9">
        <v>0</v>
      </c>
      <c r="AW29" s="9">
        <v>0</v>
      </c>
      <c r="AX29" s="9">
        <v>0</v>
      </c>
      <c r="AY29" s="9">
        <f t="shared" si="112"/>
        <v>0</v>
      </c>
      <c r="AZ29" s="9">
        <v>0</v>
      </c>
      <c r="BA29" s="9">
        <v>0</v>
      </c>
      <c r="BB29" s="9">
        <v>0</v>
      </c>
      <c r="BC29" s="9">
        <v>0</v>
      </c>
      <c r="BD29" s="9">
        <f t="shared" si="113"/>
        <v>0</v>
      </c>
      <c r="BE29" s="9">
        <v>0</v>
      </c>
      <c r="BF29" s="9">
        <v>0</v>
      </c>
      <c r="BG29" s="9">
        <v>0</v>
      </c>
      <c r="BH29" s="9">
        <v>0</v>
      </c>
      <c r="BI29" s="9">
        <f t="shared" si="118"/>
        <v>0</v>
      </c>
      <c r="BJ29" s="9">
        <v>0</v>
      </c>
      <c r="BK29" s="9">
        <v>0</v>
      </c>
      <c r="BL29" s="9">
        <v>0</v>
      </c>
      <c r="BM29" s="9">
        <v>0</v>
      </c>
      <c r="BN29" s="9">
        <f t="shared" si="119"/>
        <v>0</v>
      </c>
      <c r="BO29" s="9">
        <v>0</v>
      </c>
      <c r="BP29" s="9">
        <v>0</v>
      </c>
      <c r="BQ29" s="9">
        <v>0</v>
      </c>
      <c r="BR29" s="9">
        <v>0</v>
      </c>
      <c r="BS29" s="9">
        <f t="shared" si="120"/>
        <v>0</v>
      </c>
      <c r="BT29" s="9">
        <v>0</v>
      </c>
      <c r="BU29" s="9">
        <v>0</v>
      </c>
      <c r="BV29" s="9">
        <v>0</v>
      </c>
      <c r="BW29" s="9">
        <v>0</v>
      </c>
      <c r="BX29" s="9">
        <f t="shared" si="121"/>
        <v>0</v>
      </c>
      <c r="BY29" s="9">
        <v>0</v>
      </c>
      <c r="BZ29" s="9">
        <v>0</v>
      </c>
      <c r="CA29" s="9">
        <v>0</v>
      </c>
      <c r="CB29" s="9">
        <v>0</v>
      </c>
      <c r="CC29" s="9">
        <f t="shared" si="114"/>
        <v>0</v>
      </c>
      <c r="CD29" s="9">
        <v>0</v>
      </c>
      <c r="CE29" s="9">
        <v>0</v>
      </c>
      <c r="CF29" s="9">
        <v>0</v>
      </c>
      <c r="CG29" s="9">
        <v>0</v>
      </c>
      <c r="CH29" s="9">
        <f t="shared" si="115"/>
        <v>0</v>
      </c>
      <c r="CI29" s="9">
        <v>0</v>
      </c>
      <c r="CJ29" s="9">
        <v>0</v>
      </c>
      <c r="CK29" s="9">
        <v>0</v>
      </c>
      <c r="CL29" s="9">
        <v>0</v>
      </c>
      <c r="CM29" s="9">
        <f t="shared" si="116"/>
        <v>0</v>
      </c>
      <c r="CN29" s="9">
        <v>0</v>
      </c>
      <c r="CO29" s="9">
        <v>0</v>
      </c>
      <c r="CP29" s="9">
        <v>0</v>
      </c>
      <c r="CQ29" s="9">
        <v>0</v>
      </c>
      <c r="CR29" s="9">
        <f t="shared" si="117"/>
        <v>0</v>
      </c>
      <c r="CS29" s="9">
        <v>0</v>
      </c>
      <c r="CT29" s="9">
        <v>0</v>
      </c>
      <c r="CU29" s="9">
        <v>0</v>
      </c>
      <c r="CV29" s="9">
        <v>0</v>
      </c>
      <c r="CW29" s="9">
        <f>SUM(CS29:CV29)</f>
        <v>0</v>
      </c>
      <c r="CX29" s="9">
        <v>0</v>
      </c>
      <c r="CY29" s="9">
        <v>0</v>
      </c>
      <c r="CZ29" s="9">
        <v>0</v>
      </c>
      <c r="DA29" s="9">
        <v>0</v>
      </c>
      <c r="DB29" s="9">
        <f t="shared" si="100"/>
        <v>0</v>
      </c>
      <c r="DC29" s="9">
        <f>SUM(CY29:DB29)</f>
        <v>0</v>
      </c>
      <c r="DD29" s="9">
        <v>6379</v>
      </c>
      <c r="DE29" s="9">
        <v>6738</v>
      </c>
      <c r="DF29" s="9">
        <v>7079</v>
      </c>
      <c r="DG29" s="9">
        <f t="shared" ref="DG29:DJ31" si="126">SUM(DC29:DF29)</f>
        <v>20196</v>
      </c>
      <c r="DH29" s="9">
        <v>6333</v>
      </c>
      <c r="DI29" s="9">
        <v>5403</v>
      </c>
      <c r="DJ29" s="9">
        <v>7515</v>
      </c>
      <c r="DK29" s="9">
        <v>7633</v>
      </c>
      <c r="DL29" s="9">
        <f>SUM(DH29:DK29)</f>
        <v>26884</v>
      </c>
      <c r="DM29" s="9">
        <v>6986</v>
      </c>
      <c r="DN29" s="9">
        <v>7191</v>
      </c>
      <c r="DO29" s="9">
        <v>7806</v>
      </c>
      <c r="DP29" s="9">
        <v>8130</v>
      </c>
      <c r="DQ29" s="9">
        <f>SUM(DM29:DP29)</f>
        <v>30113</v>
      </c>
      <c r="DR29" s="9">
        <v>7772</v>
      </c>
      <c r="DS29" s="9">
        <v>8074</v>
      </c>
      <c r="DT29" s="9">
        <v>8302</v>
      </c>
      <c r="DU29" s="9">
        <v>7946.6559999999999</v>
      </c>
      <c r="DV29" s="9">
        <f t="shared" si="105"/>
        <v>32094.655999999999</v>
      </c>
      <c r="DW29" s="9">
        <v>7480</v>
      </c>
      <c r="DX29" s="9">
        <v>7643</v>
      </c>
      <c r="DY29" s="9">
        <v>8113</v>
      </c>
      <c r="DZ29" s="9">
        <v>8133</v>
      </c>
      <c r="EA29" s="9">
        <f t="shared" si="106"/>
        <v>31369</v>
      </c>
      <c r="EB29" s="9">
        <v>7812</v>
      </c>
      <c r="EC29" s="9">
        <v>8236.1749999999993</v>
      </c>
      <c r="ED29" s="9">
        <v>9009.4510000000009</v>
      </c>
      <c r="EE29" s="9">
        <v>8908.3850000000002</v>
      </c>
      <c r="EF29" s="9">
        <f t="shared" si="107"/>
        <v>33966.010999999999</v>
      </c>
      <c r="EG29" s="9">
        <v>9026.5249999999996</v>
      </c>
      <c r="EH29" s="9">
        <v>9347.7060000000001</v>
      </c>
      <c r="EI29" s="69">
        <v>9855.2100000000009</v>
      </c>
    </row>
    <row r="30" spans="1:139" ht="15" thickTop="1" x14ac:dyDescent="0.3">
      <c r="A30" s="1" t="s">
        <v>457</v>
      </c>
      <c r="B30" s="8">
        <v>0</v>
      </c>
      <c r="C30" s="8">
        <v>0</v>
      </c>
      <c r="D30" s="8">
        <v>0</v>
      </c>
      <c r="E30" s="8">
        <v>0</v>
      </c>
      <c r="F30" s="8">
        <f t="shared" si="122"/>
        <v>0</v>
      </c>
      <c r="G30" s="8">
        <v>0</v>
      </c>
      <c r="H30" s="8">
        <v>0</v>
      </c>
      <c r="I30" s="8">
        <v>0</v>
      </c>
      <c r="J30" s="8">
        <v>0</v>
      </c>
      <c r="K30" s="8">
        <f t="shared" si="123"/>
        <v>0</v>
      </c>
      <c r="L30" s="8">
        <v>0</v>
      </c>
      <c r="M30" s="8">
        <v>0</v>
      </c>
      <c r="N30" s="8">
        <v>0</v>
      </c>
      <c r="O30" s="8">
        <v>0</v>
      </c>
      <c r="P30" s="8">
        <f t="shared" si="124"/>
        <v>0</v>
      </c>
      <c r="Q30" s="8">
        <v>0</v>
      </c>
      <c r="R30" s="8">
        <v>0</v>
      </c>
      <c r="S30" s="8">
        <v>0</v>
      </c>
      <c r="T30" s="8">
        <v>0</v>
      </c>
      <c r="U30" s="8">
        <f t="shared" si="125"/>
        <v>0</v>
      </c>
      <c r="V30" s="8">
        <v>0</v>
      </c>
      <c r="W30" s="8">
        <v>0</v>
      </c>
      <c r="X30" s="8">
        <v>0</v>
      </c>
      <c r="Y30" s="8">
        <v>0</v>
      </c>
      <c r="Z30" s="8">
        <f t="shared" si="99"/>
        <v>0</v>
      </c>
      <c r="AA30" s="8">
        <v>0</v>
      </c>
      <c r="AB30" s="8">
        <v>0</v>
      </c>
      <c r="AC30" s="8">
        <v>0</v>
      </c>
      <c r="AD30" s="8">
        <v>0</v>
      </c>
      <c r="AE30" s="8">
        <f t="shared" si="108"/>
        <v>0</v>
      </c>
      <c r="AF30" s="8">
        <v>0</v>
      </c>
      <c r="AG30" s="8">
        <v>0</v>
      </c>
      <c r="AH30" s="8">
        <v>0</v>
      </c>
      <c r="AI30" s="8">
        <v>0</v>
      </c>
      <c r="AJ30" s="8">
        <f t="shared" si="109"/>
        <v>0</v>
      </c>
      <c r="AK30" s="8">
        <v>0</v>
      </c>
      <c r="AL30" s="8">
        <v>0</v>
      </c>
      <c r="AM30" s="8">
        <v>0</v>
      </c>
      <c r="AN30" s="8">
        <v>0</v>
      </c>
      <c r="AO30" s="8">
        <f t="shared" si="110"/>
        <v>0</v>
      </c>
      <c r="AP30" s="8">
        <v>0</v>
      </c>
      <c r="AQ30" s="8">
        <v>0</v>
      </c>
      <c r="AR30" s="8">
        <v>0</v>
      </c>
      <c r="AS30" s="8">
        <v>0</v>
      </c>
      <c r="AT30" s="8">
        <f t="shared" si="111"/>
        <v>0</v>
      </c>
      <c r="AU30" s="8">
        <v>0</v>
      </c>
      <c r="AV30" s="8">
        <v>0</v>
      </c>
      <c r="AW30" s="8">
        <v>0</v>
      </c>
      <c r="AX30" s="8">
        <v>0</v>
      </c>
      <c r="AY30" s="8">
        <f t="shared" si="112"/>
        <v>0</v>
      </c>
      <c r="AZ30" s="8">
        <v>0</v>
      </c>
      <c r="BA30" s="8">
        <v>0</v>
      </c>
      <c r="BB30" s="8">
        <v>0</v>
      </c>
      <c r="BC30" s="8">
        <v>0</v>
      </c>
      <c r="BD30" s="8">
        <f t="shared" si="113"/>
        <v>0</v>
      </c>
      <c r="BE30" s="8">
        <v>0</v>
      </c>
      <c r="BF30" s="8">
        <v>0</v>
      </c>
      <c r="BG30" s="8">
        <v>0</v>
      </c>
      <c r="BH30" s="8">
        <v>0</v>
      </c>
      <c r="BI30" s="8">
        <f t="shared" si="118"/>
        <v>0</v>
      </c>
      <c r="BJ30" s="8">
        <v>0</v>
      </c>
      <c r="BK30" s="8">
        <v>0</v>
      </c>
      <c r="BL30" s="8">
        <v>0</v>
      </c>
      <c r="BM30" s="8">
        <v>0</v>
      </c>
      <c r="BN30" s="8">
        <f t="shared" si="119"/>
        <v>0</v>
      </c>
      <c r="BO30" s="8">
        <v>0</v>
      </c>
      <c r="BP30" s="8">
        <v>0</v>
      </c>
      <c r="BQ30" s="8">
        <v>0</v>
      </c>
      <c r="BR30" s="8">
        <v>0</v>
      </c>
      <c r="BS30" s="8">
        <f t="shared" si="120"/>
        <v>0</v>
      </c>
      <c r="BT30" s="8">
        <v>0</v>
      </c>
      <c r="BU30" s="8">
        <v>0</v>
      </c>
      <c r="BV30" s="8">
        <v>0</v>
      </c>
      <c r="BW30" s="8">
        <v>0</v>
      </c>
      <c r="BX30" s="8">
        <f t="shared" si="121"/>
        <v>0</v>
      </c>
      <c r="BY30" s="8">
        <v>0</v>
      </c>
      <c r="BZ30" s="8">
        <v>0</v>
      </c>
      <c r="CA30" s="8">
        <v>0</v>
      </c>
      <c r="CB30" s="8">
        <v>0</v>
      </c>
      <c r="CC30" s="8">
        <f t="shared" si="114"/>
        <v>0</v>
      </c>
      <c r="CD30" s="8">
        <v>0</v>
      </c>
      <c r="CE30" s="8">
        <v>0</v>
      </c>
      <c r="CF30" s="8">
        <v>0</v>
      </c>
      <c r="CG30" s="8">
        <v>0</v>
      </c>
      <c r="CH30" s="8">
        <f t="shared" si="115"/>
        <v>0</v>
      </c>
      <c r="CI30" s="8">
        <v>0</v>
      </c>
      <c r="CJ30" s="8">
        <v>0</v>
      </c>
      <c r="CK30" s="8">
        <v>0</v>
      </c>
      <c r="CL30" s="8">
        <v>0</v>
      </c>
      <c r="CM30" s="8">
        <f t="shared" si="116"/>
        <v>0</v>
      </c>
      <c r="CN30" s="8">
        <v>0</v>
      </c>
      <c r="CO30" s="8">
        <v>0</v>
      </c>
      <c r="CP30" s="8">
        <v>0</v>
      </c>
      <c r="CQ30" s="8">
        <v>0</v>
      </c>
      <c r="CR30" s="8">
        <f t="shared" si="117"/>
        <v>0</v>
      </c>
      <c r="CS30" s="8">
        <v>0</v>
      </c>
      <c r="CT30" s="8">
        <v>0</v>
      </c>
      <c r="CU30" s="8">
        <v>0</v>
      </c>
      <c r="CV30" s="8">
        <v>0</v>
      </c>
      <c r="CW30" s="8">
        <f>SUM(CS30:CV30)</f>
        <v>0</v>
      </c>
      <c r="CX30" s="8">
        <v>0</v>
      </c>
      <c r="CY30" s="8">
        <v>0</v>
      </c>
      <c r="CZ30" s="8">
        <v>0</v>
      </c>
      <c r="DA30" s="8">
        <v>0</v>
      </c>
      <c r="DB30" s="8">
        <f t="shared" si="100"/>
        <v>0</v>
      </c>
      <c r="DC30" s="8">
        <f>SUM(CY30:DB30)</f>
        <v>0</v>
      </c>
      <c r="DD30" s="8">
        <v>2431</v>
      </c>
      <c r="DE30" s="8">
        <v>8536</v>
      </c>
      <c r="DF30" s="8">
        <v>8023</v>
      </c>
      <c r="DG30" s="8">
        <f t="shared" si="126"/>
        <v>18990</v>
      </c>
      <c r="DH30" s="8">
        <v>7243</v>
      </c>
      <c r="DI30" s="8">
        <v>8375</v>
      </c>
      <c r="DJ30" s="8">
        <v>9643</v>
      </c>
      <c r="DK30" s="8">
        <v>8717</v>
      </c>
      <c r="DL30" s="8">
        <f>SUM(DH30:DK30)</f>
        <v>33978</v>
      </c>
      <c r="DM30" s="8">
        <v>8807</v>
      </c>
      <c r="DN30" s="8">
        <v>9243</v>
      </c>
      <c r="DO30" s="8">
        <v>9818</v>
      </c>
      <c r="DP30" s="8">
        <v>9205</v>
      </c>
      <c r="DQ30" s="8">
        <f>SUM(DM30:DP30)</f>
        <v>37073</v>
      </c>
      <c r="DR30" s="8">
        <v>9410</v>
      </c>
      <c r="DS30" s="8">
        <v>9956</v>
      </c>
      <c r="DT30" s="8">
        <v>10600</v>
      </c>
      <c r="DU30" s="8">
        <v>9541.7790000000005</v>
      </c>
      <c r="DV30" s="8">
        <f t="shared" si="105"/>
        <v>39507.779000000002</v>
      </c>
      <c r="DW30" s="8">
        <v>9580</v>
      </c>
      <c r="DX30" s="8">
        <v>10129</v>
      </c>
      <c r="DY30" s="8">
        <v>11244</v>
      </c>
      <c r="DZ30" s="8">
        <v>10517</v>
      </c>
      <c r="EA30" s="8">
        <f t="shared" si="106"/>
        <v>41470</v>
      </c>
      <c r="EB30" s="8">
        <v>10019</v>
      </c>
      <c r="EC30" s="8">
        <v>11374.013000000001</v>
      </c>
      <c r="ED30" s="8">
        <v>11808.762999999999</v>
      </c>
      <c r="EE30" s="8">
        <v>10796.203000000001</v>
      </c>
      <c r="EF30" s="8">
        <f t="shared" si="107"/>
        <v>43997.978999999999</v>
      </c>
      <c r="EG30" s="8">
        <v>11008.535</v>
      </c>
      <c r="EH30" s="8">
        <v>12004.958999999999</v>
      </c>
      <c r="EI30" s="70">
        <v>12793.413</v>
      </c>
    </row>
    <row r="31" spans="1:139" ht="15" thickBot="1" x14ac:dyDescent="0.35">
      <c r="A31" s="2" t="s">
        <v>446</v>
      </c>
      <c r="B31" s="9">
        <v>0</v>
      </c>
      <c r="C31" s="9">
        <v>0</v>
      </c>
      <c r="D31" s="9">
        <v>0</v>
      </c>
      <c r="E31" s="9">
        <v>0</v>
      </c>
      <c r="F31" s="9">
        <f t="shared" si="122"/>
        <v>0</v>
      </c>
      <c r="G31" s="9">
        <v>0</v>
      </c>
      <c r="H31" s="9">
        <v>0</v>
      </c>
      <c r="I31" s="9">
        <v>0</v>
      </c>
      <c r="J31" s="9">
        <v>0</v>
      </c>
      <c r="K31" s="9">
        <f t="shared" si="123"/>
        <v>0</v>
      </c>
      <c r="L31" s="9">
        <v>0</v>
      </c>
      <c r="M31" s="9">
        <v>0</v>
      </c>
      <c r="N31" s="9">
        <v>0</v>
      </c>
      <c r="O31" s="9">
        <v>0</v>
      </c>
      <c r="P31" s="9">
        <f t="shared" si="124"/>
        <v>0</v>
      </c>
      <c r="Q31" s="9">
        <v>0</v>
      </c>
      <c r="R31" s="9">
        <v>0</v>
      </c>
      <c r="S31" s="9">
        <v>0</v>
      </c>
      <c r="T31" s="9">
        <v>0</v>
      </c>
      <c r="U31" s="9">
        <f t="shared" si="125"/>
        <v>0</v>
      </c>
      <c r="V31" s="9">
        <v>0</v>
      </c>
      <c r="W31" s="9">
        <v>0</v>
      </c>
      <c r="X31" s="9">
        <v>0</v>
      </c>
      <c r="Y31" s="9">
        <v>0</v>
      </c>
      <c r="Z31" s="9">
        <f t="shared" si="99"/>
        <v>0</v>
      </c>
      <c r="AA31" s="9">
        <v>0</v>
      </c>
      <c r="AB31" s="9">
        <v>0</v>
      </c>
      <c r="AC31" s="9">
        <v>0</v>
      </c>
      <c r="AD31" s="9">
        <v>0</v>
      </c>
      <c r="AE31" s="9">
        <f t="shared" si="108"/>
        <v>0</v>
      </c>
      <c r="AF31" s="9">
        <v>0</v>
      </c>
      <c r="AG31" s="9">
        <v>0</v>
      </c>
      <c r="AH31" s="9">
        <v>0</v>
      </c>
      <c r="AI31" s="9">
        <v>0</v>
      </c>
      <c r="AJ31" s="9">
        <f t="shared" si="109"/>
        <v>0</v>
      </c>
      <c r="AK31" s="9">
        <v>0</v>
      </c>
      <c r="AL31" s="9">
        <v>0</v>
      </c>
      <c r="AM31" s="9">
        <v>0</v>
      </c>
      <c r="AN31" s="9">
        <v>0</v>
      </c>
      <c r="AO31" s="9">
        <f t="shared" si="110"/>
        <v>0</v>
      </c>
      <c r="AP31" s="9">
        <v>0</v>
      </c>
      <c r="AQ31" s="9">
        <v>0</v>
      </c>
      <c r="AR31" s="9">
        <v>0</v>
      </c>
      <c r="AS31" s="9">
        <v>0</v>
      </c>
      <c r="AT31" s="9">
        <f t="shared" si="111"/>
        <v>0</v>
      </c>
      <c r="AU31" s="9">
        <v>0</v>
      </c>
      <c r="AV31" s="9">
        <v>0</v>
      </c>
      <c r="AW31" s="9">
        <v>0</v>
      </c>
      <c r="AX31" s="9">
        <v>0</v>
      </c>
      <c r="AY31" s="9">
        <f t="shared" si="112"/>
        <v>0</v>
      </c>
      <c r="AZ31" s="9">
        <v>0</v>
      </c>
      <c r="BA31" s="9">
        <v>0</v>
      </c>
      <c r="BB31" s="9">
        <v>0</v>
      </c>
      <c r="BC31" s="9">
        <v>0</v>
      </c>
      <c r="BD31" s="9">
        <f t="shared" si="113"/>
        <v>0</v>
      </c>
      <c r="BE31" s="9">
        <v>0</v>
      </c>
      <c r="BF31" s="9">
        <v>0</v>
      </c>
      <c r="BG31" s="9">
        <v>0</v>
      </c>
      <c r="BH31" s="9">
        <v>0</v>
      </c>
      <c r="BI31" s="9">
        <f t="shared" si="118"/>
        <v>0</v>
      </c>
      <c r="BJ31" s="9">
        <v>0</v>
      </c>
      <c r="BK31" s="9">
        <v>0</v>
      </c>
      <c r="BL31" s="9">
        <v>0</v>
      </c>
      <c r="BM31" s="9">
        <v>0</v>
      </c>
      <c r="BN31" s="9">
        <f t="shared" si="119"/>
        <v>0</v>
      </c>
      <c r="BO31" s="9">
        <v>0</v>
      </c>
      <c r="BP31" s="9">
        <v>0</v>
      </c>
      <c r="BQ31" s="9">
        <v>0</v>
      </c>
      <c r="BR31" s="9">
        <v>0</v>
      </c>
      <c r="BS31" s="9">
        <f t="shared" si="120"/>
        <v>0</v>
      </c>
      <c r="BT31" s="9">
        <v>0</v>
      </c>
      <c r="BU31" s="9">
        <v>0</v>
      </c>
      <c r="BV31" s="9">
        <v>0</v>
      </c>
      <c r="BW31" s="9">
        <v>0</v>
      </c>
      <c r="BX31" s="9">
        <f t="shared" si="121"/>
        <v>0</v>
      </c>
      <c r="BY31" s="9">
        <v>0</v>
      </c>
      <c r="BZ31" s="9">
        <v>0</v>
      </c>
      <c r="CA31" s="9">
        <v>0</v>
      </c>
      <c r="CB31" s="9">
        <v>0</v>
      </c>
      <c r="CC31" s="9">
        <f t="shared" si="114"/>
        <v>0</v>
      </c>
      <c r="CD31" s="9">
        <v>0</v>
      </c>
      <c r="CE31" s="9">
        <v>0</v>
      </c>
      <c r="CF31" s="9">
        <v>0</v>
      </c>
      <c r="CG31" s="9">
        <v>0</v>
      </c>
      <c r="CH31" s="9">
        <f t="shared" si="115"/>
        <v>0</v>
      </c>
      <c r="CI31" s="9">
        <v>0</v>
      </c>
      <c r="CJ31" s="9">
        <v>0</v>
      </c>
      <c r="CK31" s="9">
        <v>0</v>
      </c>
      <c r="CL31" s="9">
        <v>0</v>
      </c>
      <c r="CM31" s="9">
        <f t="shared" si="116"/>
        <v>0</v>
      </c>
      <c r="CN31" s="9">
        <v>0</v>
      </c>
      <c r="CO31" s="9">
        <v>0</v>
      </c>
      <c r="CP31" s="9">
        <v>0</v>
      </c>
      <c r="CQ31" s="9">
        <v>0</v>
      </c>
      <c r="CR31" s="9">
        <f t="shared" si="117"/>
        <v>0</v>
      </c>
      <c r="CS31" s="9">
        <v>0</v>
      </c>
      <c r="CT31" s="9">
        <v>0</v>
      </c>
      <c r="CU31" s="9">
        <v>0</v>
      </c>
      <c r="CV31" s="9">
        <v>0</v>
      </c>
      <c r="CW31" s="9">
        <f>SUM(CS31:CV31)</f>
        <v>0</v>
      </c>
      <c r="CX31" s="9">
        <v>0</v>
      </c>
      <c r="CY31" s="9">
        <v>0</v>
      </c>
      <c r="CZ31" s="9">
        <v>0</v>
      </c>
      <c r="DA31" s="9">
        <v>0</v>
      </c>
      <c r="DB31" s="9">
        <f t="shared" si="100"/>
        <v>0</v>
      </c>
      <c r="DC31" s="9">
        <f>SUM(CY31:DB31)</f>
        <v>0</v>
      </c>
      <c r="DD31" s="9">
        <f>SUM(CZ31:DC31)</f>
        <v>0</v>
      </c>
      <c r="DE31" s="9">
        <f>SUM(DA31:DD31)</f>
        <v>0</v>
      </c>
      <c r="DF31" s="9">
        <f>SUM(DB31:DE31)</f>
        <v>0</v>
      </c>
      <c r="DG31" s="9">
        <f t="shared" si="126"/>
        <v>0</v>
      </c>
      <c r="DH31" s="9">
        <f t="shared" si="126"/>
        <v>0</v>
      </c>
      <c r="DI31" s="9">
        <f t="shared" si="126"/>
        <v>0</v>
      </c>
      <c r="DJ31" s="9">
        <f t="shared" si="126"/>
        <v>0</v>
      </c>
      <c r="DK31" s="9">
        <v>1877</v>
      </c>
      <c r="DL31" s="9">
        <f>SUM(DH31:DK31)</f>
        <v>1877</v>
      </c>
      <c r="DM31" s="9">
        <v>5675</v>
      </c>
      <c r="DN31" s="9">
        <v>7095</v>
      </c>
      <c r="DO31" s="9">
        <v>7150</v>
      </c>
      <c r="DP31" s="9">
        <v>6036</v>
      </c>
      <c r="DQ31" s="9">
        <f>SUM(DM31:DP31)</f>
        <v>25956</v>
      </c>
      <c r="DR31" s="9">
        <v>6343</v>
      </c>
      <c r="DS31" s="9">
        <v>6699</v>
      </c>
      <c r="DT31" s="9">
        <v>6940</v>
      </c>
      <c r="DU31" s="9">
        <v>6206.5249999999996</v>
      </c>
      <c r="DV31" s="9">
        <f t="shared" si="105"/>
        <v>26188.525000000001</v>
      </c>
      <c r="DW31" s="9">
        <v>6549</v>
      </c>
      <c r="DX31" s="9">
        <v>7073</v>
      </c>
      <c r="DY31" s="9">
        <v>8006</v>
      </c>
      <c r="DZ31" s="9">
        <v>7566</v>
      </c>
      <c r="EA31" s="9">
        <f t="shared" si="106"/>
        <v>29194</v>
      </c>
      <c r="EB31" s="9">
        <v>6888</v>
      </c>
      <c r="EC31" s="9">
        <v>7296.9660000000003</v>
      </c>
      <c r="ED31" s="9">
        <v>7845.9259999999995</v>
      </c>
      <c r="EE31" s="9">
        <v>7108.0940000000001</v>
      </c>
      <c r="EF31" s="9">
        <f t="shared" si="107"/>
        <v>29138.986000000001</v>
      </c>
      <c r="EG31" s="9">
        <v>6986.7880000000005</v>
      </c>
      <c r="EH31" s="9">
        <v>7561.1049999999996</v>
      </c>
      <c r="EI31" s="69">
        <v>8204.0730000000003</v>
      </c>
    </row>
    <row r="32" spans="1:139" ht="15" thickTop="1" x14ac:dyDescent="0.3">
      <c r="A32" s="1" t="s">
        <v>448</v>
      </c>
      <c r="B32" s="8">
        <v>0</v>
      </c>
      <c r="C32" s="8">
        <v>0</v>
      </c>
      <c r="D32" s="8">
        <v>0</v>
      </c>
      <c r="E32" s="8">
        <v>0</v>
      </c>
      <c r="F32" s="8">
        <f t="shared" si="122"/>
        <v>0</v>
      </c>
      <c r="G32" s="8">
        <v>0</v>
      </c>
      <c r="H32" s="8">
        <v>0</v>
      </c>
      <c r="I32" s="8">
        <v>0</v>
      </c>
      <c r="J32" s="8">
        <v>0</v>
      </c>
      <c r="K32" s="8">
        <f t="shared" si="123"/>
        <v>0</v>
      </c>
      <c r="L32" s="8">
        <v>0</v>
      </c>
      <c r="M32" s="8">
        <v>0</v>
      </c>
      <c r="N32" s="8">
        <v>0</v>
      </c>
      <c r="O32" s="8">
        <v>0</v>
      </c>
      <c r="P32" s="8">
        <f t="shared" si="124"/>
        <v>0</v>
      </c>
      <c r="Q32" s="8">
        <v>0</v>
      </c>
      <c r="R32" s="8">
        <v>0</v>
      </c>
      <c r="S32" s="8">
        <v>0</v>
      </c>
      <c r="T32" s="8">
        <v>0</v>
      </c>
      <c r="U32" s="8">
        <f t="shared" si="125"/>
        <v>0</v>
      </c>
      <c r="V32" s="8">
        <v>0</v>
      </c>
      <c r="W32" s="8">
        <v>0</v>
      </c>
      <c r="X32" s="8">
        <v>0</v>
      </c>
      <c r="Y32" s="8">
        <v>0</v>
      </c>
      <c r="Z32" s="8">
        <f t="shared" si="99"/>
        <v>0</v>
      </c>
      <c r="AA32" s="8">
        <v>0</v>
      </c>
      <c r="AB32" s="8">
        <v>0</v>
      </c>
      <c r="AC32" s="8">
        <v>0</v>
      </c>
      <c r="AD32" s="8">
        <v>0</v>
      </c>
      <c r="AE32" s="8">
        <f t="shared" si="108"/>
        <v>0</v>
      </c>
      <c r="AF32" s="8">
        <v>0</v>
      </c>
      <c r="AG32" s="8">
        <v>0</v>
      </c>
      <c r="AH32" s="8">
        <v>0</v>
      </c>
      <c r="AI32" s="8">
        <v>0</v>
      </c>
      <c r="AJ32" s="8">
        <f t="shared" si="109"/>
        <v>0</v>
      </c>
      <c r="AK32" s="8">
        <v>0</v>
      </c>
      <c r="AL32" s="8">
        <v>0</v>
      </c>
      <c r="AM32" s="8">
        <v>0</v>
      </c>
      <c r="AN32" s="8">
        <v>0</v>
      </c>
      <c r="AO32" s="8">
        <f t="shared" si="110"/>
        <v>0</v>
      </c>
      <c r="AP32" s="8">
        <v>0</v>
      </c>
      <c r="AQ32" s="8">
        <v>0</v>
      </c>
      <c r="AR32" s="8">
        <v>0</v>
      </c>
      <c r="AS32" s="8">
        <v>0</v>
      </c>
      <c r="AT32" s="8">
        <f t="shared" si="111"/>
        <v>0</v>
      </c>
      <c r="AU32" s="8">
        <v>0</v>
      </c>
      <c r="AV32" s="8">
        <v>0</v>
      </c>
      <c r="AW32" s="8">
        <v>0</v>
      </c>
      <c r="AX32" s="8">
        <v>0</v>
      </c>
      <c r="AY32" s="8">
        <f t="shared" si="112"/>
        <v>0</v>
      </c>
      <c r="AZ32" s="8">
        <v>0</v>
      </c>
      <c r="BA32" s="8">
        <v>0</v>
      </c>
      <c r="BB32" s="8">
        <v>0</v>
      </c>
      <c r="BC32" s="8">
        <v>0</v>
      </c>
      <c r="BD32" s="8">
        <f t="shared" si="113"/>
        <v>0</v>
      </c>
      <c r="BE32" s="8">
        <v>0</v>
      </c>
      <c r="BF32" s="8">
        <v>0</v>
      </c>
      <c r="BG32" s="8">
        <v>0</v>
      </c>
      <c r="BH32" s="8">
        <v>0</v>
      </c>
      <c r="BI32" s="8">
        <f t="shared" si="118"/>
        <v>0</v>
      </c>
      <c r="BJ32" s="8">
        <v>0</v>
      </c>
      <c r="BK32" s="8">
        <v>0</v>
      </c>
      <c r="BL32" s="8">
        <v>0</v>
      </c>
      <c r="BM32" s="8">
        <v>0</v>
      </c>
      <c r="BN32" s="8">
        <f t="shared" si="119"/>
        <v>0</v>
      </c>
      <c r="BO32" s="8">
        <v>0</v>
      </c>
      <c r="BP32" s="8">
        <v>0</v>
      </c>
      <c r="BQ32" s="8">
        <v>0</v>
      </c>
      <c r="BR32" s="8">
        <v>0</v>
      </c>
      <c r="BS32" s="8">
        <f t="shared" si="120"/>
        <v>0</v>
      </c>
      <c r="BT32" s="8">
        <v>0</v>
      </c>
      <c r="BU32" s="8">
        <v>0</v>
      </c>
      <c r="BV32" s="8">
        <v>0</v>
      </c>
      <c r="BW32" s="8">
        <v>0</v>
      </c>
      <c r="BX32" s="8">
        <f t="shared" si="121"/>
        <v>0</v>
      </c>
      <c r="BY32" s="8">
        <v>0</v>
      </c>
      <c r="BZ32" s="8">
        <v>0</v>
      </c>
      <c r="CA32" s="8">
        <v>0</v>
      </c>
      <c r="CB32" s="8">
        <v>0</v>
      </c>
      <c r="CC32" s="8">
        <f t="shared" si="114"/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0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  <c r="DT32" s="8">
        <v>197</v>
      </c>
      <c r="DU32" s="8">
        <v>1903.741</v>
      </c>
      <c r="DV32" s="8">
        <f t="shared" si="105"/>
        <v>2100.741</v>
      </c>
      <c r="DW32" s="8">
        <v>3060</v>
      </c>
      <c r="DX32" s="8">
        <v>5345</v>
      </c>
      <c r="DY32" s="8">
        <v>5819</v>
      </c>
      <c r="DZ32" s="8">
        <v>9817</v>
      </c>
      <c r="EA32" s="8">
        <f t="shared" si="106"/>
        <v>24041</v>
      </c>
      <c r="EB32" s="8">
        <v>11502</v>
      </c>
      <c r="EC32" s="8">
        <v>12126.368</v>
      </c>
      <c r="ED32" s="8">
        <v>13113.190000000002</v>
      </c>
      <c r="EE32" s="8">
        <v>13030.513999999999</v>
      </c>
      <c r="EF32" s="8">
        <f t="shared" si="107"/>
        <v>49772.072</v>
      </c>
      <c r="EG32" s="8">
        <v>12244.784</v>
      </c>
      <c r="EH32" s="8">
        <v>12596.489999999998</v>
      </c>
      <c r="EI32" s="70">
        <v>13512.951000000001</v>
      </c>
    </row>
    <row r="33" spans="1:204" ht="15" thickBot="1" x14ac:dyDescent="0.35">
      <c r="A33" s="2" t="s">
        <v>447</v>
      </c>
      <c r="B33" s="9">
        <v>0</v>
      </c>
      <c r="C33" s="9">
        <v>0</v>
      </c>
      <c r="D33" s="9">
        <v>0</v>
      </c>
      <c r="E33" s="9">
        <v>0</v>
      </c>
      <c r="F33" s="9">
        <f t="shared" si="122"/>
        <v>0</v>
      </c>
      <c r="G33" s="9">
        <v>0</v>
      </c>
      <c r="H33" s="9">
        <v>0</v>
      </c>
      <c r="I33" s="9">
        <v>0</v>
      </c>
      <c r="J33" s="9">
        <v>0</v>
      </c>
      <c r="K33" s="9">
        <f t="shared" si="123"/>
        <v>0</v>
      </c>
      <c r="L33" s="9">
        <v>0</v>
      </c>
      <c r="M33" s="9">
        <v>0</v>
      </c>
      <c r="N33" s="9">
        <v>0</v>
      </c>
      <c r="O33" s="9">
        <v>0</v>
      </c>
      <c r="P33" s="9">
        <f t="shared" si="124"/>
        <v>0</v>
      </c>
      <c r="Q33" s="9">
        <v>0</v>
      </c>
      <c r="R33" s="9">
        <v>0</v>
      </c>
      <c r="S33" s="9">
        <v>0</v>
      </c>
      <c r="T33" s="9">
        <v>0</v>
      </c>
      <c r="U33" s="9">
        <f t="shared" si="125"/>
        <v>0</v>
      </c>
      <c r="V33" s="9">
        <v>0</v>
      </c>
      <c r="W33" s="9">
        <v>0</v>
      </c>
      <c r="X33" s="9">
        <v>0</v>
      </c>
      <c r="Y33" s="9">
        <v>0</v>
      </c>
      <c r="Z33" s="9">
        <f t="shared" si="99"/>
        <v>0</v>
      </c>
      <c r="AA33" s="9">
        <v>0</v>
      </c>
      <c r="AB33" s="9">
        <v>0</v>
      </c>
      <c r="AC33" s="9">
        <v>0</v>
      </c>
      <c r="AD33" s="9">
        <v>0</v>
      </c>
      <c r="AE33" s="9">
        <f t="shared" si="108"/>
        <v>0</v>
      </c>
      <c r="AF33" s="9">
        <v>0</v>
      </c>
      <c r="AG33" s="9">
        <v>0</v>
      </c>
      <c r="AH33" s="9">
        <v>0</v>
      </c>
      <c r="AI33" s="9">
        <v>0</v>
      </c>
      <c r="AJ33" s="9">
        <f t="shared" si="109"/>
        <v>0</v>
      </c>
      <c r="AK33" s="9">
        <v>0</v>
      </c>
      <c r="AL33" s="9">
        <v>0</v>
      </c>
      <c r="AM33" s="9">
        <v>0</v>
      </c>
      <c r="AN33" s="9">
        <v>0</v>
      </c>
      <c r="AO33" s="9">
        <f t="shared" si="110"/>
        <v>0</v>
      </c>
      <c r="AP33" s="9">
        <v>0</v>
      </c>
      <c r="AQ33" s="9">
        <v>0</v>
      </c>
      <c r="AR33" s="9">
        <v>0</v>
      </c>
      <c r="AS33" s="9">
        <v>0</v>
      </c>
      <c r="AT33" s="9">
        <f t="shared" si="111"/>
        <v>0</v>
      </c>
      <c r="AU33" s="9">
        <v>0</v>
      </c>
      <c r="AV33" s="9">
        <v>0</v>
      </c>
      <c r="AW33" s="9">
        <v>0</v>
      </c>
      <c r="AX33" s="9">
        <v>0</v>
      </c>
      <c r="AY33" s="9">
        <f t="shared" si="112"/>
        <v>0</v>
      </c>
      <c r="AZ33" s="9">
        <v>0</v>
      </c>
      <c r="BA33" s="9">
        <v>0</v>
      </c>
      <c r="BB33" s="9">
        <v>0</v>
      </c>
      <c r="BC33" s="9">
        <v>0</v>
      </c>
      <c r="BD33" s="9">
        <f t="shared" si="113"/>
        <v>0</v>
      </c>
      <c r="BE33" s="9">
        <v>0</v>
      </c>
      <c r="BF33" s="9">
        <v>0</v>
      </c>
      <c r="BG33" s="9">
        <v>0</v>
      </c>
      <c r="BH33" s="9">
        <v>0</v>
      </c>
      <c r="BI33" s="9">
        <f t="shared" si="118"/>
        <v>0</v>
      </c>
      <c r="BJ33" s="9">
        <v>0</v>
      </c>
      <c r="BK33" s="9">
        <v>0</v>
      </c>
      <c r="BL33" s="9">
        <v>0</v>
      </c>
      <c r="BM33" s="9">
        <v>0</v>
      </c>
      <c r="BN33" s="9">
        <f t="shared" si="119"/>
        <v>0</v>
      </c>
      <c r="BO33" s="9">
        <v>0</v>
      </c>
      <c r="BP33" s="9">
        <v>0</v>
      </c>
      <c r="BQ33" s="9">
        <v>0</v>
      </c>
      <c r="BR33" s="9">
        <v>0</v>
      </c>
      <c r="BS33" s="9">
        <f t="shared" si="120"/>
        <v>0</v>
      </c>
      <c r="BT33" s="9">
        <v>0</v>
      </c>
      <c r="BU33" s="9">
        <v>0</v>
      </c>
      <c r="BV33" s="9">
        <v>0</v>
      </c>
      <c r="BW33" s="9">
        <v>0</v>
      </c>
      <c r="BX33" s="9">
        <f t="shared" si="121"/>
        <v>0</v>
      </c>
      <c r="BY33" s="9">
        <v>0</v>
      </c>
      <c r="BZ33" s="9">
        <v>0</v>
      </c>
      <c r="CA33" s="9">
        <v>0</v>
      </c>
      <c r="CB33" s="9">
        <v>0</v>
      </c>
      <c r="CC33" s="9">
        <f t="shared" si="114"/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0</v>
      </c>
      <c r="DG33" s="9">
        <v>0</v>
      </c>
      <c r="DH33" s="9">
        <v>0</v>
      </c>
      <c r="DI33" s="9">
        <v>0</v>
      </c>
      <c r="DJ33" s="9">
        <v>0</v>
      </c>
      <c r="DK33" s="9">
        <v>0</v>
      </c>
      <c r="DL33" s="9">
        <v>0</v>
      </c>
      <c r="DM33" s="9">
        <v>0</v>
      </c>
      <c r="DN33" s="9">
        <v>0</v>
      </c>
      <c r="DO33" s="9">
        <v>0</v>
      </c>
      <c r="DP33" s="9">
        <v>0</v>
      </c>
      <c r="DQ33" s="9">
        <v>0</v>
      </c>
      <c r="DR33" s="9">
        <v>0</v>
      </c>
      <c r="DS33" s="9">
        <v>0</v>
      </c>
      <c r="DT33" s="9">
        <v>0</v>
      </c>
      <c r="DU33" s="9">
        <v>8988.58</v>
      </c>
      <c r="DV33" s="9">
        <f t="shared" si="105"/>
        <v>8988.58</v>
      </c>
      <c r="DW33" s="9">
        <v>8902</v>
      </c>
      <c r="DX33" s="9">
        <v>10275</v>
      </c>
      <c r="DY33" s="9">
        <v>10877</v>
      </c>
      <c r="DZ33" s="9">
        <v>10677</v>
      </c>
      <c r="EA33" s="9">
        <f t="shared" si="106"/>
        <v>40731</v>
      </c>
      <c r="EB33" s="9">
        <v>9569</v>
      </c>
      <c r="EC33" s="9">
        <v>10714.33</v>
      </c>
      <c r="ED33" s="9">
        <v>11608.094999999999</v>
      </c>
      <c r="EE33" s="9">
        <v>11148.476999999999</v>
      </c>
      <c r="EF33" s="9">
        <f t="shared" si="107"/>
        <v>43039.902000000002</v>
      </c>
      <c r="EG33" s="9">
        <v>9802.4549999999999</v>
      </c>
      <c r="EH33" s="9">
        <v>10721.620999999999</v>
      </c>
      <c r="EI33" s="69">
        <v>11462.929999999995</v>
      </c>
    </row>
    <row r="34" spans="1:204" ht="15" thickTop="1" x14ac:dyDescent="0.3">
      <c r="A34" s="1" t="s">
        <v>469</v>
      </c>
      <c r="B34" s="8">
        <v>0</v>
      </c>
      <c r="C34" s="8">
        <v>0</v>
      </c>
      <c r="D34" s="8">
        <v>0</v>
      </c>
      <c r="E34" s="8">
        <v>0</v>
      </c>
      <c r="F34" s="8">
        <f t="shared" si="122"/>
        <v>0</v>
      </c>
      <c r="G34" s="8">
        <v>0</v>
      </c>
      <c r="H34" s="8">
        <v>0</v>
      </c>
      <c r="I34" s="8">
        <v>0</v>
      </c>
      <c r="J34" s="8">
        <v>0</v>
      </c>
      <c r="K34" s="8">
        <f t="shared" si="123"/>
        <v>0</v>
      </c>
      <c r="L34" s="8">
        <v>0</v>
      </c>
      <c r="M34" s="8">
        <v>0</v>
      </c>
      <c r="N34" s="8">
        <v>0</v>
      </c>
      <c r="O34" s="8">
        <v>0</v>
      </c>
      <c r="P34" s="8">
        <f t="shared" si="124"/>
        <v>0</v>
      </c>
      <c r="Q34" s="8">
        <v>0</v>
      </c>
      <c r="R34" s="8">
        <v>0</v>
      </c>
      <c r="S34" s="8">
        <v>0</v>
      </c>
      <c r="T34" s="8">
        <v>0</v>
      </c>
      <c r="U34" s="8">
        <f t="shared" si="125"/>
        <v>0</v>
      </c>
      <c r="V34" s="8">
        <v>0</v>
      </c>
      <c r="W34" s="8">
        <v>0</v>
      </c>
      <c r="X34" s="8">
        <v>0</v>
      </c>
      <c r="Y34" s="8">
        <v>0</v>
      </c>
      <c r="Z34" s="8">
        <f t="shared" si="99"/>
        <v>0</v>
      </c>
      <c r="AA34" s="8">
        <v>0</v>
      </c>
      <c r="AB34" s="8">
        <v>0</v>
      </c>
      <c r="AC34" s="8">
        <v>0</v>
      </c>
      <c r="AD34" s="8">
        <v>0</v>
      </c>
      <c r="AE34" s="8">
        <f t="shared" si="108"/>
        <v>0</v>
      </c>
      <c r="AF34" s="8">
        <v>0</v>
      </c>
      <c r="AG34" s="8">
        <v>0</v>
      </c>
      <c r="AH34" s="8">
        <v>0</v>
      </c>
      <c r="AI34" s="8">
        <v>0</v>
      </c>
      <c r="AJ34" s="8">
        <f t="shared" si="109"/>
        <v>0</v>
      </c>
      <c r="AK34" s="8">
        <v>0</v>
      </c>
      <c r="AL34" s="8">
        <v>0</v>
      </c>
      <c r="AM34" s="8">
        <v>0</v>
      </c>
      <c r="AN34" s="8">
        <v>0</v>
      </c>
      <c r="AO34" s="8">
        <f t="shared" si="110"/>
        <v>0</v>
      </c>
      <c r="AP34" s="8">
        <v>0</v>
      </c>
      <c r="AQ34" s="8">
        <v>0</v>
      </c>
      <c r="AR34" s="8">
        <v>0</v>
      </c>
      <c r="AS34" s="8">
        <v>0</v>
      </c>
      <c r="AT34" s="8">
        <f t="shared" si="111"/>
        <v>0</v>
      </c>
      <c r="AU34" s="8">
        <v>0</v>
      </c>
      <c r="AV34" s="8">
        <v>0</v>
      </c>
      <c r="AW34" s="8">
        <v>0</v>
      </c>
      <c r="AX34" s="8">
        <v>0</v>
      </c>
      <c r="AY34" s="8">
        <f t="shared" si="112"/>
        <v>0</v>
      </c>
      <c r="AZ34" s="8">
        <v>0</v>
      </c>
      <c r="BA34" s="8">
        <v>0</v>
      </c>
      <c r="BB34" s="8">
        <v>0</v>
      </c>
      <c r="BC34" s="8">
        <v>0</v>
      </c>
      <c r="BD34" s="8">
        <f t="shared" si="113"/>
        <v>0</v>
      </c>
      <c r="BE34" s="8">
        <v>0</v>
      </c>
      <c r="BF34" s="8">
        <v>0</v>
      </c>
      <c r="BG34" s="8">
        <v>0</v>
      </c>
      <c r="BH34" s="8">
        <v>0</v>
      </c>
      <c r="BI34" s="8">
        <f t="shared" si="118"/>
        <v>0</v>
      </c>
      <c r="BJ34" s="8">
        <v>0</v>
      </c>
      <c r="BK34" s="8">
        <v>0</v>
      </c>
      <c r="BL34" s="8">
        <v>0</v>
      </c>
      <c r="BM34" s="8">
        <v>0</v>
      </c>
      <c r="BN34" s="8">
        <f t="shared" si="119"/>
        <v>0</v>
      </c>
      <c r="BO34" s="8">
        <v>0</v>
      </c>
      <c r="BP34" s="8">
        <v>0</v>
      </c>
      <c r="BQ34" s="8">
        <v>0</v>
      </c>
      <c r="BR34" s="8">
        <v>0</v>
      </c>
      <c r="BS34" s="8">
        <f t="shared" si="120"/>
        <v>0</v>
      </c>
      <c r="BT34" s="8">
        <v>0</v>
      </c>
      <c r="BU34" s="8">
        <v>0</v>
      </c>
      <c r="BV34" s="8">
        <v>0</v>
      </c>
      <c r="BW34" s="8">
        <v>0</v>
      </c>
      <c r="BX34" s="8">
        <f t="shared" si="121"/>
        <v>0</v>
      </c>
      <c r="BY34" s="8">
        <v>0</v>
      </c>
      <c r="BZ34" s="8">
        <v>0</v>
      </c>
      <c r="CA34" s="8">
        <v>0</v>
      </c>
      <c r="CB34" s="8">
        <v>0</v>
      </c>
      <c r="CC34" s="8">
        <f t="shared" si="114"/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0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0</v>
      </c>
      <c r="DV34" s="8">
        <v>0</v>
      </c>
      <c r="DW34" s="8">
        <v>0</v>
      </c>
      <c r="DX34" s="8">
        <v>6083</v>
      </c>
      <c r="DY34" s="8">
        <v>10070</v>
      </c>
      <c r="DZ34" s="8">
        <v>10079</v>
      </c>
      <c r="EA34" s="8">
        <f t="shared" si="106"/>
        <v>26232</v>
      </c>
      <c r="EB34" s="8">
        <v>9121</v>
      </c>
      <c r="EC34" s="8">
        <v>10111.4</v>
      </c>
      <c r="ED34" s="8">
        <v>11077.262000000001</v>
      </c>
      <c r="EE34" s="8">
        <v>10167.322</v>
      </c>
      <c r="EF34" s="8">
        <f t="shared" si="107"/>
        <v>40476.984000000004</v>
      </c>
      <c r="EG34" s="8">
        <v>10304.842000000001</v>
      </c>
      <c r="EH34" s="8">
        <v>12365.222</v>
      </c>
      <c r="EI34" s="70">
        <v>13800.608</v>
      </c>
      <c r="GV34" t="s">
        <v>417</v>
      </c>
    </row>
    <row r="35" spans="1:204" x14ac:dyDescent="0.3">
      <c r="A35" s="2" t="s">
        <v>459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>
        <v>0</v>
      </c>
      <c r="EG35" s="9">
        <v>205.08500000000001</v>
      </c>
      <c r="EH35" s="9">
        <v>12298.67395</v>
      </c>
      <c r="EI35" s="69">
        <v>12909.1175</v>
      </c>
    </row>
    <row r="36" spans="1:204" x14ac:dyDescent="0.3">
      <c r="A36" s="5" t="s">
        <v>413</v>
      </c>
      <c r="B36" s="10">
        <f t="shared" ref="B36:Y36" si="127">SUM(B22:B34)</f>
        <v>2974.2339999999999</v>
      </c>
      <c r="C36" s="10">
        <f t="shared" si="127"/>
        <v>3345.346</v>
      </c>
      <c r="D36" s="10">
        <f t="shared" si="127"/>
        <v>4680.4340000000002</v>
      </c>
      <c r="E36" s="10">
        <f t="shared" si="127"/>
        <v>4369.62</v>
      </c>
      <c r="F36" s="10">
        <f t="shared" si="127"/>
        <v>15369.634</v>
      </c>
      <c r="G36" s="10">
        <f t="shared" si="127"/>
        <v>4163.7299999999996</v>
      </c>
      <c r="H36" s="10">
        <f t="shared" si="127"/>
        <v>4732.8590000000004</v>
      </c>
      <c r="I36" s="10">
        <f t="shared" si="127"/>
        <v>4795.5529999999999</v>
      </c>
      <c r="J36" s="10">
        <f t="shared" si="127"/>
        <v>4626.4409999999998</v>
      </c>
      <c r="K36" s="10">
        <f t="shared" si="127"/>
        <v>18318.582999999999</v>
      </c>
      <c r="L36" s="10">
        <f t="shared" si="127"/>
        <v>4047.7919999999999</v>
      </c>
      <c r="M36" s="10">
        <f t="shared" si="127"/>
        <v>4630.0050000000001</v>
      </c>
      <c r="N36" s="10">
        <f t="shared" si="127"/>
        <v>4777.9699999999993</v>
      </c>
      <c r="O36" s="10">
        <f t="shared" si="127"/>
        <v>4507.8239999999996</v>
      </c>
      <c r="P36" s="10">
        <f t="shared" si="127"/>
        <v>17963.591</v>
      </c>
      <c r="Q36" s="10">
        <f t="shared" si="127"/>
        <v>5077.366</v>
      </c>
      <c r="R36" s="10">
        <f t="shared" si="127"/>
        <v>7823.2789999999995</v>
      </c>
      <c r="S36" s="10">
        <f t="shared" si="127"/>
        <v>8093.0740000000005</v>
      </c>
      <c r="T36" s="10">
        <f t="shared" si="127"/>
        <v>6874.8530000000001</v>
      </c>
      <c r="U36" s="10">
        <f t="shared" si="127"/>
        <v>27868.572</v>
      </c>
      <c r="V36" s="10">
        <f t="shared" si="127"/>
        <v>6488.8109999999997</v>
      </c>
      <c r="W36" s="10">
        <f t="shared" si="127"/>
        <v>8365.9330000000009</v>
      </c>
      <c r="X36" s="10">
        <f t="shared" si="127"/>
        <v>9049.9989999999998</v>
      </c>
      <c r="Y36" s="10">
        <f t="shared" si="127"/>
        <v>7601.9660000000003</v>
      </c>
      <c r="Z36" s="10">
        <f t="shared" si="99"/>
        <v>31506.709000000003</v>
      </c>
      <c r="AA36" s="10">
        <f t="shared" ref="AA36:BF36" si="128">SUM(AA22:AA34)</f>
        <v>6932.875</v>
      </c>
      <c r="AB36" s="10">
        <f t="shared" si="128"/>
        <v>9882.5920000000006</v>
      </c>
      <c r="AC36" s="10">
        <f t="shared" si="128"/>
        <v>9361.3420000000006</v>
      </c>
      <c r="AD36" s="10">
        <f t="shared" si="128"/>
        <v>8504.4259999999995</v>
      </c>
      <c r="AE36" s="10">
        <f t="shared" si="128"/>
        <v>34681.235000000001</v>
      </c>
      <c r="AF36" s="10">
        <f t="shared" si="128"/>
        <v>8472.009</v>
      </c>
      <c r="AG36" s="10">
        <f t="shared" si="128"/>
        <v>10302.885999999999</v>
      </c>
      <c r="AH36" s="10">
        <f t="shared" si="128"/>
        <v>10210.754000000001</v>
      </c>
      <c r="AI36" s="10">
        <f t="shared" si="128"/>
        <v>8820.5619999999999</v>
      </c>
      <c r="AJ36" s="10">
        <f t="shared" si="128"/>
        <v>37806.210999999996</v>
      </c>
      <c r="AK36" s="10">
        <f t="shared" si="128"/>
        <v>8334.6278591549308</v>
      </c>
      <c r="AL36" s="10">
        <f t="shared" si="128"/>
        <v>9631.5390000000007</v>
      </c>
      <c r="AM36" s="10">
        <f t="shared" si="128"/>
        <v>9685.2019999999993</v>
      </c>
      <c r="AN36" s="10">
        <f t="shared" si="128"/>
        <v>8642.5360000000001</v>
      </c>
      <c r="AO36" s="10">
        <f t="shared" si="128"/>
        <v>36293.904859154929</v>
      </c>
      <c r="AP36" s="10">
        <f t="shared" si="128"/>
        <v>8123.3739999999998</v>
      </c>
      <c r="AQ36" s="10">
        <f t="shared" si="128"/>
        <v>10150.190999999999</v>
      </c>
      <c r="AR36" s="10">
        <f t="shared" si="128"/>
        <v>10114.647999999999</v>
      </c>
      <c r="AS36" s="10">
        <f t="shared" si="128"/>
        <v>9062.0889999800002</v>
      </c>
      <c r="AT36" s="10">
        <f t="shared" si="128"/>
        <v>37450.301999980002</v>
      </c>
      <c r="AU36" s="10">
        <f t="shared" si="128"/>
        <v>9256.8119999999999</v>
      </c>
      <c r="AV36" s="10">
        <f t="shared" si="128"/>
        <v>11086.922</v>
      </c>
      <c r="AW36" s="10">
        <f t="shared" si="128"/>
        <v>11455.935000000001</v>
      </c>
      <c r="AX36" s="10">
        <f t="shared" si="128"/>
        <v>10248.541999999999</v>
      </c>
      <c r="AY36" s="10">
        <f t="shared" si="128"/>
        <v>42048.210999999996</v>
      </c>
      <c r="AZ36" s="10">
        <f t="shared" si="128"/>
        <v>12003.302</v>
      </c>
      <c r="BA36" s="10">
        <f t="shared" si="128"/>
        <v>15116.646999999999</v>
      </c>
      <c r="BB36" s="10">
        <f t="shared" si="128"/>
        <v>14235.439</v>
      </c>
      <c r="BC36" s="10">
        <f t="shared" si="128"/>
        <v>12585.479433241166</v>
      </c>
      <c r="BD36" s="10">
        <f t="shared" si="128"/>
        <v>53940.867433241168</v>
      </c>
      <c r="BE36" s="10">
        <f t="shared" si="128"/>
        <v>12079.565220588236</v>
      </c>
      <c r="BF36" s="10">
        <f t="shared" si="128"/>
        <v>15279.349</v>
      </c>
      <c r="BG36" s="10">
        <f t="shared" ref="BG36:CL36" si="129">SUM(BG22:BG34)</f>
        <v>17045.525999999998</v>
      </c>
      <c r="BH36" s="10">
        <f t="shared" si="129"/>
        <v>17893.327000000001</v>
      </c>
      <c r="BI36" s="10">
        <f t="shared" si="129"/>
        <v>62297.767220588241</v>
      </c>
      <c r="BJ36" s="10">
        <f t="shared" si="129"/>
        <v>19752</v>
      </c>
      <c r="BK36" s="10">
        <f t="shared" si="129"/>
        <v>22205</v>
      </c>
      <c r="BL36" s="10">
        <f t="shared" si="129"/>
        <v>21609.215499999998</v>
      </c>
      <c r="BM36" s="10">
        <f t="shared" si="129"/>
        <v>21285</v>
      </c>
      <c r="BN36" s="10">
        <f t="shared" si="129"/>
        <v>84851.215499999991</v>
      </c>
      <c r="BO36" s="10">
        <f t="shared" si="129"/>
        <v>21775</v>
      </c>
      <c r="BP36" s="10">
        <f t="shared" si="129"/>
        <v>24907.646000000001</v>
      </c>
      <c r="BQ36" s="10">
        <f t="shared" si="129"/>
        <v>25149.353999999999</v>
      </c>
      <c r="BR36" s="10">
        <f t="shared" si="129"/>
        <v>23153</v>
      </c>
      <c r="BS36" s="10">
        <f t="shared" si="129"/>
        <v>94985</v>
      </c>
      <c r="BT36" s="10">
        <f t="shared" si="129"/>
        <v>23025</v>
      </c>
      <c r="BU36" s="10">
        <f t="shared" si="129"/>
        <v>24901</v>
      </c>
      <c r="BV36" s="10">
        <f t="shared" si="129"/>
        <v>25862</v>
      </c>
      <c r="BW36" s="10">
        <f t="shared" si="129"/>
        <v>24117</v>
      </c>
      <c r="BX36" s="10">
        <f t="shared" si="129"/>
        <v>97905</v>
      </c>
      <c r="BY36" s="10">
        <f t="shared" si="129"/>
        <v>23710</v>
      </c>
      <c r="BZ36" s="10">
        <f t="shared" si="129"/>
        <v>28375</v>
      </c>
      <c r="CA36" s="10">
        <f t="shared" si="129"/>
        <v>29952</v>
      </c>
      <c r="CB36" s="10">
        <f t="shared" si="129"/>
        <v>26672</v>
      </c>
      <c r="CC36" s="10">
        <f t="shared" si="129"/>
        <v>108709</v>
      </c>
      <c r="CD36" s="10">
        <f t="shared" si="129"/>
        <v>27617</v>
      </c>
      <c r="CE36" s="10">
        <f t="shared" si="129"/>
        <v>33547</v>
      </c>
      <c r="CF36" s="10">
        <f t="shared" si="129"/>
        <v>38910</v>
      </c>
      <c r="CG36" s="10">
        <f t="shared" si="129"/>
        <v>36515</v>
      </c>
      <c r="CH36" s="10">
        <f t="shared" si="129"/>
        <v>136589</v>
      </c>
      <c r="CI36" s="10">
        <f t="shared" si="129"/>
        <v>35548</v>
      </c>
      <c r="CJ36" s="10">
        <f t="shared" si="129"/>
        <v>36629</v>
      </c>
      <c r="CK36" s="10">
        <f t="shared" si="129"/>
        <v>36869</v>
      </c>
      <c r="CL36" s="10">
        <f t="shared" si="129"/>
        <v>34179</v>
      </c>
      <c r="CM36" s="10">
        <f t="shared" ref="CM36:CV36" si="130">SUM(CM22:CM34)</f>
        <v>143225</v>
      </c>
      <c r="CN36" s="10">
        <f t="shared" si="130"/>
        <v>32966.216</v>
      </c>
      <c r="CO36" s="10">
        <f t="shared" si="130"/>
        <v>34650.784000000007</v>
      </c>
      <c r="CP36" s="10">
        <f t="shared" si="130"/>
        <v>33600</v>
      </c>
      <c r="CQ36" s="10">
        <f t="shared" si="130"/>
        <v>32094.044999999998</v>
      </c>
      <c r="CR36" s="10">
        <f t="shared" si="130"/>
        <v>133311.04500000001</v>
      </c>
      <c r="CS36" s="10">
        <f t="shared" si="130"/>
        <v>33521</v>
      </c>
      <c r="CT36" s="10">
        <f t="shared" si="130"/>
        <v>35392</v>
      </c>
      <c r="CU36" s="10">
        <f t="shared" si="130"/>
        <v>36549</v>
      </c>
      <c r="CV36" s="10">
        <f t="shared" si="130"/>
        <v>34047</v>
      </c>
      <c r="CW36" s="10">
        <f t="shared" si="102"/>
        <v>139509</v>
      </c>
      <c r="CX36" s="10">
        <f t="shared" ref="CX36:DX36" si="131">SUM(CX22:CX34)</f>
        <v>33994</v>
      </c>
      <c r="CY36" s="10">
        <f t="shared" si="131"/>
        <v>33151</v>
      </c>
      <c r="CZ36" s="10">
        <f t="shared" si="131"/>
        <v>35176</v>
      </c>
      <c r="DA36" s="10">
        <f t="shared" si="131"/>
        <v>32860</v>
      </c>
      <c r="DB36" s="10">
        <f t="shared" si="131"/>
        <v>135181</v>
      </c>
      <c r="DC36" s="10">
        <f t="shared" si="131"/>
        <v>31772</v>
      </c>
      <c r="DD36" s="10">
        <f t="shared" si="131"/>
        <v>42460</v>
      </c>
      <c r="DE36" s="10">
        <f t="shared" si="131"/>
        <v>50115</v>
      </c>
      <c r="DF36" s="10">
        <f t="shared" si="131"/>
        <v>48626</v>
      </c>
      <c r="DG36" s="10">
        <f t="shared" si="131"/>
        <v>172973</v>
      </c>
      <c r="DH36" s="10">
        <f t="shared" si="131"/>
        <v>46472</v>
      </c>
      <c r="DI36" s="10">
        <f t="shared" si="131"/>
        <v>46353</v>
      </c>
      <c r="DJ36" s="10">
        <f t="shared" si="131"/>
        <v>52626</v>
      </c>
      <c r="DK36" s="10">
        <f t="shared" si="131"/>
        <v>52749</v>
      </c>
      <c r="DL36" s="10">
        <f t="shared" si="131"/>
        <v>198200</v>
      </c>
      <c r="DM36" s="10">
        <f t="shared" si="131"/>
        <v>56743</v>
      </c>
      <c r="DN36" s="10">
        <f t="shared" si="131"/>
        <v>61739</v>
      </c>
      <c r="DO36" s="10">
        <f t="shared" si="131"/>
        <v>62304</v>
      </c>
      <c r="DP36" s="10">
        <f t="shared" si="131"/>
        <v>57038</v>
      </c>
      <c r="DQ36" s="10">
        <f t="shared" si="131"/>
        <v>237824</v>
      </c>
      <c r="DR36" s="10">
        <f t="shared" si="131"/>
        <v>52546</v>
      </c>
      <c r="DS36" s="10">
        <f t="shared" si="131"/>
        <v>54367</v>
      </c>
      <c r="DT36" s="10">
        <f t="shared" si="131"/>
        <v>56960</v>
      </c>
      <c r="DU36" s="10">
        <f t="shared" si="131"/>
        <v>63657.240000000005</v>
      </c>
      <c r="DV36" s="10">
        <f t="shared" si="131"/>
        <v>227530.23999999999</v>
      </c>
      <c r="DW36" s="10">
        <f t="shared" si="131"/>
        <v>64829</v>
      </c>
      <c r="DX36" s="10">
        <f t="shared" si="131"/>
        <v>77412</v>
      </c>
      <c r="DY36" s="10">
        <f t="shared" ref="DY36:EB36" si="132">SUM(DY22:DY34)</f>
        <v>87092</v>
      </c>
      <c r="DZ36" s="10">
        <f t="shared" si="132"/>
        <v>91367</v>
      </c>
      <c r="EA36" s="10">
        <f t="shared" si="132"/>
        <v>320700</v>
      </c>
      <c r="EB36" s="10">
        <f t="shared" si="132"/>
        <v>87519</v>
      </c>
      <c r="EC36" s="10">
        <f t="shared" ref="EC36:EG36" si="133">SUM(EC22:EC35)</f>
        <v>95215.575999999986</v>
      </c>
      <c r="ED36" s="10">
        <f t="shared" si="133"/>
        <v>101904.52500000001</v>
      </c>
      <c r="EE36" s="10">
        <f t="shared" si="133"/>
        <v>98283.118000000002</v>
      </c>
      <c r="EF36" s="10">
        <f t="shared" si="133"/>
        <v>382922.21899999998</v>
      </c>
      <c r="EG36" s="10">
        <f t="shared" si="133"/>
        <v>95207.704000000012</v>
      </c>
      <c r="EH36" s="10">
        <f t="shared" ref="EH36:EI36" si="134">SUM(EH22:EH35)</f>
        <v>113371.15794999999</v>
      </c>
      <c r="EI36" s="10">
        <f t="shared" si="134"/>
        <v>121628.05549999999</v>
      </c>
    </row>
    <row r="37" spans="1:204" x14ac:dyDescent="0.3">
      <c r="A37" s="22" t="s">
        <v>366</v>
      </c>
    </row>
    <row r="38" spans="1:204" x14ac:dyDescent="0.3">
      <c r="A38" s="22" t="s">
        <v>365</v>
      </c>
    </row>
    <row r="39" spans="1:204" x14ac:dyDescent="0.3">
      <c r="A39" s="3" t="s">
        <v>411</v>
      </c>
      <c r="B39" s="6" t="s">
        <v>4</v>
      </c>
      <c r="C39" s="6" t="s">
        <v>5</v>
      </c>
      <c r="D39" s="6" t="s">
        <v>6</v>
      </c>
      <c r="E39" s="6" t="s">
        <v>7</v>
      </c>
      <c r="F39" s="6">
        <v>1998</v>
      </c>
      <c r="G39" s="6" t="s">
        <v>8</v>
      </c>
      <c r="H39" s="6" t="s">
        <v>9</v>
      </c>
      <c r="I39" s="6" t="s">
        <v>10</v>
      </c>
      <c r="J39" s="6" t="s">
        <v>11</v>
      </c>
      <c r="K39" s="6">
        <v>1999</v>
      </c>
      <c r="L39" s="6" t="s">
        <v>12</v>
      </c>
      <c r="M39" s="6" t="s">
        <v>13</v>
      </c>
      <c r="N39" s="6" t="s">
        <v>14</v>
      </c>
      <c r="O39" s="6" t="s">
        <v>15</v>
      </c>
      <c r="P39" s="6">
        <v>2000</v>
      </c>
      <c r="Q39" s="6" t="s">
        <v>16</v>
      </c>
      <c r="R39" s="6" t="s">
        <v>17</v>
      </c>
      <c r="S39" s="6" t="s">
        <v>18</v>
      </c>
      <c r="T39" s="6" t="s">
        <v>19</v>
      </c>
      <c r="U39" s="6">
        <v>2001</v>
      </c>
      <c r="V39" s="6" t="s">
        <v>20</v>
      </c>
      <c r="W39" s="6" t="s">
        <v>21</v>
      </c>
      <c r="X39" s="6" t="s">
        <v>22</v>
      </c>
      <c r="Y39" s="6" t="s">
        <v>23</v>
      </c>
      <c r="Z39" s="6">
        <v>2002</v>
      </c>
      <c r="AA39" s="6" t="s">
        <v>24</v>
      </c>
      <c r="AB39" s="6" t="s">
        <v>25</v>
      </c>
      <c r="AC39" s="6" t="s">
        <v>26</v>
      </c>
      <c r="AD39" s="6" t="s">
        <v>27</v>
      </c>
      <c r="AE39" s="6">
        <v>2003</v>
      </c>
      <c r="AF39" s="6" t="s">
        <v>28</v>
      </c>
      <c r="AG39" s="6" t="s">
        <v>29</v>
      </c>
      <c r="AH39" s="6" t="s">
        <v>30</v>
      </c>
      <c r="AI39" s="6" t="s">
        <v>31</v>
      </c>
      <c r="AJ39" s="6">
        <v>2004</v>
      </c>
      <c r="AK39" s="6" t="s">
        <v>32</v>
      </c>
      <c r="AL39" s="6" t="s">
        <v>33</v>
      </c>
      <c r="AM39" s="6" t="s">
        <v>34</v>
      </c>
      <c r="AN39" s="6" t="s">
        <v>35</v>
      </c>
      <c r="AO39" s="6">
        <v>2005</v>
      </c>
      <c r="AP39" s="6" t="s">
        <v>36</v>
      </c>
      <c r="AQ39" s="6" t="s">
        <v>37</v>
      </c>
      <c r="AR39" s="6" t="s">
        <v>38</v>
      </c>
      <c r="AS39" s="6" t="s">
        <v>39</v>
      </c>
      <c r="AT39" s="6">
        <v>2006</v>
      </c>
      <c r="AU39" s="6" t="s">
        <v>40</v>
      </c>
      <c r="AV39" s="6" t="s">
        <v>41</v>
      </c>
      <c r="AW39" s="6" t="s">
        <v>42</v>
      </c>
      <c r="AX39" s="6" t="s">
        <v>43</v>
      </c>
      <c r="AY39" s="6">
        <v>2007</v>
      </c>
      <c r="AZ39" s="6" t="s">
        <v>44</v>
      </c>
      <c r="BA39" s="6" t="s">
        <v>45</v>
      </c>
      <c r="BB39" s="6" t="s">
        <v>46</v>
      </c>
      <c r="BC39" s="6" t="s">
        <v>47</v>
      </c>
      <c r="BD39" s="6">
        <v>2008</v>
      </c>
      <c r="BE39" s="6" t="s">
        <v>48</v>
      </c>
      <c r="BF39" s="6" t="s">
        <v>49</v>
      </c>
      <c r="BG39" s="6" t="s">
        <v>50</v>
      </c>
      <c r="BH39" s="6" t="s">
        <v>51</v>
      </c>
      <c r="BI39" s="6">
        <v>2009</v>
      </c>
      <c r="BJ39" s="6" t="s">
        <v>52</v>
      </c>
      <c r="BK39" s="6" t="s">
        <v>53</v>
      </c>
      <c r="BL39" s="6" t="s">
        <v>54</v>
      </c>
      <c r="BM39" s="6" t="s">
        <v>55</v>
      </c>
      <c r="BN39" s="6">
        <v>2010</v>
      </c>
      <c r="BO39" s="6" t="s">
        <v>56</v>
      </c>
      <c r="BP39" s="6" t="s">
        <v>57</v>
      </c>
      <c r="BQ39" s="6" t="s">
        <v>58</v>
      </c>
      <c r="BR39" s="6" t="s">
        <v>59</v>
      </c>
      <c r="BS39" s="6">
        <v>2011</v>
      </c>
      <c r="BT39" s="6" t="s">
        <v>60</v>
      </c>
      <c r="BU39" s="6" t="s">
        <v>61</v>
      </c>
      <c r="BV39" s="6" t="s">
        <v>62</v>
      </c>
      <c r="BW39" s="6" t="s">
        <v>63</v>
      </c>
      <c r="BX39" s="6">
        <v>2012</v>
      </c>
      <c r="BY39" s="6" t="s">
        <v>64</v>
      </c>
      <c r="BZ39" s="6" t="s">
        <v>65</v>
      </c>
      <c r="CA39" s="6" t="s">
        <v>66</v>
      </c>
      <c r="CB39" s="6" t="s">
        <v>67</v>
      </c>
      <c r="CC39" s="6">
        <v>2013</v>
      </c>
      <c r="CD39" s="6" t="s">
        <v>68</v>
      </c>
      <c r="CE39" s="6" t="s">
        <v>69</v>
      </c>
      <c r="CF39" s="6" t="s">
        <v>70</v>
      </c>
      <c r="CG39" s="6" t="s">
        <v>71</v>
      </c>
      <c r="CH39" s="6">
        <v>2014</v>
      </c>
      <c r="CI39" s="6" t="s">
        <v>72</v>
      </c>
      <c r="CJ39" s="6" t="s">
        <v>73</v>
      </c>
      <c r="CK39" s="6" t="s">
        <v>74</v>
      </c>
      <c r="CL39" s="6" t="s">
        <v>75</v>
      </c>
      <c r="CM39" s="6">
        <v>2015</v>
      </c>
      <c r="CN39" s="6" t="s">
        <v>76</v>
      </c>
      <c r="CO39" s="6" t="s">
        <v>77</v>
      </c>
      <c r="CP39" s="6" t="s">
        <v>78</v>
      </c>
      <c r="CQ39" s="6" t="s">
        <v>79</v>
      </c>
      <c r="CR39" s="6">
        <v>2016</v>
      </c>
      <c r="CS39" s="6" t="s">
        <v>80</v>
      </c>
      <c r="CT39" s="6" t="s">
        <v>81</v>
      </c>
      <c r="CU39" s="6" t="s">
        <v>82</v>
      </c>
      <c r="CV39" s="6" t="s">
        <v>83</v>
      </c>
      <c r="CW39" s="6">
        <v>2017</v>
      </c>
      <c r="CX39" s="6" t="s">
        <v>84</v>
      </c>
      <c r="CY39" s="6" t="s">
        <v>85</v>
      </c>
      <c r="CZ39" s="6" t="s">
        <v>86</v>
      </c>
      <c r="DA39" s="6" t="s">
        <v>87</v>
      </c>
      <c r="DB39" s="6">
        <v>2018</v>
      </c>
      <c r="DC39" s="6" t="s">
        <v>88</v>
      </c>
      <c r="DD39" s="6" t="s">
        <v>89</v>
      </c>
      <c r="DE39" s="6" t="s">
        <v>90</v>
      </c>
      <c r="DF39" s="6" t="s">
        <v>91</v>
      </c>
      <c r="DG39" s="6">
        <v>2019</v>
      </c>
      <c r="DH39" s="6" t="s">
        <v>92</v>
      </c>
      <c r="DI39" s="6" t="s">
        <v>93</v>
      </c>
      <c r="DJ39" s="6" t="s">
        <v>94</v>
      </c>
      <c r="DK39" s="6" t="s">
        <v>95</v>
      </c>
      <c r="DL39" s="6">
        <v>2020</v>
      </c>
      <c r="DM39" s="6" t="s">
        <v>96</v>
      </c>
      <c r="DN39" s="6" t="s">
        <v>97</v>
      </c>
      <c r="DO39" s="6" t="s">
        <v>98</v>
      </c>
      <c r="DP39" s="6" t="s">
        <v>99</v>
      </c>
      <c r="DQ39" s="6">
        <v>2021</v>
      </c>
      <c r="DR39" s="6" t="s">
        <v>100</v>
      </c>
      <c r="DS39" s="6" t="s">
        <v>101</v>
      </c>
      <c r="DT39" s="6" t="s">
        <v>200</v>
      </c>
      <c r="DU39" s="6" t="s">
        <v>380</v>
      </c>
      <c r="DV39" s="6">
        <v>2022</v>
      </c>
      <c r="DW39" s="6" t="s">
        <v>379</v>
      </c>
      <c r="DX39" s="6" t="s">
        <v>402</v>
      </c>
      <c r="DY39" s="6" t="s">
        <v>414</v>
      </c>
      <c r="DZ39" s="6" t="s">
        <v>419</v>
      </c>
      <c r="EA39" s="6">
        <v>2023</v>
      </c>
      <c r="EB39" s="6" t="s">
        <v>424</v>
      </c>
      <c r="EC39" s="6" t="s">
        <v>429</v>
      </c>
      <c r="ED39" s="6" t="str">
        <f>$ED$1</f>
        <v>3T24</v>
      </c>
      <c r="EE39" s="6" t="str">
        <f>$EE$1</f>
        <v>4T24</v>
      </c>
      <c r="EF39" s="6">
        <f>$EF$1</f>
        <v>2024</v>
      </c>
      <c r="EG39" s="6" t="str">
        <f>EG$1</f>
        <v>1T25</v>
      </c>
      <c r="EH39" s="6" t="str">
        <f>EH$1</f>
        <v>2T25</v>
      </c>
      <c r="EI39" s="6" t="str">
        <f>EI$1</f>
        <v>3T25</v>
      </c>
    </row>
    <row r="40" spans="1:204" ht="15" thickBot="1" x14ac:dyDescent="0.35">
      <c r="A40" s="4" t="s">
        <v>1</v>
      </c>
      <c r="B40" s="7" t="s">
        <v>102</v>
      </c>
      <c r="C40" s="7" t="s">
        <v>103</v>
      </c>
      <c r="D40" s="7" t="s">
        <v>104</v>
      </c>
      <c r="E40" s="7" t="s">
        <v>105</v>
      </c>
      <c r="F40" s="7">
        <v>1998</v>
      </c>
      <c r="G40" s="7" t="s">
        <v>106</v>
      </c>
      <c r="H40" s="7" t="s">
        <v>107</v>
      </c>
      <c r="I40" s="7" t="s">
        <v>108</v>
      </c>
      <c r="J40" s="7" t="s">
        <v>109</v>
      </c>
      <c r="K40" s="7">
        <v>1999</v>
      </c>
      <c r="L40" s="7" t="s">
        <v>110</v>
      </c>
      <c r="M40" s="7" t="s">
        <v>111</v>
      </c>
      <c r="N40" s="7" t="s">
        <v>112</v>
      </c>
      <c r="O40" s="7" t="s">
        <v>113</v>
      </c>
      <c r="P40" s="7">
        <v>2000</v>
      </c>
      <c r="Q40" s="7" t="s">
        <v>114</v>
      </c>
      <c r="R40" s="7" t="s">
        <v>115</v>
      </c>
      <c r="S40" s="7" t="s">
        <v>116</v>
      </c>
      <c r="T40" s="7" t="s">
        <v>117</v>
      </c>
      <c r="U40" s="7">
        <v>2001</v>
      </c>
      <c r="V40" s="7" t="s">
        <v>118</v>
      </c>
      <c r="W40" s="7" t="s">
        <v>119</v>
      </c>
      <c r="X40" s="7" t="s">
        <v>120</v>
      </c>
      <c r="Y40" s="7" t="s">
        <v>121</v>
      </c>
      <c r="Z40" s="7">
        <v>2002</v>
      </c>
      <c r="AA40" s="7" t="s">
        <v>122</v>
      </c>
      <c r="AB40" s="7" t="s">
        <v>123</v>
      </c>
      <c r="AC40" s="7" t="s">
        <v>124</v>
      </c>
      <c r="AD40" s="7" t="s">
        <v>125</v>
      </c>
      <c r="AE40" s="7">
        <v>2003</v>
      </c>
      <c r="AF40" s="7" t="s">
        <v>126</v>
      </c>
      <c r="AG40" s="7" t="s">
        <v>127</v>
      </c>
      <c r="AH40" s="7" t="s">
        <v>128</v>
      </c>
      <c r="AI40" s="7" t="s">
        <v>129</v>
      </c>
      <c r="AJ40" s="7">
        <v>2004</v>
      </c>
      <c r="AK40" s="7" t="s">
        <v>130</v>
      </c>
      <c r="AL40" s="7" t="s">
        <v>131</v>
      </c>
      <c r="AM40" s="7" t="s">
        <v>132</v>
      </c>
      <c r="AN40" s="7" t="s">
        <v>133</v>
      </c>
      <c r="AO40" s="7">
        <v>2005</v>
      </c>
      <c r="AP40" s="7" t="s">
        <v>134</v>
      </c>
      <c r="AQ40" s="7" t="s">
        <v>135</v>
      </c>
      <c r="AR40" s="7" t="s">
        <v>136</v>
      </c>
      <c r="AS40" s="7" t="s">
        <v>137</v>
      </c>
      <c r="AT40" s="7">
        <v>2006</v>
      </c>
      <c r="AU40" s="7" t="s">
        <v>138</v>
      </c>
      <c r="AV40" s="7" t="s">
        <v>139</v>
      </c>
      <c r="AW40" s="7" t="s">
        <v>140</v>
      </c>
      <c r="AX40" s="7" t="s">
        <v>141</v>
      </c>
      <c r="AY40" s="7">
        <v>2007</v>
      </c>
      <c r="AZ40" s="7" t="s">
        <v>142</v>
      </c>
      <c r="BA40" s="7" t="s">
        <v>143</v>
      </c>
      <c r="BB40" s="7" t="s">
        <v>144</v>
      </c>
      <c r="BC40" s="7" t="s">
        <v>145</v>
      </c>
      <c r="BD40" s="7">
        <v>2008</v>
      </c>
      <c r="BE40" s="7" t="s">
        <v>146</v>
      </c>
      <c r="BF40" s="7" t="s">
        <v>147</v>
      </c>
      <c r="BG40" s="7" t="s">
        <v>148</v>
      </c>
      <c r="BH40" s="7" t="s">
        <v>149</v>
      </c>
      <c r="BI40" s="7">
        <v>2009</v>
      </c>
      <c r="BJ40" s="7" t="s">
        <v>150</v>
      </c>
      <c r="BK40" s="7" t="s">
        <v>151</v>
      </c>
      <c r="BL40" s="7" t="s">
        <v>152</v>
      </c>
      <c r="BM40" s="7" t="s">
        <v>153</v>
      </c>
      <c r="BN40" s="7">
        <v>2010</v>
      </c>
      <c r="BO40" s="7" t="s">
        <v>154</v>
      </c>
      <c r="BP40" s="7" t="s">
        <v>155</v>
      </c>
      <c r="BQ40" s="7" t="s">
        <v>156</v>
      </c>
      <c r="BR40" s="7" t="s">
        <v>157</v>
      </c>
      <c r="BS40" s="7">
        <v>2011</v>
      </c>
      <c r="BT40" s="7" t="s">
        <v>158</v>
      </c>
      <c r="BU40" s="7" t="s">
        <v>159</v>
      </c>
      <c r="BV40" s="7" t="s">
        <v>160</v>
      </c>
      <c r="BW40" s="7" t="s">
        <v>161</v>
      </c>
      <c r="BX40" s="7">
        <v>2012</v>
      </c>
      <c r="BY40" s="7" t="s">
        <v>162</v>
      </c>
      <c r="BZ40" s="7" t="s">
        <v>163</v>
      </c>
      <c r="CA40" s="7" t="s">
        <v>164</v>
      </c>
      <c r="CB40" s="7" t="s">
        <v>165</v>
      </c>
      <c r="CC40" s="7">
        <v>2013</v>
      </c>
      <c r="CD40" s="7" t="s">
        <v>166</v>
      </c>
      <c r="CE40" s="7" t="s">
        <v>167</v>
      </c>
      <c r="CF40" s="7" t="s">
        <v>168</v>
      </c>
      <c r="CG40" s="7" t="s">
        <v>169</v>
      </c>
      <c r="CH40" s="7">
        <v>2014</v>
      </c>
      <c r="CI40" s="7" t="s">
        <v>170</v>
      </c>
      <c r="CJ40" s="7" t="s">
        <v>171</v>
      </c>
      <c r="CK40" s="7" t="s">
        <v>172</v>
      </c>
      <c r="CL40" s="7" t="s">
        <v>173</v>
      </c>
      <c r="CM40" s="7">
        <v>2015</v>
      </c>
      <c r="CN40" s="7" t="s">
        <v>174</v>
      </c>
      <c r="CO40" s="7" t="s">
        <v>175</v>
      </c>
      <c r="CP40" s="7" t="s">
        <v>176</v>
      </c>
      <c r="CQ40" s="7" t="s">
        <v>177</v>
      </c>
      <c r="CR40" s="7">
        <v>2016</v>
      </c>
      <c r="CS40" s="7" t="s">
        <v>178</v>
      </c>
      <c r="CT40" s="7" t="s">
        <v>179</v>
      </c>
      <c r="CU40" s="7" t="s">
        <v>180</v>
      </c>
      <c r="CV40" s="7" t="s">
        <v>181</v>
      </c>
      <c r="CW40" s="7">
        <v>2017</v>
      </c>
      <c r="CX40" s="7" t="s">
        <v>182</v>
      </c>
      <c r="CY40" s="7" t="s">
        <v>183</v>
      </c>
      <c r="CZ40" s="7" t="s">
        <v>184</v>
      </c>
      <c r="DA40" s="7" t="s">
        <v>185</v>
      </c>
      <c r="DB40" s="7">
        <v>2018</v>
      </c>
      <c r="DC40" s="7" t="s">
        <v>186</v>
      </c>
      <c r="DD40" s="7" t="s">
        <v>187</v>
      </c>
      <c r="DE40" s="7" t="s">
        <v>188</v>
      </c>
      <c r="DF40" s="7" t="s">
        <v>189</v>
      </c>
      <c r="DG40" s="7">
        <v>2019</v>
      </c>
      <c r="DH40" s="7" t="s">
        <v>190</v>
      </c>
      <c r="DI40" s="7" t="s">
        <v>191</v>
      </c>
      <c r="DJ40" s="7" t="s">
        <v>192</v>
      </c>
      <c r="DK40" s="7" t="s">
        <v>193</v>
      </c>
      <c r="DL40" s="7">
        <v>2020</v>
      </c>
      <c r="DM40" s="7" t="s">
        <v>194</v>
      </c>
      <c r="DN40" s="7" t="s">
        <v>195</v>
      </c>
      <c r="DO40" s="7" t="s">
        <v>196</v>
      </c>
      <c r="DP40" s="7" t="s">
        <v>197</v>
      </c>
      <c r="DQ40" s="7">
        <v>2021</v>
      </c>
      <c r="DR40" s="7" t="s">
        <v>198</v>
      </c>
      <c r="DS40" s="7" t="s">
        <v>199</v>
      </c>
      <c r="DT40" s="7" t="s">
        <v>201</v>
      </c>
      <c r="DU40" s="7" t="s">
        <v>381</v>
      </c>
      <c r="DV40" s="7">
        <v>2022</v>
      </c>
      <c r="DW40" s="7" t="s">
        <v>382</v>
      </c>
      <c r="DX40" s="7" t="s">
        <v>403</v>
      </c>
      <c r="DY40" s="7" t="s">
        <v>415</v>
      </c>
      <c r="DZ40" s="7" t="s">
        <v>420</v>
      </c>
      <c r="EA40" s="7">
        <v>2023</v>
      </c>
      <c r="EB40" s="7" t="s">
        <v>425</v>
      </c>
      <c r="EC40" s="7" t="s">
        <v>430</v>
      </c>
      <c r="ED40" s="7" t="str">
        <f>$ED$2</f>
        <v>3Q24</v>
      </c>
      <c r="EE40" s="7" t="str">
        <f>$EE$2</f>
        <v>4Q24</v>
      </c>
      <c r="EF40" s="7">
        <f>$EF$2</f>
        <v>2024</v>
      </c>
      <c r="EG40" s="7" t="str">
        <f>EG$2</f>
        <v>1Q25</v>
      </c>
      <c r="EH40" s="7" t="str">
        <f>EH$2</f>
        <v>2Q25</v>
      </c>
      <c r="EI40" s="7" t="str">
        <f>EI$2</f>
        <v>3Q25</v>
      </c>
    </row>
    <row r="41" spans="1:204" ht="16.2" thickTop="1" x14ac:dyDescent="0.3">
      <c r="A41" s="1" t="s">
        <v>363</v>
      </c>
      <c r="B41" s="8">
        <v>0</v>
      </c>
      <c r="C41" s="8">
        <v>42.814500000000002</v>
      </c>
      <c r="D41" s="8">
        <v>666.63750000000005</v>
      </c>
      <c r="E41" s="8">
        <v>1035.2829999999999</v>
      </c>
      <c r="F41" s="8">
        <f>SUM(B41:E41)</f>
        <v>1744.7349999999999</v>
      </c>
      <c r="G41" s="8">
        <v>1278.3665000000001</v>
      </c>
      <c r="H41" s="8">
        <v>619.38800000000003</v>
      </c>
      <c r="I41" s="8">
        <v>758.19449999999995</v>
      </c>
      <c r="J41" s="8">
        <v>969.18200000000002</v>
      </c>
      <c r="K41" s="8">
        <f>SUM(G41:J41)</f>
        <v>3625.1310000000003</v>
      </c>
      <c r="L41" s="8">
        <v>1316.7515000000001</v>
      </c>
      <c r="M41" s="8">
        <v>613.68050000000005</v>
      </c>
      <c r="N41" s="8">
        <v>608.08150000000001</v>
      </c>
      <c r="O41" s="8">
        <v>882.90449999999998</v>
      </c>
      <c r="P41" s="8">
        <f>SUM(L41:O41)</f>
        <v>3421.4180000000001</v>
      </c>
      <c r="Q41" s="8">
        <v>1145.7964999999999</v>
      </c>
      <c r="R41" s="8">
        <v>553.2835</v>
      </c>
      <c r="S41" s="8">
        <v>607.75800000000004</v>
      </c>
      <c r="T41" s="8">
        <v>842.53800000000001</v>
      </c>
      <c r="U41" s="8">
        <f>SUM(Q41:T41)</f>
        <v>3149.3759999999997</v>
      </c>
      <c r="V41" s="8">
        <v>1131.0719999999999</v>
      </c>
      <c r="W41" s="8">
        <v>508.57799999999997</v>
      </c>
      <c r="X41" s="8">
        <v>593.97249999999997</v>
      </c>
      <c r="Y41" s="8">
        <v>868.47649999999999</v>
      </c>
      <c r="Z41" s="8">
        <f>SUM(V41:Y41)</f>
        <v>3102.0990000000002</v>
      </c>
      <c r="AA41" s="8">
        <v>1019.9895</v>
      </c>
      <c r="AB41" s="8">
        <v>530.32849999999996</v>
      </c>
      <c r="AC41" s="8">
        <v>578.72450000000003</v>
      </c>
      <c r="AD41" s="8">
        <v>819.09249999999997</v>
      </c>
      <c r="AE41" s="8">
        <f>SUM(AA41:AD41)</f>
        <v>2948.1350000000002</v>
      </c>
      <c r="AF41" s="8">
        <v>1060.2505000000001</v>
      </c>
      <c r="AG41" s="8">
        <v>543.53549999999996</v>
      </c>
      <c r="AH41" s="8">
        <v>642.26549999999997</v>
      </c>
      <c r="AI41" s="8">
        <v>804.57550000000003</v>
      </c>
      <c r="AJ41" s="8">
        <f>SUM(AF41:AI41)</f>
        <v>3050.627</v>
      </c>
      <c r="AK41" s="8">
        <v>1060.6495</v>
      </c>
      <c r="AL41" s="8">
        <v>526.91800000000001</v>
      </c>
      <c r="AM41" s="8">
        <v>590.26149999999996</v>
      </c>
      <c r="AN41" s="8">
        <v>781.63499999999999</v>
      </c>
      <c r="AO41" s="8">
        <f>SUM(AK41:AN41)</f>
        <v>2959.4639999999999</v>
      </c>
      <c r="AP41" s="8">
        <v>1070.79</v>
      </c>
      <c r="AQ41" s="8">
        <v>522.20600000000002</v>
      </c>
      <c r="AR41" s="8">
        <v>580.95950000000005</v>
      </c>
      <c r="AS41" s="8">
        <v>798.60350000000005</v>
      </c>
      <c r="AT41" s="8">
        <f>SUM(AP41:AS41)</f>
        <v>2972.5590000000002</v>
      </c>
      <c r="AU41" s="8">
        <v>1097.1424954145079</v>
      </c>
      <c r="AV41" s="8">
        <v>555.00026605589994</v>
      </c>
      <c r="AW41" s="8">
        <v>645.17601834976801</v>
      </c>
      <c r="AX41" s="8">
        <v>903.49872477220788</v>
      </c>
      <c r="AY41" s="8">
        <f>SUM(AU41:AX41)</f>
        <v>3200.817504592384</v>
      </c>
      <c r="AZ41" s="8">
        <v>1089.1959999999999</v>
      </c>
      <c r="BA41" s="8">
        <v>575.78399999999999</v>
      </c>
      <c r="BB41" s="8">
        <v>668.86350000000004</v>
      </c>
      <c r="BC41" s="8">
        <v>939.10299999999995</v>
      </c>
      <c r="BD41" s="8">
        <f>SUM(AZ41:BC41)</f>
        <v>3272.9465</v>
      </c>
      <c r="BE41" s="8">
        <v>1747.3879999999999</v>
      </c>
      <c r="BF41" s="8">
        <v>646.67999999999995</v>
      </c>
      <c r="BG41" s="8">
        <v>726.20550000000003</v>
      </c>
      <c r="BH41" s="8">
        <v>1020.0454999999999</v>
      </c>
      <c r="BI41" s="8">
        <f>SUM(BE41:BH41)</f>
        <v>4140.3189999999995</v>
      </c>
      <c r="BJ41" s="8">
        <v>1187</v>
      </c>
      <c r="BK41" s="8">
        <v>2372</v>
      </c>
      <c r="BL41" s="8">
        <v>826.3415</v>
      </c>
      <c r="BM41" s="8">
        <v>1096</v>
      </c>
      <c r="BN41" s="8">
        <f>SUM(BJ41:BM41)</f>
        <v>5481.3415000000005</v>
      </c>
      <c r="BO41" s="8">
        <v>1284</v>
      </c>
      <c r="BP41" s="8">
        <v>748.44399999999996</v>
      </c>
      <c r="BQ41" s="8">
        <v>782.55600000000004</v>
      </c>
      <c r="BR41" s="8">
        <v>1137</v>
      </c>
      <c r="BS41" s="8">
        <f>SUM(BO41:BR41)</f>
        <v>3952</v>
      </c>
      <c r="BT41" s="8">
        <v>1472</v>
      </c>
      <c r="BU41" s="8">
        <v>778</v>
      </c>
      <c r="BV41" s="8">
        <v>986</v>
      </c>
      <c r="BW41" s="8">
        <v>1220.527</v>
      </c>
      <c r="BX41" s="8">
        <f>SUM(BT41:BW41)</f>
        <v>4456.527</v>
      </c>
      <c r="BY41" s="8">
        <v>1416</v>
      </c>
      <c r="BZ41" s="8">
        <v>812</v>
      </c>
      <c r="CA41" s="8">
        <v>932</v>
      </c>
      <c r="CB41" s="8">
        <v>1336</v>
      </c>
      <c r="CC41" s="8">
        <f>SUM(BY41:CB41)</f>
        <v>4496</v>
      </c>
      <c r="CD41" s="8">
        <v>1554</v>
      </c>
      <c r="CE41" s="8">
        <v>964</v>
      </c>
      <c r="CF41" s="8">
        <v>1029</v>
      </c>
      <c r="CG41" s="8">
        <v>1396</v>
      </c>
      <c r="CH41" s="8">
        <f>SUM(CD41:CG41)</f>
        <v>4943</v>
      </c>
      <c r="CI41" s="8">
        <v>1498</v>
      </c>
      <c r="CJ41" s="8">
        <v>924</v>
      </c>
      <c r="CK41" s="8">
        <v>1029</v>
      </c>
      <c r="CL41" s="8">
        <v>1223</v>
      </c>
      <c r="CM41" s="8">
        <f>SUM(CI41:CL41)</f>
        <v>4674</v>
      </c>
      <c r="CN41" s="8">
        <v>1480.9570000000001</v>
      </c>
      <c r="CO41" s="8">
        <v>835.04299999999989</v>
      </c>
      <c r="CP41" s="8">
        <v>919</v>
      </c>
      <c r="CQ41" s="8">
        <v>1195.2325000000001</v>
      </c>
      <c r="CR41" s="8">
        <f>SUM(CN41:CQ41)</f>
        <v>4430.2325000000001</v>
      </c>
      <c r="CS41" s="8">
        <v>1526</v>
      </c>
      <c r="CT41" s="8">
        <v>878</v>
      </c>
      <c r="CU41" s="8">
        <v>1046</v>
      </c>
      <c r="CV41" s="8">
        <v>1240</v>
      </c>
      <c r="CW41" s="8">
        <f>SUM(CS41:CV41)</f>
        <v>4690</v>
      </c>
      <c r="CX41" s="8">
        <v>1466</v>
      </c>
      <c r="CY41" s="8">
        <v>859</v>
      </c>
      <c r="CZ41" s="8">
        <v>1014</v>
      </c>
      <c r="DA41" s="8">
        <v>1319</v>
      </c>
      <c r="DB41" s="8">
        <f t="shared" ref="DB41:DB50" si="135">SUM(CX41:DA41)</f>
        <v>4658</v>
      </c>
      <c r="DC41" s="8">
        <v>1479</v>
      </c>
      <c r="DD41" s="8">
        <v>888</v>
      </c>
      <c r="DE41" s="8">
        <v>926</v>
      </c>
      <c r="DF41" s="8">
        <v>1458</v>
      </c>
      <c r="DG41" s="8">
        <f>SUM(DC41:DF41)</f>
        <v>4751</v>
      </c>
      <c r="DH41" s="8">
        <v>1504</v>
      </c>
      <c r="DI41" s="8">
        <v>729</v>
      </c>
      <c r="DJ41" s="8">
        <v>1046</v>
      </c>
      <c r="DK41" s="8">
        <v>1429</v>
      </c>
      <c r="DL41" s="8">
        <f>SUM(DH41:DK41)</f>
        <v>4708</v>
      </c>
      <c r="DM41" s="8">
        <v>1285</v>
      </c>
      <c r="DN41" s="8">
        <v>872</v>
      </c>
      <c r="DO41" s="8">
        <v>1093</v>
      </c>
      <c r="DP41" s="8">
        <v>727</v>
      </c>
      <c r="DQ41" s="8">
        <f>SUM(DM41:DP41)</f>
        <v>3977</v>
      </c>
      <c r="DR41" s="8">
        <v>0</v>
      </c>
      <c r="DS41" s="8">
        <v>0</v>
      </c>
      <c r="DT41" s="8">
        <v>0</v>
      </c>
      <c r="DU41" s="8">
        <v>0</v>
      </c>
      <c r="DV41" s="8">
        <f>SUM(DR41:DU41)</f>
        <v>0</v>
      </c>
      <c r="DW41" s="8">
        <v>0</v>
      </c>
      <c r="DX41" s="8">
        <v>0</v>
      </c>
      <c r="DY41" s="8">
        <v>0</v>
      </c>
      <c r="DZ41" s="8">
        <v>0</v>
      </c>
      <c r="EA41" s="8">
        <f>SUM(DW41:DZ41)</f>
        <v>0</v>
      </c>
      <c r="EB41" s="8">
        <v>0</v>
      </c>
      <c r="EC41" s="8">
        <v>0</v>
      </c>
      <c r="ED41" s="8">
        <v>0</v>
      </c>
      <c r="EE41" s="8">
        <v>0</v>
      </c>
      <c r="EF41" s="8">
        <f>SUM(EB41:EE41)</f>
        <v>0</v>
      </c>
      <c r="EG41" s="8">
        <v>0</v>
      </c>
      <c r="EH41" s="8">
        <v>0</v>
      </c>
      <c r="EI41" s="8">
        <v>0</v>
      </c>
    </row>
    <row r="42" spans="1:204" ht="15" thickBot="1" x14ac:dyDescent="0.35">
      <c r="A42" s="2" t="s">
        <v>454</v>
      </c>
      <c r="B42" s="9">
        <v>0</v>
      </c>
      <c r="C42" s="9">
        <v>0</v>
      </c>
      <c r="D42" s="9">
        <v>0</v>
      </c>
      <c r="E42" s="9">
        <v>0</v>
      </c>
      <c r="F42" s="9">
        <f>SUM(B42:E42)</f>
        <v>0</v>
      </c>
      <c r="G42" s="9">
        <v>0</v>
      </c>
      <c r="H42" s="9">
        <v>0</v>
      </c>
      <c r="I42" s="9">
        <v>0</v>
      </c>
      <c r="J42" s="9">
        <v>0</v>
      </c>
      <c r="K42" s="9">
        <f>SUM(G42:J42)</f>
        <v>0</v>
      </c>
      <c r="L42" s="9">
        <v>0</v>
      </c>
      <c r="M42" s="9">
        <v>0</v>
      </c>
      <c r="N42" s="9">
        <v>0</v>
      </c>
      <c r="O42" s="9">
        <v>0</v>
      </c>
      <c r="P42" s="9">
        <f>SUM(L42:O42)</f>
        <v>0</v>
      </c>
      <c r="Q42" s="9">
        <v>160.16050000000001</v>
      </c>
      <c r="R42" s="9">
        <v>610.31349999999998</v>
      </c>
      <c r="S42" s="9">
        <v>625.07449999999994</v>
      </c>
      <c r="T42" s="9">
        <v>718.697</v>
      </c>
      <c r="U42" s="9">
        <f>SUM(Q42:T42)</f>
        <v>2114.2455</v>
      </c>
      <c r="V42" s="9">
        <v>911.01800000000003</v>
      </c>
      <c r="W42" s="9">
        <v>773.46</v>
      </c>
      <c r="X42" s="9">
        <v>769.70349999999996</v>
      </c>
      <c r="Y42" s="9">
        <v>841.48050000000001</v>
      </c>
      <c r="Z42" s="9">
        <f>SUM(V42:Y42)</f>
        <v>3295.6620000000003</v>
      </c>
      <c r="AA42" s="9">
        <v>901.98699999999997</v>
      </c>
      <c r="AB42" s="9">
        <v>746.03949999999998</v>
      </c>
      <c r="AC42" s="9">
        <v>722.84050000000002</v>
      </c>
      <c r="AD42" s="9">
        <v>841.6925</v>
      </c>
      <c r="AE42" s="9">
        <f>SUM(AA42:AD42)</f>
        <v>3212.5595000000003</v>
      </c>
      <c r="AF42" s="9">
        <v>957.51099999999997</v>
      </c>
      <c r="AG42" s="9">
        <v>793.47850000000005</v>
      </c>
      <c r="AH42" s="9">
        <v>791.18799999999999</v>
      </c>
      <c r="AI42" s="9">
        <v>882.09900000000005</v>
      </c>
      <c r="AJ42" s="9">
        <f>SUM(AF42:AI42)</f>
        <v>3424.2765000000004</v>
      </c>
      <c r="AK42" s="9">
        <v>1007.415</v>
      </c>
      <c r="AL42" s="9">
        <v>745.93799999999999</v>
      </c>
      <c r="AM42" s="9">
        <v>751.14599999999996</v>
      </c>
      <c r="AN42" s="9">
        <v>836.03899999999999</v>
      </c>
      <c r="AO42" s="9">
        <f>SUM(AK42:AN42)</f>
        <v>3340.5379999999996</v>
      </c>
      <c r="AP42" s="9">
        <v>950.37221698113217</v>
      </c>
      <c r="AQ42" s="9">
        <v>780.40222830188668</v>
      </c>
      <c r="AR42" s="9">
        <v>774.26614339622643</v>
      </c>
      <c r="AS42" s="9">
        <v>905.3991132075472</v>
      </c>
      <c r="AT42" s="9">
        <f>SUM(AP42:AS42)</f>
        <v>3410.4397018867921</v>
      </c>
      <c r="AU42" s="9">
        <v>1019.7505000000001</v>
      </c>
      <c r="AV42" s="9">
        <v>845.62662711864402</v>
      </c>
      <c r="AW42" s="9">
        <v>873.66122881355932</v>
      </c>
      <c r="AX42" s="9">
        <v>1041.3559915254236</v>
      </c>
      <c r="AY42" s="9">
        <f>SUM(AU42:AX42)</f>
        <v>3780.3943474576272</v>
      </c>
      <c r="AZ42" s="9">
        <v>1177.1874067796612</v>
      </c>
      <c r="BA42" s="9">
        <v>967.47192741935487</v>
      </c>
      <c r="BB42" s="9">
        <v>978.77723387096785</v>
      </c>
      <c r="BC42" s="9">
        <v>1069.376456451613</v>
      </c>
      <c r="BD42" s="9">
        <f>SUM(AZ42:BC42)</f>
        <v>4192.8130245215971</v>
      </c>
      <c r="BE42" s="9">
        <v>2751.4760000000001</v>
      </c>
      <c r="BF42" s="9">
        <v>1038.8576911764706</v>
      </c>
      <c r="BG42" s="9">
        <v>1016.048125</v>
      </c>
      <c r="BH42" s="9">
        <v>1231.04</v>
      </c>
      <c r="BI42" s="9">
        <f>SUM(BE42:BH42)</f>
        <v>6037.4218161764711</v>
      </c>
      <c r="BJ42" s="9">
        <v>1351</v>
      </c>
      <c r="BK42" s="9">
        <v>4498</v>
      </c>
      <c r="BL42" s="9">
        <v>1171.799</v>
      </c>
      <c r="BM42" s="9">
        <v>1373</v>
      </c>
      <c r="BN42" s="9">
        <f>SUM(BJ42:BM42)</f>
        <v>8393.7989999999991</v>
      </c>
      <c r="BO42" s="9">
        <v>1477</v>
      </c>
      <c r="BP42" s="9">
        <v>1271.1399999999999</v>
      </c>
      <c r="BQ42" s="9">
        <v>1282.8600000000001</v>
      </c>
      <c r="BR42" s="9">
        <v>1437</v>
      </c>
      <c r="BS42" s="9">
        <f>SUM(BO42:BR42)</f>
        <v>5468</v>
      </c>
      <c r="BT42" s="9">
        <v>1625</v>
      </c>
      <c r="BU42" s="9">
        <v>1366</v>
      </c>
      <c r="BV42" s="9">
        <v>1367</v>
      </c>
      <c r="BW42" s="9">
        <v>1593.3175000000001</v>
      </c>
      <c r="BX42" s="9">
        <f>SUM(BT42:BW42)</f>
        <v>5951.3175000000001</v>
      </c>
      <c r="BY42" s="9">
        <v>1747</v>
      </c>
      <c r="BZ42" s="9">
        <v>1471</v>
      </c>
      <c r="CA42" s="9">
        <v>1501</v>
      </c>
      <c r="CB42" s="9">
        <v>1735</v>
      </c>
      <c r="CC42" s="9">
        <f>SUM(BY42:CB42)</f>
        <v>6454</v>
      </c>
      <c r="CD42" s="9">
        <v>1934</v>
      </c>
      <c r="CE42" s="9">
        <v>1739</v>
      </c>
      <c r="CF42" s="9">
        <v>1693</v>
      </c>
      <c r="CG42" s="9">
        <v>1890</v>
      </c>
      <c r="CH42" s="9">
        <f>SUM(CD42:CG42)</f>
        <v>7256</v>
      </c>
      <c r="CI42" s="9">
        <v>1974</v>
      </c>
      <c r="CJ42" s="9">
        <v>1683</v>
      </c>
      <c r="CK42" s="9">
        <v>1576</v>
      </c>
      <c r="CL42" s="9">
        <v>1752</v>
      </c>
      <c r="CM42" s="9">
        <f>SUM(CI42:CL42)</f>
        <v>6985</v>
      </c>
      <c r="CN42" s="9">
        <v>1943.6914999999999</v>
      </c>
      <c r="CO42" s="9">
        <v>1471.3085000000001</v>
      </c>
      <c r="CP42" s="9">
        <v>1543</v>
      </c>
      <c r="CQ42" s="9">
        <v>1711.721</v>
      </c>
      <c r="CR42" s="9">
        <f>SUM(CN42:CQ42)</f>
        <v>6669.7209999999995</v>
      </c>
      <c r="CS42" s="9">
        <v>1924</v>
      </c>
      <c r="CT42" s="9">
        <v>1634</v>
      </c>
      <c r="CU42" s="9">
        <v>1591</v>
      </c>
      <c r="CV42" s="9">
        <v>1750</v>
      </c>
      <c r="CW42" s="9">
        <f t="shared" ref="CW42:CW55" si="136">SUM(CS42:CV42)</f>
        <v>6899</v>
      </c>
      <c r="CX42" s="9">
        <v>1966</v>
      </c>
      <c r="CY42" s="9">
        <v>1444</v>
      </c>
      <c r="CZ42" s="9">
        <v>1522</v>
      </c>
      <c r="DA42" s="9">
        <v>1725</v>
      </c>
      <c r="DB42" s="9">
        <f t="shared" si="135"/>
        <v>6657</v>
      </c>
      <c r="DC42" s="9">
        <v>1911</v>
      </c>
      <c r="DD42" s="9">
        <v>1597</v>
      </c>
      <c r="DE42" s="9">
        <v>1572</v>
      </c>
      <c r="DF42" s="9">
        <v>1759</v>
      </c>
      <c r="DG42" s="9">
        <f t="shared" ref="DG42:DG47" si="137">SUM(DC42:DF42)</f>
        <v>6839</v>
      </c>
      <c r="DH42" s="9">
        <v>1849</v>
      </c>
      <c r="DI42" s="9">
        <v>977</v>
      </c>
      <c r="DJ42" s="9">
        <v>1177</v>
      </c>
      <c r="DK42" s="9">
        <v>1535</v>
      </c>
      <c r="DL42" s="9">
        <f t="shared" ref="DL42:DL47" si="138">SUM(DH42:DK42)</f>
        <v>5538</v>
      </c>
      <c r="DM42" s="9">
        <v>1519</v>
      </c>
      <c r="DN42" s="9">
        <v>1345</v>
      </c>
      <c r="DO42" s="9">
        <v>1494</v>
      </c>
      <c r="DP42" s="9">
        <v>1700</v>
      </c>
      <c r="DQ42" s="9">
        <f t="shared" ref="DQ42:DQ47" si="139">SUM(DM42:DP42)</f>
        <v>6058</v>
      </c>
      <c r="DR42" s="9">
        <v>1742</v>
      </c>
      <c r="DS42" s="9">
        <v>1611</v>
      </c>
      <c r="DT42" s="9">
        <v>1660</v>
      </c>
      <c r="DU42" s="9">
        <v>1827.5174999999999</v>
      </c>
      <c r="DV42" s="9">
        <f t="shared" ref="DV42:DV53" si="140">SUM(DR42:DU42)</f>
        <v>6840.5174999999999</v>
      </c>
      <c r="DW42" s="9">
        <v>2098</v>
      </c>
      <c r="DX42" s="9">
        <v>1767</v>
      </c>
      <c r="DY42" s="9">
        <v>1700.326</v>
      </c>
      <c r="DZ42" s="9">
        <v>1910</v>
      </c>
      <c r="EA42" s="9">
        <f t="shared" ref="EA42:EA53" si="141">SUM(DW42:DZ42)</f>
        <v>7475.326</v>
      </c>
      <c r="EB42" s="9">
        <v>2097</v>
      </c>
      <c r="EC42" s="9">
        <v>1374.3430000000001</v>
      </c>
      <c r="ED42" s="9">
        <v>1719.75</v>
      </c>
      <c r="EE42" s="9">
        <v>1912.5405000000001</v>
      </c>
      <c r="EF42" s="9">
        <f t="shared" ref="EF42:EF53" si="142">SUM(EB42:EE42)</f>
        <v>7103.6334999999999</v>
      </c>
      <c r="EG42" s="9">
        <v>2156.605</v>
      </c>
      <c r="EH42" s="9">
        <v>1760.7125000000001</v>
      </c>
      <c r="EI42" s="9">
        <v>1754.1445000000001</v>
      </c>
    </row>
    <row r="43" spans="1:204" ht="15" thickTop="1" x14ac:dyDescent="0.3">
      <c r="A43" s="1" t="s">
        <v>442</v>
      </c>
      <c r="B43" s="8">
        <v>7257.9790000000003</v>
      </c>
      <c r="C43" s="8">
        <v>5567.8604999999998</v>
      </c>
      <c r="D43" s="8">
        <v>5980.5384999999997</v>
      </c>
      <c r="E43" s="8">
        <v>7226.4250000000002</v>
      </c>
      <c r="F43" s="8">
        <f>SUM(B43:E43)</f>
        <v>26032.803</v>
      </c>
      <c r="G43" s="8">
        <v>7732.7325000000001</v>
      </c>
      <c r="H43" s="8">
        <v>5698.2174999999997</v>
      </c>
      <c r="I43" s="8">
        <v>6147.1859999999997</v>
      </c>
      <c r="J43" s="8">
        <v>6891.1395000000002</v>
      </c>
      <c r="K43" s="8">
        <f>SUM(G43:J43)</f>
        <v>26469.2755</v>
      </c>
      <c r="L43" s="8">
        <v>6907.3789999999999</v>
      </c>
      <c r="M43" s="8">
        <v>5750.4679999999998</v>
      </c>
      <c r="N43" s="8">
        <v>5403.3014999999996</v>
      </c>
      <c r="O43" s="8">
        <v>6627.8</v>
      </c>
      <c r="P43" s="8">
        <f>SUM(L43:O43)</f>
        <v>24688.948499999999</v>
      </c>
      <c r="Q43" s="8">
        <v>7275.692</v>
      </c>
      <c r="R43" s="8">
        <v>5391.2444999999998</v>
      </c>
      <c r="S43" s="8">
        <v>5484.9165000000003</v>
      </c>
      <c r="T43" s="8">
        <v>6548.6745000000001</v>
      </c>
      <c r="U43" s="8">
        <f>SUM(Q43:T43)</f>
        <v>24700.5275</v>
      </c>
      <c r="V43" s="8">
        <v>7124.6324999999997</v>
      </c>
      <c r="W43" s="8">
        <v>5189.6260000000002</v>
      </c>
      <c r="X43" s="8">
        <v>5419.5855000000001</v>
      </c>
      <c r="Y43" s="8">
        <v>6848.3474999999999</v>
      </c>
      <c r="Z43" s="8">
        <f>SUM(V43:Y43)</f>
        <v>24582.191500000001</v>
      </c>
      <c r="AA43" s="8">
        <v>7075.7394999999997</v>
      </c>
      <c r="AB43" s="8">
        <v>5350.2049999999999</v>
      </c>
      <c r="AC43" s="8">
        <v>5273.7785000000003</v>
      </c>
      <c r="AD43" s="8">
        <v>6701.5839999999998</v>
      </c>
      <c r="AE43" s="8">
        <f>SUM(AA43:AD43)</f>
        <v>24401.306999999997</v>
      </c>
      <c r="AF43" s="8">
        <v>6783.6760000000004</v>
      </c>
      <c r="AG43" s="8">
        <v>5146.2965000000004</v>
      </c>
      <c r="AH43" s="8">
        <v>5690.5649999999996</v>
      </c>
      <c r="AI43" s="8">
        <v>6632.6705000000002</v>
      </c>
      <c r="AJ43" s="8">
        <f>SUM(AF43:AI43)</f>
        <v>24253.207999999999</v>
      </c>
      <c r="AK43" s="8">
        <v>7034.3284999999996</v>
      </c>
      <c r="AL43" s="8">
        <v>5388.4170000000004</v>
      </c>
      <c r="AM43" s="8">
        <v>5553.1109999999999</v>
      </c>
      <c r="AN43" s="8">
        <v>6649.4565000000002</v>
      </c>
      <c r="AO43" s="8">
        <f>SUM(AK43:AN43)</f>
        <v>24625.313000000002</v>
      </c>
      <c r="AP43" s="8">
        <v>7314.0985000000001</v>
      </c>
      <c r="AQ43" s="8">
        <v>5239.5550000000003</v>
      </c>
      <c r="AR43" s="8">
        <v>5709.576</v>
      </c>
      <c r="AS43" s="8">
        <v>6913.64</v>
      </c>
      <c r="AT43" s="8">
        <f>SUM(AP43:AS43)</f>
        <v>25176.869500000001</v>
      </c>
      <c r="AU43" s="8">
        <v>7536.6210000000001</v>
      </c>
      <c r="AV43" s="8">
        <v>5557.3459999999995</v>
      </c>
      <c r="AW43" s="8">
        <v>6077.6085000000003</v>
      </c>
      <c r="AX43" s="8">
        <v>7144.442</v>
      </c>
      <c r="AY43" s="8">
        <f>SUM(AU43:AX43)</f>
        <v>26316.017499999998</v>
      </c>
      <c r="AZ43" s="8">
        <v>7443.4939999999997</v>
      </c>
      <c r="BA43" s="8">
        <v>5784.3945000000003</v>
      </c>
      <c r="BB43" s="8">
        <v>6099.1274999999996</v>
      </c>
      <c r="BC43" s="8">
        <v>7377.0744999999997</v>
      </c>
      <c r="BD43" s="8">
        <f>SUM(AZ43:BC43)</f>
        <v>26704.090499999998</v>
      </c>
      <c r="BE43" s="8">
        <v>4639.8869999999997</v>
      </c>
      <c r="BF43" s="8">
        <v>5960</v>
      </c>
      <c r="BG43" s="8">
        <v>5604.6139999999996</v>
      </c>
      <c r="BH43" s="8">
        <v>8072.5844999999999</v>
      </c>
      <c r="BI43" s="8">
        <f>SUM(BE43:BH43)</f>
        <v>24277.085499999997</v>
      </c>
      <c r="BJ43" s="8">
        <v>7689</v>
      </c>
      <c r="BK43" s="8">
        <v>6178</v>
      </c>
      <c r="BL43" s="8">
        <v>6469.6319999999996</v>
      </c>
      <c r="BM43" s="8">
        <v>8487</v>
      </c>
      <c r="BN43" s="8">
        <f>SUM(BJ43:BM43)</f>
        <v>28823.631999999998</v>
      </c>
      <c r="BO43" s="8">
        <v>8744</v>
      </c>
      <c r="BP43" s="8">
        <v>7165.1129999999994</v>
      </c>
      <c r="BQ43" s="8">
        <v>7308.8870000000006</v>
      </c>
      <c r="BR43" s="8">
        <v>8665</v>
      </c>
      <c r="BS43" s="8">
        <f>SUM(BO43:BR43)</f>
        <v>31883</v>
      </c>
      <c r="BT43" s="8">
        <v>9288</v>
      </c>
      <c r="BU43" s="8">
        <v>7151</v>
      </c>
      <c r="BV43" s="8">
        <v>8014</v>
      </c>
      <c r="BW43" s="8">
        <v>8826.8050000000003</v>
      </c>
      <c r="BX43" s="8">
        <f>SUM(BT43:BW43)</f>
        <v>33279.805</v>
      </c>
      <c r="BY43" s="8">
        <v>8713</v>
      </c>
      <c r="BZ43" s="8">
        <v>7076</v>
      </c>
      <c r="CA43" s="8">
        <v>7879</v>
      </c>
      <c r="CB43" s="8">
        <v>9205</v>
      </c>
      <c r="CC43" s="8">
        <f>SUM(BY43:CB43)</f>
        <v>32873</v>
      </c>
      <c r="CD43" s="8">
        <v>9418</v>
      </c>
      <c r="CE43" s="8">
        <v>7365</v>
      </c>
      <c r="CF43" s="8">
        <v>8136</v>
      </c>
      <c r="CG43" s="8">
        <v>9800</v>
      </c>
      <c r="CH43" s="8">
        <f>SUM(CD43:CG43)</f>
        <v>34719</v>
      </c>
      <c r="CI43" s="8">
        <v>9386</v>
      </c>
      <c r="CJ43" s="8">
        <v>7963</v>
      </c>
      <c r="CK43" s="8">
        <v>8565</v>
      </c>
      <c r="CL43" s="8">
        <v>9628</v>
      </c>
      <c r="CM43" s="8">
        <f>SUM(CI43:CL43)</f>
        <v>35542</v>
      </c>
      <c r="CN43" s="8">
        <v>9530.9475000000002</v>
      </c>
      <c r="CO43" s="8">
        <v>7601.0524999999998</v>
      </c>
      <c r="CP43" s="8">
        <v>7725</v>
      </c>
      <c r="CQ43" s="8">
        <v>9140.7009999999991</v>
      </c>
      <c r="CR43" s="8">
        <f>SUM(CN43:CQ43)</f>
        <v>33997.701000000001</v>
      </c>
      <c r="CS43" s="8">
        <v>9480</v>
      </c>
      <c r="CT43" s="8">
        <v>7598</v>
      </c>
      <c r="CU43" s="8">
        <v>8509</v>
      </c>
      <c r="CV43" s="8">
        <v>9520</v>
      </c>
      <c r="CW43" s="8">
        <f t="shared" si="136"/>
        <v>35107</v>
      </c>
      <c r="CX43" s="8">
        <v>9854</v>
      </c>
      <c r="CY43" s="8">
        <v>7540</v>
      </c>
      <c r="CZ43" s="8">
        <v>8256</v>
      </c>
      <c r="DA43" s="8">
        <v>9690</v>
      </c>
      <c r="DB43" s="8">
        <f t="shared" si="135"/>
        <v>35340</v>
      </c>
      <c r="DC43" s="8">
        <v>9806</v>
      </c>
      <c r="DD43" s="8">
        <v>7945</v>
      </c>
      <c r="DE43" s="8">
        <v>8115</v>
      </c>
      <c r="DF43" s="8">
        <v>10058</v>
      </c>
      <c r="DG43" s="8">
        <f t="shared" si="137"/>
        <v>35924</v>
      </c>
      <c r="DH43" s="8">
        <v>8718</v>
      </c>
      <c r="DI43" s="8">
        <v>4393</v>
      </c>
      <c r="DJ43" s="8">
        <v>7865</v>
      </c>
      <c r="DK43" s="8">
        <v>9362</v>
      </c>
      <c r="DL43" s="8">
        <f t="shared" si="138"/>
        <v>30338</v>
      </c>
      <c r="DM43" s="8">
        <v>8253</v>
      </c>
      <c r="DN43" s="8">
        <v>7015</v>
      </c>
      <c r="DO43" s="8">
        <v>8281</v>
      </c>
      <c r="DP43" s="8">
        <v>9354</v>
      </c>
      <c r="DQ43" s="8">
        <f t="shared" si="139"/>
        <v>32903</v>
      </c>
      <c r="DR43" s="8">
        <v>9215</v>
      </c>
      <c r="DS43" s="8">
        <v>7587</v>
      </c>
      <c r="DT43" s="8">
        <v>8220</v>
      </c>
      <c r="DU43" s="8">
        <v>9590.8230000000003</v>
      </c>
      <c r="DV43" s="8">
        <f t="shared" si="140"/>
        <v>34612.823000000004</v>
      </c>
      <c r="DW43" s="8">
        <v>9807</v>
      </c>
      <c r="DX43" s="8">
        <v>8247</v>
      </c>
      <c r="DY43" s="8">
        <v>9154.1525000000001</v>
      </c>
      <c r="DZ43" s="8">
        <v>9762</v>
      </c>
      <c r="EA43" s="8">
        <f t="shared" si="141"/>
        <v>36970.152499999997</v>
      </c>
      <c r="EB43" s="8">
        <v>9724</v>
      </c>
      <c r="EC43" s="8">
        <v>8530.0390000000007</v>
      </c>
      <c r="ED43" s="8">
        <v>8718.0130000000008</v>
      </c>
      <c r="EE43" s="8">
        <v>9783.7625000000007</v>
      </c>
      <c r="EF43" s="8">
        <f t="shared" si="142"/>
        <v>36755.814500000008</v>
      </c>
      <c r="EG43" s="8">
        <v>9860.4110000000001</v>
      </c>
      <c r="EH43" s="8">
        <v>8256.1025000000009</v>
      </c>
      <c r="EI43" s="8">
        <v>8693.0579999999991</v>
      </c>
    </row>
    <row r="44" spans="1:204" ht="16.2" thickBot="1" x14ac:dyDescent="0.35">
      <c r="A44" s="2" t="s">
        <v>364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f t="shared" ref="Z44:Z50" si="143">SUM(V44:Y44)</f>
        <v>0</v>
      </c>
      <c r="AA44" s="9">
        <v>0</v>
      </c>
      <c r="AB44" s="9">
        <v>0</v>
      </c>
      <c r="AC44" s="9">
        <v>0</v>
      </c>
      <c r="AD44" s="9">
        <v>0</v>
      </c>
      <c r="AE44" s="9">
        <f t="shared" ref="AE44:AE50" si="144">SUM(AA44:AD44)</f>
        <v>0</v>
      </c>
      <c r="AF44" s="9">
        <v>0</v>
      </c>
      <c r="AG44" s="9">
        <v>0</v>
      </c>
      <c r="AH44" s="9">
        <v>0</v>
      </c>
      <c r="AI44" s="9">
        <v>0</v>
      </c>
      <c r="AJ44" s="9">
        <f t="shared" ref="AJ44:AJ50" si="145">SUM(AF44:AI44)</f>
        <v>0</v>
      </c>
      <c r="AK44" s="9">
        <v>0</v>
      </c>
      <c r="AL44" s="9">
        <v>0</v>
      </c>
      <c r="AM44" s="9">
        <v>0</v>
      </c>
      <c r="AN44" s="9">
        <v>0</v>
      </c>
      <c r="AO44" s="9">
        <f t="shared" ref="AO44:AO50" si="146">SUM(AK44:AN44)</f>
        <v>0</v>
      </c>
      <c r="AP44" s="9">
        <v>0</v>
      </c>
      <c r="AQ44" s="9">
        <v>0</v>
      </c>
      <c r="AR44" s="9">
        <v>0</v>
      </c>
      <c r="AS44" s="9">
        <v>0</v>
      </c>
      <c r="AT44" s="9">
        <f t="shared" ref="AT44:AT50" si="147">SUM(AP44:AS44)</f>
        <v>0</v>
      </c>
      <c r="AU44" s="9">
        <v>0</v>
      </c>
      <c r="AV44" s="9">
        <v>0</v>
      </c>
      <c r="AW44" s="9">
        <v>0</v>
      </c>
      <c r="AX44" s="9">
        <v>0</v>
      </c>
      <c r="AY44" s="9">
        <f t="shared" ref="AY44:AY50" si="148">SUM(AU44:AX44)</f>
        <v>0</v>
      </c>
      <c r="AZ44" s="9">
        <v>1111.1724999999999</v>
      </c>
      <c r="BA44" s="9">
        <v>1950.6945000000001</v>
      </c>
      <c r="BB44" s="9">
        <v>2104.0810000000001</v>
      </c>
      <c r="BC44" s="9">
        <v>2019.0525</v>
      </c>
      <c r="BD44" s="9">
        <f t="shared" ref="BD44:BD50" si="149">SUM(AZ44:BC44)</f>
        <v>7185.0005000000001</v>
      </c>
      <c r="BE44" s="9">
        <v>2859.181</v>
      </c>
      <c r="BF44" s="9">
        <v>1893</v>
      </c>
      <c r="BG44" s="9">
        <v>2827.299</v>
      </c>
      <c r="BH44" s="9">
        <v>2372.8200000000002</v>
      </c>
      <c r="BI44" s="9">
        <f>SUM(BE44:BH44)</f>
        <v>9952.3000000000011</v>
      </c>
      <c r="BJ44" s="9">
        <v>2368</v>
      </c>
      <c r="BK44" s="9">
        <v>3249</v>
      </c>
      <c r="BL44" s="9">
        <v>3643.6320000000001</v>
      </c>
      <c r="BM44" s="9">
        <v>2658</v>
      </c>
      <c r="BN44" s="9">
        <f>SUM(BJ44:BM44)</f>
        <v>11918.632</v>
      </c>
      <c r="BO44" s="9">
        <v>2635</v>
      </c>
      <c r="BP44" s="9">
        <v>2427.7309999999998</v>
      </c>
      <c r="BQ44" s="9">
        <v>2475.2690000000002</v>
      </c>
      <c r="BR44" s="9">
        <v>2695</v>
      </c>
      <c r="BS44" s="9">
        <f>SUM(BO44:BR44)</f>
        <v>10233</v>
      </c>
      <c r="BT44" s="9">
        <v>2758</v>
      </c>
      <c r="BU44" s="9">
        <v>2388</v>
      </c>
      <c r="BV44" s="9">
        <v>2457</v>
      </c>
      <c r="BW44" s="9">
        <v>2820.4935000000005</v>
      </c>
      <c r="BX44" s="9">
        <f>SUM(BT44:BW44)</f>
        <v>10423.4935</v>
      </c>
      <c r="BY44" s="9">
        <v>2824</v>
      </c>
      <c r="BZ44" s="9">
        <v>2306</v>
      </c>
      <c r="CA44" s="9">
        <v>2481</v>
      </c>
      <c r="CB44" s="9">
        <v>2870</v>
      </c>
      <c r="CC44" s="9">
        <f t="shared" ref="CC44:CC50" si="150">SUM(BY44:CB44)</f>
        <v>10481</v>
      </c>
      <c r="CD44" s="9">
        <v>2807</v>
      </c>
      <c r="CE44" s="9">
        <v>2531</v>
      </c>
      <c r="CF44" s="9">
        <v>2580</v>
      </c>
      <c r="CG44" s="9">
        <v>2859</v>
      </c>
      <c r="CH44" s="9">
        <f t="shared" ref="CH44:CH50" si="151">SUM(CD44:CG44)</f>
        <v>10777</v>
      </c>
      <c r="CI44" s="9">
        <v>2689</v>
      </c>
      <c r="CJ44" s="9">
        <v>2295</v>
      </c>
      <c r="CK44" s="9">
        <v>2294</v>
      </c>
      <c r="CL44" s="9">
        <v>2457</v>
      </c>
      <c r="CM44" s="9">
        <f t="shared" ref="CM44:CM50" si="152">SUM(CI44:CL44)</f>
        <v>9735</v>
      </c>
      <c r="CN44" s="9">
        <v>2637.8789999999999</v>
      </c>
      <c r="CO44" s="9">
        <v>2149.1210000000001</v>
      </c>
      <c r="CP44" s="9">
        <v>2338</v>
      </c>
      <c r="CQ44" s="9">
        <v>2662.6390000000001</v>
      </c>
      <c r="CR44" s="9">
        <f t="shared" ref="CR44:CR50" si="153">SUM(CN44:CQ44)</f>
        <v>9787.6389999999992</v>
      </c>
      <c r="CS44" s="9">
        <v>2842</v>
      </c>
      <c r="CT44" s="9">
        <v>2490</v>
      </c>
      <c r="CU44" s="9">
        <v>2576</v>
      </c>
      <c r="CV44" s="9">
        <v>2769</v>
      </c>
      <c r="CW44" s="9">
        <f t="shared" si="136"/>
        <v>10677</v>
      </c>
      <c r="CX44" s="9">
        <v>2905</v>
      </c>
      <c r="CY44" s="9">
        <v>2229</v>
      </c>
      <c r="CZ44" s="9">
        <v>2426</v>
      </c>
      <c r="DA44" s="9">
        <v>2775</v>
      </c>
      <c r="DB44" s="9">
        <f t="shared" si="135"/>
        <v>10335</v>
      </c>
      <c r="DC44" s="9">
        <v>2869</v>
      </c>
      <c r="DD44" s="9">
        <v>2345</v>
      </c>
      <c r="DE44" s="9">
        <v>2488</v>
      </c>
      <c r="DF44" s="9">
        <v>2902</v>
      </c>
      <c r="DG44" s="9">
        <f t="shared" si="137"/>
        <v>10604</v>
      </c>
      <c r="DH44" s="9">
        <v>2797</v>
      </c>
      <c r="DI44" s="9">
        <v>1354</v>
      </c>
      <c r="DJ44" s="9">
        <v>1781</v>
      </c>
      <c r="DK44" s="9">
        <v>2611</v>
      </c>
      <c r="DL44" s="9">
        <f t="shared" si="138"/>
        <v>8543</v>
      </c>
      <c r="DM44" s="9">
        <v>2292</v>
      </c>
      <c r="DN44" s="9">
        <v>2086</v>
      </c>
      <c r="DO44" s="9">
        <v>2376</v>
      </c>
      <c r="DP44" s="9">
        <v>1572</v>
      </c>
      <c r="DQ44" s="9">
        <f t="shared" si="139"/>
        <v>8326</v>
      </c>
      <c r="DR44" s="9">
        <v>0</v>
      </c>
      <c r="DS44" s="9">
        <v>0</v>
      </c>
      <c r="DT44" s="9">
        <v>0</v>
      </c>
      <c r="DU44" s="9">
        <v>0</v>
      </c>
      <c r="DV44" s="9">
        <f t="shared" si="140"/>
        <v>0</v>
      </c>
      <c r="DW44" s="9">
        <v>0</v>
      </c>
      <c r="DX44" s="9"/>
      <c r="DY44" s="9">
        <v>0</v>
      </c>
      <c r="DZ44" s="9">
        <v>0</v>
      </c>
      <c r="EA44" s="9">
        <f t="shared" si="141"/>
        <v>0</v>
      </c>
      <c r="EB44" s="9">
        <v>0</v>
      </c>
      <c r="EC44" s="9">
        <v>0</v>
      </c>
      <c r="ED44" s="9">
        <v>0</v>
      </c>
      <c r="EE44" s="9"/>
      <c r="EF44" s="9">
        <f t="shared" si="142"/>
        <v>0</v>
      </c>
      <c r="EG44" s="9"/>
      <c r="EH44" s="9"/>
      <c r="EI44" s="9"/>
    </row>
    <row r="45" spans="1:204" ht="15" thickTop="1" x14ac:dyDescent="0.3">
      <c r="A45" s="1" t="s">
        <v>443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f t="shared" si="143"/>
        <v>0</v>
      </c>
      <c r="AA45" s="8">
        <v>0</v>
      </c>
      <c r="AB45" s="8">
        <v>0</v>
      </c>
      <c r="AC45" s="8">
        <v>0</v>
      </c>
      <c r="AD45" s="8">
        <v>0</v>
      </c>
      <c r="AE45" s="8">
        <f t="shared" si="144"/>
        <v>0</v>
      </c>
      <c r="AF45" s="8">
        <v>0</v>
      </c>
      <c r="AG45" s="8">
        <v>0</v>
      </c>
      <c r="AH45" s="8">
        <v>0</v>
      </c>
      <c r="AI45" s="8">
        <v>0</v>
      </c>
      <c r="AJ45" s="8">
        <f t="shared" si="145"/>
        <v>0</v>
      </c>
      <c r="AK45" s="8">
        <v>0</v>
      </c>
      <c r="AL45" s="8">
        <v>0</v>
      </c>
      <c r="AM45" s="8">
        <v>0</v>
      </c>
      <c r="AN45" s="8">
        <v>0</v>
      </c>
      <c r="AO45" s="8">
        <f t="shared" si="146"/>
        <v>0</v>
      </c>
      <c r="AP45" s="8">
        <v>0</v>
      </c>
      <c r="AQ45" s="8">
        <v>0</v>
      </c>
      <c r="AR45" s="8">
        <v>0</v>
      </c>
      <c r="AS45" s="8">
        <v>0</v>
      </c>
      <c r="AT45" s="8">
        <f t="shared" si="147"/>
        <v>0</v>
      </c>
      <c r="AU45" s="8">
        <v>0</v>
      </c>
      <c r="AV45" s="8">
        <v>0</v>
      </c>
      <c r="AW45" s="8">
        <v>0</v>
      </c>
      <c r="AX45" s="8">
        <v>0</v>
      </c>
      <c r="AY45" s="8">
        <f t="shared" si="148"/>
        <v>0</v>
      </c>
      <c r="AZ45" s="8">
        <v>0</v>
      </c>
      <c r="BA45" s="8">
        <v>0</v>
      </c>
      <c r="BB45" s="8">
        <v>0</v>
      </c>
      <c r="BC45" s="8">
        <v>0</v>
      </c>
      <c r="BD45" s="8">
        <f t="shared" si="149"/>
        <v>0</v>
      </c>
      <c r="BE45" s="8">
        <v>0</v>
      </c>
      <c r="BF45" s="8">
        <v>663.02099999999996</v>
      </c>
      <c r="BG45" s="8">
        <v>4779.1695</v>
      </c>
      <c r="BH45" s="8">
        <v>5951.8424999999997</v>
      </c>
      <c r="BI45" s="8">
        <f>SUM(BE45:BH45)</f>
        <v>11394.032999999999</v>
      </c>
      <c r="BJ45" s="8">
        <v>8388</v>
      </c>
      <c r="BK45" s="8">
        <v>5728</v>
      </c>
      <c r="BL45" s="8">
        <v>12792.8225</v>
      </c>
      <c r="BM45" s="8">
        <v>13673</v>
      </c>
      <c r="BN45" s="8">
        <f>SUM(BJ45:BM45)</f>
        <v>40581.822500000002</v>
      </c>
      <c r="BO45" s="8">
        <v>13420</v>
      </c>
      <c r="BP45" s="8">
        <v>12983.807000000001</v>
      </c>
      <c r="BQ45" s="8">
        <v>13292.192999999999</v>
      </c>
      <c r="BR45" s="8">
        <v>14127</v>
      </c>
      <c r="BS45" s="8">
        <f>SUM(BO45:BR45)</f>
        <v>53823</v>
      </c>
      <c r="BT45" s="8">
        <v>14079</v>
      </c>
      <c r="BU45" s="8">
        <v>12928</v>
      </c>
      <c r="BV45" s="8">
        <v>14005</v>
      </c>
      <c r="BW45" s="8">
        <v>14344.220999999998</v>
      </c>
      <c r="BX45" s="8">
        <f>SUM(BT45:BW45)</f>
        <v>55356.220999999998</v>
      </c>
      <c r="BY45" s="8">
        <v>14216</v>
      </c>
      <c r="BZ45" s="8">
        <v>13288</v>
      </c>
      <c r="CA45" s="8">
        <v>14410</v>
      </c>
      <c r="CB45" s="8">
        <v>15124</v>
      </c>
      <c r="CC45" s="8">
        <f t="shared" si="150"/>
        <v>57038</v>
      </c>
      <c r="CD45" s="8">
        <v>15057</v>
      </c>
      <c r="CE45" s="8">
        <v>14131</v>
      </c>
      <c r="CF45" s="8">
        <v>14609</v>
      </c>
      <c r="CG45" s="8">
        <v>16017</v>
      </c>
      <c r="CH45" s="8">
        <f t="shared" si="151"/>
        <v>59814</v>
      </c>
      <c r="CI45" s="8">
        <v>15265</v>
      </c>
      <c r="CJ45" s="8">
        <v>14587</v>
      </c>
      <c r="CK45" s="8">
        <v>14774</v>
      </c>
      <c r="CL45" s="8">
        <v>15587</v>
      </c>
      <c r="CM45" s="8">
        <f t="shared" si="152"/>
        <v>60213</v>
      </c>
      <c r="CN45" s="8">
        <v>14929.690000000002</v>
      </c>
      <c r="CO45" s="8">
        <v>13351.309999999998</v>
      </c>
      <c r="CP45" s="8">
        <v>13936</v>
      </c>
      <c r="CQ45" s="8">
        <v>14654.647999999999</v>
      </c>
      <c r="CR45" s="8">
        <f t="shared" si="153"/>
        <v>56871.648000000001</v>
      </c>
      <c r="CS45" s="8">
        <v>14430</v>
      </c>
      <c r="CT45" s="8">
        <v>13598</v>
      </c>
      <c r="CU45" s="8">
        <v>14449</v>
      </c>
      <c r="CV45" s="8">
        <v>15255</v>
      </c>
      <c r="CW45" s="8">
        <f t="shared" si="136"/>
        <v>57732</v>
      </c>
      <c r="CX45" s="8">
        <v>15014</v>
      </c>
      <c r="CY45" s="8">
        <v>13197</v>
      </c>
      <c r="CZ45" s="8">
        <v>14760</v>
      </c>
      <c r="DA45" s="8">
        <v>15723</v>
      </c>
      <c r="DB45" s="8">
        <f t="shared" si="135"/>
        <v>58694</v>
      </c>
      <c r="DC45" s="8">
        <v>15800</v>
      </c>
      <c r="DD45" s="8">
        <v>14537</v>
      </c>
      <c r="DE45" s="8">
        <v>14959</v>
      </c>
      <c r="DF45" s="8">
        <v>16286</v>
      </c>
      <c r="DG45" s="8">
        <f t="shared" si="137"/>
        <v>61582</v>
      </c>
      <c r="DH45" s="8">
        <v>14017</v>
      </c>
      <c r="DI45" s="8">
        <v>7819</v>
      </c>
      <c r="DJ45" s="8">
        <v>13046</v>
      </c>
      <c r="DK45" s="8">
        <v>15424</v>
      </c>
      <c r="DL45" s="8">
        <f t="shared" si="138"/>
        <v>50306</v>
      </c>
      <c r="DM45" s="8">
        <v>13373</v>
      </c>
      <c r="DN45" s="8">
        <v>12554</v>
      </c>
      <c r="DO45" s="8">
        <v>14632</v>
      </c>
      <c r="DP45" s="8">
        <v>15760</v>
      </c>
      <c r="DQ45" s="8">
        <f t="shared" si="139"/>
        <v>56319</v>
      </c>
      <c r="DR45" s="8">
        <v>14744</v>
      </c>
      <c r="DS45" s="8">
        <v>13864</v>
      </c>
      <c r="DT45" s="8">
        <v>14981</v>
      </c>
      <c r="DU45" s="8">
        <v>16015.661999999998</v>
      </c>
      <c r="DV45" s="8">
        <f t="shared" si="140"/>
        <v>59604.661999999997</v>
      </c>
      <c r="DW45" s="8">
        <v>15903</v>
      </c>
      <c r="DX45" s="8">
        <v>15047</v>
      </c>
      <c r="DY45" s="8">
        <v>16575.557499999999</v>
      </c>
      <c r="DZ45" s="8">
        <v>17522</v>
      </c>
      <c r="EA45" s="8">
        <f t="shared" si="141"/>
        <v>65047.557499999995</v>
      </c>
      <c r="EB45" s="8">
        <v>16809</v>
      </c>
      <c r="EC45" s="8">
        <v>16382.905999999999</v>
      </c>
      <c r="ED45" s="8">
        <v>17200.129000000001</v>
      </c>
      <c r="EE45" s="8">
        <v>18160.347499999996</v>
      </c>
      <c r="EF45" s="8">
        <f t="shared" si="142"/>
        <v>68552.382500000007</v>
      </c>
      <c r="EG45" s="8">
        <v>17902.751</v>
      </c>
      <c r="EH45" s="8">
        <v>16311.029</v>
      </c>
      <c r="EI45" s="8">
        <v>17243.392499999998</v>
      </c>
    </row>
    <row r="46" spans="1:204" ht="15" thickBot="1" x14ac:dyDescent="0.35">
      <c r="A46" s="2" t="s">
        <v>481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f t="shared" si="143"/>
        <v>0</v>
      </c>
      <c r="AA46" s="9">
        <v>0</v>
      </c>
      <c r="AB46" s="9">
        <v>0</v>
      </c>
      <c r="AC46" s="9">
        <v>0</v>
      </c>
      <c r="AD46" s="9">
        <v>0</v>
      </c>
      <c r="AE46" s="9">
        <f t="shared" si="144"/>
        <v>0</v>
      </c>
      <c r="AF46" s="9">
        <v>0</v>
      </c>
      <c r="AG46" s="9">
        <v>0</v>
      </c>
      <c r="AH46" s="9">
        <v>0</v>
      </c>
      <c r="AI46" s="9">
        <v>0</v>
      </c>
      <c r="AJ46" s="9">
        <f t="shared" si="145"/>
        <v>0</v>
      </c>
      <c r="AK46" s="9">
        <v>0</v>
      </c>
      <c r="AL46" s="9">
        <v>0</v>
      </c>
      <c r="AM46" s="9">
        <v>0</v>
      </c>
      <c r="AN46" s="9">
        <v>0</v>
      </c>
      <c r="AO46" s="9">
        <f t="shared" si="146"/>
        <v>0</v>
      </c>
      <c r="AP46" s="9">
        <v>0</v>
      </c>
      <c r="AQ46" s="9">
        <v>0</v>
      </c>
      <c r="AR46" s="9">
        <v>0</v>
      </c>
      <c r="AS46" s="9">
        <v>0</v>
      </c>
      <c r="AT46" s="9">
        <f t="shared" si="147"/>
        <v>0</v>
      </c>
      <c r="AU46" s="9">
        <v>0</v>
      </c>
      <c r="AV46" s="9">
        <v>0</v>
      </c>
      <c r="AW46" s="9">
        <v>0</v>
      </c>
      <c r="AX46" s="9">
        <v>0</v>
      </c>
      <c r="AY46" s="9">
        <f t="shared" si="148"/>
        <v>0</v>
      </c>
      <c r="AZ46" s="9">
        <v>0</v>
      </c>
      <c r="BA46" s="9">
        <v>0</v>
      </c>
      <c r="BB46" s="9">
        <v>0</v>
      </c>
      <c r="BC46" s="9">
        <v>0</v>
      </c>
      <c r="BD46" s="9">
        <f t="shared" si="149"/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f t="shared" si="150"/>
        <v>0</v>
      </c>
      <c r="CD46" s="9">
        <v>0</v>
      </c>
      <c r="CE46" s="9">
        <v>1781</v>
      </c>
      <c r="CF46" s="9">
        <v>3964</v>
      </c>
      <c r="CG46" s="9">
        <v>4358</v>
      </c>
      <c r="CH46" s="9">
        <f t="shared" si="151"/>
        <v>10103</v>
      </c>
      <c r="CI46" s="9">
        <v>4669</v>
      </c>
      <c r="CJ46" s="9">
        <v>3847</v>
      </c>
      <c r="CK46" s="9">
        <v>3965</v>
      </c>
      <c r="CL46" s="9">
        <v>4232</v>
      </c>
      <c r="CM46" s="9">
        <f t="shared" si="152"/>
        <v>16713</v>
      </c>
      <c r="CN46" s="9">
        <v>4505.3499999999995</v>
      </c>
      <c r="CO46" s="9">
        <v>3606.6500000000005</v>
      </c>
      <c r="CP46" s="9">
        <v>3780</v>
      </c>
      <c r="CQ46" s="9">
        <v>3945.6104999999998</v>
      </c>
      <c r="CR46" s="9">
        <f t="shared" si="153"/>
        <v>15837.610499999999</v>
      </c>
      <c r="CS46" s="9">
        <v>4251</v>
      </c>
      <c r="CT46" s="9">
        <v>3687</v>
      </c>
      <c r="CU46" s="9">
        <v>3741</v>
      </c>
      <c r="CV46" s="9">
        <v>3987</v>
      </c>
      <c r="CW46" s="9">
        <f t="shared" si="136"/>
        <v>15666</v>
      </c>
      <c r="CX46" s="9">
        <v>4318</v>
      </c>
      <c r="CY46" s="9">
        <v>3391</v>
      </c>
      <c r="CZ46" s="9">
        <v>3769</v>
      </c>
      <c r="DA46" s="9">
        <v>4048</v>
      </c>
      <c r="DB46" s="9">
        <f t="shared" si="135"/>
        <v>15526</v>
      </c>
      <c r="DC46" s="9">
        <v>4462</v>
      </c>
      <c r="DD46" s="9">
        <v>3596</v>
      </c>
      <c r="DE46" s="9">
        <v>3742</v>
      </c>
      <c r="DF46" s="9">
        <v>4031</v>
      </c>
      <c r="DG46" s="9">
        <f t="shared" si="137"/>
        <v>15831</v>
      </c>
      <c r="DH46" s="9">
        <v>4118</v>
      </c>
      <c r="DI46" s="9">
        <v>2575</v>
      </c>
      <c r="DJ46" s="9">
        <v>3595</v>
      </c>
      <c r="DK46" s="9">
        <v>4344</v>
      </c>
      <c r="DL46" s="9">
        <f t="shared" si="138"/>
        <v>14632</v>
      </c>
      <c r="DM46" s="9">
        <v>4119</v>
      </c>
      <c r="DN46" s="9">
        <v>3600</v>
      </c>
      <c r="DO46" s="9">
        <v>4039</v>
      </c>
      <c r="DP46" s="9">
        <v>4299</v>
      </c>
      <c r="DQ46" s="9">
        <f t="shared" si="139"/>
        <v>16057</v>
      </c>
      <c r="DR46" s="9">
        <v>4543</v>
      </c>
      <c r="DS46" s="9">
        <v>3938</v>
      </c>
      <c r="DT46" s="9">
        <v>4201</v>
      </c>
      <c r="DU46" s="9">
        <v>4121.2915000000003</v>
      </c>
      <c r="DV46" s="9">
        <f t="shared" si="140"/>
        <v>16803.291499999999</v>
      </c>
      <c r="DW46" s="9">
        <v>5064</v>
      </c>
      <c r="DX46" s="9">
        <v>4258</v>
      </c>
      <c r="DY46" s="9">
        <v>4470.4789999999994</v>
      </c>
      <c r="DZ46" s="9">
        <v>4853</v>
      </c>
      <c r="EA46" s="9">
        <f t="shared" si="141"/>
        <v>18645.478999999999</v>
      </c>
      <c r="EB46" s="9">
        <v>5106</v>
      </c>
      <c r="EC46" s="9">
        <v>4343.6610000000001</v>
      </c>
      <c r="ED46" s="9">
        <v>4698.2494999999999</v>
      </c>
      <c r="EE46" s="9">
        <v>4970.0259999999998</v>
      </c>
      <c r="EF46" s="9">
        <f t="shared" si="142"/>
        <v>19117.9365</v>
      </c>
      <c r="EG46" s="9">
        <v>5406.5529999999999</v>
      </c>
      <c r="EH46" s="9">
        <v>4746.165</v>
      </c>
      <c r="EI46" s="9">
        <v>4981.2520000000004</v>
      </c>
    </row>
    <row r="47" spans="1:204" ht="15" thickTop="1" x14ac:dyDescent="0.3">
      <c r="A47" s="1" t="s">
        <v>445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f t="shared" si="143"/>
        <v>0</v>
      </c>
      <c r="AA47" s="8">
        <v>0</v>
      </c>
      <c r="AB47" s="8">
        <v>0</v>
      </c>
      <c r="AC47" s="8">
        <v>0</v>
      </c>
      <c r="AD47" s="8">
        <v>0</v>
      </c>
      <c r="AE47" s="8">
        <f t="shared" si="144"/>
        <v>0</v>
      </c>
      <c r="AF47" s="8">
        <v>0</v>
      </c>
      <c r="AG47" s="8">
        <v>0</v>
      </c>
      <c r="AH47" s="8">
        <v>0</v>
      </c>
      <c r="AI47" s="8">
        <v>0</v>
      </c>
      <c r="AJ47" s="8">
        <f t="shared" si="145"/>
        <v>0</v>
      </c>
      <c r="AK47" s="8">
        <v>0</v>
      </c>
      <c r="AL47" s="8">
        <v>0</v>
      </c>
      <c r="AM47" s="8">
        <v>0</v>
      </c>
      <c r="AN47" s="8">
        <v>0</v>
      </c>
      <c r="AO47" s="8">
        <f t="shared" si="146"/>
        <v>0</v>
      </c>
      <c r="AP47" s="8">
        <v>0</v>
      </c>
      <c r="AQ47" s="8">
        <v>0</v>
      </c>
      <c r="AR47" s="8">
        <v>0</v>
      </c>
      <c r="AS47" s="8">
        <v>0</v>
      </c>
      <c r="AT47" s="8">
        <f t="shared" si="147"/>
        <v>0</v>
      </c>
      <c r="AU47" s="8">
        <v>0</v>
      </c>
      <c r="AV47" s="8">
        <v>0</v>
      </c>
      <c r="AW47" s="8">
        <v>0</v>
      </c>
      <c r="AX47" s="8">
        <v>0</v>
      </c>
      <c r="AY47" s="8">
        <f t="shared" si="148"/>
        <v>0</v>
      </c>
      <c r="AZ47" s="8">
        <v>0</v>
      </c>
      <c r="BA47" s="8">
        <v>0</v>
      </c>
      <c r="BB47" s="8">
        <v>0</v>
      </c>
      <c r="BC47" s="8">
        <v>0</v>
      </c>
      <c r="BD47" s="8">
        <f t="shared" si="149"/>
        <v>0</v>
      </c>
      <c r="BE47" s="8">
        <v>0</v>
      </c>
      <c r="BF47" s="8">
        <v>0</v>
      </c>
      <c r="BG47" s="8">
        <v>0</v>
      </c>
      <c r="BH47" s="8">
        <v>0</v>
      </c>
      <c r="BI47" s="8">
        <f>SUM(BE47:BH47)</f>
        <v>0</v>
      </c>
      <c r="BJ47" s="8">
        <v>0</v>
      </c>
      <c r="BK47" s="8">
        <v>0</v>
      </c>
      <c r="BL47" s="8">
        <v>0</v>
      </c>
      <c r="BM47" s="8">
        <v>0</v>
      </c>
      <c r="BN47" s="8">
        <f>SUM(BJ47:BM47)</f>
        <v>0</v>
      </c>
      <c r="BO47" s="8">
        <v>0</v>
      </c>
      <c r="BP47" s="8">
        <v>0</v>
      </c>
      <c r="BQ47" s="8">
        <v>0</v>
      </c>
      <c r="BR47" s="8">
        <v>0</v>
      </c>
      <c r="BS47" s="8">
        <f>SUM(BO47:BR47)</f>
        <v>0</v>
      </c>
      <c r="BT47" s="8">
        <v>0</v>
      </c>
      <c r="BU47" s="8">
        <v>0</v>
      </c>
      <c r="BV47" s="8">
        <v>0</v>
      </c>
      <c r="BW47" s="8">
        <v>0</v>
      </c>
      <c r="BX47" s="8">
        <f>SUM(BT47:BW47)</f>
        <v>0</v>
      </c>
      <c r="BY47" s="8">
        <v>0</v>
      </c>
      <c r="BZ47" s="8">
        <v>0</v>
      </c>
      <c r="CA47" s="8">
        <v>0</v>
      </c>
      <c r="CB47" s="8">
        <v>0</v>
      </c>
      <c r="CC47" s="8">
        <f t="shared" si="150"/>
        <v>0</v>
      </c>
      <c r="CD47" s="8">
        <v>0</v>
      </c>
      <c r="CE47" s="8">
        <v>0</v>
      </c>
      <c r="CF47" s="8">
        <v>0</v>
      </c>
      <c r="CG47" s="8">
        <v>0</v>
      </c>
      <c r="CH47" s="8">
        <f t="shared" si="151"/>
        <v>0</v>
      </c>
      <c r="CI47" s="8">
        <v>0</v>
      </c>
      <c r="CJ47" s="8">
        <v>1938</v>
      </c>
      <c r="CK47" s="8">
        <v>6016</v>
      </c>
      <c r="CL47" s="8">
        <v>6182</v>
      </c>
      <c r="CM47" s="8">
        <f t="shared" si="152"/>
        <v>14136</v>
      </c>
      <c r="CN47" s="8">
        <v>5814.6710000000003</v>
      </c>
      <c r="CO47" s="8">
        <v>5831.3289999999997</v>
      </c>
      <c r="CP47" s="8">
        <v>6212</v>
      </c>
      <c r="CQ47" s="8">
        <v>6417.1059999999998</v>
      </c>
      <c r="CR47" s="8">
        <f t="shared" si="153"/>
        <v>24275.106</v>
      </c>
      <c r="CS47" s="8">
        <v>6292</v>
      </c>
      <c r="CT47" s="8">
        <v>6242</v>
      </c>
      <c r="CU47" s="8">
        <v>6481</v>
      </c>
      <c r="CV47" s="8">
        <v>6604</v>
      </c>
      <c r="CW47" s="8">
        <f t="shared" si="136"/>
        <v>25619</v>
      </c>
      <c r="CX47" s="8">
        <v>6235</v>
      </c>
      <c r="CY47" s="8">
        <v>6076</v>
      </c>
      <c r="CZ47" s="8">
        <v>6407</v>
      </c>
      <c r="DA47" s="8">
        <v>6521</v>
      </c>
      <c r="DB47" s="8">
        <f t="shared" si="135"/>
        <v>25239</v>
      </c>
      <c r="DC47" s="8">
        <v>6223</v>
      </c>
      <c r="DD47" s="8">
        <v>6145</v>
      </c>
      <c r="DE47" s="8">
        <v>6332</v>
      </c>
      <c r="DF47" s="8">
        <v>6429</v>
      </c>
      <c r="DG47" s="8">
        <f t="shared" si="137"/>
        <v>25129</v>
      </c>
      <c r="DH47" s="8">
        <v>5623</v>
      </c>
      <c r="DI47" s="8">
        <v>3682</v>
      </c>
      <c r="DJ47" s="8">
        <v>5523</v>
      </c>
      <c r="DK47" s="8">
        <v>5943</v>
      </c>
      <c r="DL47" s="8">
        <f t="shared" si="138"/>
        <v>20771</v>
      </c>
      <c r="DM47" s="8">
        <v>5638</v>
      </c>
      <c r="DN47" s="8">
        <v>5586</v>
      </c>
      <c r="DO47" s="8">
        <v>6099</v>
      </c>
      <c r="DP47" s="8">
        <v>6205</v>
      </c>
      <c r="DQ47" s="8">
        <f t="shared" si="139"/>
        <v>23528</v>
      </c>
      <c r="DR47" s="8">
        <v>5855</v>
      </c>
      <c r="DS47" s="8">
        <v>5935</v>
      </c>
      <c r="DT47" s="8">
        <v>6250</v>
      </c>
      <c r="DU47" s="8">
        <v>6222.8809999999994</v>
      </c>
      <c r="DV47" s="8">
        <f t="shared" si="140"/>
        <v>24262.881000000001</v>
      </c>
      <c r="DW47" s="8">
        <v>5983</v>
      </c>
      <c r="DX47" s="8">
        <v>6083</v>
      </c>
      <c r="DY47" s="8">
        <v>6241.3250000000007</v>
      </c>
      <c r="DZ47" s="8">
        <v>6196</v>
      </c>
      <c r="EA47" s="8">
        <f t="shared" si="141"/>
        <v>24503.325000000001</v>
      </c>
      <c r="EB47" s="8">
        <v>5850</v>
      </c>
      <c r="EC47" s="8">
        <v>6073.8815000000004</v>
      </c>
      <c r="ED47" s="8">
        <v>6288.9150000000009</v>
      </c>
      <c r="EE47" s="8">
        <v>6311.4804999999997</v>
      </c>
      <c r="EF47" s="8">
        <f t="shared" si="142"/>
        <v>24524.277000000002</v>
      </c>
      <c r="EG47" s="8">
        <v>6045.8905000000004</v>
      </c>
      <c r="EH47" s="8">
        <v>6104.4714999999997</v>
      </c>
      <c r="EI47" s="8">
        <v>6388.7785000000003</v>
      </c>
    </row>
    <row r="48" spans="1:204" ht="15" thickBot="1" x14ac:dyDescent="0.35">
      <c r="A48" s="2" t="s">
        <v>456</v>
      </c>
      <c r="B48" s="9">
        <v>0</v>
      </c>
      <c r="C48" s="9">
        <v>0</v>
      </c>
      <c r="D48" s="9">
        <v>0</v>
      </c>
      <c r="E48" s="9">
        <v>0</v>
      </c>
      <c r="F48" s="9">
        <f>SUM(B48:E48)</f>
        <v>0</v>
      </c>
      <c r="G48" s="9">
        <v>0</v>
      </c>
      <c r="H48" s="9">
        <v>0</v>
      </c>
      <c r="I48" s="9">
        <v>0</v>
      </c>
      <c r="J48" s="9">
        <v>0</v>
      </c>
      <c r="K48" s="9">
        <f>SUM(G48:J48)</f>
        <v>0</v>
      </c>
      <c r="L48" s="9">
        <v>0</v>
      </c>
      <c r="M48" s="9">
        <v>0</v>
      </c>
      <c r="N48" s="9">
        <v>0</v>
      </c>
      <c r="O48" s="9">
        <v>0</v>
      </c>
      <c r="P48" s="9">
        <f>SUM(L48:O48)</f>
        <v>0</v>
      </c>
      <c r="Q48" s="9">
        <v>0</v>
      </c>
      <c r="R48" s="9">
        <v>0</v>
      </c>
      <c r="S48" s="9">
        <v>0</v>
      </c>
      <c r="T48" s="9">
        <v>0</v>
      </c>
      <c r="U48" s="9">
        <f>SUM(Q48:T48)</f>
        <v>0</v>
      </c>
      <c r="V48" s="9">
        <v>0</v>
      </c>
      <c r="W48" s="9">
        <v>0</v>
      </c>
      <c r="X48" s="9">
        <v>0</v>
      </c>
      <c r="Y48" s="9">
        <v>0</v>
      </c>
      <c r="Z48" s="9">
        <f t="shared" si="143"/>
        <v>0</v>
      </c>
      <c r="AA48" s="9">
        <v>0</v>
      </c>
      <c r="AB48" s="9">
        <v>0</v>
      </c>
      <c r="AC48" s="9">
        <v>0</v>
      </c>
      <c r="AD48" s="9">
        <v>0</v>
      </c>
      <c r="AE48" s="9">
        <f t="shared" si="144"/>
        <v>0</v>
      </c>
      <c r="AF48" s="9">
        <v>0</v>
      </c>
      <c r="AG48" s="9">
        <v>0</v>
      </c>
      <c r="AH48" s="9">
        <v>0</v>
      </c>
      <c r="AI48" s="9">
        <v>0</v>
      </c>
      <c r="AJ48" s="9">
        <f t="shared" si="145"/>
        <v>0</v>
      </c>
      <c r="AK48" s="9">
        <v>0</v>
      </c>
      <c r="AL48" s="9">
        <v>0</v>
      </c>
      <c r="AM48" s="9">
        <v>0</v>
      </c>
      <c r="AN48" s="9">
        <v>0</v>
      </c>
      <c r="AO48" s="9">
        <f t="shared" si="146"/>
        <v>0</v>
      </c>
      <c r="AP48" s="9">
        <v>0</v>
      </c>
      <c r="AQ48" s="9">
        <v>0</v>
      </c>
      <c r="AR48" s="9">
        <v>0</v>
      </c>
      <c r="AS48" s="9">
        <v>0</v>
      </c>
      <c r="AT48" s="9">
        <f t="shared" si="147"/>
        <v>0</v>
      </c>
      <c r="AU48" s="9">
        <v>0</v>
      </c>
      <c r="AV48" s="9">
        <v>0</v>
      </c>
      <c r="AW48" s="9">
        <v>0</v>
      </c>
      <c r="AX48" s="9">
        <v>0</v>
      </c>
      <c r="AY48" s="9">
        <f t="shared" si="148"/>
        <v>0</v>
      </c>
      <c r="AZ48" s="9">
        <v>0</v>
      </c>
      <c r="BA48" s="9">
        <v>0</v>
      </c>
      <c r="BB48" s="9">
        <v>0</v>
      </c>
      <c r="BC48" s="9">
        <v>0</v>
      </c>
      <c r="BD48" s="9">
        <f t="shared" si="149"/>
        <v>0</v>
      </c>
      <c r="BE48" s="9">
        <v>0</v>
      </c>
      <c r="BF48" s="9">
        <v>0</v>
      </c>
      <c r="BG48" s="9">
        <v>0</v>
      </c>
      <c r="BH48" s="9">
        <v>0</v>
      </c>
      <c r="BI48" s="9">
        <f>SUM(BE48:BH48)</f>
        <v>0</v>
      </c>
      <c r="BJ48" s="9">
        <v>0</v>
      </c>
      <c r="BK48" s="9">
        <v>0</v>
      </c>
      <c r="BL48" s="9">
        <v>0</v>
      </c>
      <c r="BM48" s="9">
        <v>0</v>
      </c>
      <c r="BN48" s="9">
        <f>SUM(BJ48:BM48)</f>
        <v>0</v>
      </c>
      <c r="BO48" s="9">
        <v>0</v>
      </c>
      <c r="BP48" s="9">
        <v>0</v>
      </c>
      <c r="BQ48" s="9">
        <v>0</v>
      </c>
      <c r="BR48" s="9">
        <v>0</v>
      </c>
      <c r="BS48" s="9">
        <f>SUM(BO48:BR48)</f>
        <v>0</v>
      </c>
      <c r="BT48" s="9">
        <v>0</v>
      </c>
      <c r="BU48" s="9">
        <v>0</v>
      </c>
      <c r="BV48" s="9">
        <v>0</v>
      </c>
      <c r="BW48" s="9">
        <v>0</v>
      </c>
      <c r="BX48" s="9">
        <f>SUM(BT48:BW48)</f>
        <v>0</v>
      </c>
      <c r="BY48" s="9">
        <v>0</v>
      </c>
      <c r="BZ48" s="9">
        <v>0</v>
      </c>
      <c r="CA48" s="9">
        <v>0</v>
      </c>
      <c r="CB48" s="9">
        <v>0</v>
      </c>
      <c r="CC48" s="9">
        <f t="shared" si="150"/>
        <v>0</v>
      </c>
      <c r="CD48" s="9">
        <v>0</v>
      </c>
      <c r="CE48" s="9">
        <v>0</v>
      </c>
      <c r="CF48" s="9">
        <v>0</v>
      </c>
      <c r="CG48" s="9">
        <v>0</v>
      </c>
      <c r="CH48" s="9">
        <f t="shared" si="151"/>
        <v>0</v>
      </c>
      <c r="CI48" s="9">
        <v>0</v>
      </c>
      <c r="CJ48" s="9">
        <v>0</v>
      </c>
      <c r="CK48" s="9">
        <v>0</v>
      </c>
      <c r="CL48" s="9">
        <v>0</v>
      </c>
      <c r="CM48" s="9">
        <f t="shared" si="152"/>
        <v>0</v>
      </c>
      <c r="CN48" s="9">
        <v>0</v>
      </c>
      <c r="CO48" s="9">
        <v>0</v>
      </c>
      <c r="CP48" s="9">
        <v>0</v>
      </c>
      <c r="CQ48" s="9">
        <v>0</v>
      </c>
      <c r="CR48" s="9">
        <f t="shared" si="153"/>
        <v>0</v>
      </c>
      <c r="CS48" s="9">
        <v>0</v>
      </c>
      <c r="CT48" s="9">
        <v>0</v>
      </c>
      <c r="CU48" s="9">
        <v>0</v>
      </c>
      <c r="CV48" s="9">
        <v>0</v>
      </c>
      <c r="CW48" s="9">
        <f>SUM(CS48:CV48)</f>
        <v>0</v>
      </c>
      <c r="CX48" s="9">
        <v>0</v>
      </c>
      <c r="CY48" s="9">
        <v>0</v>
      </c>
      <c r="CZ48" s="9">
        <v>0</v>
      </c>
      <c r="DA48" s="9">
        <v>0</v>
      </c>
      <c r="DB48" s="9">
        <f t="shared" si="135"/>
        <v>0</v>
      </c>
      <c r="DC48" s="9">
        <f>SUM(CY48:DB48)</f>
        <v>0</v>
      </c>
      <c r="DD48" s="9">
        <v>1544</v>
      </c>
      <c r="DE48" s="9">
        <v>1712</v>
      </c>
      <c r="DF48" s="9">
        <v>1834</v>
      </c>
      <c r="DG48" s="9">
        <f t="shared" ref="DG48:DJ50" si="154">SUM(DC48:DF48)</f>
        <v>5090</v>
      </c>
      <c r="DH48" s="9">
        <v>1782</v>
      </c>
      <c r="DI48" s="9">
        <v>1214</v>
      </c>
      <c r="DJ48" s="9">
        <v>1544</v>
      </c>
      <c r="DK48" s="9">
        <v>1950</v>
      </c>
      <c r="DL48" s="9">
        <f>SUM(DH48:DK48)</f>
        <v>6490</v>
      </c>
      <c r="DM48" s="9">
        <v>1703</v>
      </c>
      <c r="DN48" s="9">
        <v>1478</v>
      </c>
      <c r="DO48" s="9">
        <v>1663</v>
      </c>
      <c r="DP48" s="9">
        <v>1823</v>
      </c>
      <c r="DQ48" s="9">
        <f>SUM(DM48:DP48)</f>
        <v>6667</v>
      </c>
      <c r="DR48" s="9">
        <v>1744</v>
      </c>
      <c r="DS48" s="9">
        <v>1584</v>
      </c>
      <c r="DT48" s="9">
        <v>1787</v>
      </c>
      <c r="DU48" s="9">
        <v>1870.0995000000003</v>
      </c>
      <c r="DV48" s="9">
        <f t="shared" si="140"/>
        <v>6985.0995000000003</v>
      </c>
      <c r="DW48" s="9">
        <v>1938</v>
      </c>
      <c r="DX48" s="9">
        <v>1733</v>
      </c>
      <c r="DY48" s="9">
        <v>1930.0840000000003</v>
      </c>
      <c r="DZ48" s="9">
        <v>2026</v>
      </c>
      <c r="EA48" s="9">
        <f t="shared" si="141"/>
        <v>7627.0840000000007</v>
      </c>
      <c r="EB48" s="9">
        <v>2109</v>
      </c>
      <c r="EC48" s="9">
        <v>1807.1410000000001</v>
      </c>
      <c r="ED48" s="9">
        <v>2035.8700000000001</v>
      </c>
      <c r="EE48" s="9">
        <v>2098.6655000000001</v>
      </c>
      <c r="EF48" s="9">
        <f t="shared" si="142"/>
        <v>8050.6765000000005</v>
      </c>
      <c r="EG48" s="9">
        <v>2102.0680000000002</v>
      </c>
      <c r="EH48" s="9">
        <v>1891.5335</v>
      </c>
      <c r="EI48" s="9">
        <v>2077.4650000000001</v>
      </c>
    </row>
    <row r="49" spans="1:223" ht="15" thickTop="1" x14ac:dyDescent="0.3">
      <c r="A49" s="1" t="s">
        <v>457</v>
      </c>
      <c r="B49" s="8">
        <v>0</v>
      </c>
      <c r="C49" s="8">
        <v>0</v>
      </c>
      <c r="D49" s="8">
        <v>0</v>
      </c>
      <c r="E49" s="8">
        <v>0</v>
      </c>
      <c r="F49" s="8">
        <f>SUM(B49:E49)</f>
        <v>0</v>
      </c>
      <c r="G49" s="8">
        <v>0</v>
      </c>
      <c r="H49" s="8">
        <v>0</v>
      </c>
      <c r="I49" s="8">
        <v>0</v>
      </c>
      <c r="J49" s="8">
        <v>0</v>
      </c>
      <c r="K49" s="8">
        <f>SUM(G49:J49)</f>
        <v>0</v>
      </c>
      <c r="L49" s="8">
        <v>0</v>
      </c>
      <c r="M49" s="8">
        <v>0</v>
      </c>
      <c r="N49" s="8">
        <v>0</v>
      </c>
      <c r="O49" s="8">
        <v>0</v>
      </c>
      <c r="P49" s="8">
        <f>SUM(L49:O49)</f>
        <v>0</v>
      </c>
      <c r="Q49" s="8">
        <v>0</v>
      </c>
      <c r="R49" s="8">
        <v>0</v>
      </c>
      <c r="S49" s="8">
        <v>0</v>
      </c>
      <c r="T49" s="8">
        <v>0</v>
      </c>
      <c r="U49" s="8">
        <f>SUM(Q49:T49)</f>
        <v>0</v>
      </c>
      <c r="V49" s="8">
        <v>0</v>
      </c>
      <c r="W49" s="8">
        <v>0</v>
      </c>
      <c r="X49" s="8">
        <v>0</v>
      </c>
      <c r="Y49" s="8">
        <v>0</v>
      </c>
      <c r="Z49" s="8">
        <f t="shared" si="143"/>
        <v>0</v>
      </c>
      <c r="AA49" s="8">
        <v>0</v>
      </c>
      <c r="AB49" s="8">
        <v>0</v>
      </c>
      <c r="AC49" s="8">
        <v>0</v>
      </c>
      <c r="AD49" s="8">
        <v>0</v>
      </c>
      <c r="AE49" s="8">
        <f t="shared" si="144"/>
        <v>0</v>
      </c>
      <c r="AF49" s="8">
        <v>0</v>
      </c>
      <c r="AG49" s="8">
        <v>0</v>
      </c>
      <c r="AH49" s="8">
        <v>0</v>
      </c>
      <c r="AI49" s="8">
        <v>0</v>
      </c>
      <c r="AJ49" s="8">
        <f t="shared" si="145"/>
        <v>0</v>
      </c>
      <c r="AK49" s="8">
        <v>0</v>
      </c>
      <c r="AL49" s="8">
        <v>0</v>
      </c>
      <c r="AM49" s="8">
        <v>0</v>
      </c>
      <c r="AN49" s="8">
        <v>0</v>
      </c>
      <c r="AO49" s="8">
        <f t="shared" si="146"/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147"/>
        <v>0</v>
      </c>
      <c r="AU49" s="8">
        <v>0</v>
      </c>
      <c r="AV49" s="8">
        <v>0</v>
      </c>
      <c r="AW49" s="8">
        <v>0</v>
      </c>
      <c r="AX49" s="8">
        <v>0</v>
      </c>
      <c r="AY49" s="8">
        <f t="shared" si="148"/>
        <v>0</v>
      </c>
      <c r="AZ49" s="8">
        <v>0</v>
      </c>
      <c r="BA49" s="8">
        <v>0</v>
      </c>
      <c r="BB49" s="8">
        <v>0</v>
      </c>
      <c r="BC49" s="8">
        <v>0</v>
      </c>
      <c r="BD49" s="8">
        <f t="shared" si="149"/>
        <v>0</v>
      </c>
      <c r="BE49" s="8">
        <v>0</v>
      </c>
      <c r="BF49" s="8">
        <v>0</v>
      </c>
      <c r="BG49" s="8">
        <v>0</v>
      </c>
      <c r="BH49" s="8">
        <v>0</v>
      </c>
      <c r="BI49" s="8">
        <f>SUM(BE49:BH49)</f>
        <v>0</v>
      </c>
      <c r="BJ49" s="8">
        <v>0</v>
      </c>
      <c r="BK49" s="8">
        <v>0</v>
      </c>
      <c r="BL49" s="8">
        <v>0</v>
      </c>
      <c r="BM49" s="8">
        <v>0</v>
      </c>
      <c r="BN49" s="8">
        <f>SUM(BJ49:BM49)</f>
        <v>0</v>
      </c>
      <c r="BO49" s="8">
        <v>0</v>
      </c>
      <c r="BP49" s="8">
        <v>0</v>
      </c>
      <c r="BQ49" s="8">
        <v>0</v>
      </c>
      <c r="BR49" s="8">
        <v>0</v>
      </c>
      <c r="BS49" s="8">
        <f>SUM(BO49:BR49)</f>
        <v>0</v>
      </c>
      <c r="BT49" s="8">
        <v>0</v>
      </c>
      <c r="BU49" s="8">
        <v>0</v>
      </c>
      <c r="BV49" s="8">
        <v>0</v>
      </c>
      <c r="BW49" s="8">
        <v>0</v>
      </c>
      <c r="BX49" s="8">
        <f>SUM(BT49:BW49)</f>
        <v>0</v>
      </c>
      <c r="BY49" s="8">
        <v>0</v>
      </c>
      <c r="BZ49" s="8">
        <v>0</v>
      </c>
      <c r="CA49" s="8">
        <v>0</v>
      </c>
      <c r="CB49" s="8">
        <v>0</v>
      </c>
      <c r="CC49" s="8">
        <f t="shared" si="150"/>
        <v>0</v>
      </c>
      <c r="CD49" s="8">
        <v>0</v>
      </c>
      <c r="CE49" s="8">
        <v>0</v>
      </c>
      <c r="CF49" s="8">
        <v>0</v>
      </c>
      <c r="CG49" s="8">
        <v>0</v>
      </c>
      <c r="CH49" s="8">
        <f t="shared" si="151"/>
        <v>0</v>
      </c>
      <c r="CI49" s="8">
        <v>0</v>
      </c>
      <c r="CJ49" s="8">
        <v>0</v>
      </c>
      <c r="CK49" s="8">
        <v>0</v>
      </c>
      <c r="CL49" s="8">
        <v>0</v>
      </c>
      <c r="CM49" s="8">
        <f t="shared" si="152"/>
        <v>0</v>
      </c>
      <c r="CN49" s="8">
        <v>0</v>
      </c>
      <c r="CO49" s="8">
        <v>0</v>
      </c>
      <c r="CP49" s="8">
        <v>0</v>
      </c>
      <c r="CQ49" s="8">
        <v>0</v>
      </c>
      <c r="CR49" s="8">
        <f t="shared" si="153"/>
        <v>0</v>
      </c>
      <c r="CS49" s="8">
        <v>0</v>
      </c>
      <c r="CT49" s="8">
        <v>0</v>
      </c>
      <c r="CU49" s="8">
        <v>0</v>
      </c>
      <c r="CV49" s="8">
        <v>0</v>
      </c>
      <c r="CW49" s="8">
        <f>SUM(CS49:CV49)</f>
        <v>0</v>
      </c>
      <c r="CX49" s="8">
        <v>0</v>
      </c>
      <c r="CY49" s="8">
        <v>0</v>
      </c>
      <c r="CZ49" s="8">
        <v>0</v>
      </c>
      <c r="DA49" s="8">
        <v>0</v>
      </c>
      <c r="DB49" s="8">
        <f t="shared" si="135"/>
        <v>0</v>
      </c>
      <c r="DC49" s="8">
        <f>SUM(CY49:DB49)</f>
        <v>0</v>
      </c>
      <c r="DD49" s="8">
        <v>1035</v>
      </c>
      <c r="DE49" s="8">
        <v>3351</v>
      </c>
      <c r="DF49" s="8">
        <v>3493</v>
      </c>
      <c r="DG49" s="8">
        <f t="shared" si="154"/>
        <v>7879</v>
      </c>
      <c r="DH49" s="8">
        <v>3165</v>
      </c>
      <c r="DI49" s="8">
        <v>2206</v>
      </c>
      <c r="DJ49" s="8">
        <v>2832</v>
      </c>
      <c r="DK49" s="8">
        <v>3538</v>
      </c>
      <c r="DL49" s="8">
        <f>SUM(DH49:DK49)</f>
        <v>11741</v>
      </c>
      <c r="DM49" s="8">
        <v>2945</v>
      </c>
      <c r="DN49" s="8">
        <v>2850</v>
      </c>
      <c r="DO49" s="8">
        <v>3352</v>
      </c>
      <c r="DP49" s="8">
        <v>3594</v>
      </c>
      <c r="DQ49" s="8">
        <f>SUM(DM49:DP49)</f>
        <v>12741</v>
      </c>
      <c r="DR49" s="8">
        <v>3340</v>
      </c>
      <c r="DS49" s="8">
        <v>3338</v>
      </c>
      <c r="DT49" s="8">
        <v>3657</v>
      </c>
      <c r="DU49" s="8">
        <v>3720.7674999999999</v>
      </c>
      <c r="DV49" s="8">
        <f t="shared" si="140"/>
        <v>14055.7675</v>
      </c>
      <c r="DW49" s="8">
        <v>3729</v>
      </c>
      <c r="DX49" s="8">
        <v>3582</v>
      </c>
      <c r="DY49" s="8">
        <v>3902.2344999999996</v>
      </c>
      <c r="DZ49" s="8">
        <v>4052</v>
      </c>
      <c r="EA49" s="8">
        <f t="shared" si="141"/>
        <v>15265.234499999999</v>
      </c>
      <c r="EB49" s="8">
        <v>3935</v>
      </c>
      <c r="EC49" s="8">
        <v>3709.6774999999998</v>
      </c>
      <c r="ED49" s="8">
        <v>4014.3845000000001</v>
      </c>
      <c r="EE49" s="8">
        <v>4104.2950000000001</v>
      </c>
      <c r="EF49" s="8">
        <f t="shared" si="142"/>
        <v>15763.357</v>
      </c>
      <c r="EG49" s="8">
        <v>3911.6184999999996</v>
      </c>
      <c r="EH49" s="8">
        <v>3841.3050000000003</v>
      </c>
      <c r="EI49" s="8">
        <v>4096.3824999999997</v>
      </c>
    </row>
    <row r="50" spans="1:223" ht="15" thickBot="1" x14ac:dyDescent="0.35">
      <c r="A50" s="2" t="s">
        <v>446</v>
      </c>
      <c r="B50" s="9">
        <v>0</v>
      </c>
      <c r="C50" s="9">
        <v>0</v>
      </c>
      <c r="D50" s="9">
        <v>0</v>
      </c>
      <c r="E50" s="9">
        <v>0</v>
      </c>
      <c r="F50" s="9">
        <f>SUM(B50:E50)</f>
        <v>0</v>
      </c>
      <c r="G50" s="9">
        <v>0</v>
      </c>
      <c r="H50" s="9">
        <v>0</v>
      </c>
      <c r="I50" s="9">
        <v>0</v>
      </c>
      <c r="J50" s="9">
        <v>0</v>
      </c>
      <c r="K50" s="9">
        <f>SUM(G50:J50)</f>
        <v>0</v>
      </c>
      <c r="L50" s="9">
        <v>0</v>
      </c>
      <c r="M50" s="9">
        <v>0</v>
      </c>
      <c r="N50" s="9">
        <v>0</v>
      </c>
      <c r="O50" s="9">
        <v>0</v>
      </c>
      <c r="P50" s="9">
        <f>SUM(L50:O50)</f>
        <v>0</v>
      </c>
      <c r="Q50" s="9">
        <v>0</v>
      </c>
      <c r="R50" s="9">
        <v>0</v>
      </c>
      <c r="S50" s="9">
        <v>0</v>
      </c>
      <c r="T50" s="9">
        <v>0</v>
      </c>
      <c r="U50" s="9">
        <f>SUM(Q50:T50)</f>
        <v>0</v>
      </c>
      <c r="V50" s="9">
        <v>0</v>
      </c>
      <c r="W50" s="9">
        <v>0</v>
      </c>
      <c r="X50" s="9">
        <v>0</v>
      </c>
      <c r="Y50" s="9">
        <v>0</v>
      </c>
      <c r="Z50" s="9">
        <f t="shared" si="143"/>
        <v>0</v>
      </c>
      <c r="AA50" s="9">
        <v>0</v>
      </c>
      <c r="AB50" s="9">
        <v>0</v>
      </c>
      <c r="AC50" s="9">
        <v>0</v>
      </c>
      <c r="AD50" s="9">
        <v>0</v>
      </c>
      <c r="AE50" s="9">
        <f t="shared" si="144"/>
        <v>0</v>
      </c>
      <c r="AF50" s="9">
        <v>0</v>
      </c>
      <c r="AG50" s="9">
        <v>0</v>
      </c>
      <c r="AH50" s="9">
        <v>0</v>
      </c>
      <c r="AI50" s="9">
        <v>0</v>
      </c>
      <c r="AJ50" s="9">
        <f t="shared" si="145"/>
        <v>0</v>
      </c>
      <c r="AK50" s="9">
        <v>0</v>
      </c>
      <c r="AL50" s="9">
        <v>0</v>
      </c>
      <c r="AM50" s="9">
        <v>0</v>
      </c>
      <c r="AN50" s="9">
        <v>0</v>
      </c>
      <c r="AO50" s="9">
        <f t="shared" si="146"/>
        <v>0</v>
      </c>
      <c r="AP50" s="9">
        <v>0</v>
      </c>
      <c r="AQ50" s="9">
        <v>0</v>
      </c>
      <c r="AR50" s="9">
        <v>0</v>
      </c>
      <c r="AS50" s="9">
        <v>0</v>
      </c>
      <c r="AT50" s="9">
        <f t="shared" si="147"/>
        <v>0</v>
      </c>
      <c r="AU50" s="9">
        <v>0</v>
      </c>
      <c r="AV50" s="9">
        <v>0</v>
      </c>
      <c r="AW50" s="9">
        <v>0</v>
      </c>
      <c r="AX50" s="9">
        <v>0</v>
      </c>
      <c r="AY50" s="9">
        <f t="shared" si="148"/>
        <v>0</v>
      </c>
      <c r="AZ50" s="9">
        <v>0</v>
      </c>
      <c r="BA50" s="9">
        <v>0</v>
      </c>
      <c r="BB50" s="9">
        <v>0</v>
      </c>
      <c r="BC50" s="9">
        <v>0</v>
      </c>
      <c r="BD50" s="9">
        <f t="shared" si="149"/>
        <v>0</v>
      </c>
      <c r="BE50" s="9">
        <v>0</v>
      </c>
      <c r="BF50" s="9">
        <v>0</v>
      </c>
      <c r="BG50" s="9">
        <v>0</v>
      </c>
      <c r="BH50" s="9">
        <v>0</v>
      </c>
      <c r="BI50" s="9">
        <f>SUM(BE50:BH50)</f>
        <v>0</v>
      </c>
      <c r="BJ50" s="9">
        <v>0</v>
      </c>
      <c r="BK50" s="9">
        <v>0</v>
      </c>
      <c r="BL50" s="9">
        <v>0</v>
      </c>
      <c r="BM50" s="9">
        <v>0</v>
      </c>
      <c r="BN50" s="9">
        <f>SUM(BJ50:BM50)</f>
        <v>0</v>
      </c>
      <c r="BO50" s="9">
        <v>0</v>
      </c>
      <c r="BP50" s="9">
        <v>0</v>
      </c>
      <c r="BQ50" s="9">
        <v>0</v>
      </c>
      <c r="BR50" s="9">
        <v>0</v>
      </c>
      <c r="BS50" s="9">
        <f>SUM(BO50:BR50)</f>
        <v>0</v>
      </c>
      <c r="BT50" s="9">
        <v>0</v>
      </c>
      <c r="BU50" s="9">
        <v>0</v>
      </c>
      <c r="BV50" s="9">
        <v>0</v>
      </c>
      <c r="BW50" s="9">
        <v>0</v>
      </c>
      <c r="BX50" s="9">
        <f>SUM(BT50:BW50)</f>
        <v>0</v>
      </c>
      <c r="BY50" s="9">
        <v>0</v>
      </c>
      <c r="BZ50" s="9">
        <v>0</v>
      </c>
      <c r="CA50" s="9">
        <v>0</v>
      </c>
      <c r="CB50" s="9">
        <v>0</v>
      </c>
      <c r="CC50" s="9">
        <f t="shared" si="150"/>
        <v>0</v>
      </c>
      <c r="CD50" s="9">
        <v>0</v>
      </c>
      <c r="CE50" s="9">
        <v>0</v>
      </c>
      <c r="CF50" s="9">
        <v>0</v>
      </c>
      <c r="CG50" s="9">
        <v>0</v>
      </c>
      <c r="CH50" s="9">
        <f t="shared" si="151"/>
        <v>0</v>
      </c>
      <c r="CI50" s="9">
        <v>0</v>
      </c>
      <c r="CJ50" s="9">
        <v>0</v>
      </c>
      <c r="CK50" s="9">
        <v>0</v>
      </c>
      <c r="CL50" s="9">
        <v>0</v>
      </c>
      <c r="CM50" s="9">
        <f t="shared" si="152"/>
        <v>0</v>
      </c>
      <c r="CN50" s="9">
        <v>0</v>
      </c>
      <c r="CO50" s="9">
        <v>0</v>
      </c>
      <c r="CP50" s="9">
        <v>0</v>
      </c>
      <c r="CQ50" s="9">
        <v>0</v>
      </c>
      <c r="CR50" s="9">
        <f t="shared" si="153"/>
        <v>0</v>
      </c>
      <c r="CS50" s="9">
        <v>0</v>
      </c>
      <c r="CT50" s="9">
        <v>0</v>
      </c>
      <c r="CU50" s="9">
        <v>0</v>
      </c>
      <c r="CV50" s="9">
        <v>0</v>
      </c>
      <c r="CW50" s="9">
        <f>SUM(CS50:CV50)</f>
        <v>0</v>
      </c>
      <c r="CX50" s="9">
        <v>0</v>
      </c>
      <c r="CY50" s="9">
        <v>0</v>
      </c>
      <c r="CZ50" s="9">
        <v>0</v>
      </c>
      <c r="DA50" s="9">
        <v>0</v>
      </c>
      <c r="DB50" s="9">
        <f t="shared" si="135"/>
        <v>0</v>
      </c>
      <c r="DC50" s="9">
        <f>SUM(CY50:DB50)</f>
        <v>0</v>
      </c>
      <c r="DD50" s="9">
        <f>SUM(CZ50:DC50)</f>
        <v>0</v>
      </c>
      <c r="DE50" s="9">
        <f>SUM(DA50:DD50)</f>
        <v>0</v>
      </c>
      <c r="DF50" s="9">
        <f>SUM(DB50:DE50)</f>
        <v>0</v>
      </c>
      <c r="DG50" s="9">
        <f t="shared" si="154"/>
        <v>0</v>
      </c>
      <c r="DH50" s="9">
        <f t="shared" si="154"/>
        <v>0</v>
      </c>
      <c r="DI50" s="9">
        <f t="shared" si="154"/>
        <v>0</v>
      </c>
      <c r="DJ50" s="9">
        <f t="shared" si="154"/>
        <v>0</v>
      </c>
      <c r="DK50" s="9">
        <v>717</v>
      </c>
      <c r="DL50" s="9">
        <f>SUM(DH50:DK50)</f>
        <v>717</v>
      </c>
      <c r="DM50" s="9">
        <v>1331</v>
      </c>
      <c r="DN50" s="9">
        <v>1712</v>
      </c>
      <c r="DO50" s="9">
        <v>1844</v>
      </c>
      <c r="DP50" s="9">
        <v>1959</v>
      </c>
      <c r="DQ50" s="9">
        <f>SUM(DM50:DP50)</f>
        <v>6846</v>
      </c>
      <c r="DR50" s="9">
        <v>1782</v>
      </c>
      <c r="DS50" s="9">
        <v>1846</v>
      </c>
      <c r="DT50" s="9">
        <v>1989</v>
      </c>
      <c r="DU50" s="9">
        <v>2029.0065</v>
      </c>
      <c r="DV50" s="9">
        <f t="shared" si="140"/>
        <v>7646.0064999999995</v>
      </c>
      <c r="DW50" s="9">
        <v>1961</v>
      </c>
      <c r="DX50" s="9">
        <v>2004</v>
      </c>
      <c r="DY50" s="9">
        <v>2121.9920000000002</v>
      </c>
      <c r="DZ50" s="9">
        <v>2180</v>
      </c>
      <c r="EA50" s="9">
        <f t="shared" si="141"/>
        <v>8266.9920000000002</v>
      </c>
      <c r="EB50" s="9">
        <v>2090</v>
      </c>
      <c r="EC50" s="9">
        <v>2042.0775000000001</v>
      </c>
      <c r="ED50" s="9">
        <v>2158.4405000000002</v>
      </c>
      <c r="EE50" s="9">
        <v>2212.8629999999998</v>
      </c>
      <c r="EF50" s="9">
        <f t="shared" si="142"/>
        <v>8503.3809999999994</v>
      </c>
      <c r="EG50" s="9">
        <v>2073.4789999999998</v>
      </c>
      <c r="EH50" s="9">
        <v>2109.5884999999998</v>
      </c>
      <c r="EI50" s="9">
        <v>2212.3339999999998</v>
      </c>
    </row>
    <row r="51" spans="1:223" ht="15" thickTop="1" x14ac:dyDescent="0.3">
      <c r="A51" s="1" t="s">
        <v>448</v>
      </c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  <c r="CR51" s="8">
        <v>0</v>
      </c>
      <c r="CS51" s="8">
        <v>0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0</v>
      </c>
      <c r="DG51" s="8">
        <v>0</v>
      </c>
      <c r="DH51" s="8">
        <v>0</v>
      </c>
      <c r="DI51" s="8">
        <v>0</v>
      </c>
      <c r="DJ51" s="8">
        <v>0</v>
      </c>
      <c r="DK51" s="8">
        <v>0</v>
      </c>
      <c r="DL51" s="8">
        <v>0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  <c r="DT51" s="8">
        <v>161</v>
      </c>
      <c r="DU51" s="8">
        <v>1917.7474999999999</v>
      </c>
      <c r="DV51" s="8">
        <f t="shared" si="140"/>
        <v>2078.7474999999999</v>
      </c>
      <c r="DW51" s="8">
        <v>2573</v>
      </c>
      <c r="DX51" s="8">
        <v>3933</v>
      </c>
      <c r="DY51" s="8">
        <v>4124.8615</v>
      </c>
      <c r="DZ51" s="8">
        <v>6043</v>
      </c>
      <c r="EA51" s="8">
        <f t="shared" si="141"/>
        <v>16673.861499999999</v>
      </c>
      <c r="EB51" s="8">
        <v>6626</v>
      </c>
      <c r="EC51" s="8">
        <v>6240.7605000000003</v>
      </c>
      <c r="ED51" s="8">
        <v>6688.3045000000002</v>
      </c>
      <c r="EE51" s="8">
        <v>6844.6445000000003</v>
      </c>
      <c r="EF51" s="8">
        <f t="shared" si="142"/>
        <v>26399.709500000004</v>
      </c>
      <c r="EG51" s="8">
        <v>6812.2625000000007</v>
      </c>
      <c r="EH51" s="8">
        <v>6321.8440000000001</v>
      </c>
      <c r="EI51" s="8">
        <v>6661.0010000000002</v>
      </c>
    </row>
    <row r="52" spans="1:223" ht="15" thickBot="1" x14ac:dyDescent="0.35">
      <c r="A52" s="2" t="s">
        <v>447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</v>
      </c>
      <c r="DO52" s="9">
        <v>0</v>
      </c>
      <c r="DP52" s="9">
        <v>0</v>
      </c>
      <c r="DQ52" s="9">
        <v>0</v>
      </c>
      <c r="DR52" s="9">
        <v>0</v>
      </c>
      <c r="DS52" s="9">
        <v>0</v>
      </c>
      <c r="DT52" s="9">
        <v>0</v>
      </c>
      <c r="DU52" s="9">
        <v>2293.3415</v>
      </c>
      <c r="DV52" s="9">
        <f t="shared" si="140"/>
        <v>2293.3415</v>
      </c>
      <c r="DW52" s="9">
        <v>2256</v>
      </c>
      <c r="DX52" s="9">
        <v>2172</v>
      </c>
      <c r="DY52" s="9">
        <v>2593.0209999999997</v>
      </c>
      <c r="DZ52" s="9">
        <v>2416</v>
      </c>
      <c r="EA52" s="9">
        <f t="shared" si="141"/>
        <v>9437.0210000000006</v>
      </c>
      <c r="EB52" s="9">
        <v>2335</v>
      </c>
      <c r="EC52" s="9">
        <v>2219.6489999999999</v>
      </c>
      <c r="ED52" s="9">
        <v>2625.8274999999999</v>
      </c>
      <c r="EE52" s="9">
        <v>2483.3270000000002</v>
      </c>
      <c r="EF52" s="9">
        <f t="shared" si="142"/>
        <v>9663.8034999999982</v>
      </c>
      <c r="EG52" s="9">
        <v>2276.0455000000002</v>
      </c>
      <c r="EH52" s="9">
        <v>2257.5405000000001</v>
      </c>
      <c r="EI52" s="9">
        <v>2637.6714999999999</v>
      </c>
    </row>
    <row r="53" spans="1:223" ht="15" thickTop="1" x14ac:dyDescent="0.3">
      <c r="A53" s="1" t="s">
        <v>469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  <c r="DT53" s="8">
        <v>0</v>
      </c>
      <c r="DU53" s="8">
        <v>0</v>
      </c>
      <c r="DV53" s="8">
        <f t="shared" si="140"/>
        <v>0</v>
      </c>
      <c r="DW53" s="8">
        <v>0</v>
      </c>
      <c r="DX53" s="8">
        <v>2762</v>
      </c>
      <c r="DY53" s="8">
        <v>4687.45</v>
      </c>
      <c r="DZ53" s="8">
        <v>4861</v>
      </c>
      <c r="EA53" s="8">
        <f t="shared" si="141"/>
        <v>12310.45</v>
      </c>
      <c r="EB53" s="8">
        <v>4692</v>
      </c>
      <c r="EC53" s="8">
        <v>4434.4624999999996</v>
      </c>
      <c r="ED53" s="8">
        <v>4885.375</v>
      </c>
      <c r="EE53" s="8">
        <v>4930.3625000000002</v>
      </c>
      <c r="EF53" s="8">
        <f t="shared" si="142"/>
        <v>18942.2</v>
      </c>
      <c r="EG53" s="8">
        <v>5080.7309999999998</v>
      </c>
      <c r="EH53" s="8">
        <v>5844.0839999999998</v>
      </c>
      <c r="EI53" s="8">
        <v>6141.6134999999995</v>
      </c>
    </row>
    <row r="54" spans="1:223" x14ac:dyDescent="0.3">
      <c r="A54" s="2" t="s">
        <v>460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>
        <v>422.9</v>
      </c>
      <c r="EH54" s="9">
        <v>20993.851000000002</v>
      </c>
      <c r="EI54" s="9">
        <v>21467.4015</v>
      </c>
    </row>
    <row r="55" spans="1:223" x14ac:dyDescent="0.3">
      <c r="A55" s="5" t="s">
        <v>413</v>
      </c>
      <c r="B55" s="10">
        <f t="shared" ref="B55:AG55" si="155">SUM(B41:B53)</f>
        <v>7257.9790000000003</v>
      </c>
      <c r="C55" s="10">
        <f t="shared" si="155"/>
        <v>5610.6750000000002</v>
      </c>
      <c r="D55" s="10">
        <f t="shared" si="155"/>
        <v>6647.1759999999995</v>
      </c>
      <c r="E55" s="10">
        <f t="shared" si="155"/>
        <v>8261.7080000000005</v>
      </c>
      <c r="F55" s="10">
        <f t="shared" si="155"/>
        <v>27777.538</v>
      </c>
      <c r="G55" s="10">
        <f t="shared" si="155"/>
        <v>9011.0990000000002</v>
      </c>
      <c r="H55" s="10">
        <f t="shared" si="155"/>
        <v>6317.6054999999997</v>
      </c>
      <c r="I55" s="10">
        <f t="shared" si="155"/>
        <v>6905.3804999999993</v>
      </c>
      <c r="J55" s="10">
        <f t="shared" si="155"/>
        <v>7860.3215</v>
      </c>
      <c r="K55" s="10">
        <f t="shared" si="155"/>
        <v>30094.406500000001</v>
      </c>
      <c r="L55" s="10">
        <f t="shared" si="155"/>
        <v>8224.1304999999993</v>
      </c>
      <c r="M55" s="10">
        <f t="shared" si="155"/>
        <v>6364.1485000000002</v>
      </c>
      <c r="N55" s="10">
        <f t="shared" si="155"/>
        <v>6011.3829999999998</v>
      </c>
      <c r="O55" s="10">
        <f t="shared" si="155"/>
        <v>7510.7044999999998</v>
      </c>
      <c r="P55" s="10">
        <f t="shared" si="155"/>
        <v>28110.3665</v>
      </c>
      <c r="Q55" s="10">
        <f t="shared" si="155"/>
        <v>8581.6489999999994</v>
      </c>
      <c r="R55" s="10">
        <f t="shared" si="155"/>
        <v>6554.8414999999995</v>
      </c>
      <c r="S55" s="10">
        <f t="shared" si="155"/>
        <v>6717.7489999999998</v>
      </c>
      <c r="T55" s="10">
        <f t="shared" si="155"/>
        <v>8109.9094999999998</v>
      </c>
      <c r="U55" s="10">
        <f t="shared" si="155"/>
        <v>29964.148999999998</v>
      </c>
      <c r="V55" s="10">
        <f t="shared" si="155"/>
        <v>9166.7224999999999</v>
      </c>
      <c r="W55" s="10">
        <f t="shared" si="155"/>
        <v>6471.6640000000007</v>
      </c>
      <c r="X55" s="10">
        <f t="shared" si="155"/>
        <v>6783.2615000000005</v>
      </c>
      <c r="Y55" s="10">
        <f t="shared" si="155"/>
        <v>8558.3045000000002</v>
      </c>
      <c r="Z55" s="10">
        <f t="shared" si="155"/>
        <v>30979.952499999999</v>
      </c>
      <c r="AA55" s="10">
        <f t="shared" si="155"/>
        <v>8997.7160000000003</v>
      </c>
      <c r="AB55" s="10">
        <f t="shared" si="155"/>
        <v>6626.5730000000003</v>
      </c>
      <c r="AC55" s="10">
        <f t="shared" si="155"/>
        <v>6575.3435000000009</v>
      </c>
      <c r="AD55" s="10">
        <f t="shared" si="155"/>
        <v>8362.3689999999988</v>
      </c>
      <c r="AE55" s="10">
        <f t="shared" si="155"/>
        <v>30562.001499999998</v>
      </c>
      <c r="AF55" s="10">
        <f t="shared" si="155"/>
        <v>8801.4375</v>
      </c>
      <c r="AG55" s="10">
        <f t="shared" si="155"/>
        <v>6483.3105000000005</v>
      </c>
      <c r="AH55" s="10">
        <f t="shared" ref="AH55:BM55" si="156">SUM(AH41:AH53)</f>
        <v>7124.0185000000001</v>
      </c>
      <c r="AI55" s="10">
        <f t="shared" si="156"/>
        <v>8319.3450000000012</v>
      </c>
      <c r="AJ55" s="10">
        <f t="shared" si="156"/>
        <v>30728.111499999999</v>
      </c>
      <c r="AK55" s="10">
        <f t="shared" si="156"/>
        <v>9102.393</v>
      </c>
      <c r="AL55" s="10">
        <f t="shared" si="156"/>
        <v>6661.2730000000001</v>
      </c>
      <c r="AM55" s="10">
        <f t="shared" si="156"/>
        <v>6894.5185000000001</v>
      </c>
      <c r="AN55" s="10">
        <f t="shared" si="156"/>
        <v>8267.1304999999993</v>
      </c>
      <c r="AO55" s="10">
        <f t="shared" si="156"/>
        <v>30925.315000000002</v>
      </c>
      <c r="AP55" s="10">
        <f t="shared" si="156"/>
        <v>9335.2607169811326</v>
      </c>
      <c r="AQ55" s="10">
        <f t="shared" si="156"/>
        <v>6542.1632283018871</v>
      </c>
      <c r="AR55" s="10">
        <f t="shared" si="156"/>
        <v>7064.8016433962266</v>
      </c>
      <c r="AS55" s="10">
        <f t="shared" si="156"/>
        <v>8617.6426132075467</v>
      </c>
      <c r="AT55" s="10">
        <f t="shared" si="156"/>
        <v>31559.868201886791</v>
      </c>
      <c r="AU55" s="10">
        <f t="shared" si="156"/>
        <v>9653.5139954145088</v>
      </c>
      <c r="AV55" s="10">
        <f t="shared" si="156"/>
        <v>6957.9728931745431</v>
      </c>
      <c r="AW55" s="10">
        <f t="shared" si="156"/>
        <v>7596.4457471633277</v>
      </c>
      <c r="AX55" s="10">
        <f t="shared" si="156"/>
        <v>9089.2967162976311</v>
      </c>
      <c r="AY55" s="10">
        <f t="shared" si="156"/>
        <v>33297.22935205001</v>
      </c>
      <c r="AZ55" s="10">
        <f t="shared" si="156"/>
        <v>10821.049906779661</v>
      </c>
      <c r="BA55" s="10">
        <f t="shared" si="156"/>
        <v>9278.3449274193554</v>
      </c>
      <c r="BB55" s="10">
        <f t="shared" si="156"/>
        <v>9850.8492338709675</v>
      </c>
      <c r="BC55" s="10">
        <f t="shared" si="156"/>
        <v>11404.606456451613</v>
      </c>
      <c r="BD55" s="10">
        <f t="shared" si="156"/>
        <v>41354.8505245216</v>
      </c>
      <c r="BE55" s="10">
        <f t="shared" si="156"/>
        <v>11997.932000000001</v>
      </c>
      <c r="BF55" s="10">
        <f t="shared" si="156"/>
        <v>10201.558691176471</v>
      </c>
      <c r="BG55" s="10">
        <f t="shared" si="156"/>
        <v>14953.336125</v>
      </c>
      <c r="BH55" s="10">
        <f t="shared" si="156"/>
        <v>18648.3325</v>
      </c>
      <c r="BI55" s="10">
        <f t="shared" si="156"/>
        <v>55801.159316176476</v>
      </c>
      <c r="BJ55" s="10">
        <f t="shared" si="156"/>
        <v>20983</v>
      </c>
      <c r="BK55" s="10">
        <f t="shared" si="156"/>
        <v>22025</v>
      </c>
      <c r="BL55" s="10">
        <f t="shared" si="156"/>
        <v>24904.226999999999</v>
      </c>
      <c r="BM55" s="10">
        <f t="shared" si="156"/>
        <v>27287</v>
      </c>
      <c r="BN55" s="10">
        <f t="shared" ref="BN55:CS55" si="157">SUM(BN41:BN53)</f>
        <v>95199.226999999999</v>
      </c>
      <c r="BO55" s="10">
        <f t="shared" si="157"/>
        <v>27560</v>
      </c>
      <c r="BP55" s="10">
        <f t="shared" si="157"/>
        <v>24596.235000000001</v>
      </c>
      <c r="BQ55" s="10">
        <f t="shared" si="157"/>
        <v>25141.764999999999</v>
      </c>
      <c r="BR55" s="10">
        <f t="shared" si="157"/>
        <v>28061</v>
      </c>
      <c r="BS55" s="10">
        <f t="shared" si="157"/>
        <v>105359</v>
      </c>
      <c r="BT55" s="10">
        <f t="shared" si="157"/>
        <v>29222</v>
      </c>
      <c r="BU55" s="10">
        <f t="shared" si="157"/>
        <v>24611</v>
      </c>
      <c r="BV55" s="10">
        <f t="shared" si="157"/>
        <v>26829</v>
      </c>
      <c r="BW55" s="10">
        <f t="shared" si="157"/>
        <v>28805.363999999998</v>
      </c>
      <c r="BX55" s="10">
        <f t="shared" si="157"/>
        <v>109467.364</v>
      </c>
      <c r="BY55" s="10">
        <f t="shared" si="157"/>
        <v>28916</v>
      </c>
      <c r="BZ55" s="10">
        <f t="shared" si="157"/>
        <v>24953</v>
      </c>
      <c r="CA55" s="10">
        <f t="shared" si="157"/>
        <v>27203</v>
      </c>
      <c r="CB55" s="10">
        <f t="shared" si="157"/>
        <v>30270</v>
      </c>
      <c r="CC55" s="10">
        <f t="shared" si="157"/>
        <v>111342</v>
      </c>
      <c r="CD55" s="10">
        <f t="shared" si="157"/>
        <v>30770</v>
      </c>
      <c r="CE55" s="10">
        <f t="shared" si="157"/>
        <v>28511</v>
      </c>
      <c r="CF55" s="10">
        <f t="shared" si="157"/>
        <v>32011</v>
      </c>
      <c r="CG55" s="10">
        <f t="shared" si="157"/>
        <v>36320</v>
      </c>
      <c r="CH55" s="10">
        <f t="shared" si="157"/>
        <v>127612</v>
      </c>
      <c r="CI55" s="10">
        <f t="shared" si="157"/>
        <v>35481</v>
      </c>
      <c r="CJ55" s="10">
        <f t="shared" si="157"/>
        <v>33237</v>
      </c>
      <c r="CK55" s="10">
        <f t="shared" si="157"/>
        <v>38219</v>
      </c>
      <c r="CL55" s="10">
        <f t="shared" si="157"/>
        <v>41061</v>
      </c>
      <c r="CM55" s="10">
        <f t="shared" si="157"/>
        <v>147998</v>
      </c>
      <c r="CN55" s="10">
        <f t="shared" si="157"/>
        <v>40843.186000000009</v>
      </c>
      <c r="CO55" s="10">
        <f t="shared" si="157"/>
        <v>34845.813999999998</v>
      </c>
      <c r="CP55" s="10">
        <f t="shared" si="157"/>
        <v>36453</v>
      </c>
      <c r="CQ55" s="10">
        <f t="shared" si="157"/>
        <v>39727.658000000003</v>
      </c>
      <c r="CR55" s="10">
        <f t="shared" si="157"/>
        <v>151869.658</v>
      </c>
      <c r="CS55" s="10">
        <f t="shared" si="157"/>
        <v>40745</v>
      </c>
      <c r="CT55" s="10">
        <f>SUM(CT41:CT53)</f>
        <v>36127</v>
      </c>
      <c r="CU55" s="10">
        <f>SUM(CU41:CU53)</f>
        <v>38393</v>
      </c>
      <c r="CV55" s="10">
        <f>SUM(CV41:CV53)</f>
        <v>41125</v>
      </c>
      <c r="CW55" s="10">
        <f t="shared" si="136"/>
        <v>156390</v>
      </c>
      <c r="CX55" s="10">
        <f>SUM(CX41:CX53)</f>
        <v>41758</v>
      </c>
      <c r="CY55" s="10">
        <f>SUM(CY41:CY53)</f>
        <v>34736</v>
      </c>
      <c r="CZ55" s="10">
        <f>SUM(CZ41:CZ53)</f>
        <v>38154</v>
      </c>
      <c r="DA55" s="10">
        <f>SUM(DA41:DA53)</f>
        <v>41801</v>
      </c>
      <c r="DB55" s="10">
        <f>SUM(CX55:DA55)</f>
        <v>156449</v>
      </c>
      <c r="DC55" s="10">
        <f t="shared" ref="DC55:DX55" si="158">SUM(DC41:DC53)</f>
        <v>42550</v>
      </c>
      <c r="DD55" s="10">
        <f t="shared" si="158"/>
        <v>39632</v>
      </c>
      <c r="DE55" s="10">
        <f t="shared" si="158"/>
        <v>43197</v>
      </c>
      <c r="DF55" s="10">
        <f t="shared" si="158"/>
        <v>48250</v>
      </c>
      <c r="DG55" s="10">
        <f t="shared" si="158"/>
        <v>173629</v>
      </c>
      <c r="DH55" s="10">
        <f t="shared" si="158"/>
        <v>43573</v>
      </c>
      <c r="DI55" s="10">
        <f t="shared" si="158"/>
        <v>24949</v>
      </c>
      <c r="DJ55" s="10">
        <f t="shared" si="158"/>
        <v>38409</v>
      </c>
      <c r="DK55" s="10">
        <f t="shared" si="158"/>
        <v>46853</v>
      </c>
      <c r="DL55" s="10">
        <f t="shared" si="158"/>
        <v>153784</v>
      </c>
      <c r="DM55" s="10">
        <f t="shared" si="158"/>
        <v>42458</v>
      </c>
      <c r="DN55" s="10">
        <f t="shared" si="158"/>
        <v>39098</v>
      </c>
      <c r="DO55" s="10">
        <f t="shared" si="158"/>
        <v>44873</v>
      </c>
      <c r="DP55" s="10">
        <f t="shared" si="158"/>
        <v>46993</v>
      </c>
      <c r="DQ55" s="10">
        <f t="shared" si="158"/>
        <v>173422</v>
      </c>
      <c r="DR55" s="10">
        <f t="shared" si="158"/>
        <v>42965</v>
      </c>
      <c r="DS55" s="10">
        <f t="shared" si="158"/>
        <v>39703</v>
      </c>
      <c r="DT55" s="10">
        <f t="shared" si="158"/>
        <v>42906</v>
      </c>
      <c r="DU55" s="10">
        <f t="shared" si="158"/>
        <v>49609.137500000004</v>
      </c>
      <c r="DV55" s="10">
        <f t="shared" si="158"/>
        <v>175183.13749999998</v>
      </c>
      <c r="DW55" s="10">
        <f t="shared" si="158"/>
        <v>51312</v>
      </c>
      <c r="DX55" s="10">
        <f t="shared" si="158"/>
        <v>51588</v>
      </c>
      <c r="DY55" s="10">
        <f t="shared" ref="DY55:ED55" si="159">SUM(DY41:DY53)</f>
        <v>57501.482999999993</v>
      </c>
      <c r="DZ55" s="10">
        <f t="shared" si="159"/>
        <v>61821</v>
      </c>
      <c r="EA55" s="10">
        <f t="shared" si="159"/>
        <v>222222.48300000001</v>
      </c>
      <c r="EB55" s="10">
        <f t="shared" si="159"/>
        <v>61373</v>
      </c>
      <c r="EC55" s="10">
        <f t="shared" si="159"/>
        <v>57158.598500000007</v>
      </c>
      <c r="ED55" s="10">
        <f t="shared" si="159"/>
        <v>61033.258499999996</v>
      </c>
      <c r="EE55" s="10">
        <f t="shared" ref="EE55:EF55" si="160">SUM(EE41:EE53)</f>
        <v>63812.314499999993</v>
      </c>
      <c r="EF55" s="10">
        <f t="shared" si="160"/>
        <v>243377.17150000003</v>
      </c>
      <c r="EG55" s="10">
        <f>SUM(EG41:EG54)</f>
        <v>64051.315000000002</v>
      </c>
      <c r="EH55" s="10">
        <f>SUM(EH41:EH54)</f>
        <v>80438.227000000014</v>
      </c>
      <c r="EI55" s="10">
        <f>SUM(EI41:EI54)</f>
        <v>84354.494499999986</v>
      </c>
    </row>
    <row r="56" spans="1:223" x14ac:dyDescent="0.3">
      <c r="A56" s="22" t="s">
        <v>366</v>
      </c>
    </row>
    <row r="57" spans="1:223" x14ac:dyDescent="0.3">
      <c r="A57" s="22" t="s">
        <v>365</v>
      </c>
    </row>
    <row r="58" spans="1:223" ht="26.25" customHeight="1" x14ac:dyDescent="0.3">
      <c r="A58" s="3" t="s">
        <v>202</v>
      </c>
      <c r="B58" s="71" t="s">
        <v>296</v>
      </c>
      <c r="C58" s="72"/>
      <c r="D58" s="71" t="s">
        <v>293</v>
      </c>
      <c r="E58" s="72"/>
      <c r="F58" s="71" t="s">
        <v>294</v>
      </c>
      <c r="G58" s="72"/>
      <c r="H58" s="71" t="s">
        <v>295</v>
      </c>
      <c r="I58" s="72"/>
      <c r="J58" s="71" t="s">
        <v>292</v>
      </c>
      <c r="K58" s="72"/>
      <c r="L58" s="71" t="s">
        <v>289</v>
      </c>
      <c r="M58" s="72"/>
      <c r="N58" s="71" t="s">
        <v>290</v>
      </c>
      <c r="O58" s="72"/>
      <c r="P58" s="71" t="s">
        <v>291</v>
      </c>
      <c r="Q58" s="72"/>
      <c r="R58" s="71" t="s">
        <v>300</v>
      </c>
      <c r="S58" s="72"/>
      <c r="T58" s="71" t="s">
        <v>297</v>
      </c>
      <c r="U58" s="72"/>
      <c r="V58" s="71" t="s">
        <v>298</v>
      </c>
      <c r="W58" s="72"/>
      <c r="X58" s="71" t="s">
        <v>299</v>
      </c>
      <c r="Y58" s="72"/>
      <c r="Z58" s="71" t="s">
        <v>285</v>
      </c>
      <c r="AA58" s="72"/>
      <c r="AB58" s="71" t="s">
        <v>288</v>
      </c>
      <c r="AC58" s="72"/>
      <c r="AD58" s="71" t="s">
        <v>286</v>
      </c>
      <c r="AE58" s="72"/>
      <c r="AF58" s="71" t="s">
        <v>287</v>
      </c>
      <c r="AG58" s="72"/>
      <c r="AH58" s="71" t="s">
        <v>283</v>
      </c>
      <c r="AI58" s="72"/>
      <c r="AJ58" s="71" t="s">
        <v>281</v>
      </c>
      <c r="AK58" s="72"/>
      <c r="AL58" s="71" t="s">
        <v>284</v>
      </c>
      <c r="AM58" s="72"/>
      <c r="AN58" s="71" t="s">
        <v>282</v>
      </c>
      <c r="AO58" s="72"/>
      <c r="AP58" s="71" t="s">
        <v>279</v>
      </c>
      <c r="AQ58" s="72"/>
      <c r="AR58" s="71" t="s">
        <v>277</v>
      </c>
      <c r="AS58" s="72"/>
      <c r="AT58" s="71" t="s">
        <v>278</v>
      </c>
      <c r="AU58" s="72"/>
      <c r="AV58" s="71" t="s">
        <v>280</v>
      </c>
      <c r="AW58" s="72"/>
      <c r="AX58" s="71" t="s">
        <v>276</v>
      </c>
      <c r="AY58" s="72"/>
      <c r="AZ58" s="71" t="s">
        <v>273</v>
      </c>
      <c r="BA58" s="72"/>
      <c r="BB58" s="71" t="s">
        <v>274</v>
      </c>
      <c r="BC58" s="72"/>
      <c r="BD58" s="71" t="s">
        <v>275</v>
      </c>
      <c r="BE58" s="72"/>
      <c r="BF58" s="71" t="s">
        <v>269</v>
      </c>
      <c r="BG58" s="72"/>
      <c r="BH58" s="71" t="s">
        <v>270</v>
      </c>
      <c r="BI58" s="72"/>
      <c r="BJ58" s="71" t="s">
        <v>271</v>
      </c>
      <c r="BK58" s="72"/>
      <c r="BL58" s="71" t="s">
        <v>272</v>
      </c>
      <c r="BM58" s="72"/>
      <c r="BN58" s="71" t="s">
        <v>268</v>
      </c>
      <c r="BO58" s="72"/>
      <c r="BP58" s="71" t="s">
        <v>267</v>
      </c>
      <c r="BQ58" s="72"/>
      <c r="BR58" s="71" t="s">
        <v>266</v>
      </c>
      <c r="BS58" s="72"/>
      <c r="BT58" s="71" t="s">
        <v>265</v>
      </c>
      <c r="BU58" s="72"/>
      <c r="BV58" s="71" t="s">
        <v>264</v>
      </c>
      <c r="BW58" s="72"/>
      <c r="BX58" s="71" t="s">
        <v>263</v>
      </c>
      <c r="BY58" s="72"/>
      <c r="BZ58" s="71" t="s">
        <v>203</v>
      </c>
      <c r="CA58" s="72"/>
      <c r="CB58" s="71" t="s">
        <v>204</v>
      </c>
      <c r="CC58" s="72"/>
      <c r="CD58" s="71" t="s">
        <v>205</v>
      </c>
      <c r="CE58" s="72"/>
      <c r="CF58" s="71" t="s">
        <v>206</v>
      </c>
      <c r="CG58" s="72"/>
      <c r="CH58" s="71" t="s">
        <v>207</v>
      </c>
      <c r="CI58" s="72"/>
      <c r="CJ58" s="71" t="s">
        <v>208</v>
      </c>
      <c r="CK58" s="72"/>
      <c r="CL58" s="71" t="s">
        <v>209</v>
      </c>
      <c r="CM58" s="72"/>
      <c r="CN58" s="71" t="s">
        <v>210</v>
      </c>
      <c r="CO58" s="72"/>
      <c r="CP58" s="71" t="s">
        <v>211</v>
      </c>
      <c r="CQ58" s="72"/>
      <c r="CR58" s="71" t="s">
        <v>212</v>
      </c>
      <c r="CS58" s="72"/>
      <c r="CT58" s="71" t="s">
        <v>213</v>
      </c>
      <c r="CU58" s="72"/>
      <c r="CV58" s="71" t="s">
        <v>214</v>
      </c>
      <c r="CW58" s="72"/>
      <c r="CX58" s="71" t="s">
        <v>215</v>
      </c>
      <c r="CY58" s="72"/>
      <c r="CZ58" s="71" t="s">
        <v>216</v>
      </c>
      <c r="DA58" s="72"/>
      <c r="DB58" s="71" t="s">
        <v>217</v>
      </c>
      <c r="DC58" s="72"/>
      <c r="DD58" s="71" t="s">
        <v>218</v>
      </c>
      <c r="DE58" s="72"/>
      <c r="DF58" s="71" t="s">
        <v>219</v>
      </c>
      <c r="DG58" s="72"/>
      <c r="DH58" s="71" t="s">
        <v>220</v>
      </c>
      <c r="DI58" s="72"/>
      <c r="DJ58" s="71" t="s">
        <v>221</v>
      </c>
      <c r="DK58" s="72"/>
      <c r="DL58" s="71" t="s">
        <v>222</v>
      </c>
      <c r="DM58" s="72"/>
      <c r="DN58" s="71" t="s">
        <v>223</v>
      </c>
      <c r="DO58" s="72"/>
      <c r="DP58" s="71" t="s">
        <v>224</v>
      </c>
      <c r="DQ58" s="72"/>
      <c r="DR58" s="71" t="s">
        <v>225</v>
      </c>
      <c r="DS58" s="72"/>
      <c r="DT58" s="71" t="s">
        <v>226</v>
      </c>
      <c r="DU58" s="72"/>
      <c r="DV58" s="71" t="s">
        <v>227</v>
      </c>
      <c r="DW58" s="72"/>
      <c r="DX58" s="71" t="s">
        <v>228</v>
      </c>
      <c r="DY58" s="72"/>
      <c r="DZ58" s="71" t="s">
        <v>229</v>
      </c>
      <c r="EA58" s="72"/>
      <c r="EB58" s="71" t="s">
        <v>230</v>
      </c>
      <c r="EC58" s="72"/>
      <c r="ED58" s="71" t="s">
        <v>231</v>
      </c>
      <c r="EE58" s="72"/>
      <c r="EF58" s="71" t="s">
        <v>232</v>
      </c>
      <c r="EG58" s="72"/>
      <c r="EH58" s="71" t="s">
        <v>233</v>
      </c>
      <c r="EI58" s="72"/>
      <c r="EJ58" s="71" t="s">
        <v>234</v>
      </c>
      <c r="EK58" s="72"/>
      <c r="EL58" s="71" t="s">
        <v>235</v>
      </c>
      <c r="EM58" s="72"/>
      <c r="EN58" s="71" t="s">
        <v>236</v>
      </c>
      <c r="EO58" s="72"/>
      <c r="EP58" s="71" t="s">
        <v>237</v>
      </c>
      <c r="EQ58" s="72"/>
      <c r="ER58" s="71" t="s">
        <v>238</v>
      </c>
      <c r="ES58" s="72"/>
      <c r="ET58" s="71" t="s">
        <v>239</v>
      </c>
      <c r="EU58" s="72"/>
      <c r="EV58" s="71" t="s">
        <v>240</v>
      </c>
      <c r="EW58" s="72"/>
      <c r="EX58" s="71" t="s">
        <v>241</v>
      </c>
      <c r="EY58" s="72"/>
      <c r="EZ58" s="71" t="s">
        <v>242</v>
      </c>
      <c r="FA58" s="72"/>
      <c r="FB58" s="71" t="s">
        <v>243</v>
      </c>
      <c r="FC58" s="72"/>
      <c r="FD58" s="71" t="s">
        <v>244</v>
      </c>
      <c r="FE58" s="72"/>
      <c r="FF58" s="71" t="s">
        <v>245</v>
      </c>
      <c r="FG58" s="72"/>
      <c r="FH58" s="71" t="s">
        <v>246</v>
      </c>
      <c r="FI58" s="72"/>
      <c r="FJ58" s="71" t="s">
        <v>247</v>
      </c>
      <c r="FK58" s="72"/>
      <c r="FL58" s="71" t="s">
        <v>248</v>
      </c>
      <c r="FM58" s="72"/>
      <c r="FN58" s="71" t="s">
        <v>249</v>
      </c>
      <c r="FO58" s="72"/>
      <c r="FP58" s="71" t="s">
        <v>361</v>
      </c>
      <c r="FQ58" s="72"/>
      <c r="FR58" s="71" t="s">
        <v>362</v>
      </c>
      <c r="FS58" s="72"/>
      <c r="FT58" s="71" t="s">
        <v>250</v>
      </c>
      <c r="FU58" s="72"/>
      <c r="FV58" s="71" t="s">
        <v>251</v>
      </c>
      <c r="FW58" s="72"/>
      <c r="FX58" s="71" t="s">
        <v>252</v>
      </c>
      <c r="FY58" s="72"/>
      <c r="FZ58" s="71" t="s">
        <v>253</v>
      </c>
      <c r="GA58" s="72"/>
      <c r="GB58" s="71" t="s">
        <v>254</v>
      </c>
      <c r="GC58" s="72"/>
      <c r="GD58" s="71" t="s">
        <v>255</v>
      </c>
      <c r="GE58" s="72"/>
      <c r="GF58" s="71" t="s">
        <v>256</v>
      </c>
      <c r="GG58" s="72"/>
      <c r="GH58" s="71" t="s">
        <v>257</v>
      </c>
      <c r="GI58" s="72"/>
      <c r="GJ58" s="71" t="s">
        <v>258</v>
      </c>
      <c r="GK58" s="72"/>
      <c r="GL58" s="71" t="s">
        <v>259</v>
      </c>
      <c r="GM58" s="72"/>
      <c r="GN58" s="71" t="s">
        <v>260</v>
      </c>
      <c r="GO58" s="72"/>
      <c r="GP58" s="71" t="s">
        <v>301</v>
      </c>
      <c r="GQ58" s="72"/>
      <c r="GR58" s="71" t="s">
        <v>383</v>
      </c>
      <c r="GS58" s="72"/>
      <c r="GT58" s="71" t="s">
        <v>384</v>
      </c>
      <c r="GU58" s="72"/>
      <c r="GV58" s="71" t="s">
        <v>404</v>
      </c>
      <c r="GW58" s="72"/>
      <c r="GX58" s="71" t="s">
        <v>416</v>
      </c>
      <c r="GY58" s="72"/>
      <c r="GZ58" s="71" t="s">
        <v>418</v>
      </c>
      <c r="HA58" s="72"/>
      <c r="HB58" s="71" t="s">
        <v>426</v>
      </c>
      <c r="HC58" s="72"/>
      <c r="HD58" s="71" t="s">
        <v>431</v>
      </c>
      <c r="HE58" s="72"/>
      <c r="HF58" s="71" t="s">
        <v>436</v>
      </c>
      <c r="HG58" s="72"/>
      <c r="HH58" s="71" t="s">
        <v>437</v>
      </c>
      <c r="HI58" s="72"/>
      <c r="HJ58" s="71" t="s">
        <v>453</v>
      </c>
      <c r="HK58" s="72"/>
      <c r="HL58" s="71" t="s">
        <v>468</v>
      </c>
      <c r="HM58" s="72"/>
      <c r="HN58" s="71" t="s">
        <v>480</v>
      </c>
      <c r="HO58" s="72"/>
    </row>
    <row r="59" spans="1:223" ht="42.75" customHeight="1" thickBot="1" x14ac:dyDescent="0.35">
      <c r="A59" s="4" t="s">
        <v>261</v>
      </c>
      <c r="B59" s="16" t="s">
        <v>262</v>
      </c>
      <c r="C59" s="17" t="s">
        <v>412</v>
      </c>
      <c r="D59" s="16" t="s">
        <v>262</v>
      </c>
      <c r="E59" s="17" t="s">
        <v>412</v>
      </c>
      <c r="F59" s="16" t="s">
        <v>262</v>
      </c>
      <c r="G59" s="17" t="s">
        <v>412</v>
      </c>
      <c r="H59" s="16" t="s">
        <v>262</v>
      </c>
      <c r="I59" s="17" t="s">
        <v>412</v>
      </c>
      <c r="J59" s="16" t="s">
        <v>262</v>
      </c>
      <c r="K59" s="17" t="s">
        <v>412</v>
      </c>
      <c r="L59" s="16" t="s">
        <v>262</v>
      </c>
      <c r="M59" s="17" t="s">
        <v>412</v>
      </c>
      <c r="N59" s="16" t="s">
        <v>262</v>
      </c>
      <c r="O59" s="17" t="s">
        <v>412</v>
      </c>
      <c r="P59" s="16" t="s">
        <v>262</v>
      </c>
      <c r="Q59" s="17" t="s">
        <v>412</v>
      </c>
      <c r="R59" s="16" t="s">
        <v>262</v>
      </c>
      <c r="S59" s="17" t="s">
        <v>412</v>
      </c>
      <c r="T59" s="16" t="s">
        <v>262</v>
      </c>
      <c r="U59" s="17" t="s">
        <v>412</v>
      </c>
      <c r="V59" s="16" t="s">
        <v>262</v>
      </c>
      <c r="W59" s="17" t="s">
        <v>412</v>
      </c>
      <c r="X59" s="16" t="s">
        <v>262</v>
      </c>
      <c r="Y59" s="17" t="s">
        <v>412</v>
      </c>
      <c r="Z59" s="16" t="s">
        <v>262</v>
      </c>
      <c r="AA59" s="17" t="s">
        <v>412</v>
      </c>
      <c r="AB59" s="16" t="s">
        <v>262</v>
      </c>
      <c r="AC59" s="17" t="s">
        <v>412</v>
      </c>
      <c r="AD59" s="16" t="s">
        <v>262</v>
      </c>
      <c r="AE59" s="17" t="s">
        <v>412</v>
      </c>
      <c r="AF59" s="16" t="s">
        <v>262</v>
      </c>
      <c r="AG59" s="17" t="s">
        <v>412</v>
      </c>
      <c r="AH59" s="16" t="s">
        <v>262</v>
      </c>
      <c r="AI59" s="17" t="s">
        <v>412</v>
      </c>
      <c r="AJ59" s="16" t="s">
        <v>262</v>
      </c>
      <c r="AK59" s="17" t="s">
        <v>412</v>
      </c>
      <c r="AL59" s="16" t="s">
        <v>262</v>
      </c>
      <c r="AM59" s="17" t="s">
        <v>412</v>
      </c>
      <c r="AN59" s="16" t="s">
        <v>262</v>
      </c>
      <c r="AO59" s="17" t="s">
        <v>412</v>
      </c>
      <c r="AP59" s="16" t="s">
        <v>262</v>
      </c>
      <c r="AQ59" s="17" t="s">
        <v>412</v>
      </c>
      <c r="AR59" s="16" t="s">
        <v>262</v>
      </c>
      <c r="AS59" s="17" t="s">
        <v>412</v>
      </c>
      <c r="AT59" s="16" t="s">
        <v>262</v>
      </c>
      <c r="AU59" s="17" t="s">
        <v>412</v>
      </c>
      <c r="AV59" s="16" t="s">
        <v>262</v>
      </c>
      <c r="AW59" s="17" t="s">
        <v>412</v>
      </c>
      <c r="AX59" s="16" t="s">
        <v>262</v>
      </c>
      <c r="AY59" s="17" t="s">
        <v>412</v>
      </c>
      <c r="AZ59" s="16" t="s">
        <v>262</v>
      </c>
      <c r="BA59" s="17" t="s">
        <v>412</v>
      </c>
      <c r="BB59" s="16" t="s">
        <v>262</v>
      </c>
      <c r="BC59" s="17" t="s">
        <v>412</v>
      </c>
      <c r="BD59" s="16" t="s">
        <v>262</v>
      </c>
      <c r="BE59" s="17" t="s">
        <v>412</v>
      </c>
      <c r="BF59" s="16" t="s">
        <v>262</v>
      </c>
      <c r="BG59" s="17" t="s">
        <v>412</v>
      </c>
      <c r="BH59" s="16" t="s">
        <v>262</v>
      </c>
      <c r="BI59" s="17" t="s">
        <v>412</v>
      </c>
      <c r="BJ59" s="16" t="s">
        <v>262</v>
      </c>
      <c r="BK59" s="17" t="s">
        <v>412</v>
      </c>
      <c r="BL59" s="16" t="s">
        <v>262</v>
      </c>
      <c r="BM59" s="17" t="s">
        <v>412</v>
      </c>
      <c r="BN59" s="16" t="s">
        <v>262</v>
      </c>
      <c r="BO59" s="17" t="s">
        <v>412</v>
      </c>
      <c r="BP59" s="16" t="s">
        <v>262</v>
      </c>
      <c r="BQ59" s="17" t="s">
        <v>412</v>
      </c>
      <c r="BR59" s="16" t="s">
        <v>262</v>
      </c>
      <c r="BS59" s="17" t="s">
        <v>412</v>
      </c>
      <c r="BT59" s="16" t="s">
        <v>262</v>
      </c>
      <c r="BU59" s="17" t="s">
        <v>412</v>
      </c>
      <c r="BV59" s="16" t="s">
        <v>262</v>
      </c>
      <c r="BW59" s="17" t="s">
        <v>412</v>
      </c>
      <c r="BX59" s="16" t="s">
        <v>262</v>
      </c>
      <c r="BY59" s="17" t="s">
        <v>412</v>
      </c>
      <c r="BZ59" s="16" t="s">
        <v>262</v>
      </c>
      <c r="CA59" s="17" t="s">
        <v>412</v>
      </c>
      <c r="CB59" s="16" t="s">
        <v>262</v>
      </c>
      <c r="CC59" s="17" t="s">
        <v>412</v>
      </c>
      <c r="CD59" s="16" t="s">
        <v>262</v>
      </c>
      <c r="CE59" s="17" t="s">
        <v>412</v>
      </c>
      <c r="CF59" s="16" t="s">
        <v>262</v>
      </c>
      <c r="CG59" s="17" t="s">
        <v>412</v>
      </c>
      <c r="CH59" s="16" t="s">
        <v>262</v>
      </c>
      <c r="CI59" s="17" t="s">
        <v>412</v>
      </c>
      <c r="CJ59" s="16" t="s">
        <v>262</v>
      </c>
      <c r="CK59" s="17" t="s">
        <v>412</v>
      </c>
      <c r="CL59" s="16" t="s">
        <v>262</v>
      </c>
      <c r="CM59" s="17" t="s">
        <v>412</v>
      </c>
      <c r="CN59" s="16" t="s">
        <v>262</v>
      </c>
      <c r="CO59" s="17" t="s">
        <v>412</v>
      </c>
      <c r="CP59" s="16" t="s">
        <v>262</v>
      </c>
      <c r="CQ59" s="17" t="s">
        <v>412</v>
      </c>
      <c r="CR59" s="16" t="s">
        <v>262</v>
      </c>
      <c r="CS59" s="17" t="s">
        <v>412</v>
      </c>
      <c r="CT59" s="16" t="s">
        <v>262</v>
      </c>
      <c r="CU59" s="16" t="s">
        <v>412</v>
      </c>
      <c r="CV59" s="18" t="s">
        <v>262</v>
      </c>
      <c r="CW59" s="17" t="s">
        <v>412</v>
      </c>
      <c r="CX59" s="16" t="s">
        <v>262</v>
      </c>
      <c r="CY59" s="17" t="s">
        <v>412</v>
      </c>
      <c r="CZ59" s="16" t="s">
        <v>262</v>
      </c>
      <c r="DA59" s="17" t="s">
        <v>412</v>
      </c>
      <c r="DB59" s="16" t="s">
        <v>262</v>
      </c>
      <c r="DC59" s="17" t="s">
        <v>412</v>
      </c>
      <c r="DD59" s="16" t="s">
        <v>262</v>
      </c>
      <c r="DE59" s="17" t="s">
        <v>412</v>
      </c>
      <c r="DF59" s="16" t="s">
        <v>262</v>
      </c>
      <c r="DG59" s="17" t="s">
        <v>412</v>
      </c>
      <c r="DH59" s="16" t="s">
        <v>262</v>
      </c>
      <c r="DI59" s="17" t="s">
        <v>412</v>
      </c>
      <c r="DJ59" s="16" t="s">
        <v>262</v>
      </c>
      <c r="DK59" s="17" t="s">
        <v>412</v>
      </c>
      <c r="DL59" s="16" t="s">
        <v>262</v>
      </c>
      <c r="DM59" s="17" t="s">
        <v>412</v>
      </c>
      <c r="DN59" s="16" t="s">
        <v>262</v>
      </c>
      <c r="DO59" s="17" t="s">
        <v>412</v>
      </c>
      <c r="DP59" s="16" t="s">
        <v>262</v>
      </c>
      <c r="DQ59" s="17" t="s">
        <v>412</v>
      </c>
      <c r="DR59" s="16" t="s">
        <v>262</v>
      </c>
      <c r="DS59" s="17" t="s">
        <v>412</v>
      </c>
      <c r="DT59" s="16" t="s">
        <v>262</v>
      </c>
      <c r="DU59" s="17" t="s">
        <v>412</v>
      </c>
      <c r="DV59" s="16" t="s">
        <v>262</v>
      </c>
      <c r="DW59" s="17" t="s">
        <v>412</v>
      </c>
      <c r="DX59" s="17" t="s">
        <v>412</v>
      </c>
      <c r="DY59" s="17" t="s">
        <v>412</v>
      </c>
      <c r="DZ59" s="16" t="s">
        <v>262</v>
      </c>
      <c r="EA59" s="17" t="s">
        <v>412</v>
      </c>
      <c r="EB59" s="16" t="s">
        <v>262</v>
      </c>
      <c r="EC59" s="19" t="s">
        <v>412</v>
      </c>
      <c r="ED59" s="16" t="s">
        <v>262</v>
      </c>
      <c r="EE59" s="17" t="s">
        <v>412</v>
      </c>
      <c r="EF59" s="16" t="s">
        <v>262</v>
      </c>
      <c r="EG59" s="17" t="s">
        <v>412</v>
      </c>
      <c r="EH59" s="16" t="s">
        <v>262</v>
      </c>
      <c r="EI59" s="17" t="s">
        <v>412</v>
      </c>
      <c r="EJ59" s="16" t="s">
        <v>262</v>
      </c>
      <c r="EK59" s="17" t="s">
        <v>412</v>
      </c>
      <c r="EL59" s="16" t="s">
        <v>262</v>
      </c>
      <c r="EM59" s="17" t="s">
        <v>412</v>
      </c>
      <c r="EN59" s="16" t="s">
        <v>262</v>
      </c>
      <c r="EO59" s="17" t="s">
        <v>412</v>
      </c>
      <c r="EP59" s="16" t="s">
        <v>262</v>
      </c>
      <c r="EQ59" s="17" t="s">
        <v>412</v>
      </c>
      <c r="ER59" s="16" t="s">
        <v>262</v>
      </c>
      <c r="ES59" s="17" t="s">
        <v>412</v>
      </c>
      <c r="ET59" s="16" t="s">
        <v>262</v>
      </c>
      <c r="EU59" s="17" t="s">
        <v>412</v>
      </c>
      <c r="EV59" s="16" t="s">
        <v>262</v>
      </c>
      <c r="EW59" s="17" t="s">
        <v>412</v>
      </c>
      <c r="EX59" s="16" t="s">
        <v>262</v>
      </c>
      <c r="EY59" s="17" t="s">
        <v>412</v>
      </c>
      <c r="EZ59" s="16" t="s">
        <v>262</v>
      </c>
      <c r="FA59" s="17" t="s">
        <v>412</v>
      </c>
      <c r="FB59" s="16" t="s">
        <v>262</v>
      </c>
      <c r="FC59" s="17" t="s">
        <v>412</v>
      </c>
      <c r="FD59" s="16" t="s">
        <v>262</v>
      </c>
      <c r="FE59" s="17" t="s">
        <v>412</v>
      </c>
      <c r="FF59" s="16" t="s">
        <v>262</v>
      </c>
      <c r="FG59" s="17" t="s">
        <v>412</v>
      </c>
      <c r="FH59" s="16" t="s">
        <v>262</v>
      </c>
      <c r="FI59" s="17" t="s">
        <v>412</v>
      </c>
      <c r="FJ59" s="16" t="s">
        <v>262</v>
      </c>
      <c r="FK59" s="17" t="s">
        <v>412</v>
      </c>
      <c r="FL59" s="16" t="s">
        <v>262</v>
      </c>
      <c r="FM59" s="17" t="s">
        <v>412</v>
      </c>
      <c r="FN59" s="16" t="s">
        <v>262</v>
      </c>
      <c r="FO59" s="17" t="s">
        <v>412</v>
      </c>
      <c r="FP59" s="16" t="s">
        <v>262</v>
      </c>
      <c r="FQ59" s="17" t="s">
        <v>412</v>
      </c>
      <c r="FR59" s="16" t="s">
        <v>262</v>
      </c>
      <c r="FS59" s="17" t="s">
        <v>412</v>
      </c>
      <c r="FT59" s="16" t="s">
        <v>262</v>
      </c>
      <c r="FU59" s="17" t="s">
        <v>412</v>
      </c>
      <c r="FV59" s="16" t="s">
        <v>262</v>
      </c>
      <c r="FW59" s="17" t="s">
        <v>412</v>
      </c>
      <c r="FX59" s="16" t="s">
        <v>262</v>
      </c>
      <c r="FY59" s="17" t="s">
        <v>412</v>
      </c>
      <c r="FZ59" s="16" t="s">
        <v>262</v>
      </c>
      <c r="GA59" s="17" t="s">
        <v>412</v>
      </c>
      <c r="GB59" s="16" t="s">
        <v>262</v>
      </c>
      <c r="GC59" s="17" t="s">
        <v>412</v>
      </c>
      <c r="GD59" s="16" t="s">
        <v>262</v>
      </c>
      <c r="GE59" s="17" t="s">
        <v>412</v>
      </c>
      <c r="GF59" s="16" t="s">
        <v>262</v>
      </c>
      <c r="GG59" s="17" t="s">
        <v>412</v>
      </c>
      <c r="GH59" s="16" t="s">
        <v>262</v>
      </c>
      <c r="GI59" s="17" t="s">
        <v>412</v>
      </c>
      <c r="GJ59" s="16" t="s">
        <v>262</v>
      </c>
      <c r="GK59" s="17" t="s">
        <v>412</v>
      </c>
      <c r="GL59" s="16" t="s">
        <v>262</v>
      </c>
      <c r="GM59" s="17" t="s">
        <v>412</v>
      </c>
      <c r="GN59" s="16" t="s">
        <v>262</v>
      </c>
      <c r="GO59" s="17" t="s">
        <v>412</v>
      </c>
      <c r="GP59" s="16" t="s">
        <v>262</v>
      </c>
      <c r="GQ59" s="17" t="s">
        <v>412</v>
      </c>
      <c r="GR59" s="16" t="s">
        <v>262</v>
      </c>
      <c r="GS59" s="17" t="s">
        <v>412</v>
      </c>
      <c r="GT59" s="16" t="s">
        <v>262</v>
      </c>
      <c r="GU59" s="17" t="s">
        <v>412</v>
      </c>
      <c r="GV59" s="16" t="s">
        <v>262</v>
      </c>
      <c r="GW59" s="17" t="s">
        <v>412</v>
      </c>
      <c r="GX59" s="16" t="s">
        <v>262</v>
      </c>
      <c r="GY59" s="17" t="s">
        <v>412</v>
      </c>
      <c r="GZ59" s="16" t="s">
        <v>262</v>
      </c>
      <c r="HA59" s="17" t="s">
        <v>412</v>
      </c>
      <c r="HB59" s="16" t="s">
        <v>262</v>
      </c>
      <c r="HC59" s="17" t="s">
        <v>412</v>
      </c>
      <c r="HD59" s="16" t="s">
        <v>262</v>
      </c>
      <c r="HE59" s="17" t="s">
        <v>412</v>
      </c>
      <c r="HF59" s="16" t="s">
        <v>262</v>
      </c>
      <c r="HG59" s="17" t="s">
        <v>412</v>
      </c>
      <c r="HH59" s="16" t="s">
        <v>262</v>
      </c>
      <c r="HI59" s="17" t="s">
        <v>412</v>
      </c>
      <c r="HJ59" s="16" t="s">
        <v>262</v>
      </c>
      <c r="HK59" s="17" t="s">
        <v>412</v>
      </c>
      <c r="HL59" s="16" t="s">
        <v>262</v>
      </c>
      <c r="HM59" s="17" t="s">
        <v>412</v>
      </c>
      <c r="HN59" s="16" t="s">
        <v>262</v>
      </c>
      <c r="HO59" s="17" t="s">
        <v>412</v>
      </c>
    </row>
    <row r="60" spans="1:223" s="12" customFormat="1" ht="15" thickTop="1" x14ac:dyDescent="0.3">
      <c r="A60" s="11" t="s">
        <v>2</v>
      </c>
      <c r="B60" s="48">
        <f t="shared" ref="B60:B72" si="161">IFERROR((B41/B3),0)</f>
        <v>0</v>
      </c>
      <c r="C60" s="48">
        <f t="shared" ref="C60:C72" si="162">IFERROR((B22/B3),0)</f>
        <v>0</v>
      </c>
      <c r="D60" s="48">
        <f t="shared" ref="D60:D72" si="163">IFERROR((C41/C3),0)</f>
        <v>0.25386975792703714</v>
      </c>
      <c r="E60" s="48">
        <f t="shared" ref="E60:E72" si="164">IFERROR((C22/C3),0)</f>
        <v>0.74613024207296275</v>
      </c>
      <c r="F60" s="48">
        <f t="shared" ref="F60:F70" si="165">IFERROR((D41/D3),0)</f>
        <v>0.35530814958878837</v>
      </c>
      <c r="G60" s="48">
        <f t="shared" ref="G60:G70" si="166">IFERROR((D22/D3),0)</f>
        <v>0.64469185041121169</v>
      </c>
      <c r="H60" s="48">
        <f t="shared" ref="H60:H70" si="167">IFERROR((E41/E3),0)</f>
        <v>0.50234777321825674</v>
      </c>
      <c r="I60" s="48">
        <f t="shared" ref="I60:I70" si="168">IFERROR((E22/E3),0)</f>
        <v>0.4976522267817432</v>
      </c>
      <c r="J60" s="48">
        <f t="shared" ref="J60:J70" si="169">IFERROR((G41/G3),0)</f>
        <v>0.53030005423853965</v>
      </c>
      <c r="K60" s="48">
        <f t="shared" ref="K60:K70" si="170">IFERROR((G22/G3),0)</f>
        <v>0.46969994576146035</v>
      </c>
      <c r="L60" s="48">
        <f t="shared" ref="L60:L70" si="171">IFERROR((H41/H3),0)</f>
        <v>0.30605001549056166</v>
      </c>
      <c r="M60" s="48">
        <f t="shared" ref="M60:M70" si="172">IFERROR((H22/H3),0)</f>
        <v>0.69394998450943834</v>
      </c>
      <c r="N60" s="48">
        <f t="shared" ref="N60:N70" si="173">IFERROR((I41/I3),0)</f>
        <v>0.3895063195058957</v>
      </c>
      <c r="O60" s="48">
        <f t="shared" ref="O60:O73" si="174">IFERROR((I22/I3),0)</f>
        <v>0.61049368049410435</v>
      </c>
      <c r="P60" s="48">
        <f t="shared" ref="P60:P73" si="175">IFERROR((J41/J3),0)</f>
        <v>0.47751988553499775</v>
      </c>
      <c r="Q60" s="48">
        <f t="shared" ref="Q60:Q73" si="176">IFERROR((J22/J3),0)</f>
        <v>0.5224801144650022</v>
      </c>
      <c r="R60" s="48">
        <f t="shared" ref="R60:R73" si="177">IFERROR((L41/L3),0)</f>
        <v>0.56608311556659086</v>
      </c>
      <c r="S60" s="48">
        <f t="shared" ref="S60:S73" si="178">IFERROR((L22/L3),0)</f>
        <v>0.43391688443340914</v>
      </c>
      <c r="T60" s="48">
        <f t="shared" ref="T60:T73" si="179">IFERROR((M41/M3),0)</f>
        <v>0.29836641990002438</v>
      </c>
      <c r="U60" s="48">
        <f t="shared" ref="U60:U73" si="180">IFERROR((M22/M3),0)</f>
        <v>0.70163358009997567</v>
      </c>
      <c r="V60" s="48">
        <f t="shared" ref="V60:V73" si="181">IFERROR((N41/N3),0)</f>
        <v>0.31035896012039088</v>
      </c>
      <c r="W60" s="48">
        <f t="shared" ref="W60:W73" si="182">IFERROR((N22/N3),0)</f>
        <v>0.68964103987960912</v>
      </c>
      <c r="X60" s="48">
        <f t="shared" ref="X60:X73" si="183">IFERROR((O41/O3),0)</f>
        <v>0.43900359768302355</v>
      </c>
      <c r="Y60" s="48">
        <f t="shared" ref="Y60:Y73" si="184">IFERROR((O22/O3),0)</f>
        <v>0.56099640231697656</v>
      </c>
      <c r="Z60" s="48">
        <f t="shared" ref="Z60:Z73" si="185">IFERROR((Q41/Q3),0)</f>
        <v>0.44062579976153521</v>
      </c>
      <c r="AA60" s="48">
        <f t="shared" ref="AA60:AA73" si="186">IFERROR((Q22/Q3),0)</f>
        <v>0.55937420023846474</v>
      </c>
      <c r="AB60" s="48">
        <f t="shared" ref="AB60:AB73" si="187">IFERROR((R41/R3),0)</f>
        <v>0.22606801732681409</v>
      </c>
      <c r="AC60" s="48">
        <f t="shared" ref="AC60:AC73" si="188">IFERROR((R22/R3),0)</f>
        <v>0.77393198267318586</v>
      </c>
      <c r="AD60" s="48">
        <f t="shared" ref="AD60:AD73" si="189">IFERROR((S41/S3),0)</f>
        <v>0.24150856723227873</v>
      </c>
      <c r="AE60" s="48">
        <f t="shared" ref="AE60:AE73" si="190">IFERROR((S22/S3),0)</f>
        <v>0.75849143276772124</v>
      </c>
      <c r="AF60" s="48">
        <f t="shared" ref="AF60:AF73" si="191">IFERROR((T41/T3),0)</f>
        <v>0.37657551194081618</v>
      </c>
      <c r="AG60" s="48">
        <f t="shared" ref="AG60:AG73" si="192">IFERROR((T22/T3),0)</f>
        <v>0.62342448805918382</v>
      </c>
      <c r="AH60" s="48">
        <f t="shared" ref="AH60:AH73" si="193">IFERROR((V41/V3),0)</f>
        <v>0.43670649284460833</v>
      </c>
      <c r="AI60" s="48">
        <f t="shared" ref="AI60:AI73" si="194">IFERROR((V22/V3),0)</f>
        <v>0.56329350715539162</v>
      </c>
      <c r="AJ60" s="48">
        <f t="shared" ref="AJ60:AJ73" si="195">IFERROR((W41/W3),0)</f>
        <v>0.23084925880837409</v>
      </c>
      <c r="AK60" s="48">
        <f t="shared" ref="AK60:AK73" si="196">IFERROR((W22/W3),0)</f>
        <v>0.76915074119162585</v>
      </c>
      <c r="AL60" s="48">
        <f t="shared" ref="AL60:AL73" si="197">IFERROR((X41/X3),0)</f>
        <v>0.22175196267973146</v>
      </c>
      <c r="AM60" s="48">
        <f t="shared" ref="AM60:AM73" si="198">IFERROR((X22/X3),0)</f>
        <v>0.77824803732026859</v>
      </c>
      <c r="AN60" s="48">
        <f t="shared" ref="AN60:AN73" si="199">IFERROR((Y41/Y3),0)</f>
        <v>0.39549812139001428</v>
      </c>
      <c r="AO60" s="48">
        <f t="shared" ref="AO60:AO73" si="200">IFERROR((Y22/Y3),0)</f>
        <v>0.60450187860998583</v>
      </c>
      <c r="AP60" s="48">
        <f t="shared" ref="AP60:AP73" si="201">IFERROR((AA41/AA3),0)</f>
        <v>0.39851987413675116</v>
      </c>
      <c r="AQ60" s="48">
        <f t="shared" ref="AQ60:AQ73" si="202">IFERROR((AA22/AA3),0)</f>
        <v>0.60148012586324884</v>
      </c>
      <c r="AR60" s="48">
        <f t="shared" ref="AR60:AR73" si="203">IFERROR((AB41/AB3),0)</f>
        <v>0.19622170492068949</v>
      </c>
      <c r="AS60" s="48">
        <f t="shared" ref="AS60:AS73" si="204">IFERROR((AB22/AB3),0)</f>
        <v>0.80377829507931042</v>
      </c>
      <c r="AT60" s="48">
        <f t="shared" ref="AT60:AT73" si="205">IFERROR((AC41/AC3),0)</f>
        <v>0.21403297122105133</v>
      </c>
      <c r="AU60" s="48">
        <f t="shared" ref="AU60:AU73" si="206">IFERROR((AC22/AC3),0)</f>
        <v>0.78596702877894864</v>
      </c>
      <c r="AV60" s="48">
        <f t="shared" ref="AV60:AV73" si="207">IFERROR((AD41/AD3),0)</f>
        <v>0.33275605256139396</v>
      </c>
      <c r="AW60" s="48">
        <f t="shared" ref="AW60:AW73" si="208">IFERROR((AD22/AD3),0)</f>
        <v>0.66724394743860604</v>
      </c>
      <c r="AX60" s="48">
        <f t="shared" ref="AX60:AX73" si="209">IFERROR((AF41/AF3),0)</f>
        <v>0.39130327271841514</v>
      </c>
      <c r="AY60" s="48">
        <f t="shared" ref="AY60:AY73" si="210">IFERROR((AF22/AF3),0)</f>
        <v>0.60869672728158486</v>
      </c>
      <c r="AZ60" s="48">
        <f t="shared" ref="AZ60:AZ73" si="211">IFERROR((AG41/AG3),0)</f>
        <v>0.19236364440708706</v>
      </c>
      <c r="BA60" s="48">
        <f t="shared" ref="BA60:BA73" si="212">IFERROR((AG22/AG3),0)</f>
        <v>0.80763635559291291</v>
      </c>
      <c r="BB60" s="48">
        <f t="shared" ref="BB60:BB73" si="213">IFERROR((AH41/AH3),0)</f>
        <v>0.23150972236265063</v>
      </c>
      <c r="BC60" s="48">
        <f t="shared" ref="BC60:BC73" si="214">IFERROR((AH22/AH3),0)</f>
        <v>0.76849027763734934</v>
      </c>
      <c r="BD60" s="48">
        <f t="shared" ref="BD60:BD73" si="215">IFERROR((AI41/AI3),0)</f>
        <v>0.37670275791241514</v>
      </c>
      <c r="BE60" s="48">
        <f t="shared" ref="BE60:BE73" si="216">IFERROR((AI22/AI3),0)</f>
        <v>0.62329724208758486</v>
      </c>
      <c r="BF60" s="48">
        <f t="shared" ref="BF60:BF73" si="217">IFERROR((AK41/AK3),0)</f>
        <v>0.40300509233187376</v>
      </c>
      <c r="BG60" s="48">
        <f t="shared" ref="BG60:BG73" si="218">IFERROR((AK22/AK3),0)</f>
        <v>0.59699490766812613</v>
      </c>
      <c r="BH60" s="48">
        <f t="shared" ref="BH60:BH73" si="219">IFERROR((AL41/AL3),0)</f>
        <v>0.23180049913050291</v>
      </c>
      <c r="BI60" s="48">
        <f t="shared" ref="BI60:BI73" si="220">IFERROR((AL22/AL3),0)</f>
        <v>0.76819950086949718</v>
      </c>
      <c r="BJ60" s="48">
        <f t="shared" ref="BJ60:BJ73" si="221">IFERROR((AM41/AM3),0)</f>
        <v>0.25789705596748613</v>
      </c>
      <c r="BK60" s="48">
        <f t="shared" ref="BK60:BK73" si="222">IFERROR((AM22/AM3),0)</f>
        <v>0.74210294403251387</v>
      </c>
      <c r="BL60" s="48">
        <f t="shared" ref="BL60:BL73" si="223">IFERROR((AN41/AN3),0)</f>
        <v>0.35729648017472737</v>
      </c>
      <c r="BM60" s="48">
        <f t="shared" ref="BM60:BM73" si="224">IFERROR((AN22/AN3),0)</f>
        <v>0.64270351982527274</v>
      </c>
      <c r="BN60" s="48">
        <f t="shared" ref="BN60:BN73" si="225">IFERROR((AP41/AP3),0)</f>
        <v>0.41773265952441702</v>
      </c>
      <c r="BO60" s="48">
        <f t="shared" ref="BO60:BO73" si="226">IFERROR((AP22/AP3),0)</f>
        <v>0.58226734047558304</v>
      </c>
      <c r="BP60" s="48">
        <f t="shared" ref="BP60:BP73" si="227">IFERROR((AQ41/AQ3),0)</f>
        <v>0.22768409739465592</v>
      </c>
      <c r="BQ60" s="48">
        <f t="shared" ref="BQ60:BQ73" si="228">IFERROR((AQ22/AQ3),0)</f>
        <v>0.77231590260534411</v>
      </c>
      <c r="BR60" s="48">
        <f t="shared" ref="BR60:BR73" si="229">IFERROR((AR41/AR3),0)</f>
        <v>0.23630653575483748</v>
      </c>
      <c r="BS60" s="48">
        <f t="shared" ref="BS60:BS73" si="230">IFERROR((AR22/AR3),0)</f>
        <v>0.7636934642451626</v>
      </c>
      <c r="BT60" s="48">
        <f t="shared" ref="BT60:BT73" si="231">IFERROR((AS41/AS3),0)</f>
        <v>0.36762015328825598</v>
      </c>
      <c r="BU60" s="48">
        <f t="shared" ref="BU60:BU73" si="232">IFERROR((AS22/AS3),0)</f>
        <v>0.63237984671174408</v>
      </c>
      <c r="BV60" s="48">
        <f t="shared" ref="BV60:BV73" si="233">IFERROR((AU41/AU3),0)</f>
        <v>0.3778990806903878</v>
      </c>
      <c r="BW60" s="48">
        <f t="shared" ref="BW60:BW73" si="234">IFERROR((AU22/AU3),0)</f>
        <v>0.6221009193096122</v>
      </c>
      <c r="BX60" s="48">
        <f t="shared" ref="BX60:BX73" si="235">IFERROR((AV41/AV3),0)</f>
        <v>0.21739010864330172</v>
      </c>
      <c r="BY60" s="48">
        <f t="shared" ref="BY60:BY73" si="236">IFERROR((AV22/AV3),0)</f>
        <v>0.78260989135669823</v>
      </c>
      <c r="BZ60" s="48">
        <f t="shared" ref="BZ60:BZ73" si="237">IFERROR((AW41/AW3),0)</f>
        <v>0.23191427842545301</v>
      </c>
      <c r="CA60" s="48">
        <f t="shared" ref="CA60:CA73" si="238">IFERROR((AW22/AW3),0)</f>
        <v>0.76808572157454691</v>
      </c>
      <c r="CB60" s="48">
        <f t="shared" ref="CB60:CB73" si="239">IFERROR((AX41/AX3),0)</f>
        <v>0.34380509570310624</v>
      </c>
      <c r="CC60" s="48">
        <f t="shared" ref="CC60:CC73" si="240">IFERROR((AX22/AX3),0)</f>
        <v>0.65619490429689376</v>
      </c>
      <c r="CD60" s="48">
        <f t="shared" ref="CD60:CD73" si="241">IFERROR((AZ41/AZ3),0)</f>
        <v>0.3699575185854066</v>
      </c>
      <c r="CE60" s="48">
        <f t="shared" ref="CE60:CE73" si="242">IFERROR((AZ22/AZ3),0)</f>
        <v>0.6300424814145934</v>
      </c>
      <c r="CF60" s="48">
        <f t="shared" ref="CF60:CF73" si="243">IFERROR((BA41/BA3),0)</f>
        <v>0.21702629528684036</v>
      </c>
      <c r="CG60" s="48">
        <f t="shared" ref="CG60:CG73" si="244">IFERROR((BA22/BA3),0)</f>
        <v>0.78297370471315964</v>
      </c>
      <c r="CH60" s="48">
        <f t="shared" ref="CH60:CH73" si="245">IFERROR((BB41/BB3),0)</f>
        <v>0.27576024247116759</v>
      </c>
      <c r="CI60" s="48">
        <f t="shared" ref="CI60:CI73" si="246">IFERROR((BB22/BB3),0)</f>
        <v>0.72423975752883241</v>
      </c>
      <c r="CJ60" s="48">
        <f t="shared" ref="CJ60:CJ73" si="247">IFERROR((BC41/BC3),0)</f>
        <v>0.39184362022125263</v>
      </c>
      <c r="CK60" s="48">
        <f t="shared" ref="CK60:CK73" si="248">IFERROR((BC22/BC3),0)</f>
        <v>0.60815637977874737</v>
      </c>
      <c r="CL60" s="48">
        <f t="shared" ref="CL60:CL73" si="249">IFERROR((BE41/BE3),0)</f>
        <v>0.59379958735504712</v>
      </c>
      <c r="CM60" s="48">
        <f t="shared" ref="CM60:CM73" si="250">IFERROR((BE22/BE3),0)</f>
        <v>0.40620041264495282</v>
      </c>
      <c r="CN60" s="48">
        <f t="shared" ref="CN60:CN73" si="251">IFERROR((BF41/BF3),0)</f>
        <v>0.23308000222022143</v>
      </c>
      <c r="CO60" s="48">
        <f t="shared" ref="CO60:CO73" si="252">IFERROR((BF22/BF3),0)</f>
        <v>0.76691999777977859</v>
      </c>
      <c r="CP60" s="48">
        <f t="shared" ref="CP60:CP73" si="253">IFERROR((BG41/BG3),0)</f>
        <v>0.28804459382033604</v>
      </c>
      <c r="CQ60" s="48">
        <f t="shared" ref="CQ60:CQ73" si="254">IFERROR((BG22/BG3),0)</f>
        <v>0.71195540617966402</v>
      </c>
      <c r="CR60" s="48">
        <f t="shared" ref="CR60:CR73" si="255">IFERROR((BH41/BH3),0)</f>
        <v>0.38792574139475522</v>
      </c>
      <c r="CS60" s="48">
        <f t="shared" ref="CS60:CS73" si="256">IFERROR((BH22/BH3),0)</f>
        <v>0.61207425860524478</v>
      </c>
      <c r="CT60" s="48">
        <f t="shared" ref="CT60:CT73" si="257">IFERROR((BJ41/BJ3),0)</f>
        <v>0.34911764705882353</v>
      </c>
      <c r="CU60" s="48">
        <f t="shared" ref="CU60:CU73" si="258">IFERROR((BJ22/BJ3),0)</f>
        <v>0.65088235294117647</v>
      </c>
      <c r="CV60" s="48">
        <f t="shared" ref="CV60:CV73" si="259">IFERROR((BK41/BK3),0)</f>
        <v>0.78000657678395269</v>
      </c>
      <c r="CW60" s="48">
        <f t="shared" ref="CW60:CW73" si="260">IFERROR((BK22/BK3),0)</f>
        <v>0.21999342321604734</v>
      </c>
      <c r="CX60" s="48">
        <f t="shared" ref="CX60:CX73" si="261">IFERROR((BL41/BL3),0)</f>
        <v>0.24144160543153512</v>
      </c>
      <c r="CY60" s="48">
        <f t="shared" ref="CY60:CY73" si="262">IFERROR((BL22/BL3),0)</f>
        <v>0.75855839456846486</v>
      </c>
      <c r="CZ60" s="48">
        <f t="shared" ref="CZ60:CZ73" si="263">IFERROR((BM41/BM3),0)</f>
        <v>0.34937838699394325</v>
      </c>
      <c r="DA60" s="48">
        <f t="shared" ref="DA60:DA73" si="264">IFERROR((BM22/BM3),0)</f>
        <v>0.6506216130060567</v>
      </c>
      <c r="DB60" s="48">
        <f t="shared" ref="DB60:DB73" si="265">IFERROR((BO41/BO3),0)</f>
        <v>0.36057287278854255</v>
      </c>
      <c r="DC60" s="48">
        <f t="shared" ref="DC60:DC73" si="266">IFERROR((BO22/BO3),0)</f>
        <v>0.63942712721145745</v>
      </c>
      <c r="DD60" s="48">
        <f t="shared" ref="DD60:DD73" si="267">IFERROR((BP41/BP3),0)</f>
        <v>0.20798950665143798</v>
      </c>
      <c r="DE60" s="48">
        <f t="shared" ref="DE60:DE73" si="268">IFERROR((BP22/BP3),0)</f>
        <v>0.79201049334856199</v>
      </c>
      <c r="DF60" s="48">
        <f t="shared" ref="DF60:DF73" si="269">IFERROR((BQ41/BQ3),0)</f>
        <v>0.21764691158188085</v>
      </c>
      <c r="DG60" s="48">
        <f t="shared" ref="DG60:DG73" si="270">IFERROR((BQ22/BQ3),0)</f>
        <v>0.78235308841811912</v>
      </c>
      <c r="DH60" s="48">
        <f t="shared" ref="DH60:DH73" si="271">IFERROR((BR41/BR3),0)</f>
        <v>0.32448630136986301</v>
      </c>
      <c r="DI60" s="48">
        <f t="shared" ref="DI60:DI73" si="272">IFERROR((BR22/BR3),0)</f>
        <v>0.67551369863013699</v>
      </c>
      <c r="DJ60" s="48">
        <f t="shared" ref="DJ60:DJ73" si="273">IFERROR((BT41/BT3),0)</f>
        <v>0.35173237753882913</v>
      </c>
      <c r="DK60" s="48">
        <f t="shared" ref="DK60:DK73" si="274">IFERROR((BT22/BT3),0)</f>
        <v>0.64826762246117087</v>
      </c>
      <c r="DL60" s="48">
        <f t="shared" ref="DL60:DL73" si="275">IFERROR((BU41/BU3),0)</f>
        <v>0.21112618724559024</v>
      </c>
      <c r="DM60" s="48">
        <f t="shared" ref="DM60:DM73" si="276">IFERROR((BU22/BU3),0)</f>
        <v>0.78887381275440982</v>
      </c>
      <c r="DN60" s="48">
        <f t="shared" ref="DN60:DN73" si="277">IFERROR((BV41/BV3),0)</f>
        <v>0.23326236101253844</v>
      </c>
      <c r="DO60" s="48">
        <f t="shared" ref="DO60:DO73" si="278">IFERROR((BV22/BV3),0)</f>
        <v>0.76673763898746161</v>
      </c>
      <c r="DP60" s="48">
        <f t="shared" ref="DP60:DP73" si="279">IFERROR((BW41/BW3),0)</f>
        <v>0.33027143354655508</v>
      </c>
      <c r="DQ60" s="48">
        <f t="shared" ref="DQ60:DQ73" si="280">IFERROR((BW22/BW3),0)</f>
        <v>0.66972856645344492</v>
      </c>
      <c r="DR60" s="48">
        <f t="shared" ref="DR60:DR73" si="281">IFERROR((BY41/BY3),0)</f>
        <v>0.35712484237074399</v>
      </c>
      <c r="DS60" s="48">
        <f t="shared" ref="DS60:DS73" si="282">IFERROR((BY22/BY3),0)</f>
        <v>0.64287515762925596</v>
      </c>
      <c r="DT60" s="48">
        <f t="shared" ref="DT60:DT73" si="283">IFERROR((BZ41/BZ3),0)</f>
        <v>0.2075134168157424</v>
      </c>
      <c r="DU60" s="48">
        <f t="shared" ref="DU60:DU73" si="284">IFERROR((BZ22/BZ3),0)</f>
        <v>0.79248658318425758</v>
      </c>
      <c r="DV60" s="48">
        <f t="shared" ref="DV60:DV73" si="285">IFERROR((CA41/CA3),0)</f>
        <v>0.22376950780312124</v>
      </c>
      <c r="DW60" s="48">
        <f t="shared" ref="DW60:DW73" si="286">IFERROR((CA22/CA3),0)</f>
        <v>0.77623049219687879</v>
      </c>
      <c r="DX60" s="48">
        <f t="shared" ref="DX60:DX73" si="287">IFERROR((CB22/CB3),0)</f>
        <v>0.65961783439490451</v>
      </c>
      <c r="DY60" s="48">
        <f t="shared" ref="DY60:DY73" si="288">IFERROR((CB22/CB3),0)</f>
        <v>0.65961783439490451</v>
      </c>
      <c r="DZ60" s="48">
        <f t="shared" ref="DZ60:DZ73" si="289">IFERROR((CD41/CD3),0)</f>
        <v>0.34734018775145281</v>
      </c>
      <c r="EA60" s="48">
        <f t="shared" ref="EA60:EA73" si="290">IFERROR((CD22/CD3),0)</f>
        <v>0.65265981224854719</v>
      </c>
      <c r="EB60" s="48">
        <f t="shared" ref="EB60:EB73" si="291">IFERROR((CE41/CE3),0)</f>
        <v>0.24269889224572003</v>
      </c>
      <c r="EC60" s="48">
        <f t="shared" ref="EC60:EC73" si="292">IFERROR((CE22/CE3),0)</f>
        <v>0.75730110775427995</v>
      </c>
      <c r="ED60" s="48">
        <f t="shared" ref="ED60:ED73" si="293">IFERROR((CF41/CF3),0)</f>
        <v>0.26582278481012656</v>
      </c>
      <c r="EE60" s="48">
        <f t="shared" ref="EE60:EE73" si="294">IFERROR((CF22/CF3),0)</f>
        <v>0.73417721518987344</v>
      </c>
      <c r="EF60" s="48">
        <f t="shared" ref="EF60:EF73" si="295">IFERROR((CG41/CG3),0)</f>
        <v>0.36765867790360812</v>
      </c>
      <c r="EG60" s="48">
        <f t="shared" ref="EG60:EG73" si="296">IFERROR((CG22/CG3),0)</f>
        <v>0.63234132209639193</v>
      </c>
      <c r="EH60" s="48">
        <f t="shared" ref="EH60:EH73" si="297">IFERROR((CI41/CI3),0)</f>
        <v>0.36987654320987656</v>
      </c>
      <c r="EI60" s="48">
        <f t="shared" ref="EI60:EI73" si="298">IFERROR((CI22/CI3),0)</f>
        <v>0.63012345679012349</v>
      </c>
      <c r="EJ60" s="48">
        <f t="shared" ref="EJ60:EJ73" si="299">IFERROR((CJ41/CJ3),0)</f>
        <v>0.23975090814737934</v>
      </c>
      <c r="EK60" s="48">
        <f t="shared" ref="EK60:EK73" si="300">IFERROR((CJ22/CJ3),0)</f>
        <v>0.76024909185262068</v>
      </c>
      <c r="EL60" s="48">
        <f t="shared" ref="EL60:EL73" si="301">IFERROR((CK41/CK3),0)</f>
        <v>0.26350832266325225</v>
      </c>
      <c r="EM60" s="48">
        <f t="shared" ref="EM60:EM73" si="302">IFERROR((CK22/CK3),0)</f>
        <v>0.73649167733674781</v>
      </c>
      <c r="EN60" s="48">
        <f t="shared" ref="EN60:EN73" si="303">IFERROR((CL41/CL3),0)</f>
        <v>0.32509303561935143</v>
      </c>
      <c r="EO60" s="48">
        <f t="shared" ref="EO60:EO73" si="304">IFERROR((CL22/CL3),0)</f>
        <v>0.67490696438064857</v>
      </c>
      <c r="EP60" s="48">
        <f t="shared" ref="EP60:EP73" si="305">IFERROR((CN41/CN3),0)</f>
        <v>0.31884968782611189</v>
      </c>
      <c r="EQ60" s="48">
        <f t="shared" ref="EQ60:EQ73" si="306">IFERROR((CN22/CN3),0)</f>
        <v>0.68115031217388822</v>
      </c>
      <c r="ER60" s="48">
        <f t="shared" ref="ER60:ER73" si="307">IFERROR((CO41/CO3),0)</f>
        <v>0.20637133113528289</v>
      </c>
      <c r="ES60" s="48">
        <f t="shared" ref="ES60:ES73" si="308">IFERROR((CO22/CO3),0)</f>
        <v>0.79362866886471706</v>
      </c>
      <c r="ET60" s="48">
        <f t="shared" ref="ET60:ET73" si="309">IFERROR((CP41/CP3),0)</f>
        <v>0.24480554075652639</v>
      </c>
      <c r="EU60" s="48">
        <f t="shared" ref="EU60:EU73" si="310">IFERROR((CP22/CP3),0)</f>
        <v>0.75519445924347361</v>
      </c>
      <c r="EV60" s="48">
        <f t="shared" ref="EV60:EV73" si="311">IFERROR((CQ41/CQ3),0)</f>
        <v>0.32776155666052637</v>
      </c>
      <c r="EW60" s="48">
        <f t="shared" ref="EW60:EW73" si="312">IFERROR((CQ22/CQ3),0)</f>
        <v>0.67223844333947369</v>
      </c>
      <c r="EX60" s="48">
        <f t="shared" ref="EX60:EX73" si="313">IFERROR((CS41/CS3),0)</f>
        <v>0.31035184055318282</v>
      </c>
      <c r="EY60" s="48">
        <f t="shared" ref="EY60:EY73" si="314">IFERROR((CS22/CS3),0)</f>
        <v>0.68964815944681712</v>
      </c>
      <c r="EZ60" s="48">
        <f t="shared" ref="EZ60:EZ73" si="315">IFERROR((CT41/CT3),0)</f>
        <v>0.20179269133532521</v>
      </c>
      <c r="FA60" s="48">
        <f t="shared" ref="FA60:FA73" si="316">IFERROR((CT22/CT3),0)</f>
        <v>0.79820730866467482</v>
      </c>
      <c r="FB60" s="48">
        <f t="shared" ref="FB60:FB73" si="317">IFERROR((CU41/CU3),0)</f>
        <v>0.21351296182894469</v>
      </c>
      <c r="FC60" s="48">
        <f t="shared" ref="FC60:FC73" si="318">IFERROR((CU22/CU3),0)</f>
        <v>0.78648703817105536</v>
      </c>
      <c r="FD60" s="48">
        <f t="shared" ref="FD60:FD73" si="319">IFERROR((CV41/CV3),0)</f>
        <v>0.30288226673180263</v>
      </c>
      <c r="FE60" s="48">
        <f t="shared" ref="FE60:FE73" si="320">IFERROR((CV22/CV3),0)</f>
        <v>0.69711773326819737</v>
      </c>
      <c r="FF60" s="48">
        <f t="shared" ref="FF60:FF73" si="321">IFERROR((CX41/CX3),0)</f>
        <v>0.29912262803509487</v>
      </c>
      <c r="FG60" s="48">
        <f t="shared" ref="FG60:FG73" si="322">IFERROR((CX22/CX3),0)</f>
        <v>0.70087737196490507</v>
      </c>
      <c r="FH60" s="48">
        <f t="shared" ref="FH60:FH73" si="323">IFERROR((CY41/CY3),0)</f>
        <v>0.21384117500622354</v>
      </c>
      <c r="FI60" s="48">
        <f t="shared" ref="FI60:FI73" si="324">IFERROR((CY22/CY3),0)</f>
        <v>0.78615882499377643</v>
      </c>
      <c r="FJ60" s="48">
        <f t="shared" ref="FJ60:FJ73" si="325">IFERROR((CZ41/CZ3),0)</f>
        <v>0.24522370012091899</v>
      </c>
      <c r="FK60" s="48">
        <f t="shared" ref="FK60:FK73" si="326">IFERROR((CZ22/CZ3),0)</f>
        <v>0.75477629987908101</v>
      </c>
      <c r="FL60" s="48">
        <f t="shared" ref="FL60:FL73" si="327">IFERROR((DA41/DA3),0)</f>
        <v>0.34610338493833637</v>
      </c>
      <c r="FM60" s="48">
        <f t="shared" ref="FM60:FM73" si="328">IFERROR((DA22/DA3),0)</f>
        <v>0.65389661506166363</v>
      </c>
      <c r="FN60" s="48">
        <f t="shared" ref="FN60:FN73" si="329">IFERROR((DC41/DC3),0)</f>
        <v>0.35906773488710853</v>
      </c>
      <c r="FO60" s="48">
        <f t="shared" ref="FO60:FO73" si="330">IFERROR((DC22/DC3),0)</f>
        <v>0.64093226511289147</v>
      </c>
      <c r="FP60" s="48">
        <f t="shared" ref="FP60:FP73" si="331">IFERROR((DD41/DD3),0)</f>
        <v>0.23454833597464342</v>
      </c>
      <c r="FQ60" s="48">
        <f t="shared" ref="FQ60:FQ73" si="332">IFERROR((DD22/DD3),0)</f>
        <v>0.76545166402535658</v>
      </c>
      <c r="FR60" s="48">
        <f t="shared" ref="FR60:FR73" si="333">IFERROR((DE41/DE3),0)</f>
        <v>0.22668298653610772</v>
      </c>
      <c r="FS60" s="48">
        <f t="shared" ref="FS60:FS73" si="334">IFERROR((DE22/DE3),0)</f>
        <v>0.77331701346389226</v>
      </c>
      <c r="FT60" s="48">
        <f t="shared" ref="FT60:FT73" si="335">IFERROR((DF41/DF3),0)</f>
        <v>0.34257518796992481</v>
      </c>
      <c r="FU60" s="48">
        <f t="shared" ref="FU60:FU73" si="336">IFERROR((DF22/DF3),0)</f>
        <v>0.65742481203007519</v>
      </c>
      <c r="FV60" s="48">
        <f t="shared" ref="FV60:FV73" si="337">IFERROR((DH41/DH3),0)</f>
        <v>0.31656493369816879</v>
      </c>
      <c r="FW60" s="48">
        <f t="shared" ref="FW60:FW73" si="338">IFERROR((DH22/DH3),0)</f>
        <v>0.68343506630183115</v>
      </c>
      <c r="FX60" s="48">
        <f t="shared" ref="FX60:FX73" si="339">IFERROR((DI41/DI3),0)</f>
        <v>0.17357142857142857</v>
      </c>
      <c r="FY60" s="48">
        <f t="shared" ref="FY60:FY73" si="340">IFERROR((DI22/DI3),0)</f>
        <v>0.8264285714285714</v>
      </c>
      <c r="FZ60" s="48">
        <f t="shared" ref="FZ60:FZ73" si="341">IFERROR((DJ41/DJ3),0)</f>
        <v>0.24162624162624163</v>
      </c>
      <c r="GA60" s="48">
        <f t="shared" ref="GA60:GA73" si="342">IFERROR((DJ22/DJ3),0)</f>
        <v>0.75837375837375842</v>
      </c>
      <c r="GB60" s="48">
        <f t="shared" ref="GB60:GB73" si="343">IFERROR((DK41/DK3),0)</f>
        <v>0.34608864131751027</v>
      </c>
      <c r="GC60" s="48">
        <f t="shared" ref="GC60:GC73" si="344">IFERROR((DK22/DK3),0)</f>
        <v>0.65391135868248973</v>
      </c>
      <c r="GD60" s="48">
        <f t="shared" ref="GD60:GD73" si="345">IFERROR((DM41/DM3),0)</f>
        <v>0.28889388489208634</v>
      </c>
      <c r="GE60" s="48">
        <f t="shared" ref="GE60:GE73" si="346">IFERROR((DM22/DM3),0)</f>
        <v>0.71110611510791366</v>
      </c>
      <c r="GF60" s="48">
        <f t="shared" ref="GF60:GF73" si="347">IFERROR((DN41/DN3),0)</f>
        <v>0.20936374549819928</v>
      </c>
      <c r="GG60" s="48">
        <f t="shared" ref="GG60:GG73" si="348">IFERROR((DN22/DN3),0)</f>
        <v>0.79063625450180075</v>
      </c>
      <c r="GH60" s="48">
        <f t="shared" ref="GH60:GH73" si="349">IFERROR((DO41/DO3),0)</f>
        <v>0.2616710557816615</v>
      </c>
      <c r="GI60" s="48">
        <f t="shared" ref="GI60:GI73" si="350">IFERROR((DO22/DO3),0)</f>
        <v>0.7383289442183385</v>
      </c>
      <c r="GJ60" s="48">
        <f t="shared" ref="GJ60:GJ73" si="351">IFERROR((DP41/DP3),0)</f>
        <v>0.28565815324165028</v>
      </c>
      <c r="GK60" s="48">
        <f t="shared" ref="GK60:GK73" si="352">IFERROR((DP22/DP3),0)</f>
        <v>0.71434184675834966</v>
      </c>
      <c r="GL60" s="48">
        <f t="shared" ref="GL60:GL73" si="353">IFERROR((DR41/DR3),0)</f>
        <v>0</v>
      </c>
      <c r="GM60" s="48">
        <f t="shared" ref="GM60:GM73" si="354">IFERROR((DR22/DR3),0)</f>
        <v>0</v>
      </c>
      <c r="GN60" s="48">
        <f t="shared" ref="GN60:GN73" si="355">IFERROR((DS41/DS3),0)</f>
        <v>0</v>
      </c>
      <c r="GO60" s="48">
        <f t="shared" ref="GO60:GO73" si="356">IFERROR((DS22/DS3),0)</f>
        <v>0</v>
      </c>
      <c r="GP60" s="48">
        <f t="shared" ref="GP60:GP73" si="357">IFERROR((DT41/DT3),0)</f>
        <v>0</v>
      </c>
      <c r="GQ60" s="48">
        <f t="shared" ref="GQ60:GQ73" si="358">IFERROR((DT22/DT3),0)</f>
        <v>0</v>
      </c>
      <c r="GR60" s="48">
        <f t="shared" ref="GR60:GR73" si="359">IFERROR((DU41/DU3),0)</f>
        <v>0</v>
      </c>
      <c r="GS60" s="48">
        <f t="shared" ref="GS60:GS73" si="360">IFERROR((DU22/DU3),0)</f>
        <v>0</v>
      </c>
      <c r="GT60" s="48">
        <f t="shared" ref="GT60:GT73" si="361">IFERROR((DW41/DW3),0)</f>
        <v>0</v>
      </c>
      <c r="GU60" s="48">
        <f t="shared" ref="GU60:GU73" si="362">IFERROR((DW22/DW3),0)</f>
        <v>0</v>
      </c>
      <c r="GV60" s="48">
        <f t="shared" ref="GV60:GV73" si="363">IFERROR((DX41/DX3),0)</f>
        <v>0</v>
      </c>
      <c r="GW60" s="48">
        <f t="shared" ref="GW60:GW73" si="364">IFERROR((DX22/DX3),0)</f>
        <v>0</v>
      </c>
      <c r="GX60" s="48">
        <f t="shared" ref="GX60:GX73" si="365">IFERROR((DY41/DY3),0)</f>
        <v>0</v>
      </c>
      <c r="GY60" s="48">
        <f t="shared" ref="GY60:GY73" si="366">IFERROR((DY22/DY3),0)</f>
        <v>0</v>
      </c>
      <c r="GZ60" s="48">
        <f t="shared" ref="GZ60:GZ73" si="367">IFERROR((DZ41/DZ3),0)</f>
        <v>0</v>
      </c>
      <c r="HA60" s="48">
        <f t="shared" ref="HA60:HA73" si="368">IFERROR((DZ22/DZ3),0)</f>
        <v>0</v>
      </c>
      <c r="HB60" s="48">
        <f t="shared" ref="HB60:HB73" si="369">IFERROR((EB41/EB3),0)</f>
        <v>0</v>
      </c>
      <c r="HC60" s="48">
        <f t="shared" ref="HC60:HC73" si="370">IFERROR((EB22/EB3),0)</f>
        <v>0</v>
      </c>
      <c r="HD60" s="48">
        <f t="shared" ref="HD60:HD73" si="371">IFERROR((EC41/EC3),0)</f>
        <v>0</v>
      </c>
      <c r="HE60" s="48">
        <f t="shared" ref="HE60:HE73" si="372">IFERROR((EC22/EC3),0)</f>
        <v>0</v>
      </c>
      <c r="HF60" s="48">
        <f t="shared" ref="HF60:HF74" si="373">IFERROR((ED41/ED3),0)</f>
        <v>0</v>
      </c>
      <c r="HG60" s="48">
        <f t="shared" ref="HG60:HG74" si="374">IFERROR((ED22/ED3),0)</f>
        <v>0</v>
      </c>
      <c r="HH60" s="48">
        <f t="shared" ref="HH60:HH74" si="375">IFERROR((EE41/EE3),0)</f>
        <v>0</v>
      </c>
      <c r="HI60" s="48">
        <f t="shared" ref="HI60:HI74" si="376">IFERROR((EE22/EE3),0)</f>
        <v>0</v>
      </c>
      <c r="HJ60" s="48">
        <f t="shared" ref="HJ60:HJ74" si="377">IFERROR((EG41/EG3),0)</f>
        <v>0</v>
      </c>
      <c r="HK60" s="48">
        <f t="shared" ref="HK60:HK74" si="378">IFERROR((EG22/EG3),0)</f>
        <v>0</v>
      </c>
      <c r="HL60" s="48">
        <f t="shared" ref="HL60:HL74" si="379">IFERROR((EH41/EH3),0)</f>
        <v>0</v>
      </c>
      <c r="HM60" s="48">
        <f t="shared" ref="HM60:HM74" si="380">IFERROR((EH22/EH3),0)</f>
        <v>0</v>
      </c>
      <c r="HN60" s="48">
        <f>IFERROR((EI41/EI4),0)</f>
        <v>0</v>
      </c>
      <c r="HO60" s="48">
        <f t="shared" ref="HO60:HO74" si="381">IFERROR((EI22/EI3),0)</f>
        <v>0</v>
      </c>
    </row>
    <row r="61" spans="1:223" s="12" customFormat="1" ht="15" thickBot="1" x14ac:dyDescent="0.35">
      <c r="A61" s="13" t="s">
        <v>454</v>
      </c>
      <c r="B61" s="49">
        <f t="shared" si="161"/>
        <v>0</v>
      </c>
      <c r="C61" s="49">
        <f t="shared" si="162"/>
        <v>0</v>
      </c>
      <c r="D61" s="49">
        <f t="shared" si="163"/>
        <v>0</v>
      </c>
      <c r="E61" s="49">
        <f t="shared" si="164"/>
        <v>0</v>
      </c>
      <c r="F61" s="49">
        <f t="shared" si="165"/>
        <v>0</v>
      </c>
      <c r="G61" s="49">
        <f t="shared" si="166"/>
        <v>0</v>
      </c>
      <c r="H61" s="49">
        <f t="shared" si="167"/>
        <v>0</v>
      </c>
      <c r="I61" s="49">
        <f t="shared" si="168"/>
        <v>0</v>
      </c>
      <c r="J61" s="49">
        <f t="shared" si="169"/>
        <v>0</v>
      </c>
      <c r="K61" s="49">
        <f t="shared" si="170"/>
        <v>0</v>
      </c>
      <c r="L61" s="49">
        <f t="shared" si="171"/>
        <v>0</v>
      </c>
      <c r="M61" s="49">
        <f t="shared" si="172"/>
        <v>0</v>
      </c>
      <c r="N61" s="49">
        <f t="shared" si="173"/>
        <v>0</v>
      </c>
      <c r="O61" s="49">
        <f t="shared" si="174"/>
        <v>0</v>
      </c>
      <c r="P61" s="49">
        <f t="shared" si="175"/>
        <v>0</v>
      </c>
      <c r="Q61" s="49">
        <f t="shared" si="176"/>
        <v>0</v>
      </c>
      <c r="R61" s="49">
        <f t="shared" si="177"/>
        <v>0</v>
      </c>
      <c r="S61" s="49">
        <f t="shared" si="178"/>
        <v>0</v>
      </c>
      <c r="T61" s="49">
        <f t="shared" si="179"/>
        <v>0</v>
      </c>
      <c r="U61" s="49">
        <f t="shared" si="180"/>
        <v>0</v>
      </c>
      <c r="V61" s="49">
        <f t="shared" si="181"/>
        <v>0</v>
      </c>
      <c r="W61" s="49">
        <f t="shared" si="182"/>
        <v>0</v>
      </c>
      <c r="X61" s="49">
        <f t="shared" si="183"/>
        <v>0</v>
      </c>
      <c r="Y61" s="49">
        <f t="shared" si="184"/>
        <v>0</v>
      </c>
      <c r="Z61" s="49">
        <f t="shared" si="185"/>
        <v>0.23199915405167962</v>
      </c>
      <c r="AA61" s="49">
        <f t="shared" si="186"/>
        <v>0.7680008459483203</v>
      </c>
      <c r="AB61" s="49">
        <f t="shared" si="187"/>
        <v>0.18727503060450632</v>
      </c>
      <c r="AC61" s="49">
        <f t="shared" si="188"/>
        <v>0.81272496939549366</v>
      </c>
      <c r="AD61" s="49">
        <f t="shared" si="189"/>
        <v>0.19869885246810984</v>
      </c>
      <c r="AE61" s="49">
        <f t="shared" si="190"/>
        <v>0.80130114753189019</v>
      </c>
      <c r="AF61" s="49">
        <f t="shared" si="191"/>
        <v>0.25036106905702626</v>
      </c>
      <c r="AG61" s="49">
        <f t="shared" si="192"/>
        <v>0.74963893094297374</v>
      </c>
      <c r="AH61" s="49">
        <f t="shared" si="193"/>
        <v>0.31427374875983338</v>
      </c>
      <c r="AI61" s="49">
        <f t="shared" si="194"/>
        <v>0.68572625124016662</v>
      </c>
      <c r="AJ61" s="49">
        <f t="shared" si="195"/>
        <v>0.20308335066260849</v>
      </c>
      <c r="AK61" s="49">
        <f t="shared" si="196"/>
        <v>0.79691664933739148</v>
      </c>
      <c r="AL61" s="49">
        <f t="shared" si="197"/>
        <v>0.21547939608373506</v>
      </c>
      <c r="AM61" s="49">
        <f t="shared" si="198"/>
        <v>0.78452060391626488</v>
      </c>
      <c r="AN61" s="49">
        <f t="shared" si="199"/>
        <v>0.25928242580583932</v>
      </c>
      <c r="AO61" s="49">
        <f t="shared" si="200"/>
        <v>0.74071757419416062</v>
      </c>
      <c r="AP61" s="49">
        <f t="shared" si="201"/>
        <v>0.30914400834632305</v>
      </c>
      <c r="AQ61" s="49">
        <f t="shared" si="202"/>
        <v>0.69085599165367695</v>
      </c>
      <c r="AR61" s="49">
        <f t="shared" si="203"/>
        <v>0.16395418536280906</v>
      </c>
      <c r="AS61" s="49">
        <f t="shared" si="204"/>
        <v>0.83604581463719085</v>
      </c>
      <c r="AT61" s="49">
        <f t="shared" si="205"/>
        <v>0.18981664996322969</v>
      </c>
      <c r="AU61" s="49">
        <f t="shared" si="206"/>
        <v>0.81018335003677022</v>
      </c>
      <c r="AV61" s="49">
        <f t="shared" si="207"/>
        <v>0.23305442881427899</v>
      </c>
      <c r="AW61" s="49">
        <f t="shared" si="208"/>
        <v>0.76694557118572104</v>
      </c>
      <c r="AX61" s="49">
        <f t="shared" si="209"/>
        <v>0.25448641775744624</v>
      </c>
      <c r="AY61" s="49">
        <f t="shared" si="210"/>
        <v>0.74551358224255371</v>
      </c>
      <c r="AZ61" s="49">
        <f t="shared" si="211"/>
        <v>0.18013241169328262</v>
      </c>
      <c r="BA61" s="49">
        <f t="shared" si="212"/>
        <v>0.81986758830671735</v>
      </c>
      <c r="BB61" s="49">
        <f t="shared" si="213"/>
        <v>0.19457996086207704</v>
      </c>
      <c r="BC61" s="49">
        <f t="shared" si="214"/>
        <v>0.80542003913792293</v>
      </c>
      <c r="BD61" s="49">
        <f t="shared" si="215"/>
        <v>0.23026694132010639</v>
      </c>
      <c r="BE61" s="49">
        <f t="shared" si="216"/>
        <v>0.76973305867989361</v>
      </c>
      <c r="BF61" s="49">
        <f t="shared" si="217"/>
        <v>0.28661784316029448</v>
      </c>
      <c r="BG61" s="49">
        <f t="shared" si="218"/>
        <v>0.71338215683970552</v>
      </c>
      <c r="BH61" s="49">
        <f t="shared" si="219"/>
        <v>0.2012300874236658</v>
      </c>
      <c r="BI61" s="49">
        <f t="shared" si="220"/>
        <v>0.79876991257633412</v>
      </c>
      <c r="BJ61" s="49">
        <f t="shared" si="221"/>
        <v>0.20893535444792818</v>
      </c>
      <c r="BK61" s="49">
        <f t="shared" si="222"/>
        <v>0.79106464555207179</v>
      </c>
      <c r="BL61" s="49">
        <f t="shared" si="223"/>
        <v>0.23154010746726322</v>
      </c>
      <c r="BM61" s="49">
        <f t="shared" si="224"/>
        <v>0.76845989253273672</v>
      </c>
      <c r="BN61" s="49">
        <f t="shared" si="225"/>
        <v>0.29498841862585223</v>
      </c>
      <c r="BO61" s="49">
        <f t="shared" si="226"/>
        <v>0.70501158137414777</v>
      </c>
      <c r="BP61" s="49">
        <f t="shared" si="227"/>
        <v>0.17752644924490357</v>
      </c>
      <c r="BQ61" s="49">
        <f t="shared" si="228"/>
        <v>0.82247355075509643</v>
      </c>
      <c r="BR61" s="49">
        <f t="shared" si="229"/>
        <v>0.21241810391090063</v>
      </c>
      <c r="BS61" s="49">
        <f t="shared" si="230"/>
        <v>0.78758189608909945</v>
      </c>
      <c r="BT61" s="49">
        <f t="shared" si="231"/>
        <v>0.24886680418416238</v>
      </c>
      <c r="BU61" s="49">
        <f t="shared" si="232"/>
        <v>0.75113319581583771</v>
      </c>
      <c r="BV61" s="49">
        <f t="shared" si="233"/>
        <v>0.27317129686988306</v>
      </c>
      <c r="BW61" s="49">
        <f t="shared" si="234"/>
        <v>0.72682870313011694</v>
      </c>
      <c r="BX61" s="49">
        <f t="shared" si="235"/>
        <v>0.17878615596626435</v>
      </c>
      <c r="BY61" s="49">
        <f t="shared" si="236"/>
        <v>0.82121384403373576</v>
      </c>
      <c r="BZ61" s="49">
        <f t="shared" si="237"/>
        <v>0.19055126992847524</v>
      </c>
      <c r="CA61" s="49">
        <f t="shared" si="238"/>
        <v>0.80944873007152485</v>
      </c>
      <c r="CB61" s="49">
        <f t="shared" si="239"/>
        <v>0.24312467719032799</v>
      </c>
      <c r="CC61" s="49">
        <f t="shared" si="240"/>
        <v>0.75687532280967207</v>
      </c>
      <c r="CD61" s="49">
        <f t="shared" si="241"/>
        <v>0.28453162621489397</v>
      </c>
      <c r="CE61" s="49">
        <f t="shared" si="242"/>
        <v>0.71546837378510608</v>
      </c>
      <c r="CF61" s="49">
        <f t="shared" si="243"/>
        <v>0.1823881533539948</v>
      </c>
      <c r="CG61" s="49">
        <f t="shared" si="244"/>
        <v>0.81761184664600517</v>
      </c>
      <c r="CH61" s="49">
        <f t="shared" si="245"/>
        <v>0.22309811866434212</v>
      </c>
      <c r="CI61" s="49">
        <f t="shared" si="246"/>
        <v>0.77690188133565796</v>
      </c>
      <c r="CJ61" s="49">
        <f t="shared" si="247"/>
        <v>0.2566722658880764</v>
      </c>
      <c r="CK61" s="49">
        <f t="shared" si="248"/>
        <v>0.74332773411192365</v>
      </c>
      <c r="CL61" s="49">
        <f t="shared" si="249"/>
        <v>0.70633756947666682</v>
      </c>
      <c r="CM61" s="49">
        <f t="shared" si="250"/>
        <v>0.29366243052333307</v>
      </c>
      <c r="CN61" s="49">
        <f t="shared" si="251"/>
        <v>0.18366864042862857</v>
      </c>
      <c r="CO61" s="49">
        <f t="shared" si="252"/>
        <v>0.81633135957137148</v>
      </c>
      <c r="CP61" s="49">
        <f t="shared" si="253"/>
        <v>0.23203336006671785</v>
      </c>
      <c r="CQ61" s="49">
        <f t="shared" si="254"/>
        <v>0.76796663993328207</v>
      </c>
      <c r="CR61" s="49">
        <f t="shared" si="255"/>
        <v>0.29298484739222208</v>
      </c>
      <c r="CS61" s="49">
        <f t="shared" si="256"/>
        <v>0.70701515260777792</v>
      </c>
      <c r="CT61" s="49">
        <f t="shared" si="257"/>
        <v>0.30627975515756062</v>
      </c>
      <c r="CU61" s="49">
        <f t="shared" si="258"/>
        <v>0.69372024484243933</v>
      </c>
      <c r="CV61" s="49">
        <f t="shared" si="259"/>
        <v>0.79765915942543009</v>
      </c>
      <c r="CW61" s="49">
        <f t="shared" si="260"/>
        <v>0.20234084057456997</v>
      </c>
      <c r="CX61" s="49">
        <f t="shared" si="261"/>
        <v>0.23719475167198356</v>
      </c>
      <c r="CY61" s="49">
        <f t="shared" si="262"/>
        <v>0.76280524832801644</v>
      </c>
      <c r="CZ61" s="49">
        <f t="shared" si="263"/>
        <v>0.28014690879412363</v>
      </c>
      <c r="DA61" s="49">
        <f t="shared" si="264"/>
        <v>0.71985309120587637</v>
      </c>
      <c r="DB61" s="49">
        <f t="shared" si="265"/>
        <v>0.28305864315829821</v>
      </c>
      <c r="DC61" s="49">
        <f t="shared" si="266"/>
        <v>0.71694135684170179</v>
      </c>
      <c r="DD61" s="49">
        <f t="shared" si="267"/>
        <v>0.20356111037001606</v>
      </c>
      <c r="DE61" s="49">
        <f t="shared" si="268"/>
        <v>0.79643888962998399</v>
      </c>
      <c r="DF61" s="49">
        <f t="shared" si="269"/>
        <v>0.22967737638633837</v>
      </c>
      <c r="DG61" s="49">
        <f t="shared" si="270"/>
        <v>0.77032262361366155</v>
      </c>
      <c r="DH61" s="49">
        <f t="shared" si="271"/>
        <v>0.27984420642648489</v>
      </c>
      <c r="DI61" s="49">
        <f t="shared" si="272"/>
        <v>0.72015579357351511</v>
      </c>
      <c r="DJ61" s="49">
        <f t="shared" si="273"/>
        <v>0.313041803120786</v>
      </c>
      <c r="DK61" s="49">
        <f t="shared" si="274"/>
        <v>0.686958196879214</v>
      </c>
      <c r="DL61" s="49">
        <f t="shared" si="275"/>
        <v>0.21838529176658672</v>
      </c>
      <c r="DM61" s="49">
        <f t="shared" si="276"/>
        <v>0.78161470823341328</v>
      </c>
      <c r="DN61" s="49">
        <f t="shared" si="277"/>
        <v>0.25797320249103606</v>
      </c>
      <c r="DO61" s="49">
        <f t="shared" si="278"/>
        <v>0.74202679750896394</v>
      </c>
      <c r="DP61" s="49">
        <f t="shared" si="279"/>
        <v>0.2947685311732382</v>
      </c>
      <c r="DQ61" s="49">
        <f t="shared" si="280"/>
        <v>0.7052314688267618</v>
      </c>
      <c r="DR61" s="49">
        <f t="shared" si="281"/>
        <v>0.31024684780678385</v>
      </c>
      <c r="DS61" s="49">
        <f t="shared" si="282"/>
        <v>0.68975315219321609</v>
      </c>
      <c r="DT61" s="49">
        <f t="shared" si="283"/>
        <v>0.1844282848545637</v>
      </c>
      <c r="DU61" s="49">
        <f t="shared" si="284"/>
        <v>0.81557171514543636</v>
      </c>
      <c r="DV61" s="49">
        <f t="shared" si="285"/>
        <v>0.21360466771026043</v>
      </c>
      <c r="DW61" s="49">
        <f t="shared" si="286"/>
        <v>0.78639533228973957</v>
      </c>
      <c r="DX61" s="49">
        <f t="shared" si="287"/>
        <v>0.70050060417745552</v>
      </c>
      <c r="DY61" s="49">
        <f t="shared" si="288"/>
        <v>0.70050060417745552</v>
      </c>
      <c r="DZ61" s="49">
        <f t="shared" si="289"/>
        <v>0.28801191362620998</v>
      </c>
      <c r="EA61" s="49">
        <f t="shared" si="290"/>
        <v>0.71198808637379007</v>
      </c>
      <c r="EB61" s="49">
        <f t="shared" si="291"/>
        <v>0.21410982516621521</v>
      </c>
      <c r="EC61" s="49">
        <f t="shared" si="292"/>
        <v>0.78589017483378476</v>
      </c>
      <c r="ED61" s="49">
        <f t="shared" si="293"/>
        <v>0.23885440180586909</v>
      </c>
      <c r="EE61" s="49">
        <f t="shared" si="294"/>
        <v>0.76114559819413097</v>
      </c>
      <c r="EF61" s="49">
        <f t="shared" si="295"/>
        <v>0.30215827338129497</v>
      </c>
      <c r="EG61" s="49">
        <f t="shared" si="296"/>
        <v>0.69784172661870503</v>
      </c>
      <c r="EH61" s="49">
        <f t="shared" si="297"/>
        <v>0.30528920507268792</v>
      </c>
      <c r="EI61" s="49">
        <f t="shared" si="298"/>
        <v>0.69471079492731214</v>
      </c>
      <c r="EJ61" s="49">
        <f t="shared" si="299"/>
        <v>0.22162233342112195</v>
      </c>
      <c r="EK61" s="49">
        <f t="shared" si="300"/>
        <v>0.77837766657887808</v>
      </c>
      <c r="EL61" s="49">
        <f t="shared" si="301"/>
        <v>0.21828254847645429</v>
      </c>
      <c r="EM61" s="49">
        <f t="shared" si="302"/>
        <v>0.78171745152354566</v>
      </c>
      <c r="EN61" s="49">
        <f t="shared" si="303"/>
        <v>0.29584599797365757</v>
      </c>
      <c r="EO61" s="49">
        <f t="shared" si="304"/>
        <v>0.70415400202634248</v>
      </c>
      <c r="EP61" s="49">
        <f t="shared" si="305"/>
        <v>0.31977264570534675</v>
      </c>
      <c r="EQ61" s="49">
        <f t="shared" si="306"/>
        <v>0.6802273542946532</v>
      </c>
      <c r="ER61" s="49">
        <f t="shared" si="307"/>
        <v>0.19213588563220901</v>
      </c>
      <c r="ES61" s="49">
        <f t="shared" si="308"/>
        <v>0.80786411436779104</v>
      </c>
      <c r="ET61" s="49">
        <f t="shared" si="309"/>
        <v>0.23974518334369174</v>
      </c>
      <c r="EU61" s="49">
        <f t="shared" si="310"/>
        <v>0.76025481665630823</v>
      </c>
      <c r="EV61" s="49">
        <f t="shared" si="311"/>
        <v>0.29905643845744889</v>
      </c>
      <c r="EW61" s="49">
        <f t="shared" si="312"/>
        <v>0.70094356154255122</v>
      </c>
      <c r="EX61" s="49">
        <f t="shared" si="313"/>
        <v>0.30720102187450105</v>
      </c>
      <c r="EY61" s="49">
        <f t="shared" si="314"/>
        <v>0.69279897812549895</v>
      </c>
      <c r="EZ61" s="49">
        <f t="shared" si="315"/>
        <v>0.22383561643835617</v>
      </c>
      <c r="FA61" s="49">
        <f t="shared" si="316"/>
        <v>0.77616438356164386</v>
      </c>
      <c r="FB61" s="49">
        <f t="shared" si="317"/>
        <v>0.23721485015655286</v>
      </c>
      <c r="FC61" s="49">
        <f t="shared" si="318"/>
        <v>0.76278514984344714</v>
      </c>
      <c r="FD61" s="49">
        <f t="shared" si="319"/>
        <v>0.28622832842656198</v>
      </c>
      <c r="FE61" s="49">
        <f t="shared" si="320"/>
        <v>0.71377167157343802</v>
      </c>
      <c r="FF61" s="49">
        <f t="shared" si="321"/>
        <v>0.31260931785657498</v>
      </c>
      <c r="FG61" s="49">
        <f t="shared" si="322"/>
        <v>0.68739068214342502</v>
      </c>
      <c r="FH61" s="49">
        <f t="shared" si="323"/>
        <v>0.21678426662663264</v>
      </c>
      <c r="FI61" s="49">
        <f t="shared" si="324"/>
        <v>0.78321573337336736</v>
      </c>
      <c r="FJ61" s="49">
        <f t="shared" si="325"/>
        <v>0.21668564920273348</v>
      </c>
      <c r="FK61" s="49">
        <f t="shared" si="326"/>
        <v>0.78331435079726652</v>
      </c>
      <c r="FL61" s="49">
        <f t="shared" si="327"/>
        <v>0.26546629732225302</v>
      </c>
      <c r="FM61" s="49">
        <f t="shared" si="328"/>
        <v>0.73453370267774698</v>
      </c>
      <c r="FN61" s="49">
        <f t="shared" si="329"/>
        <v>0.3260535744753455</v>
      </c>
      <c r="FO61" s="49">
        <f t="shared" si="330"/>
        <v>0.67394642552465445</v>
      </c>
      <c r="FP61" s="49">
        <f t="shared" si="331"/>
        <v>0.23138220805563606</v>
      </c>
      <c r="FQ61" s="49">
        <f t="shared" si="332"/>
        <v>0.76861779194436397</v>
      </c>
      <c r="FR61" s="49">
        <f t="shared" si="333"/>
        <v>0.22595946528676153</v>
      </c>
      <c r="FS61" s="49">
        <f t="shared" si="334"/>
        <v>0.77404053471323842</v>
      </c>
      <c r="FT61" s="49">
        <f t="shared" si="335"/>
        <v>0.26289044985801824</v>
      </c>
      <c r="FU61" s="49">
        <f t="shared" si="336"/>
        <v>0.73710955014198176</v>
      </c>
      <c r="FV61" s="49">
        <f t="shared" si="337"/>
        <v>0.30801266033649843</v>
      </c>
      <c r="FW61" s="49">
        <f t="shared" si="338"/>
        <v>0.69198733966350157</v>
      </c>
      <c r="FX61" s="49">
        <f t="shared" si="339"/>
        <v>0.14239906719137152</v>
      </c>
      <c r="FY61" s="49">
        <f t="shared" si="340"/>
        <v>0.85760093280862848</v>
      </c>
      <c r="FZ61" s="49">
        <f t="shared" si="341"/>
        <v>0.19406430338004946</v>
      </c>
      <c r="GA61" s="49">
        <f t="shared" si="342"/>
        <v>0.80593569661995057</v>
      </c>
      <c r="GB61" s="49">
        <f t="shared" si="343"/>
        <v>0.27134523599080784</v>
      </c>
      <c r="GC61" s="49">
        <f t="shared" si="344"/>
        <v>0.72865476400919216</v>
      </c>
      <c r="GD61" s="49">
        <f t="shared" si="345"/>
        <v>0.26932624113475179</v>
      </c>
      <c r="GE61" s="49">
        <f t="shared" si="346"/>
        <v>0.73067375886524821</v>
      </c>
      <c r="GF61" s="49">
        <f t="shared" si="347"/>
        <v>0.174358309567021</v>
      </c>
      <c r="GG61" s="49">
        <f t="shared" si="348"/>
        <v>0.82564169043297897</v>
      </c>
      <c r="GH61" s="49">
        <f t="shared" si="349"/>
        <v>0.20635359116022101</v>
      </c>
      <c r="GI61" s="49">
        <f t="shared" si="350"/>
        <v>0.79364640883977899</v>
      </c>
      <c r="GJ61" s="49">
        <f t="shared" si="351"/>
        <v>0.25055268975681649</v>
      </c>
      <c r="GK61" s="49">
        <f t="shared" si="352"/>
        <v>0.74944731024318345</v>
      </c>
      <c r="GL61" s="49">
        <f t="shared" si="353"/>
        <v>0.27528445006321112</v>
      </c>
      <c r="GM61" s="49">
        <f t="shared" si="354"/>
        <v>0.72471554993678888</v>
      </c>
      <c r="GN61" s="49">
        <f t="shared" si="355"/>
        <v>0.26276300766595989</v>
      </c>
      <c r="GO61" s="49">
        <f t="shared" si="356"/>
        <v>0.73723699233404016</v>
      </c>
      <c r="GP61" s="49">
        <f t="shared" si="357"/>
        <v>0.25629149297514281</v>
      </c>
      <c r="GQ61" s="49">
        <f t="shared" si="358"/>
        <v>0.74370850702485714</v>
      </c>
      <c r="GR61" s="49">
        <f t="shared" si="359"/>
        <v>0.27530513949476154</v>
      </c>
      <c r="GS61" s="49">
        <f t="shared" si="360"/>
        <v>0.72469486050523846</v>
      </c>
      <c r="GT61" s="49">
        <f t="shared" si="361"/>
        <v>0.30449927431059509</v>
      </c>
      <c r="GU61" s="49">
        <f t="shared" si="362"/>
        <v>0.69550072568940491</v>
      </c>
      <c r="GV61" s="49">
        <f t="shared" si="363"/>
        <v>0.25553145336225597</v>
      </c>
      <c r="GW61" s="49">
        <f t="shared" si="364"/>
        <v>0.74446854663774409</v>
      </c>
      <c r="GX61" s="49">
        <f t="shared" si="365"/>
        <v>0.22015463286154177</v>
      </c>
      <c r="GY61" s="49">
        <f t="shared" si="366"/>
        <v>0.7798453671384582</v>
      </c>
      <c r="GZ61" s="49">
        <f t="shared" si="367"/>
        <v>0.24064508000503967</v>
      </c>
      <c r="HA61" s="49">
        <f t="shared" si="368"/>
        <v>0.7593549199949603</v>
      </c>
      <c r="HB61" s="49">
        <f t="shared" si="369"/>
        <v>0.31349977575123339</v>
      </c>
      <c r="HC61" s="49">
        <f t="shared" si="370"/>
        <v>0.68650022424876667</v>
      </c>
      <c r="HD61" s="49">
        <f t="shared" si="371"/>
        <v>0.20442233347121705</v>
      </c>
      <c r="HE61" s="49">
        <f t="shared" si="372"/>
        <v>0.79557766652878303</v>
      </c>
      <c r="HF61" s="49">
        <f t="shared" si="373"/>
        <v>0.22480474438337814</v>
      </c>
      <c r="HG61" s="49">
        <f t="shared" si="374"/>
        <v>0.77519525561662184</v>
      </c>
      <c r="HH61" s="49">
        <f t="shared" si="375"/>
        <v>0.2423064577769509</v>
      </c>
      <c r="HI61" s="49">
        <f t="shared" si="376"/>
        <v>0.75769354222304908</v>
      </c>
      <c r="HJ61" s="49">
        <f t="shared" si="377"/>
        <v>0.30317247909912742</v>
      </c>
      <c r="HK61" s="49">
        <f t="shared" si="378"/>
        <v>0.69682752090087252</v>
      </c>
      <c r="HL61" s="49">
        <f t="shared" si="379"/>
        <v>0.25916596019776666</v>
      </c>
      <c r="HM61" s="49">
        <f t="shared" si="380"/>
        <v>0.74083403980223339</v>
      </c>
      <c r="HN61" s="49">
        <f t="shared" ref="HN61:HN74" si="382">IFERROR((EI42/EI4),0)</f>
        <v>0.23111086195471667</v>
      </c>
      <c r="HO61" s="49">
        <f t="shared" si="381"/>
        <v>0.76888913804528325</v>
      </c>
    </row>
    <row r="62" spans="1:223" s="12" customFormat="1" ht="15" thickTop="1" x14ac:dyDescent="0.3">
      <c r="A62" s="11" t="s">
        <v>442</v>
      </c>
      <c r="B62" s="48">
        <f t="shared" si="161"/>
        <v>0.70932641843949107</v>
      </c>
      <c r="C62" s="48">
        <f t="shared" si="162"/>
        <v>0.29067358156050893</v>
      </c>
      <c r="D62" s="48">
        <f t="shared" si="163"/>
        <v>0.63362055795170191</v>
      </c>
      <c r="E62" s="48">
        <f t="shared" si="164"/>
        <v>0.36637944204829803</v>
      </c>
      <c r="F62" s="48">
        <f t="shared" si="165"/>
        <v>0.63276837742271985</v>
      </c>
      <c r="G62" s="48">
        <f t="shared" si="166"/>
        <v>0.36723162257728004</v>
      </c>
      <c r="H62" s="48">
        <f t="shared" si="167"/>
        <v>0.68364473793377933</v>
      </c>
      <c r="I62" s="48">
        <f t="shared" si="168"/>
        <v>0.31635526206622072</v>
      </c>
      <c r="J62" s="48">
        <f t="shared" si="169"/>
        <v>0.71837626483722883</v>
      </c>
      <c r="K62" s="48">
        <f t="shared" si="170"/>
        <v>0.28162373516277106</v>
      </c>
      <c r="L62" s="48">
        <f t="shared" si="171"/>
        <v>0.63126592402509385</v>
      </c>
      <c r="M62" s="48">
        <f t="shared" si="172"/>
        <v>0.36873407597490609</v>
      </c>
      <c r="N62" s="48">
        <f t="shared" si="173"/>
        <v>0.63019744666524713</v>
      </c>
      <c r="O62" s="48">
        <f t="shared" si="174"/>
        <v>0.36980255333475293</v>
      </c>
      <c r="P62" s="48">
        <f t="shared" si="175"/>
        <v>0.65898852043432687</v>
      </c>
      <c r="Q62" s="48">
        <f t="shared" si="176"/>
        <v>0.34101147956567307</v>
      </c>
      <c r="R62" s="48">
        <f t="shared" si="177"/>
        <v>0.69449874962899094</v>
      </c>
      <c r="S62" s="48">
        <f t="shared" si="178"/>
        <v>0.30550125037100911</v>
      </c>
      <c r="T62" s="48">
        <f t="shared" si="179"/>
        <v>0.64341966166264908</v>
      </c>
      <c r="U62" s="48">
        <f t="shared" si="180"/>
        <v>0.35658033833735098</v>
      </c>
      <c r="V62" s="48">
        <f t="shared" si="181"/>
        <v>0.61192067762554725</v>
      </c>
      <c r="W62" s="48">
        <f t="shared" si="182"/>
        <v>0.3880793223744527</v>
      </c>
      <c r="X62" s="48">
        <f t="shared" si="183"/>
        <v>0.66229169233524132</v>
      </c>
      <c r="Y62" s="48">
        <f t="shared" si="184"/>
        <v>0.33770830766475879</v>
      </c>
      <c r="Z62" s="48">
        <f t="shared" si="185"/>
        <v>0.70172596595327619</v>
      </c>
      <c r="AA62" s="48">
        <f t="shared" si="186"/>
        <v>0.29827403404672387</v>
      </c>
      <c r="AB62" s="48">
        <f t="shared" si="187"/>
        <v>0.62169954753834111</v>
      </c>
      <c r="AC62" s="48">
        <f t="shared" si="188"/>
        <v>0.37830045246165883</v>
      </c>
      <c r="AD62" s="48">
        <f t="shared" si="189"/>
        <v>0.59954418645069629</v>
      </c>
      <c r="AE62" s="48">
        <f t="shared" si="190"/>
        <v>0.40045581354930365</v>
      </c>
      <c r="AF62" s="48">
        <f t="shared" si="191"/>
        <v>0.66303924290904326</v>
      </c>
      <c r="AG62" s="48">
        <f t="shared" si="192"/>
        <v>0.33696075709095674</v>
      </c>
      <c r="AH62" s="48">
        <f t="shared" si="193"/>
        <v>0.70077953818852867</v>
      </c>
      <c r="AI62" s="48">
        <f t="shared" si="194"/>
        <v>0.29922046181147133</v>
      </c>
      <c r="AJ62" s="48">
        <f t="shared" si="195"/>
        <v>0.58799703918189328</v>
      </c>
      <c r="AK62" s="48">
        <f t="shared" si="196"/>
        <v>0.41200296081810672</v>
      </c>
      <c r="AL62" s="48">
        <f t="shared" si="197"/>
        <v>0.56556143648773272</v>
      </c>
      <c r="AM62" s="48">
        <f t="shared" si="198"/>
        <v>0.43443856351226739</v>
      </c>
      <c r="AN62" s="48">
        <f t="shared" si="199"/>
        <v>0.63890129293980391</v>
      </c>
      <c r="AO62" s="48">
        <f t="shared" si="200"/>
        <v>0.36109870706019614</v>
      </c>
      <c r="AP62" s="48">
        <f t="shared" si="201"/>
        <v>0.67688049916895887</v>
      </c>
      <c r="AQ62" s="48">
        <f t="shared" si="202"/>
        <v>0.32311950083104107</v>
      </c>
      <c r="AR62" s="48">
        <f t="shared" si="203"/>
        <v>0.5780148640280236</v>
      </c>
      <c r="AS62" s="48">
        <f t="shared" si="204"/>
        <v>0.42198513597197629</v>
      </c>
      <c r="AT62" s="48">
        <f t="shared" si="205"/>
        <v>0.55957088638573393</v>
      </c>
      <c r="AU62" s="48">
        <f t="shared" si="206"/>
        <v>0.44042911361426623</v>
      </c>
      <c r="AV62" s="48">
        <f t="shared" si="207"/>
        <v>0.62088013693934341</v>
      </c>
      <c r="AW62" s="48">
        <f t="shared" si="208"/>
        <v>0.37911986306065659</v>
      </c>
      <c r="AX62" s="48">
        <f t="shared" si="209"/>
        <v>0.62803749185174085</v>
      </c>
      <c r="AY62" s="48">
        <f t="shared" si="210"/>
        <v>0.37196250814825904</v>
      </c>
      <c r="AZ62" s="48">
        <f t="shared" si="211"/>
        <v>0.53855999802420784</v>
      </c>
      <c r="BA62" s="48">
        <f t="shared" si="212"/>
        <v>0.46144000197579221</v>
      </c>
      <c r="BB62" s="48">
        <f t="shared" si="213"/>
        <v>0.54224823527158461</v>
      </c>
      <c r="BC62" s="48">
        <f t="shared" si="214"/>
        <v>0.45775176472841544</v>
      </c>
      <c r="BD62" s="48">
        <f t="shared" si="215"/>
        <v>0.59361767985627534</v>
      </c>
      <c r="BE62" s="48">
        <f t="shared" si="216"/>
        <v>0.40638232014372472</v>
      </c>
      <c r="BF62" s="48">
        <f t="shared" si="217"/>
        <v>0.62303997690059165</v>
      </c>
      <c r="BG62" s="48">
        <f t="shared" si="218"/>
        <v>0.37696002309940824</v>
      </c>
      <c r="BH62" s="48">
        <f t="shared" si="219"/>
        <v>0.52249958498048243</v>
      </c>
      <c r="BI62" s="48">
        <f t="shared" si="220"/>
        <v>0.47750041501951751</v>
      </c>
      <c r="BJ62" s="48">
        <f t="shared" si="221"/>
        <v>0.51918321668383838</v>
      </c>
      <c r="BK62" s="48">
        <f t="shared" si="222"/>
        <v>0.48081678331616151</v>
      </c>
      <c r="BL62" s="48">
        <f t="shared" si="223"/>
        <v>0.59844330822920966</v>
      </c>
      <c r="BM62" s="48">
        <f t="shared" si="224"/>
        <v>0.40155669177079045</v>
      </c>
      <c r="BN62" s="48">
        <f t="shared" si="225"/>
        <v>0.62655201564525742</v>
      </c>
      <c r="BO62" s="48">
        <f t="shared" si="226"/>
        <v>0.37344798435474252</v>
      </c>
      <c r="BP62" s="48">
        <f t="shared" si="227"/>
        <v>0.52380768147228851</v>
      </c>
      <c r="BQ62" s="48">
        <f t="shared" si="228"/>
        <v>0.47619231852771143</v>
      </c>
      <c r="BR62" s="48">
        <f t="shared" si="229"/>
        <v>0.5154935833888592</v>
      </c>
      <c r="BS62" s="48">
        <f t="shared" si="230"/>
        <v>0.48450641661114091</v>
      </c>
      <c r="BT62" s="48">
        <f t="shared" si="231"/>
        <v>0.58248163916205897</v>
      </c>
      <c r="BU62" s="48">
        <f t="shared" si="232"/>
        <v>0.41751836083794108</v>
      </c>
      <c r="BV62" s="48">
        <f t="shared" si="233"/>
        <v>0.61402886577779958</v>
      </c>
      <c r="BW62" s="48">
        <f t="shared" si="234"/>
        <v>0.38597113422220053</v>
      </c>
      <c r="BX62" s="48">
        <f t="shared" si="235"/>
        <v>0.5163832047736594</v>
      </c>
      <c r="BY62" s="48">
        <f t="shared" si="236"/>
        <v>0.48361679522634055</v>
      </c>
      <c r="BZ62" s="48">
        <f t="shared" si="237"/>
        <v>0.52009795038854756</v>
      </c>
      <c r="CA62" s="48">
        <f t="shared" si="238"/>
        <v>0.4799020496114525</v>
      </c>
      <c r="CB62" s="48">
        <f t="shared" si="239"/>
        <v>0.57492756312586091</v>
      </c>
      <c r="CC62" s="48">
        <f t="shared" si="240"/>
        <v>0.42507243687413898</v>
      </c>
      <c r="CD62" s="48">
        <f t="shared" si="241"/>
        <v>0.59613651012507873</v>
      </c>
      <c r="CE62" s="48">
        <f t="shared" si="242"/>
        <v>0.40386348987492138</v>
      </c>
      <c r="CF62" s="48">
        <f t="shared" si="243"/>
        <v>0.50490562579172538</v>
      </c>
      <c r="CG62" s="48">
        <f t="shared" si="244"/>
        <v>0.49509437420827462</v>
      </c>
      <c r="CH62" s="48">
        <f t="shared" si="245"/>
        <v>0.50144921054231562</v>
      </c>
      <c r="CI62" s="48">
        <f t="shared" si="246"/>
        <v>0.4985507894576845</v>
      </c>
      <c r="CJ62" s="48">
        <f t="shared" si="247"/>
        <v>0.57367493955846915</v>
      </c>
      <c r="CK62" s="48">
        <f t="shared" si="248"/>
        <v>0.42632506044153085</v>
      </c>
      <c r="CL62" s="48">
        <f t="shared" si="249"/>
        <v>0.37641565445369579</v>
      </c>
      <c r="CM62" s="48">
        <f t="shared" si="250"/>
        <v>0.62358434554630415</v>
      </c>
      <c r="CN62" s="48">
        <f t="shared" si="251"/>
        <v>0.52515640144506126</v>
      </c>
      <c r="CO62" s="48">
        <f t="shared" si="252"/>
        <v>0.47484359855493874</v>
      </c>
      <c r="CP62" s="48">
        <f t="shared" si="253"/>
        <v>0.46964220226498765</v>
      </c>
      <c r="CQ62" s="48">
        <f t="shared" si="254"/>
        <v>0.53035779773501235</v>
      </c>
      <c r="CR62" s="48">
        <f t="shared" si="255"/>
        <v>0.58271076810436695</v>
      </c>
      <c r="CS62" s="48">
        <f t="shared" si="256"/>
        <v>0.41728923189563305</v>
      </c>
      <c r="CT62" s="48">
        <f t="shared" si="257"/>
        <v>0.58556088645190774</v>
      </c>
      <c r="CU62" s="48">
        <f t="shared" si="258"/>
        <v>0.41443911354809232</v>
      </c>
      <c r="CV62" s="48">
        <f t="shared" si="259"/>
        <v>0.49487343800064082</v>
      </c>
      <c r="CW62" s="48">
        <f t="shared" si="260"/>
        <v>0.50512656199935912</v>
      </c>
      <c r="CX62" s="48">
        <f t="shared" si="261"/>
        <v>0.47833142593681216</v>
      </c>
      <c r="CY62" s="48">
        <f t="shared" si="262"/>
        <v>0.5216685740631879</v>
      </c>
      <c r="CZ62" s="48">
        <f t="shared" si="263"/>
        <v>0.58418226872246692</v>
      </c>
      <c r="DA62" s="48">
        <f t="shared" si="264"/>
        <v>0.41581773127753302</v>
      </c>
      <c r="DB62" s="48">
        <f t="shared" si="265"/>
        <v>0.606337979335691</v>
      </c>
      <c r="DC62" s="48">
        <f t="shared" si="266"/>
        <v>0.393662020664309</v>
      </c>
      <c r="DD62" s="48">
        <f t="shared" si="267"/>
        <v>0.53048343714677415</v>
      </c>
      <c r="DE62" s="48">
        <f t="shared" si="268"/>
        <v>0.46951656285322585</v>
      </c>
      <c r="DF62" s="48">
        <f t="shared" si="269"/>
        <v>0.52385047303160448</v>
      </c>
      <c r="DG62" s="48">
        <f t="shared" si="270"/>
        <v>0.47614952696839552</v>
      </c>
      <c r="DH62" s="48">
        <f t="shared" si="271"/>
        <v>0.59058069792802614</v>
      </c>
      <c r="DI62" s="48">
        <f t="shared" si="272"/>
        <v>0.4094193020719738</v>
      </c>
      <c r="DJ62" s="48">
        <f t="shared" si="273"/>
        <v>0.61028976936723833</v>
      </c>
      <c r="DK62" s="48">
        <f t="shared" si="274"/>
        <v>0.38971023063276167</v>
      </c>
      <c r="DL62" s="48">
        <f t="shared" si="275"/>
        <v>0.53325876211782253</v>
      </c>
      <c r="DM62" s="48">
        <f t="shared" si="276"/>
        <v>0.46674123788217747</v>
      </c>
      <c r="DN62" s="48">
        <f t="shared" si="277"/>
        <v>0.52936125239447784</v>
      </c>
      <c r="DO62" s="48">
        <f t="shared" si="278"/>
        <v>0.47063874760552216</v>
      </c>
      <c r="DP62" s="48">
        <f t="shared" si="279"/>
        <v>0.57195078924408105</v>
      </c>
      <c r="DQ62" s="48">
        <f t="shared" si="280"/>
        <v>0.42804921075591895</v>
      </c>
      <c r="DR62" s="48">
        <f t="shared" si="281"/>
        <v>0.57770852672059414</v>
      </c>
      <c r="DS62" s="48">
        <f t="shared" si="282"/>
        <v>0.42229147327940592</v>
      </c>
      <c r="DT62" s="48">
        <f t="shared" si="283"/>
        <v>0.49866102889358704</v>
      </c>
      <c r="DU62" s="48">
        <f t="shared" si="284"/>
        <v>0.50133897110641301</v>
      </c>
      <c r="DV62" s="48">
        <f t="shared" si="285"/>
        <v>0.49068941894500839</v>
      </c>
      <c r="DW62" s="48">
        <f t="shared" si="286"/>
        <v>0.50931058105499161</v>
      </c>
      <c r="DX62" s="48">
        <f t="shared" si="287"/>
        <v>0.44558212371258205</v>
      </c>
      <c r="DY62" s="48">
        <f t="shared" si="288"/>
        <v>0.44558212371258205</v>
      </c>
      <c r="DZ62" s="48">
        <f t="shared" si="289"/>
        <v>0.56220152817574021</v>
      </c>
      <c r="EA62" s="48">
        <f t="shared" si="290"/>
        <v>0.43779847182425979</v>
      </c>
      <c r="EB62" s="48">
        <f t="shared" si="291"/>
        <v>0.50702189178025614</v>
      </c>
      <c r="EC62" s="48">
        <f t="shared" si="292"/>
        <v>0.49297810821974392</v>
      </c>
      <c r="ED62" s="48">
        <f t="shared" si="293"/>
        <v>0.51279465523761503</v>
      </c>
      <c r="EE62" s="48">
        <f t="shared" si="294"/>
        <v>0.48720534476238497</v>
      </c>
      <c r="EF62" s="48">
        <f t="shared" si="295"/>
        <v>0.58180954642602711</v>
      </c>
      <c r="EG62" s="48">
        <f t="shared" si="296"/>
        <v>0.41819045357397294</v>
      </c>
      <c r="EH62" s="48">
        <f t="shared" si="297"/>
        <v>0.5747351662482395</v>
      </c>
      <c r="EI62" s="48">
        <f t="shared" si="298"/>
        <v>0.42526483375176044</v>
      </c>
      <c r="EJ62" s="48">
        <f t="shared" si="299"/>
        <v>0.52120696426233803</v>
      </c>
      <c r="EK62" s="48">
        <f t="shared" si="300"/>
        <v>0.47879303573766202</v>
      </c>
      <c r="EL62" s="48">
        <f t="shared" si="301"/>
        <v>0.5302420602983966</v>
      </c>
      <c r="EM62" s="48">
        <f t="shared" si="302"/>
        <v>0.4697579397016034</v>
      </c>
      <c r="EN62" s="48">
        <f t="shared" si="303"/>
        <v>0.56909800212791106</v>
      </c>
      <c r="EO62" s="48">
        <f t="shared" si="304"/>
        <v>0.43090199787208888</v>
      </c>
      <c r="EP62" s="48">
        <f t="shared" si="305"/>
        <v>0.5862551654755993</v>
      </c>
      <c r="EQ62" s="48">
        <f t="shared" si="306"/>
        <v>0.4137448345244007</v>
      </c>
      <c r="ER62" s="48">
        <f t="shared" si="307"/>
        <v>0.52988712492279788</v>
      </c>
      <c r="ES62" s="48">
        <f t="shared" si="308"/>
        <v>0.47011287507720206</v>
      </c>
      <c r="ET62" s="48">
        <f t="shared" si="309"/>
        <v>0.53668195081283865</v>
      </c>
      <c r="EU62" s="48">
        <f t="shared" si="310"/>
        <v>0.4633180491871613</v>
      </c>
      <c r="EV62" s="48">
        <f t="shared" si="311"/>
        <v>0.5831770285683151</v>
      </c>
      <c r="EW62" s="48">
        <f t="shared" si="312"/>
        <v>0.4168229714316849</v>
      </c>
      <c r="EX62" s="48">
        <f t="shared" si="313"/>
        <v>0.57836617656030753</v>
      </c>
      <c r="EY62" s="48">
        <f t="shared" si="314"/>
        <v>0.42163382343969252</v>
      </c>
      <c r="EZ62" s="48">
        <f t="shared" si="315"/>
        <v>0.51348246266135023</v>
      </c>
      <c r="FA62" s="48">
        <f t="shared" si="316"/>
        <v>0.48651753733864972</v>
      </c>
      <c r="FB62" s="48">
        <f t="shared" si="317"/>
        <v>0.52989164279486856</v>
      </c>
      <c r="FC62" s="48">
        <f t="shared" si="318"/>
        <v>0.47010835720513139</v>
      </c>
      <c r="FD62" s="48">
        <f t="shared" si="319"/>
        <v>0.57777508041512415</v>
      </c>
      <c r="FE62" s="48">
        <f t="shared" si="320"/>
        <v>0.4222249195848759</v>
      </c>
      <c r="FF62" s="48">
        <f t="shared" si="321"/>
        <v>0.58235328881271797</v>
      </c>
      <c r="FG62" s="48">
        <f t="shared" si="322"/>
        <v>0.41764671118728208</v>
      </c>
      <c r="FH62" s="48">
        <f t="shared" si="323"/>
        <v>0.53524526158869878</v>
      </c>
      <c r="FI62" s="48">
        <f t="shared" si="324"/>
        <v>0.46475473841130122</v>
      </c>
      <c r="FJ62" s="48">
        <f t="shared" si="325"/>
        <v>0.56312666257417643</v>
      </c>
      <c r="FK62" s="48">
        <f t="shared" si="326"/>
        <v>0.43687333742582363</v>
      </c>
      <c r="FL62" s="48">
        <f t="shared" si="327"/>
        <v>0.62504031477778499</v>
      </c>
      <c r="FM62" s="48">
        <f t="shared" si="328"/>
        <v>0.37495968522221507</v>
      </c>
      <c r="FN62" s="48">
        <f t="shared" si="329"/>
        <v>0.61661321763189336</v>
      </c>
      <c r="FO62" s="48">
        <f t="shared" si="330"/>
        <v>0.38338678236810664</v>
      </c>
      <c r="FP62" s="48">
        <f t="shared" si="331"/>
        <v>0.56287637265320578</v>
      </c>
      <c r="FQ62" s="48">
        <f t="shared" si="332"/>
        <v>0.43712362734679416</v>
      </c>
      <c r="FR62" s="48">
        <f t="shared" si="333"/>
        <v>0.54927575470421008</v>
      </c>
      <c r="FS62" s="48">
        <f t="shared" si="334"/>
        <v>0.45072424529578992</v>
      </c>
      <c r="FT62" s="48">
        <f t="shared" si="335"/>
        <v>0.62101753519387504</v>
      </c>
      <c r="FU62" s="48">
        <f t="shared" si="336"/>
        <v>0.37898246480612496</v>
      </c>
      <c r="FV62" s="48">
        <f t="shared" si="337"/>
        <v>0.57632048654723345</v>
      </c>
      <c r="FW62" s="48">
        <f t="shared" si="338"/>
        <v>0.42367951345276655</v>
      </c>
      <c r="FX62" s="48">
        <f t="shared" si="339"/>
        <v>0.40093091174591583</v>
      </c>
      <c r="FY62" s="48">
        <f t="shared" si="340"/>
        <v>0.59906908825408411</v>
      </c>
      <c r="FZ62" s="48">
        <f t="shared" si="341"/>
        <v>0.53459760739532358</v>
      </c>
      <c r="GA62" s="48">
        <f t="shared" si="342"/>
        <v>0.46540239260467647</v>
      </c>
      <c r="GB62" s="48">
        <f t="shared" si="343"/>
        <v>0.59185737767100777</v>
      </c>
      <c r="GC62" s="48">
        <f t="shared" si="344"/>
        <v>0.40814262232899229</v>
      </c>
      <c r="GD62" s="48">
        <f t="shared" si="345"/>
        <v>0.54818997010959813</v>
      </c>
      <c r="GE62" s="48">
        <f t="shared" si="346"/>
        <v>0.45181002989040187</v>
      </c>
      <c r="GF62" s="48">
        <f t="shared" si="347"/>
        <v>0.49457134799774394</v>
      </c>
      <c r="GG62" s="48">
        <f t="shared" si="348"/>
        <v>0.50542865200225606</v>
      </c>
      <c r="GH62" s="48">
        <f t="shared" si="349"/>
        <v>0.56291210658690771</v>
      </c>
      <c r="GI62" s="48">
        <f t="shared" si="350"/>
        <v>0.43708789341309223</v>
      </c>
      <c r="GJ62" s="48">
        <f t="shared" si="351"/>
        <v>0.606772184743124</v>
      </c>
      <c r="GK62" s="48">
        <f t="shared" si="352"/>
        <v>0.39322781525687595</v>
      </c>
      <c r="GL62" s="48">
        <f t="shared" si="353"/>
        <v>0.57450124688279303</v>
      </c>
      <c r="GM62" s="48">
        <f t="shared" si="354"/>
        <v>0.42549875311720697</v>
      </c>
      <c r="GN62" s="48">
        <f t="shared" si="355"/>
        <v>0.52026332030446409</v>
      </c>
      <c r="GO62" s="48">
        <f t="shared" si="356"/>
        <v>0.47973667969553591</v>
      </c>
      <c r="GP62" s="48">
        <f t="shared" si="357"/>
        <v>0.53355835388809558</v>
      </c>
      <c r="GQ62" s="48">
        <f t="shared" si="358"/>
        <v>0.46644164611190447</v>
      </c>
      <c r="GR62" s="48">
        <f t="shared" si="359"/>
        <v>0.58957529755014682</v>
      </c>
      <c r="GS62" s="48">
        <f t="shared" si="360"/>
        <v>0.41042470244985318</v>
      </c>
      <c r="GT62" s="48">
        <f t="shared" si="361"/>
        <v>0.58802014630051569</v>
      </c>
      <c r="GU62" s="48">
        <f t="shared" si="362"/>
        <v>0.41197985369948437</v>
      </c>
      <c r="GV62" s="48">
        <f t="shared" si="363"/>
        <v>0.5167293233082707</v>
      </c>
      <c r="GW62" s="48">
        <f t="shared" si="364"/>
        <v>0.48327067669172935</v>
      </c>
      <c r="GX62" s="48">
        <f t="shared" si="365"/>
        <v>0.54301042181223591</v>
      </c>
      <c r="GY62" s="48">
        <f t="shared" si="366"/>
        <v>0.45698957818776403</v>
      </c>
      <c r="GZ62" s="48">
        <f t="shared" si="367"/>
        <v>0.54393491948515071</v>
      </c>
      <c r="HA62" s="48">
        <f t="shared" si="368"/>
        <v>0.45606508051484929</v>
      </c>
      <c r="HB62" s="48">
        <f t="shared" si="369"/>
        <v>0.54196856537732696</v>
      </c>
      <c r="HC62" s="48">
        <f t="shared" si="370"/>
        <v>0.45803143462267304</v>
      </c>
      <c r="HD62" s="48">
        <f t="shared" si="371"/>
        <v>0.49430170670646723</v>
      </c>
      <c r="HE62" s="48">
        <f t="shared" si="372"/>
        <v>0.50569829329353289</v>
      </c>
      <c r="HF62" s="48">
        <f t="shared" si="373"/>
        <v>0.50014824284610659</v>
      </c>
      <c r="HG62" s="48">
        <f t="shared" si="374"/>
        <v>0.49985175715389346</v>
      </c>
      <c r="HH62" s="48">
        <f t="shared" si="375"/>
        <v>0.55046310436263568</v>
      </c>
      <c r="HI62" s="48">
        <f t="shared" si="376"/>
        <v>0.44953689563736426</v>
      </c>
      <c r="HJ62" s="48">
        <f t="shared" si="377"/>
        <v>0.53384628444938109</v>
      </c>
      <c r="HK62" s="48">
        <f t="shared" si="378"/>
        <v>0.46615371555061896</v>
      </c>
      <c r="HL62" s="48">
        <f t="shared" si="379"/>
        <v>0.47611849332627809</v>
      </c>
      <c r="HM62" s="48">
        <f t="shared" si="380"/>
        <v>0.5238815066737218</v>
      </c>
      <c r="HN62" s="48">
        <f t="shared" si="382"/>
        <v>0.48104649076076494</v>
      </c>
      <c r="HO62" s="48">
        <f t="shared" si="381"/>
        <v>0.518953509239235</v>
      </c>
    </row>
    <row r="63" spans="1:223" s="12" customFormat="1" ht="15" thickBot="1" x14ac:dyDescent="0.35">
      <c r="A63" s="13" t="s">
        <v>3</v>
      </c>
      <c r="B63" s="49">
        <f t="shared" si="161"/>
        <v>0</v>
      </c>
      <c r="C63" s="49">
        <f t="shared" si="162"/>
        <v>0</v>
      </c>
      <c r="D63" s="49">
        <f t="shared" si="163"/>
        <v>0</v>
      </c>
      <c r="E63" s="49">
        <f t="shared" si="164"/>
        <v>0</v>
      </c>
      <c r="F63" s="49">
        <f t="shared" si="165"/>
        <v>0</v>
      </c>
      <c r="G63" s="49">
        <f t="shared" si="166"/>
        <v>0</v>
      </c>
      <c r="H63" s="49">
        <f t="shared" si="167"/>
        <v>0</v>
      </c>
      <c r="I63" s="49">
        <f t="shared" si="168"/>
        <v>0</v>
      </c>
      <c r="J63" s="49">
        <f t="shared" si="169"/>
        <v>0</v>
      </c>
      <c r="K63" s="49">
        <f t="shared" si="170"/>
        <v>0</v>
      </c>
      <c r="L63" s="49">
        <f t="shared" si="171"/>
        <v>0</v>
      </c>
      <c r="M63" s="49">
        <f t="shared" si="172"/>
        <v>0</v>
      </c>
      <c r="N63" s="49">
        <f t="shared" si="173"/>
        <v>0</v>
      </c>
      <c r="O63" s="49">
        <f t="shared" si="174"/>
        <v>0</v>
      </c>
      <c r="P63" s="49">
        <f t="shared" si="175"/>
        <v>0</v>
      </c>
      <c r="Q63" s="49">
        <f t="shared" si="176"/>
        <v>0</v>
      </c>
      <c r="R63" s="49">
        <f t="shared" si="177"/>
        <v>0</v>
      </c>
      <c r="S63" s="49">
        <f t="shared" si="178"/>
        <v>0</v>
      </c>
      <c r="T63" s="49">
        <f t="shared" si="179"/>
        <v>0</v>
      </c>
      <c r="U63" s="49">
        <f t="shared" si="180"/>
        <v>0</v>
      </c>
      <c r="V63" s="49">
        <f t="shared" si="181"/>
        <v>0</v>
      </c>
      <c r="W63" s="49">
        <f t="shared" si="182"/>
        <v>0</v>
      </c>
      <c r="X63" s="49">
        <f t="shared" si="183"/>
        <v>0</v>
      </c>
      <c r="Y63" s="49">
        <f t="shared" si="184"/>
        <v>0</v>
      </c>
      <c r="Z63" s="49">
        <f t="shared" si="185"/>
        <v>0</v>
      </c>
      <c r="AA63" s="49">
        <f t="shared" si="186"/>
        <v>0</v>
      </c>
      <c r="AB63" s="49">
        <f t="shared" si="187"/>
        <v>0</v>
      </c>
      <c r="AC63" s="49">
        <f t="shared" si="188"/>
        <v>0</v>
      </c>
      <c r="AD63" s="49">
        <f t="shared" si="189"/>
        <v>0</v>
      </c>
      <c r="AE63" s="49">
        <f t="shared" si="190"/>
        <v>0</v>
      </c>
      <c r="AF63" s="49">
        <f t="shared" si="191"/>
        <v>0</v>
      </c>
      <c r="AG63" s="49">
        <f t="shared" si="192"/>
        <v>0</v>
      </c>
      <c r="AH63" s="49">
        <f t="shared" si="193"/>
        <v>0</v>
      </c>
      <c r="AI63" s="49">
        <f t="shared" si="194"/>
        <v>0</v>
      </c>
      <c r="AJ63" s="49">
        <f t="shared" si="195"/>
        <v>0</v>
      </c>
      <c r="AK63" s="49">
        <f t="shared" si="196"/>
        <v>0</v>
      </c>
      <c r="AL63" s="49">
        <f t="shared" si="197"/>
        <v>0</v>
      </c>
      <c r="AM63" s="49">
        <f t="shared" si="198"/>
        <v>0</v>
      </c>
      <c r="AN63" s="49">
        <f t="shared" si="199"/>
        <v>0</v>
      </c>
      <c r="AO63" s="49">
        <f t="shared" si="200"/>
        <v>0</v>
      </c>
      <c r="AP63" s="49">
        <f t="shared" si="201"/>
        <v>0</v>
      </c>
      <c r="AQ63" s="49">
        <f t="shared" si="202"/>
        <v>0</v>
      </c>
      <c r="AR63" s="49">
        <f t="shared" si="203"/>
        <v>0</v>
      </c>
      <c r="AS63" s="49">
        <f t="shared" si="204"/>
        <v>0</v>
      </c>
      <c r="AT63" s="49">
        <f t="shared" si="205"/>
        <v>0</v>
      </c>
      <c r="AU63" s="49">
        <f t="shared" si="206"/>
        <v>0</v>
      </c>
      <c r="AV63" s="49">
        <f t="shared" si="207"/>
        <v>0</v>
      </c>
      <c r="AW63" s="49">
        <f t="shared" si="208"/>
        <v>0</v>
      </c>
      <c r="AX63" s="49">
        <f t="shared" si="209"/>
        <v>0</v>
      </c>
      <c r="AY63" s="49">
        <f t="shared" si="210"/>
        <v>0</v>
      </c>
      <c r="AZ63" s="49">
        <f t="shared" si="211"/>
        <v>0</v>
      </c>
      <c r="BA63" s="49">
        <f t="shared" si="212"/>
        <v>0</v>
      </c>
      <c r="BB63" s="49">
        <f t="shared" si="213"/>
        <v>0</v>
      </c>
      <c r="BC63" s="49">
        <f t="shared" si="214"/>
        <v>0</v>
      </c>
      <c r="BD63" s="49">
        <f t="shared" si="215"/>
        <v>0</v>
      </c>
      <c r="BE63" s="49">
        <f t="shared" si="216"/>
        <v>0</v>
      </c>
      <c r="BF63" s="49">
        <f t="shared" si="217"/>
        <v>0</v>
      </c>
      <c r="BG63" s="49">
        <f t="shared" si="218"/>
        <v>0</v>
      </c>
      <c r="BH63" s="49">
        <f t="shared" si="219"/>
        <v>0</v>
      </c>
      <c r="BI63" s="49">
        <f t="shared" si="220"/>
        <v>0</v>
      </c>
      <c r="BJ63" s="49">
        <f t="shared" si="221"/>
        <v>0</v>
      </c>
      <c r="BK63" s="49">
        <f t="shared" si="222"/>
        <v>0</v>
      </c>
      <c r="BL63" s="49">
        <f t="shared" si="223"/>
        <v>0</v>
      </c>
      <c r="BM63" s="49">
        <f t="shared" si="224"/>
        <v>0</v>
      </c>
      <c r="BN63" s="49">
        <f t="shared" si="225"/>
        <v>0</v>
      </c>
      <c r="BO63" s="49">
        <f t="shared" si="226"/>
        <v>0</v>
      </c>
      <c r="BP63" s="49">
        <f t="shared" si="227"/>
        <v>0</v>
      </c>
      <c r="BQ63" s="49">
        <f t="shared" si="228"/>
        <v>0</v>
      </c>
      <c r="BR63" s="49">
        <f t="shared" si="229"/>
        <v>0</v>
      </c>
      <c r="BS63" s="49">
        <f t="shared" si="230"/>
        <v>0</v>
      </c>
      <c r="BT63" s="49">
        <f t="shared" si="231"/>
        <v>0</v>
      </c>
      <c r="BU63" s="49">
        <f t="shared" si="232"/>
        <v>0</v>
      </c>
      <c r="BV63" s="49">
        <f t="shared" si="233"/>
        <v>0</v>
      </c>
      <c r="BW63" s="49">
        <f t="shared" si="234"/>
        <v>0</v>
      </c>
      <c r="BX63" s="49">
        <f t="shared" si="235"/>
        <v>0</v>
      </c>
      <c r="BY63" s="49">
        <f t="shared" si="236"/>
        <v>0</v>
      </c>
      <c r="BZ63" s="49">
        <f t="shared" si="237"/>
        <v>0</v>
      </c>
      <c r="CA63" s="49">
        <f t="shared" si="238"/>
        <v>0</v>
      </c>
      <c r="CB63" s="49">
        <f t="shared" si="239"/>
        <v>0</v>
      </c>
      <c r="CC63" s="49">
        <f t="shared" si="240"/>
        <v>0</v>
      </c>
      <c r="CD63" s="49">
        <f t="shared" si="241"/>
        <v>0.34119212321663828</v>
      </c>
      <c r="CE63" s="49">
        <f t="shared" si="242"/>
        <v>0.65880787678336183</v>
      </c>
      <c r="CF63" s="49">
        <f t="shared" si="243"/>
        <v>0.39162106825703241</v>
      </c>
      <c r="CG63" s="49">
        <f t="shared" si="244"/>
        <v>0.60837893174296764</v>
      </c>
      <c r="CH63" s="49">
        <f t="shared" si="245"/>
        <v>0.4117127373225144</v>
      </c>
      <c r="CI63" s="49">
        <f t="shared" si="246"/>
        <v>0.58828726267748555</v>
      </c>
      <c r="CJ63" s="49">
        <f t="shared" si="247"/>
        <v>0.44201669965286505</v>
      </c>
      <c r="CK63" s="49">
        <f t="shared" si="248"/>
        <v>0.55798330034713506</v>
      </c>
      <c r="CL63" s="49">
        <f t="shared" si="249"/>
        <v>0.58197857338989512</v>
      </c>
      <c r="CM63" s="49">
        <f t="shared" si="250"/>
        <v>0.41802142661010494</v>
      </c>
      <c r="CN63" s="49">
        <f t="shared" si="251"/>
        <v>0.40182551475270645</v>
      </c>
      <c r="CO63" s="49">
        <f t="shared" si="252"/>
        <v>0.59817448524729355</v>
      </c>
      <c r="CP63" s="49">
        <f t="shared" si="253"/>
        <v>0.5935068567772962</v>
      </c>
      <c r="CQ63" s="49">
        <f t="shared" si="254"/>
        <v>0.40649314322270369</v>
      </c>
      <c r="CR63" s="49">
        <f t="shared" si="255"/>
        <v>0.44995940955840907</v>
      </c>
      <c r="CS63" s="49">
        <f t="shared" si="256"/>
        <v>0.55004059044159104</v>
      </c>
      <c r="CT63" s="49">
        <f t="shared" si="257"/>
        <v>0.40040581670612108</v>
      </c>
      <c r="CU63" s="49">
        <f t="shared" si="258"/>
        <v>0.59959418329387892</v>
      </c>
      <c r="CV63" s="49">
        <f t="shared" si="259"/>
        <v>0.59549120234604103</v>
      </c>
      <c r="CW63" s="49">
        <f t="shared" si="260"/>
        <v>0.40450879765395892</v>
      </c>
      <c r="CX63" s="49">
        <f t="shared" si="261"/>
        <v>0.60454434628824294</v>
      </c>
      <c r="CY63" s="49">
        <f t="shared" si="262"/>
        <v>0.395455653711757</v>
      </c>
      <c r="CZ63" s="49">
        <f t="shared" si="263"/>
        <v>0.44433299899699097</v>
      </c>
      <c r="DA63" s="49">
        <f t="shared" si="264"/>
        <v>0.55566700100300903</v>
      </c>
      <c r="DB63" s="49">
        <f t="shared" si="265"/>
        <v>0.41561514195583599</v>
      </c>
      <c r="DC63" s="49">
        <f t="shared" si="266"/>
        <v>0.58438485804416407</v>
      </c>
      <c r="DD63" s="49">
        <f t="shared" si="267"/>
        <v>0.39449097631898156</v>
      </c>
      <c r="DE63" s="49">
        <f t="shared" si="268"/>
        <v>0.60550902368101844</v>
      </c>
      <c r="DF63" s="49">
        <f t="shared" si="269"/>
        <v>0.37430830428033635</v>
      </c>
      <c r="DG63" s="49">
        <f t="shared" si="270"/>
        <v>0.62569169571966365</v>
      </c>
      <c r="DH63" s="49">
        <f t="shared" si="271"/>
        <v>0.40679245283018867</v>
      </c>
      <c r="DI63" s="49">
        <f t="shared" si="272"/>
        <v>0.59320754716981128</v>
      </c>
      <c r="DJ63" s="49">
        <f t="shared" si="273"/>
        <v>0.40871369294605808</v>
      </c>
      <c r="DK63" s="49">
        <f t="shared" si="274"/>
        <v>0.59128630705394192</v>
      </c>
      <c r="DL63" s="49">
        <f t="shared" si="275"/>
        <v>0.38503708481135118</v>
      </c>
      <c r="DM63" s="49">
        <f t="shared" si="276"/>
        <v>0.61496291518864887</v>
      </c>
      <c r="DN63" s="49">
        <f t="shared" si="277"/>
        <v>0.36952925251917579</v>
      </c>
      <c r="DO63" s="49">
        <f t="shared" si="278"/>
        <v>0.63047074748082421</v>
      </c>
      <c r="DP63" s="49">
        <f t="shared" si="279"/>
        <v>0.4135321732950849</v>
      </c>
      <c r="DQ63" s="49">
        <f t="shared" si="280"/>
        <v>0.58646782670491504</v>
      </c>
      <c r="DR63" s="49">
        <f t="shared" si="281"/>
        <v>0.40187846876334138</v>
      </c>
      <c r="DS63" s="49">
        <f t="shared" si="282"/>
        <v>0.59812153123665857</v>
      </c>
      <c r="DT63" s="49">
        <f t="shared" si="283"/>
        <v>0.34734146708841696</v>
      </c>
      <c r="DU63" s="49">
        <f t="shared" si="284"/>
        <v>0.65265853291158304</v>
      </c>
      <c r="DV63" s="49">
        <f t="shared" si="285"/>
        <v>0.35116772823779191</v>
      </c>
      <c r="DW63" s="49">
        <f t="shared" si="286"/>
        <v>0.64883227176220803</v>
      </c>
      <c r="DX63" s="49">
        <f t="shared" si="287"/>
        <v>0.58876629889669008</v>
      </c>
      <c r="DY63" s="49">
        <f t="shared" si="288"/>
        <v>0.58876629889669008</v>
      </c>
      <c r="DZ63" s="49">
        <f t="shared" si="289"/>
        <v>0.37426666666666669</v>
      </c>
      <c r="EA63" s="49">
        <f t="shared" si="290"/>
        <v>0.62573333333333336</v>
      </c>
      <c r="EB63" s="49">
        <f t="shared" si="291"/>
        <v>0.36219232970807097</v>
      </c>
      <c r="EC63" s="49">
        <f t="shared" si="292"/>
        <v>0.63780767029192897</v>
      </c>
      <c r="ED63" s="49">
        <f t="shared" si="293"/>
        <v>0.36251229450611211</v>
      </c>
      <c r="EE63" s="49">
        <f t="shared" si="294"/>
        <v>0.63748770549388789</v>
      </c>
      <c r="EF63" s="49">
        <f t="shared" si="295"/>
        <v>0.41006884681583478</v>
      </c>
      <c r="EG63" s="49">
        <f t="shared" si="296"/>
        <v>0.58993115318416522</v>
      </c>
      <c r="EH63" s="49">
        <f t="shared" si="297"/>
        <v>0.38948435689455391</v>
      </c>
      <c r="EI63" s="49">
        <f t="shared" si="298"/>
        <v>0.61051564310544615</v>
      </c>
      <c r="EJ63" s="49">
        <f t="shared" si="299"/>
        <v>0.36626236833705711</v>
      </c>
      <c r="EK63" s="49">
        <f t="shared" si="300"/>
        <v>0.63373763166294284</v>
      </c>
      <c r="EL63" s="49">
        <f t="shared" si="301"/>
        <v>0.35799001248439449</v>
      </c>
      <c r="EM63" s="49">
        <f t="shared" si="302"/>
        <v>0.64200998751560545</v>
      </c>
      <c r="EN63" s="49">
        <f t="shared" si="303"/>
        <v>0.37505724316898181</v>
      </c>
      <c r="EO63" s="49">
        <f t="shared" si="304"/>
        <v>0.62494275683101819</v>
      </c>
      <c r="EP63" s="49">
        <f t="shared" si="305"/>
        <v>0.37110715289092089</v>
      </c>
      <c r="EQ63" s="49">
        <f t="shared" si="306"/>
        <v>0.62889284710907911</v>
      </c>
      <c r="ER63" s="49">
        <f t="shared" si="307"/>
        <v>0.33523094458206665</v>
      </c>
      <c r="ES63" s="49">
        <f t="shared" si="308"/>
        <v>0.6647690554179333</v>
      </c>
      <c r="ET63" s="49">
        <f t="shared" si="309"/>
        <v>0.35163182433448636</v>
      </c>
      <c r="EU63" s="49">
        <f t="shared" si="310"/>
        <v>0.64836817566551364</v>
      </c>
      <c r="EV63" s="49">
        <f t="shared" si="311"/>
        <v>0.40311877280246261</v>
      </c>
      <c r="EW63" s="49">
        <f t="shared" si="312"/>
        <v>0.59688122719753745</v>
      </c>
      <c r="EX63" s="49">
        <f t="shared" si="313"/>
        <v>0.39428412874583796</v>
      </c>
      <c r="EY63" s="49">
        <f t="shared" si="314"/>
        <v>0.60571587125416204</v>
      </c>
      <c r="EZ63" s="49">
        <f t="shared" si="315"/>
        <v>0.36698599852616065</v>
      </c>
      <c r="FA63" s="49">
        <f t="shared" si="316"/>
        <v>0.63301400147383935</v>
      </c>
      <c r="FB63" s="49">
        <f t="shared" si="317"/>
        <v>0.36179775280898874</v>
      </c>
      <c r="FC63" s="49">
        <f t="shared" si="318"/>
        <v>0.63820224719101126</v>
      </c>
      <c r="FD63" s="49">
        <f t="shared" si="319"/>
        <v>0.41229898749255511</v>
      </c>
      <c r="FE63" s="49">
        <f t="shared" si="320"/>
        <v>0.58770101250744489</v>
      </c>
      <c r="FF63" s="49">
        <f t="shared" si="321"/>
        <v>0.4075476992143659</v>
      </c>
      <c r="FG63" s="49">
        <f t="shared" si="322"/>
        <v>0.59245230078563416</v>
      </c>
      <c r="FH63" s="49">
        <f t="shared" si="323"/>
        <v>0.35951612903225805</v>
      </c>
      <c r="FI63" s="49">
        <f t="shared" si="324"/>
        <v>0.64048387096774195</v>
      </c>
      <c r="FJ63" s="49">
        <f t="shared" si="325"/>
        <v>0.36203551708700193</v>
      </c>
      <c r="FK63" s="49">
        <f t="shared" si="326"/>
        <v>0.63796448291299801</v>
      </c>
      <c r="FL63" s="49">
        <f t="shared" si="327"/>
        <v>0.41767007826610475</v>
      </c>
      <c r="FM63" s="49">
        <f t="shared" si="328"/>
        <v>0.58232992173389519</v>
      </c>
      <c r="FN63" s="49">
        <f t="shared" si="329"/>
        <v>0.42110670776456771</v>
      </c>
      <c r="FO63" s="49">
        <f t="shared" si="330"/>
        <v>0.57889329223543229</v>
      </c>
      <c r="FP63" s="49">
        <f t="shared" si="331"/>
        <v>0.3669796557120501</v>
      </c>
      <c r="FQ63" s="49">
        <f t="shared" si="332"/>
        <v>0.63302034428794995</v>
      </c>
      <c r="FR63" s="49">
        <f t="shared" si="333"/>
        <v>0.36755798493130448</v>
      </c>
      <c r="FS63" s="49">
        <f t="shared" si="334"/>
        <v>0.63244201506869557</v>
      </c>
      <c r="FT63" s="49">
        <f t="shared" si="335"/>
        <v>0.41474917821923679</v>
      </c>
      <c r="FU63" s="49">
        <f t="shared" si="336"/>
        <v>0.58525082178076315</v>
      </c>
      <c r="FV63" s="49">
        <f t="shared" si="337"/>
        <v>0.3907516065940207</v>
      </c>
      <c r="FW63" s="49">
        <f t="shared" si="338"/>
        <v>0.60924839340597936</v>
      </c>
      <c r="FX63" s="49">
        <f t="shared" si="339"/>
        <v>0.25115933964014098</v>
      </c>
      <c r="FY63" s="49">
        <f t="shared" si="340"/>
        <v>0.74884066035985908</v>
      </c>
      <c r="FZ63" s="49">
        <f t="shared" si="341"/>
        <v>0.28473221422861711</v>
      </c>
      <c r="GA63" s="49">
        <f t="shared" si="342"/>
        <v>0.71526778577138295</v>
      </c>
      <c r="GB63" s="49">
        <f t="shared" si="343"/>
        <v>0.37687644341801385</v>
      </c>
      <c r="GC63" s="49">
        <f t="shared" si="344"/>
        <v>0.62312355658198615</v>
      </c>
      <c r="GD63" s="49">
        <f t="shared" si="345"/>
        <v>0.33646506165590134</v>
      </c>
      <c r="GE63" s="49">
        <f t="shared" si="346"/>
        <v>0.6635349383440986</v>
      </c>
      <c r="GF63" s="49">
        <f t="shared" si="347"/>
        <v>0.3057306170306317</v>
      </c>
      <c r="GG63" s="49">
        <f t="shared" si="348"/>
        <v>0.69426938296936835</v>
      </c>
      <c r="GH63" s="49">
        <f t="shared" si="349"/>
        <v>0.33281972265023113</v>
      </c>
      <c r="GI63" s="49">
        <f t="shared" si="350"/>
        <v>0.66718027734976892</v>
      </c>
      <c r="GJ63" s="49">
        <f t="shared" si="351"/>
        <v>0.33248730964467005</v>
      </c>
      <c r="GK63" s="49">
        <f t="shared" si="352"/>
        <v>0.6675126903553299</v>
      </c>
      <c r="GL63" s="49">
        <f t="shared" si="353"/>
        <v>0</v>
      </c>
      <c r="GM63" s="49">
        <f t="shared" si="354"/>
        <v>0</v>
      </c>
      <c r="GN63" s="49">
        <f t="shared" si="355"/>
        <v>0</v>
      </c>
      <c r="GO63" s="49">
        <f t="shared" si="356"/>
        <v>0</v>
      </c>
      <c r="GP63" s="49">
        <f t="shared" si="357"/>
        <v>0</v>
      </c>
      <c r="GQ63" s="49">
        <f t="shared" si="358"/>
        <v>0</v>
      </c>
      <c r="GR63" s="49">
        <f t="shared" si="359"/>
        <v>0</v>
      </c>
      <c r="GS63" s="49">
        <f t="shared" si="360"/>
        <v>0</v>
      </c>
      <c r="GT63" s="49">
        <f t="shared" si="361"/>
        <v>0</v>
      </c>
      <c r="GU63" s="49">
        <f t="shared" si="362"/>
        <v>0</v>
      </c>
      <c r="GV63" s="49">
        <f t="shared" si="363"/>
        <v>0</v>
      </c>
      <c r="GW63" s="49">
        <f t="shared" si="364"/>
        <v>0</v>
      </c>
      <c r="GX63" s="49">
        <f t="shared" si="365"/>
        <v>0</v>
      </c>
      <c r="GY63" s="49">
        <f t="shared" si="366"/>
        <v>0</v>
      </c>
      <c r="GZ63" s="49">
        <f t="shared" si="367"/>
        <v>0</v>
      </c>
      <c r="HA63" s="49">
        <f t="shared" si="368"/>
        <v>0</v>
      </c>
      <c r="HB63" s="49">
        <f t="shared" si="369"/>
        <v>0</v>
      </c>
      <c r="HC63" s="49">
        <f t="shared" si="370"/>
        <v>0</v>
      </c>
      <c r="HD63" s="49">
        <f t="shared" si="371"/>
        <v>0</v>
      </c>
      <c r="HE63" s="49">
        <f t="shared" si="372"/>
        <v>0</v>
      </c>
      <c r="HF63" s="49">
        <f t="shared" si="373"/>
        <v>0</v>
      </c>
      <c r="HG63" s="49">
        <f t="shared" si="374"/>
        <v>0</v>
      </c>
      <c r="HH63" s="49">
        <f t="shared" si="375"/>
        <v>0</v>
      </c>
      <c r="HI63" s="49">
        <f t="shared" si="376"/>
        <v>0</v>
      </c>
      <c r="HJ63" s="49">
        <f t="shared" si="377"/>
        <v>0</v>
      </c>
      <c r="HK63" s="49">
        <f t="shared" si="378"/>
        <v>0</v>
      </c>
      <c r="HL63" s="49">
        <f t="shared" si="379"/>
        <v>0</v>
      </c>
      <c r="HM63" s="49">
        <f t="shared" si="380"/>
        <v>0</v>
      </c>
      <c r="HN63" s="49">
        <f t="shared" si="382"/>
        <v>0</v>
      </c>
      <c r="HO63" s="49">
        <f t="shared" si="381"/>
        <v>0</v>
      </c>
    </row>
    <row r="64" spans="1:223" s="12" customFormat="1" ht="15" thickTop="1" x14ac:dyDescent="0.3">
      <c r="A64" s="11" t="s">
        <v>443</v>
      </c>
      <c r="B64" s="48">
        <f t="shared" si="161"/>
        <v>0</v>
      </c>
      <c r="C64" s="48">
        <f t="shared" si="162"/>
        <v>0</v>
      </c>
      <c r="D64" s="48">
        <f t="shared" si="163"/>
        <v>0</v>
      </c>
      <c r="E64" s="48">
        <f t="shared" si="164"/>
        <v>0</v>
      </c>
      <c r="F64" s="48">
        <f t="shared" si="165"/>
        <v>0</v>
      </c>
      <c r="G64" s="48">
        <f t="shared" si="166"/>
        <v>0</v>
      </c>
      <c r="H64" s="48">
        <f t="shared" si="167"/>
        <v>0</v>
      </c>
      <c r="I64" s="48">
        <f t="shared" si="168"/>
        <v>0</v>
      </c>
      <c r="J64" s="48">
        <f t="shared" si="169"/>
        <v>0</v>
      </c>
      <c r="K64" s="48">
        <f t="shared" si="170"/>
        <v>0</v>
      </c>
      <c r="L64" s="48">
        <f t="shared" si="171"/>
        <v>0</v>
      </c>
      <c r="M64" s="48">
        <f t="shared" si="172"/>
        <v>0</v>
      </c>
      <c r="N64" s="48">
        <f t="shared" si="173"/>
        <v>0</v>
      </c>
      <c r="O64" s="48">
        <f t="shared" si="174"/>
        <v>0</v>
      </c>
      <c r="P64" s="48">
        <f t="shared" si="175"/>
        <v>0</v>
      </c>
      <c r="Q64" s="48">
        <f t="shared" si="176"/>
        <v>0</v>
      </c>
      <c r="R64" s="48">
        <f t="shared" si="177"/>
        <v>0</v>
      </c>
      <c r="S64" s="48">
        <f t="shared" si="178"/>
        <v>0</v>
      </c>
      <c r="T64" s="48">
        <f t="shared" si="179"/>
        <v>0</v>
      </c>
      <c r="U64" s="48">
        <f t="shared" si="180"/>
        <v>0</v>
      </c>
      <c r="V64" s="48">
        <f t="shared" si="181"/>
        <v>0</v>
      </c>
      <c r="W64" s="48">
        <f t="shared" si="182"/>
        <v>0</v>
      </c>
      <c r="X64" s="48">
        <f t="shared" si="183"/>
        <v>0</v>
      </c>
      <c r="Y64" s="48">
        <f t="shared" si="184"/>
        <v>0</v>
      </c>
      <c r="Z64" s="48">
        <f t="shared" si="185"/>
        <v>0</v>
      </c>
      <c r="AA64" s="48">
        <f t="shared" si="186"/>
        <v>0</v>
      </c>
      <c r="AB64" s="48">
        <f t="shared" si="187"/>
        <v>0</v>
      </c>
      <c r="AC64" s="48">
        <f t="shared" si="188"/>
        <v>0</v>
      </c>
      <c r="AD64" s="48">
        <f t="shared" si="189"/>
        <v>0</v>
      </c>
      <c r="AE64" s="48">
        <f t="shared" si="190"/>
        <v>0</v>
      </c>
      <c r="AF64" s="48">
        <f t="shared" si="191"/>
        <v>0</v>
      </c>
      <c r="AG64" s="48">
        <f t="shared" si="192"/>
        <v>0</v>
      </c>
      <c r="AH64" s="48">
        <f t="shared" si="193"/>
        <v>0</v>
      </c>
      <c r="AI64" s="48">
        <f t="shared" si="194"/>
        <v>0</v>
      </c>
      <c r="AJ64" s="48">
        <f t="shared" si="195"/>
        <v>0</v>
      </c>
      <c r="AK64" s="48">
        <f t="shared" si="196"/>
        <v>0</v>
      </c>
      <c r="AL64" s="48">
        <f t="shared" si="197"/>
        <v>0</v>
      </c>
      <c r="AM64" s="48">
        <f t="shared" si="198"/>
        <v>0</v>
      </c>
      <c r="AN64" s="48">
        <f t="shared" si="199"/>
        <v>0</v>
      </c>
      <c r="AO64" s="48">
        <f t="shared" si="200"/>
        <v>0</v>
      </c>
      <c r="AP64" s="48">
        <f t="shared" si="201"/>
        <v>0</v>
      </c>
      <c r="AQ64" s="48">
        <f t="shared" si="202"/>
        <v>0</v>
      </c>
      <c r="AR64" s="48">
        <f t="shared" si="203"/>
        <v>0</v>
      </c>
      <c r="AS64" s="48">
        <f t="shared" si="204"/>
        <v>0</v>
      </c>
      <c r="AT64" s="48">
        <f t="shared" si="205"/>
        <v>0</v>
      </c>
      <c r="AU64" s="48">
        <f t="shared" si="206"/>
        <v>0</v>
      </c>
      <c r="AV64" s="48">
        <f t="shared" si="207"/>
        <v>0</v>
      </c>
      <c r="AW64" s="48">
        <f t="shared" si="208"/>
        <v>0</v>
      </c>
      <c r="AX64" s="48">
        <f t="shared" si="209"/>
        <v>0</v>
      </c>
      <c r="AY64" s="48">
        <f t="shared" si="210"/>
        <v>0</v>
      </c>
      <c r="AZ64" s="48">
        <f t="shared" si="211"/>
        <v>0</v>
      </c>
      <c r="BA64" s="48">
        <f t="shared" si="212"/>
        <v>0</v>
      </c>
      <c r="BB64" s="48">
        <f t="shared" si="213"/>
        <v>0</v>
      </c>
      <c r="BC64" s="48">
        <f t="shared" si="214"/>
        <v>0</v>
      </c>
      <c r="BD64" s="48">
        <f t="shared" si="215"/>
        <v>0</v>
      </c>
      <c r="BE64" s="48">
        <f t="shared" si="216"/>
        <v>0</v>
      </c>
      <c r="BF64" s="48">
        <f t="shared" si="217"/>
        <v>0</v>
      </c>
      <c r="BG64" s="48">
        <f t="shared" si="218"/>
        <v>0</v>
      </c>
      <c r="BH64" s="48">
        <f t="shared" si="219"/>
        <v>0</v>
      </c>
      <c r="BI64" s="48">
        <f t="shared" si="220"/>
        <v>0</v>
      </c>
      <c r="BJ64" s="48">
        <f t="shared" si="221"/>
        <v>0</v>
      </c>
      <c r="BK64" s="48">
        <f t="shared" si="222"/>
        <v>0</v>
      </c>
      <c r="BL64" s="48">
        <f t="shared" si="223"/>
        <v>0</v>
      </c>
      <c r="BM64" s="48">
        <f t="shared" si="224"/>
        <v>0</v>
      </c>
      <c r="BN64" s="48">
        <f t="shared" si="225"/>
        <v>0</v>
      </c>
      <c r="BO64" s="48">
        <f t="shared" si="226"/>
        <v>0</v>
      </c>
      <c r="BP64" s="48">
        <f t="shared" si="227"/>
        <v>0</v>
      </c>
      <c r="BQ64" s="48">
        <f t="shared" si="228"/>
        <v>0</v>
      </c>
      <c r="BR64" s="48">
        <f t="shared" si="229"/>
        <v>0</v>
      </c>
      <c r="BS64" s="48">
        <f t="shared" si="230"/>
        <v>0</v>
      </c>
      <c r="BT64" s="48">
        <f t="shared" si="231"/>
        <v>0</v>
      </c>
      <c r="BU64" s="48">
        <f t="shared" si="232"/>
        <v>0</v>
      </c>
      <c r="BV64" s="48">
        <f t="shared" si="233"/>
        <v>0</v>
      </c>
      <c r="BW64" s="48">
        <f t="shared" si="234"/>
        <v>0</v>
      </c>
      <c r="BX64" s="48">
        <f t="shared" si="235"/>
        <v>0</v>
      </c>
      <c r="BY64" s="48">
        <f t="shared" si="236"/>
        <v>0</v>
      </c>
      <c r="BZ64" s="48">
        <f t="shared" si="237"/>
        <v>0</v>
      </c>
      <c r="CA64" s="48">
        <f t="shared" si="238"/>
        <v>0</v>
      </c>
      <c r="CB64" s="48">
        <f t="shared" si="239"/>
        <v>0</v>
      </c>
      <c r="CC64" s="48">
        <f t="shared" si="240"/>
        <v>0</v>
      </c>
      <c r="CD64" s="48">
        <f t="shared" si="241"/>
        <v>0</v>
      </c>
      <c r="CE64" s="48">
        <f t="shared" si="242"/>
        <v>0</v>
      </c>
      <c r="CF64" s="48">
        <f t="shared" si="243"/>
        <v>0</v>
      </c>
      <c r="CG64" s="48">
        <f t="shared" si="244"/>
        <v>0</v>
      </c>
      <c r="CH64" s="48">
        <f t="shared" si="245"/>
        <v>0</v>
      </c>
      <c r="CI64" s="48">
        <f t="shared" si="246"/>
        <v>0</v>
      </c>
      <c r="CJ64" s="48">
        <f t="shared" si="247"/>
        <v>0</v>
      </c>
      <c r="CK64" s="48">
        <f t="shared" si="248"/>
        <v>0</v>
      </c>
      <c r="CL64" s="48">
        <f t="shared" si="249"/>
        <v>0</v>
      </c>
      <c r="CM64" s="48">
        <f t="shared" si="250"/>
        <v>0</v>
      </c>
      <c r="CN64" s="48">
        <f t="shared" si="251"/>
        <v>0.66954369467350927</v>
      </c>
      <c r="CO64" s="48">
        <f t="shared" si="252"/>
        <v>0.33045630532649067</v>
      </c>
      <c r="CP64" s="48">
        <f t="shared" si="253"/>
        <v>0.56886040733317067</v>
      </c>
      <c r="CQ64" s="48">
        <f t="shared" si="254"/>
        <v>0.43113959266682933</v>
      </c>
      <c r="CR64" s="48">
        <f t="shared" si="255"/>
        <v>0.56236765125026411</v>
      </c>
      <c r="CS64" s="48">
        <f t="shared" si="256"/>
        <v>0.43763234874973589</v>
      </c>
      <c r="CT64" s="48">
        <f t="shared" si="257"/>
        <v>0.60436630881187403</v>
      </c>
      <c r="CU64" s="48">
        <f t="shared" si="258"/>
        <v>0.39563369118812597</v>
      </c>
      <c r="CV64" s="48">
        <f t="shared" si="259"/>
        <v>0.32526973310618967</v>
      </c>
      <c r="CW64" s="48">
        <f t="shared" si="260"/>
        <v>0.67473026689381033</v>
      </c>
      <c r="CX64" s="48">
        <f t="shared" si="261"/>
        <v>0.68785336954296483</v>
      </c>
      <c r="CY64" s="48">
        <f t="shared" si="262"/>
        <v>0.31214663045703522</v>
      </c>
      <c r="CZ64" s="48">
        <f t="shared" si="263"/>
        <v>0.6828306032760687</v>
      </c>
      <c r="DA64" s="48">
        <f t="shared" si="264"/>
        <v>0.3171693967239313</v>
      </c>
      <c r="DB64" s="48">
        <f t="shared" si="265"/>
        <v>0.6779489770143976</v>
      </c>
      <c r="DC64" s="48">
        <f t="shared" si="266"/>
        <v>0.3220510229856024</v>
      </c>
      <c r="DD64" s="48">
        <f t="shared" si="267"/>
        <v>0.64918866210947845</v>
      </c>
      <c r="DE64" s="48">
        <f t="shared" si="268"/>
        <v>0.35081133789052149</v>
      </c>
      <c r="DF64" s="48">
        <f t="shared" si="269"/>
        <v>0.64698109725076947</v>
      </c>
      <c r="DG64" s="48">
        <f t="shared" si="270"/>
        <v>0.35301890274923065</v>
      </c>
      <c r="DH64" s="48">
        <f t="shared" si="271"/>
        <v>0.66392518093805808</v>
      </c>
      <c r="DI64" s="48">
        <f t="shared" si="272"/>
        <v>0.33607481906194192</v>
      </c>
      <c r="DJ64" s="48">
        <f t="shared" si="273"/>
        <v>0.67350746268656714</v>
      </c>
      <c r="DK64" s="48">
        <f t="shared" si="274"/>
        <v>0.32649253731343286</v>
      </c>
      <c r="DL64" s="48">
        <f t="shared" si="275"/>
        <v>0.64769539078156313</v>
      </c>
      <c r="DM64" s="48">
        <f t="shared" si="276"/>
        <v>0.35230460921843687</v>
      </c>
      <c r="DN64" s="48">
        <f t="shared" si="277"/>
        <v>0.65514337839734293</v>
      </c>
      <c r="DO64" s="48">
        <f t="shared" si="278"/>
        <v>0.34485662160265707</v>
      </c>
      <c r="DP64" s="48">
        <f t="shared" si="279"/>
        <v>0.66506277916940848</v>
      </c>
      <c r="DQ64" s="48">
        <f t="shared" si="280"/>
        <v>0.33493722083059146</v>
      </c>
      <c r="DR64" s="48">
        <f t="shared" si="281"/>
        <v>0.67950862769466092</v>
      </c>
      <c r="DS64" s="48">
        <f t="shared" si="282"/>
        <v>0.32049137230533914</v>
      </c>
      <c r="DT64" s="48">
        <f t="shared" si="283"/>
        <v>0.64473556525958275</v>
      </c>
      <c r="DU64" s="48">
        <f t="shared" si="284"/>
        <v>0.3552644347404173</v>
      </c>
      <c r="DV64" s="48">
        <f t="shared" si="285"/>
        <v>0.63088306116194559</v>
      </c>
      <c r="DW64" s="48">
        <f t="shared" si="286"/>
        <v>0.36911693883805435</v>
      </c>
      <c r="DX64" s="48">
        <f t="shared" si="287"/>
        <v>0.36029100752897386</v>
      </c>
      <c r="DY64" s="48">
        <f t="shared" si="288"/>
        <v>0.36029100752897386</v>
      </c>
      <c r="DZ64" s="48">
        <f t="shared" si="289"/>
        <v>0.65619280048810247</v>
      </c>
      <c r="EA64" s="48">
        <f t="shared" si="290"/>
        <v>0.34380719951189748</v>
      </c>
      <c r="EB64" s="48">
        <f t="shared" si="291"/>
        <v>0.64386932154736409</v>
      </c>
      <c r="EC64" s="48">
        <f t="shared" si="292"/>
        <v>0.35613067845263591</v>
      </c>
      <c r="ED64" s="48">
        <f t="shared" si="293"/>
        <v>0.64504592016955142</v>
      </c>
      <c r="EE64" s="48">
        <f t="shared" si="294"/>
        <v>0.35495407983044863</v>
      </c>
      <c r="EF64" s="48">
        <f t="shared" si="295"/>
        <v>0.65638062453897217</v>
      </c>
      <c r="EG64" s="48">
        <f t="shared" si="296"/>
        <v>0.34361937546102778</v>
      </c>
      <c r="EH64" s="48">
        <f t="shared" si="297"/>
        <v>0.66199748471312725</v>
      </c>
      <c r="EI64" s="48">
        <f t="shared" si="298"/>
        <v>0.33800251528687281</v>
      </c>
      <c r="EJ64" s="48">
        <f t="shared" si="299"/>
        <v>0.66307559434519747</v>
      </c>
      <c r="EK64" s="48">
        <f t="shared" si="300"/>
        <v>0.33692440565480247</v>
      </c>
      <c r="EL64" s="48">
        <f t="shared" si="301"/>
        <v>0.6897936315248856</v>
      </c>
      <c r="EM64" s="48">
        <f t="shared" si="302"/>
        <v>0.3102063684751144</v>
      </c>
      <c r="EN64" s="48">
        <f t="shared" si="303"/>
        <v>0.70943516453506894</v>
      </c>
      <c r="EO64" s="48">
        <f t="shared" si="304"/>
        <v>0.29056483546493106</v>
      </c>
      <c r="EP64" s="48">
        <f t="shared" si="305"/>
        <v>0.72345697306585965</v>
      </c>
      <c r="EQ64" s="48">
        <f t="shared" si="306"/>
        <v>0.27654302693414035</v>
      </c>
      <c r="ER64" s="48">
        <f t="shared" si="307"/>
        <v>0.69696330777756133</v>
      </c>
      <c r="ES64" s="48">
        <f t="shared" si="308"/>
        <v>0.30303669222243862</v>
      </c>
      <c r="ET64" s="48">
        <f t="shared" si="309"/>
        <v>0.69795162017328594</v>
      </c>
      <c r="EU64" s="48">
        <f t="shared" si="310"/>
        <v>0.30204837982671406</v>
      </c>
      <c r="EV64" s="48">
        <f t="shared" si="311"/>
        <v>0.6996151713821448</v>
      </c>
      <c r="EW64" s="48">
        <f t="shared" si="312"/>
        <v>0.3003848286178552</v>
      </c>
      <c r="EX64" s="48">
        <f t="shared" si="313"/>
        <v>0.70342205323193918</v>
      </c>
      <c r="EY64" s="48">
        <f t="shared" si="314"/>
        <v>0.29657794676806082</v>
      </c>
      <c r="EZ64" s="48">
        <f t="shared" si="315"/>
        <v>0.68718415201131999</v>
      </c>
      <c r="FA64" s="48">
        <f t="shared" si="316"/>
        <v>0.31281584798868001</v>
      </c>
      <c r="FB64" s="48">
        <f t="shared" si="317"/>
        <v>0.6886050612400515</v>
      </c>
      <c r="FC64" s="48">
        <f t="shared" si="318"/>
        <v>0.3113949387599485</v>
      </c>
      <c r="FD64" s="48">
        <f t="shared" si="319"/>
        <v>0.69692539631778516</v>
      </c>
      <c r="FE64" s="48">
        <f t="shared" si="320"/>
        <v>0.30307460368221484</v>
      </c>
      <c r="FF64" s="48">
        <f t="shared" si="321"/>
        <v>0.70557826965552894</v>
      </c>
      <c r="FG64" s="48">
        <f t="shared" si="322"/>
        <v>0.29442173034447106</v>
      </c>
      <c r="FH64" s="48">
        <f t="shared" si="323"/>
        <v>0.68545161792967335</v>
      </c>
      <c r="FI64" s="48">
        <f t="shared" si="324"/>
        <v>0.3145483820703267</v>
      </c>
      <c r="FJ64" s="48">
        <f t="shared" si="325"/>
        <v>0.69566856765801011</v>
      </c>
      <c r="FK64" s="48">
        <f t="shared" si="326"/>
        <v>0.30433143234198989</v>
      </c>
      <c r="FL64" s="48">
        <f t="shared" si="327"/>
        <v>0.70592196830242893</v>
      </c>
      <c r="FM64" s="48">
        <f t="shared" si="328"/>
        <v>0.29407803169757107</v>
      </c>
      <c r="FN64" s="48">
        <f t="shared" si="329"/>
        <v>0.71409201843984449</v>
      </c>
      <c r="FO64" s="48">
        <f t="shared" si="330"/>
        <v>0.28590798156015546</v>
      </c>
      <c r="FP64" s="48">
        <f t="shared" si="331"/>
        <v>0.69263388603011244</v>
      </c>
      <c r="FQ64" s="48">
        <f t="shared" si="332"/>
        <v>0.30736611396988756</v>
      </c>
      <c r="FR64" s="48">
        <f t="shared" si="333"/>
        <v>0.69534699948868128</v>
      </c>
      <c r="FS64" s="48">
        <f t="shared" si="334"/>
        <v>0.30465300051131872</v>
      </c>
      <c r="FT64" s="48">
        <f t="shared" si="335"/>
        <v>0.71339086249945249</v>
      </c>
      <c r="FU64" s="48">
        <f t="shared" si="336"/>
        <v>0.28660913750054756</v>
      </c>
      <c r="FV64" s="48">
        <f t="shared" si="337"/>
        <v>0.69917198723064644</v>
      </c>
      <c r="FW64" s="48">
        <f t="shared" si="338"/>
        <v>0.30082801276935356</v>
      </c>
      <c r="FX64" s="48">
        <f t="shared" si="339"/>
        <v>0.62687404794355805</v>
      </c>
      <c r="FY64" s="48">
        <f t="shared" si="340"/>
        <v>0.37312595205644189</v>
      </c>
      <c r="FZ64" s="48">
        <f t="shared" si="341"/>
        <v>0.68605384938998737</v>
      </c>
      <c r="GA64" s="48">
        <f t="shared" si="342"/>
        <v>0.31394615061001263</v>
      </c>
      <c r="GB64" s="48">
        <f t="shared" si="343"/>
        <v>0.70503268272615072</v>
      </c>
      <c r="GC64" s="48">
        <f t="shared" si="344"/>
        <v>0.29496731727384923</v>
      </c>
      <c r="GD64" s="48">
        <f t="shared" si="345"/>
        <v>0.68045591003917982</v>
      </c>
      <c r="GE64" s="48">
        <f t="shared" si="346"/>
        <v>0.31954408996082023</v>
      </c>
      <c r="GF64" s="48">
        <f t="shared" si="347"/>
        <v>0.67273993891002626</v>
      </c>
      <c r="GG64" s="48">
        <f t="shared" si="348"/>
        <v>0.32726006108997374</v>
      </c>
      <c r="GH64" s="48">
        <f t="shared" si="349"/>
        <v>0.6879819447056611</v>
      </c>
      <c r="GI64" s="48">
        <f t="shared" si="350"/>
        <v>0.3120180552943389</v>
      </c>
      <c r="GJ64" s="48">
        <f t="shared" si="351"/>
        <v>0.70063127945229842</v>
      </c>
      <c r="GK64" s="48">
        <f t="shared" si="352"/>
        <v>0.29936872054770158</v>
      </c>
      <c r="GL64" s="48">
        <f t="shared" si="353"/>
        <v>0.6975775927327782</v>
      </c>
      <c r="GM64" s="48">
        <f t="shared" si="354"/>
        <v>0.3024224072672218</v>
      </c>
      <c r="GN64" s="48">
        <f t="shared" si="355"/>
        <v>0.67566645548028659</v>
      </c>
      <c r="GO64" s="48">
        <f t="shared" si="356"/>
        <v>0.32433354451971341</v>
      </c>
      <c r="GP64" s="48">
        <f t="shared" si="357"/>
        <v>0.67521521611754631</v>
      </c>
      <c r="GQ64" s="48">
        <f t="shared" si="358"/>
        <v>0.32478478388245369</v>
      </c>
      <c r="GR64" s="48">
        <f t="shared" si="359"/>
        <v>0.69353624950926163</v>
      </c>
      <c r="GS64" s="48">
        <f t="shared" si="360"/>
        <v>0.30646375049073837</v>
      </c>
      <c r="GT64" s="48">
        <f t="shared" si="361"/>
        <v>0.70720860941877528</v>
      </c>
      <c r="GU64" s="48">
        <f t="shared" si="362"/>
        <v>0.29279139058122472</v>
      </c>
      <c r="GV64" s="48">
        <f t="shared" si="363"/>
        <v>0.68529398369540462</v>
      </c>
      <c r="GW64" s="48">
        <f t="shared" si="364"/>
        <v>0.31470601630459533</v>
      </c>
      <c r="GX64" s="48">
        <f t="shared" si="365"/>
        <v>0.69146769040768419</v>
      </c>
      <c r="GY64" s="48">
        <f t="shared" si="366"/>
        <v>0.30853230959231581</v>
      </c>
      <c r="GZ64" s="48">
        <f t="shared" si="367"/>
        <v>0.67736199164991495</v>
      </c>
      <c r="HA64" s="48">
        <f t="shared" si="368"/>
        <v>0.32263800835008505</v>
      </c>
      <c r="HB64" s="48">
        <f t="shared" si="369"/>
        <v>0.66866894741029514</v>
      </c>
      <c r="HC64" s="48">
        <f t="shared" si="370"/>
        <v>0.33133105258970486</v>
      </c>
      <c r="HD64" s="48">
        <f t="shared" si="371"/>
        <v>0.63714030903368479</v>
      </c>
      <c r="HE64" s="48">
        <f t="shared" si="372"/>
        <v>0.36285969096631515</v>
      </c>
      <c r="HF64" s="48">
        <f t="shared" si="373"/>
        <v>0.63252262805149895</v>
      </c>
      <c r="HG64" s="48">
        <f t="shared" si="374"/>
        <v>0.36747737194850116</v>
      </c>
      <c r="HH64" s="48">
        <f t="shared" si="375"/>
        <v>0.63446904438125606</v>
      </c>
      <c r="HI64" s="48">
        <f t="shared" si="376"/>
        <v>0.36553095561874394</v>
      </c>
      <c r="HJ64" s="48">
        <f t="shared" si="377"/>
        <v>0.63800034660546701</v>
      </c>
      <c r="HK64" s="48">
        <f t="shared" si="378"/>
        <v>0.36199965339453299</v>
      </c>
      <c r="HL64" s="48">
        <f t="shared" si="379"/>
        <v>0.61826858948323615</v>
      </c>
      <c r="HM64" s="48">
        <f t="shared" si="380"/>
        <v>0.38173141051676374</v>
      </c>
      <c r="HN64" s="48">
        <f t="shared" si="382"/>
        <v>0.62068819734606129</v>
      </c>
      <c r="HO64" s="48">
        <f t="shared" si="381"/>
        <v>0.37931180265393871</v>
      </c>
    </row>
    <row r="65" spans="1:223" s="12" customFormat="1" ht="15" thickBot="1" x14ac:dyDescent="0.35">
      <c r="A65" s="13" t="s">
        <v>481</v>
      </c>
      <c r="B65" s="49">
        <f t="shared" si="161"/>
        <v>0</v>
      </c>
      <c r="C65" s="49">
        <f t="shared" si="162"/>
        <v>0</v>
      </c>
      <c r="D65" s="49">
        <f t="shared" si="163"/>
        <v>0</v>
      </c>
      <c r="E65" s="49">
        <f t="shared" si="164"/>
        <v>0</v>
      </c>
      <c r="F65" s="49">
        <f t="shared" si="165"/>
        <v>0</v>
      </c>
      <c r="G65" s="49">
        <f t="shared" si="166"/>
        <v>0</v>
      </c>
      <c r="H65" s="49">
        <f t="shared" si="167"/>
        <v>0</v>
      </c>
      <c r="I65" s="49">
        <f t="shared" si="168"/>
        <v>0</v>
      </c>
      <c r="J65" s="49">
        <f t="shared" si="169"/>
        <v>0</v>
      </c>
      <c r="K65" s="49">
        <f t="shared" si="170"/>
        <v>0</v>
      </c>
      <c r="L65" s="49">
        <f t="shared" si="171"/>
        <v>0</v>
      </c>
      <c r="M65" s="49">
        <f t="shared" si="172"/>
        <v>0</v>
      </c>
      <c r="N65" s="49">
        <f t="shared" si="173"/>
        <v>0</v>
      </c>
      <c r="O65" s="49">
        <f t="shared" si="174"/>
        <v>0</v>
      </c>
      <c r="P65" s="49">
        <f t="shared" si="175"/>
        <v>0</v>
      </c>
      <c r="Q65" s="49">
        <f t="shared" si="176"/>
        <v>0</v>
      </c>
      <c r="R65" s="49">
        <f t="shared" si="177"/>
        <v>0</v>
      </c>
      <c r="S65" s="49">
        <f t="shared" si="178"/>
        <v>0</v>
      </c>
      <c r="T65" s="49">
        <f t="shared" si="179"/>
        <v>0</v>
      </c>
      <c r="U65" s="49">
        <f t="shared" si="180"/>
        <v>0</v>
      </c>
      <c r="V65" s="49">
        <f t="shared" si="181"/>
        <v>0</v>
      </c>
      <c r="W65" s="49">
        <f t="shared" si="182"/>
        <v>0</v>
      </c>
      <c r="X65" s="49">
        <f t="shared" si="183"/>
        <v>0</v>
      </c>
      <c r="Y65" s="49">
        <f t="shared" si="184"/>
        <v>0</v>
      </c>
      <c r="Z65" s="49">
        <f t="shared" si="185"/>
        <v>0</v>
      </c>
      <c r="AA65" s="49">
        <f t="shared" si="186"/>
        <v>0</v>
      </c>
      <c r="AB65" s="49">
        <f t="shared" si="187"/>
        <v>0</v>
      </c>
      <c r="AC65" s="49">
        <f t="shared" si="188"/>
        <v>0</v>
      </c>
      <c r="AD65" s="49">
        <f t="shared" si="189"/>
        <v>0</v>
      </c>
      <c r="AE65" s="49">
        <f t="shared" si="190"/>
        <v>0</v>
      </c>
      <c r="AF65" s="49">
        <f t="shared" si="191"/>
        <v>0</v>
      </c>
      <c r="AG65" s="49">
        <f t="shared" si="192"/>
        <v>0</v>
      </c>
      <c r="AH65" s="49">
        <f t="shared" si="193"/>
        <v>0</v>
      </c>
      <c r="AI65" s="49">
        <f t="shared" si="194"/>
        <v>0</v>
      </c>
      <c r="AJ65" s="49">
        <f t="shared" si="195"/>
        <v>0</v>
      </c>
      <c r="AK65" s="49">
        <f t="shared" si="196"/>
        <v>0</v>
      </c>
      <c r="AL65" s="49">
        <f t="shared" si="197"/>
        <v>0</v>
      </c>
      <c r="AM65" s="49">
        <f t="shared" si="198"/>
        <v>0</v>
      </c>
      <c r="AN65" s="49">
        <f t="shared" si="199"/>
        <v>0</v>
      </c>
      <c r="AO65" s="49">
        <f t="shared" si="200"/>
        <v>0</v>
      </c>
      <c r="AP65" s="49">
        <f t="shared" si="201"/>
        <v>0</v>
      </c>
      <c r="AQ65" s="49">
        <f t="shared" si="202"/>
        <v>0</v>
      </c>
      <c r="AR65" s="49">
        <f t="shared" si="203"/>
        <v>0</v>
      </c>
      <c r="AS65" s="49">
        <f t="shared" si="204"/>
        <v>0</v>
      </c>
      <c r="AT65" s="49">
        <f t="shared" si="205"/>
        <v>0</v>
      </c>
      <c r="AU65" s="49">
        <f t="shared" si="206"/>
        <v>0</v>
      </c>
      <c r="AV65" s="49">
        <f t="shared" si="207"/>
        <v>0</v>
      </c>
      <c r="AW65" s="49">
        <f t="shared" si="208"/>
        <v>0</v>
      </c>
      <c r="AX65" s="49">
        <f t="shared" si="209"/>
        <v>0</v>
      </c>
      <c r="AY65" s="49">
        <f t="shared" si="210"/>
        <v>0</v>
      </c>
      <c r="AZ65" s="49">
        <f t="shared" si="211"/>
        <v>0</v>
      </c>
      <c r="BA65" s="49">
        <f t="shared" si="212"/>
        <v>0</v>
      </c>
      <c r="BB65" s="49">
        <f t="shared" si="213"/>
        <v>0</v>
      </c>
      <c r="BC65" s="49">
        <f t="shared" si="214"/>
        <v>0</v>
      </c>
      <c r="BD65" s="49">
        <f t="shared" si="215"/>
        <v>0</v>
      </c>
      <c r="BE65" s="49">
        <f t="shared" si="216"/>
        <v>0</v>
      </c>
      <c r="BF65" s="49">
        <f t="shared" si="217"/>
        <v>0</v>
      </c>
      <c r="BG65" s="49">
        <f t="shared" si="218"/>
        <v>0</v>
      </c>
      <c r="BH65" s="49">
        <f t="shared" si="219"/>
        <v>0</v>
      </c>
      <c r="BI65" s="49">
        <f t="shared" si="220"/>
        <v>0</v>
      </c>
      <c r="BJ65" s="49">
        <f t="shared" si="221"/>
        <v>0</v>
      </c>
      <c r="BK65" s="49">
        <f t="shared" si="222"/>
        <v>0</v>
      </c>
      <c r="BL65" s="49">
        <f t="shared" si="223"/>
        <v>0</v>
      </c>
      <c r="BM65" s="49">
        <f t="shared" si="224"/>
        <v>0</v>
      </c>
      <c r="BN65" s="49">
        <f t="shared" si="225"/>
        <v>0</v>
      </c>
      <c r="BO65" s="49">
        <f t="shared" si="226"/>
        <v>0</v>
      </c>
      <c r="BP65" s="49">
        <f t="shared" si="227"/>
        <v>0</v>
      </c>
      <c r="BQ65" s="49">
        <f t="shared" si="228"/>
        <v>0</v>
      </c>
      <c r="BR65" s="49">
        <f t="shared" si="229"/>
        <v>0</v>
      </c>
      <c r="BS65" s="49">
        <f t="shared" si="230"/>
        <v>0</v>
      </c>
      <c r="BT65" s="49">
        <f t="shared" si="231"/>
        <v>0</v>
      </c>
      <c r="BU65" s="49">
        <f t="shared" si="232"/>
        <v>0</v>
      </c>
      <c r="BV65" s="49">
        <f t="shared" si="233"/>
        <v>0</v>
      </c>
      <c r="BW65" s="49">
        <f t="shared" si="234"/>
        <v>0</v>
      </c>
      <c r="BX65" s="49">
        <f t="shared" si="235"/>
        <v>0</v>
      </c>
      <c r="BY65" s="49">
        <f t="shared" si="236"/>
        <v>0</v>
      </c>
      <c r="BZ65" s="49">
        <f t="shared" si="237"/>
        <v>0</v>
      </c>
      <c r="CA65" s="49">
        <f t="shared" si="238"/>
        <v>0</v>
      </c>
      <c r="CB65" s="49">
        <f t="shared" si="239"/>
        <v>0</v>
      </c>
      <c r="CC65" s="49">
        <f t="shared" si="240"/>
        <v>0</v>
      </c>
      <c r="CD65" s="49">
        <f t="shared" si="241"/>
        <v>0</v>
      </c>
      <c r="CE65" s="49">
        <f t="shared" si="242"/>
        <v>0</v>
      </c>
      <c r="CF65" s="49">
        <f t="shared" si="243"/>
        <v>0</v>
      </c>
      <c r="CG65" s="49">
        <f t="shared" si="244"/>
        <v>0</v>
      </c>
      <c r="CH65" s="49">
        <f t="shared" si="245"/>
        <v>0</v>
      </c>
      <c r="CI65" s="49">
        <f t="shared" si="246"/>
        <v>0</v>
      </c>
      <c r="CJ65" s="49">
        <f t="shared" si="247"/>
        <v>0</v>
      </c>
      <c r="CK65" s="49">
        <f t="shared" si="248"/>
        <v>0</v>
      </c>
      <c r="CL65" s="49">
        <f t="shared" si="249"/>
        <v>0</v>
      </c>
      <c r="CM65" s="49">
        <f t="shared" si="250"/>
        <v>0</v>
      </c>
      <c r="CN65" s="49">
        <f t="shared" si="251"/>
        <v>0</v>
      </c>
      <c r="CO65" s="49">
        <f t="shared" si="252"/>
        <v>0</v>
      </c>
      <c r="CP65" s="49">
        <f t="shared" si="253"/>
        <v>0</v>
      </c>
      <c r="CQ65" s="49">
        <f t="shared" si="254"/>
        <v>0</v>
      </c>
      <c r="CR65" s="49">
        <f t="shared" si="255"/>
        <v>0</v>
      </c>
      <c r="CS65" s="49">
        <f t="shared" si="256"/>
        <v>0</v>
      </c>
      <c r="CT65" s="49">
        <f t="shared" si="257"/>
        <v>0</v>
      </c>
      <c r="CU65" s="49">
        <f t="shared" si="258"/>
        <v>0</v>
      </c>
      <c r="CV65" s="49">
        <f t="shared" si="259"/>
        <v>0</v>
      </c>
      <c r="CW65" s="49">
        <f t="shared" si="260"/>
        <v>0</v>
      </c>
      <c r="CX65" s="49">
        <f t="shared" si="261"/>
        <v>0</v>
      </c>
      <c r="CY65" s="49">
        <f t="shared" si="262"/>
        <v>0</v>
      </c>
      <c r="CZ65" s="49">
        <f t="shared" si="263"/>
        <v>0</v>
      </c>
      <c r="DA65" s="49">
        <f t="shared" si="264"/>
        <v>0</v>
      </c>
      <c r="DB65" s="49">
        <f t="shared" si="265"/>
        <v>0</v>
      </c>
      <c r="DC65" s="49">
        <f t="shared" si="266"/>
        <v>0</v>
      </c>
      <c r="DD65" s="49">
        <f t="shared" si="267"/>
        <v>0</v>
      </c>
      <c r="DE65" s="49">
        <f t="shared" si="268"/>
        <v>0</v>
      </c>
      <c r="DF65" s="49">
        <f t="shared" si="269"/>
        <v>0</v>
      </c>
      <c r="DG65" s="49">
        <f t="shared" si="270"/>
        <v>0</v>
      </c>
      <c r="DH65" s="49">
        <f t="shared" si="271"/>
        <v>0</v>
      </c>
      <c r="DI65" s="49">
        <f t="shared" si="272"/>
        <v>0</v>
      </c>
      <c r="DJ65" s="49">
        <f t="shared" si="273"/>
        <v>0</v>
      </c>
      <c r="DK65" s="49">
        <f t="shared" si="274"/>
        <v>0</v>
      </c>
      <c r="DL65" s="49">
        <f t="shared" si="275"/>
        <v>0</v>
      </c>
      <c r="DM65" s="49">
        <f t="shared" si="276"/>
        <v>0</v>
      </c>
      <c r="DN65" s="49">
        <f t="shared" si="277"/>
        <v>0</v>
      </c>
      <c r="DO65" s="49">
        <f t="shared" si="278"/>
        <v>0</v>
      </c>
      <c r="DP65" s="49">
        <f t="shared" si="279"/>
        <v>0</v>
      </c>
      <c r="DQ65" s="49">
        <f t="shared" si="280"/>
        <v>0</v>
      </c>
      <c r="DR65" s="49">
        <f t="shared" si="281"/>
        <v>0</v>
      </c>
      <c r="DS65" s="49">
        <f t="shared" si="282"/>
        <v>0</v>
      </c>
      <c r="DT65" s="49">
        <f t="shared" si="283"/>
        <v>0</v>
      </c>
      <c r="DU65" s="49">
        <f t="shared" si="284"/>
        <v>0</v>
      </c>
      <c r="DV65" s="49">
        <f t="shared" si="285"/>
        <v>0</v>
      </c>
      <c r="DW65" s="49">
        <f t="shared" si="286"/>
        <v>0</v>
      </c>
      <c r="DX65" s="49">
        <f t="shared" si="287"/>
        <v>0</v>
      </c>
      <c r="DY65" s="49">
        <f t="shared" si="288"/>
        <v>0</v>
      </c>
      <c r="DZ65" s="49">
        <f t="shared" si="289"/>
        <v>0</v>
      </c>
      <c r="EA65" s="49">
        <f t="shared" si="290"/>
        <v>0</v>
      </c>
      <c r="EB65" s="49">
        <f t="shared" si="291"/>
        <v>0.27387359680147622</v>
      </c>
      <c r="EC65" s="49">
        <f t="shared" si="292"/>
        <v>0.72612640319852373</v>
      </c>
      <c r="ED65" s="49">
        <f t="shared" si="293"/>
        <v>0.2766031679575745</v>
      </c>
      <c r="EE65" s="49">
        <f t="shared" si="294"/>
        <v>0.72339683204242555</v>
      </c>
      <c r="EF65" s="49">
        <f t="shared" si="295"/>
        <v>0.29921043597665636</v>
      </c>
      <c r="EG65" s="49">
        <f t="shared" si="296"/>
        <v>0.70078956402334358</v>
      </c>
      <c r="EH65" s="49">
        <f t="shared" si="297"/>
        <v>0.32836345734580491</v>
      </c>
      <c r="EI65" s="49">
        <f t="shared" si="298"/>
        <v>0.67163654265419515</v>
      </c>
      <c r="EJ65" s="49">
        <f t="shared" si="299"/>
        <v>0.30660715708934405</v>
      </c>
      <c r="EK65" s="49">
        <f t="shared" si="300"/>
        <v>0.69339284291065595</v>
      </c>
      <c r="EL65" s="49">
        <f t="shared" si="301"/>
        <v>0.31252463151257193</v>
      </c>
      <c r="EM65" s="49">
        <f t="shared" si="302"/>
        <v>0.68747536848742807</v>
      </c>
      <c r="EN65" s="49">
        <f t="shared" si="303"/>
        <v>0.3333595903899173</v>
      </c>
      <c r="EO65" s="49">
        <f t="shared" si="304"/>
        <v>0.66664040961008275</v>
      </c>
      <c r="EP65" s="49">
        <f t="shared" si="305"/>
        <v>0.37137858788348044</v>
      </c>
      <c r="EQ65" s="49">
        <f t="shared" si="306"/>
        <v>0.62862141211651967</v>
      </c>
      <c r="ER65" s="49">
        <f t="shared" si="307"/>
        <v>0.33077671102305034</v>
      </c>
      <c r="ES65" s="49">
        <f t="shared" si="308"/>
        <v>0.6692232889769496</v>
      </c>
      <c r="ET65" s="49">
        <f t="shared" si="309"/>
        <v>0.32838154808444098</v>
      </c>
      <c r="EU65" s="49">
        <f t="shared" si="310"/>
        <v>0.67161845191555902</v>
      </c>
      <c r="EV65" s="49">
        <f t="shared" si="311"/>
        <v>0.33832435311910153</v>
      </c>
      <c r="EW65" s="49">
        <f t="shared" si="312"/>
        <v>0.66167564688089842</v>
      </c>
      <c r="EX65" s="49">
        <f t="shared" si="313"/>
        <v>0.36722529371112644</v>
      </c>
      <c r="EY65" s="49">
        <f t="shared" si="314"/>
        <v>0.63277470628887356</v>
      </c>
      <c r="EZ65" s="49">
        <f t="shared" si="315"/>
        <v>0.32975583579286288</v>
      </c>
      <c r="FA65" s="49">
        <f t="shared" si="316"/>
        <v>0.67024416420713706</v>
      </c>
      <c r="FB65" s="49">
        <f t="shared" si="317"/>
        <v>0.32316862474084312</v>
      </c>
      <c r="FC65" s="49">
        <f t="shared" si="318"/>
        <v>0.67683137525915693</v>
      </c>
      <c r="FD65" s="49">
        <f t="shared" si="319"/>
        <v>0.32720558063192451</v>
      </c>
      <c r="FE65" s="49">
        <f t="shared" si="320"/>
        <v>0.67279441936807549</v>
      </c>
      <c r="FF65" s="49">
        <f t="shared" si="321"/>
        <v>0.36097642534693197</v>
      </c>
      <c r="FG65" s="49">
        <f t="shared" si="322"/>
        <v>0.63902357465306803</v>
      </c>
      <c r="FH65" s="49">
        <f t="shared" si="323"/>
        <v>0.32066193853427893</v>
      </c>
      <c r="FI65" s="49">
        <f t="shared" si="324"/>
        <v>0.67933806146572107</v>
      </c>
      <c r="FJ65" s="49">
        <f t="shared" si="325"/>
        <v>0.31117899603698812</v>
      </c>
      <c r="FK65" s="49">
        <f t="shared" si="326"/>
        <v>0.68882100396301194</v>
      </c>
      <c r="FL65" s="49">
        <f t="shared" si="327"/>
        <v>0.32838484627241016</v>
      </c>
      <c r="FM65" s="49">
        <f t="shared" si="328"/>
        <v>0.67161515372758984</v>
      </c>
      <c r="FN65" s="49">
        <f t="shared" si="329"/>
        <v>0.36451270321052204</v>
      </c>
      <c r="FO65" s="49">
        <f t="shared" si="330"/>
        <v>0.63548729678947802</v>
      </c>
      <c r="FP65" s="49">
        <f t="shared" si="331"/>
        <v>0.31733145075891284</v>
      </c>
      <c r="FQ65" s="49">
        <f t="shared" si="332"/>
        <v>0.68266854924108722</v>
      </c>
      <c r="FR65" s="49">
        <f t="shared" si="333"/>
        <v>0.32684077211983581</v>
      </c>
      <c r="FS65" s="49">
        <f t="shared" si="334"/>
        <v>0.67315922788016425</v>
      </c>
      <c r="FT65" s="49">
        <f t="shared" si="335"/>
        <v>0.33684298487507314</v>
      </c>
      <c r="FU65" s="49">
        <f t="shared" si="336"/>
        <v>0.66315701512492686</v>
      </c>
      <c r="FV65" s="49">
        <f t="shared" si="337"/>
        <v>0.34777468119246685</v>
      </c>
      <c r="FW65" s="49">
        <f t="shared" si="338"/>
        <v>0.65222531880753309</v>
      </c>
      <c r="FX65" s="49">
        <f t="shared" si="339"/>
        <v>0.26278191652209409</v>
      </c>
      <c r="FY65" s="49">
        <f t="shared" si="340"/>
        <v>0.73721808347790596</v>
      </c>
      <c r="FZ65" s="49">
        <f t="shared" si="341"/>
        <v>0.28700303368992497</v>
      </c>
      <c r="GA65" s="49">
        <f t="shared" si="342"/>
        <v>0.71299696631007503</v>
      </c>
      <c r="GB65" s="49">
        <f t="shared" si="343"/>
        <v>0.3168952436533411</v>
      </c>
      <c r="GC65" s="49">
        <f t="shared" si="344"/>
        <v>0.6831047563466589</v>
      </c>
      <c r="GD65" s="49">
        <f t="shared" si="345"/>
        <v>0.30524677634504221</v>
      </c>
      <c r="GE65" s="49">
        <f t="shared" si="346"/>
        <v>0.69475322365495773</v>
      </c>
      <c r="GF65" s="49">
        <f t="shared" si="347"/>
        <v>0.27457859812371294</v>
      </c>
      <c r="GG65" s="49">
        <f t="shared" si="348"/>
        <v>0.72542140187628712</v>
      </c>
      <c r="GH65" s="49">
        <f t="shared" si="349"/>
        <v>0.2925751539297356</v>
      </c>
      <c r="GI65" s="49">
        <f t="shared" si="350"/>
        <v>0.70742484607026435</v>
      </c>
      <c r="GJ65" s="49">
        <f t="shared" si="351"/>
        <v>0.30746674295522813</v>
      </c>
      <c r="GK65" s="49">
        <f t="shared" si="352"/>
        <v>0.69253325704477187</v>
      </c>
      <c r="GL65" s="49">
        <f t="shared" si="353"/>
        <v>0.30938436393353308</v>
      </c>
      <c r="GM65" s="49">
        <f t="shared" si="354"/>
        <v>0.69061563606646692</v>
      </c>
      <c r="GN65" s="49">
        <f t="shared" si="355"/>
        <v>0.2754616675993285</v>
      </c>
      <c r="GO65" s="49">
        <f t="shared" si="356"/>
        <v>0.72453833240067156</v>
      </c>
      <c r="GP65" s="49">
        <f t="shared" si="357"/>
        <v>0.28394727948631293</v>
      </c>
      <c r="GQ65" s="49">
        <f t="shared" si="358"/>
        <v>0.71605272051368707</v>
      </c>
      <c r="GR65" s="49">
        <f t="shared" si="359"/>
        <v>0.30380956961942274</v>
      </c>
      <c r="GS65" s="49">
        <f t="shared" si="360"/>
        <v>0.69619043038057737</v>
      </c>
      <c r="GT65" s="49">
        <f t="shared" si="361"/>
        <v>0.33742004264392322</v>
      </c>
      <c r="GU65" s="49">
        <f t="shared" si="362"/>
        <v>0.66257995735607678</v>
      </c>
      <c r="GV65" s="49">
        <f t="shared" si="363"/>
        <v>0.29801231802911532</v>
      </c>
      <c r="GW65" s="49">
        <f t="shared" si="364"/>
        <v>0.70198768197088468</v>
      </c>
      <c r="GX65" s="49">
        <f t="shared" si="365"/>
        <v>0.29421732722787003</v>
      </c>
      <c r="GY65" s="49">
        <f t="shared" si="366"/>
        <v>0.70578267277212992</v>
      </c>
      <c r="GZ65" s="49">
        <f t="shared" si="367"/>
        <v>0.30799009963825602</v>
      </c>
      <c r="HA65" s="49">
        <f t="shared" si="368"/>
        <v>0.69200990036174403</v>
      </c>
      <c r="HB65" s="49">
        <f t="shared" si="369"/>
        <v>0.32893126328673583</v>
      </c>
      <c r="HC65" s="49">
        <f t="shared" si="370"/>
        <v>0.67106873671326417</v>
      </c>
      <c r="HD65" s="49">
        <f t="shared" si="371"/>
        <v>0.28542681834982958</v>
      </c>
      <c r="HE65" s="49">
        <f t="shared" si="372"/>
        <v>0.71457318165017047</v>
      </c>
      <c r="HF65" s="49">
        <f t="shared" si="373"/>
        <v>0.28680394941884541</v>
      </c>
      <c r="HG65" s="49">
        <f t="shared" si="374"/>
        <v>0.71319605058115465</v>
      </c>
      <c r="HH65" s="49">
        <f t="shared" si="375"/>
        <v>0.30008318358938785</v>
      </c>
      <c r="HI65" s="49">
        <f t="shared" si="376"/>
        <v>0.6999168164106121</v>
      </c>
      <c r="HJ65" s="49">
        <f t="shared" si="377"/>
        <v>0.33261209129840175</v>
      </c>
      <c r="HK65" s="49">
        <f t="shared" si="378"/>
        <v>0.66738790870159825</v>
      </c>
      <c r="HL65" s="49">
        <f t="shared" si="379"/>
        <v>0.29775445985667881</v>
      </c>
      <c r="HM65" s="49">
        <f t="shared" si="380"/>
        <v>0.70224554014332119</v>
      </c>
      <c r="HN65" s="49">
        <f t="shared" si="382"/>
        <v>0.29044166414829187</v>
      </c>
      <c r="HO65" s="49">
        <f t="shared" si="381"/>
        <v>0.70955833585170813</v>
      </c>
    </row>
    <row r="66" spans="1:223" s="12" customFormat="1" ht="15" thickTop="1" x14ac:dyDescent="0.3">
      <c r="A66" s="11" t="s">
        <v>445</v>
      </c>
      <c r="B66" s="48">
        <f t="shared" si="161"/>
        <v>0</v>
      </c>
      <c r="C66" s="48">
        <f t="shared" si="162"/>
        <v>0</v>
      </c>
      <c r="D66" s="48">
        <f t="shared" si="163"/>
        <v>0</v>
      </c>
      <c r="E66" s="48">
        <f t="shared" si="164"/>
        <v>0</v>
      </c>
      <c r="F66" s="48">
        <f t="shared" si="165"/>
        <v>0</v>
      </c>
      <c r="G66" s="48">
        <f t="shared" si="166"/>
        <v>0</v>
      </c>
      <c r="H66" s="48">
        <f t="shared" si="167"/>
        <v>0</v>
      </c>
      <c r="I66" s="48">
        <f t="shared" si="168"/>
        <v>0</v>
      </c>
      <c r="J66" s="48">
        <f t="shared" si="169"/>
        <v>0</v>
      </c>
      <c r="K66" s="48">
        <f t="shared" si="170"/>
        <v>0</v>
      </c>
      <c r="L66" s="48">
        <f t="shared" si="171"/>
        <v>0</v>
      </c>
      <c r="M66" s="48">
        <f t="shared" si="172"/>
        <v>0</v>
      </c>
      <c r="N66" s="48">
        <f t="shared" si="173"/>
        <v>0</v>
      </c>
      <c r="O66" s="48">
        <f t="shared" si="174"/>
        <v>0</v>
      </c>
      <c r="P66" s="48">
        <f t="shared" si="175"/>
        <v>0</v>
      </c>
      <c r="Q66" s="48">
        <f t="shared" si="176"/>
        <v>0</v>
      </c>
      <c r="R66" s="48">
        <f t="shared" si="177"/>
        <v>0</v>
      </c>
      <c r="S66" s="48">
        <f t="shared" si="178"/>
        <v>0</v>
      </c>
      <c r="T66" s="48">
        <f t="shared" si="179"/>
        <v>0</v>
      </c>
      <c r="U66" s="48">
        <f t="shared" si="180"/>
        <v>0</v>
      </c>
      <c r="V66" s="48">
        <f t="shared" si="181"/>
        <v>0</v>
      </c>
      <c r="W66" s="48">
        <f t="shared" si="182"/>
        <v>0</v>
      </c>
      <c r="X66" s="48">
        <f t="shared" si="183"/>
        <v>0</v>
      </c>
      <c r="Y66" s="48">
        <f t="shared" si="184"/>
        <v>0</v>
      </c>
      <c r="Z66" s="48">
        <f t="shared" si="185"/>
        <v>0</v>
      </c>
      <c r="AA66" s="48">
        <f t="shared" si="186"/>
        <v>0</v>
      </c>
      <c r="AB66" s="48">
        <f t="shared" si="187"/>
        <v>0</v>
      </c>
      <c r="AC66" s="48">
        <f t="shared" si="188"/>
        <v>0</v>
      </c>
      <c r="AD66" s="48">
        <f t="shared" si="189"/>
        <v>0</v>
      </c>
      <c r="AE66" s="48">
        <f t="shared" si="190"/>
        <v>0</v>
      </c>
      <c r="AF66" s="48">
        <f t="shared" si="191"/>
        <v>0</v>
      </c>
      <c r="AG66" s="48">
        <f t="shared" si="192"/>
        <v>0</v>
      </c>
      <c r="AH66" s="48">
        <f t="shared" si="193"/>
        <v>0</v>
      </c>
      <c r="AI66" s="48">
        <f t="shared" si="194"/>
        <v>0</v>
      </c>
      <c r="AJ66" s="48">
        <f t="shared" si="195"/>
        <v>0</v>
      </c>
      <c r="AK66" s="48">
        <f t="shared" si="196"/>
        <v>0</v>
      </c>
      <c r="AL66" s="48">
        <f t="shared" si="197"/>
        <v>0</v>
      </c>
      <c r="AM66" s="48">
        <f t="shared" si="198"/>
        <v>0</v>
      </c>
      <c r="AN66" s="48">
        <f t="shared" si="199"/>
        <v>0</v>
      </c>
      <c r="AO66" s="48">
        <f t="shared" si="200"/>
        <v>0</v>
      </c>
      <c r="AP66" s="48">
        <f t="shared" si="201"/>
        <v>0</v>
      </c>
      <c r="AQ66" s="48">
        <f t="shared" si="202"/>
        <v>0</v>
      </c>
      <c r="AR66" s="48">
        <f t="shared" si="203"/>
        <v>0</v>
      </c>
      <c r="AS66" s="48">
        <f t="shared" si="204"/>
        <v>0</v>
      </c>
      <c r="AT66" s="48">
        <f t="shared" si="205"/>
        <v>0</v>
      </c>
      <c r="AU66" s="48">
        <f t="shared" si="206"/>
        <v>0</v>
      </c>
      <c r="AV66" s="48">
        <f t="shared" si="207"/>
        <v>0</v>
      </c>
      <c r="AW66" s="48">
        <f t="shared" si="208"/>
        <v>0</v>
      </c>
      <c r="AX66" s="48">
        <f t="shared" si="209"/>
        <v>0</v>
      </c>
      <c r="AY66" s="48">
        <f t="shared" si="210"/>
        <v>0</v>
      </c>
      <c r="AZ66" s="48">
        <f t="shared" si="211"/>
        <v>0</v>
      </c>
      <c r="BA66" s="48">
        <f t="shared" si="212"/>
        <v>0</v>
      </c>
      <c r="BB66" s="48">
        <f t="shared" si="213"/>
        <v>0</v>
      </c>
      <c r="BC66" s="48">
        <f t="shared" si="214"/>
        <v>0</v>
      </c>
      <c r="BD66" s="48">
        <f t="shared" si="215"/>
        <v>0</v>
      </c>
      <c r="BE66" s="48">
        <f t="shared" si="216"/>
        <v>0</v>
      </c>
      <c r="BF66" s="48">
        <f t="shared" si="217"/>
        <v>0</v>
      </c>
      <c r="BG66" s="48">
        <f t="shared" si="218"/>
        <v>0</v>
      </c>
      <c r="BH66" s="48">
        <f t="shared" si="219"/>
        <v>0</v>
      </c>
      <c r="BI66" s="48">
        <f t="shared" si="220"/>
        <v>0</v>
      </c>
      <c r="BJ66" s="48">
        <f t="shared" si="221"/>
        <v>0</v>
      </c>
      <c r="BK66" s="48">
        <f t="shared" si="222"/>
        <v>0</v>
      </c>
      <c r="BL66" s="48">
        <f t="shared" si="223"/>
        <v>0</v>
      </c>
      <c r="BM66" s="48">
        <f t="shared" si="224"/>
        <v>0</v>
      </c>
      <c r="BN66" s="48">
        <f t="shared" si="225"/>
        <v>0</v>
      </c>
      <c r="BO66" s="48">
        <f t="shared" si="226"/>
        <v>0</v>
      </c>
      <c r="BP66" s="48">
        <f t="shared" si="227"/>
        <v>0</v>
      </c>
      <c r="BQ66" s="48">
        <f t="shared" si="228"/>
        <v>0</v>
      </c>
      <c r="BR66" s="48">
        <f t="shared" si="229"/>
        <v>0</v>
      </c>
      <c r="BS66" s="48">
        <f t="shared" si="230"/>
        <v>0</v>
      </c>
      <c r="BT66" s="48">
        <f t="shared" si="231"/>
        <v>0</v>
      </c>
      <c r="BU66" s="48">
        <f t="shared" si="232"/>
        <v>0</v>
      </c>
      <c r="BV66" s="48">
        <f t="shared" si="233"/>
        <v>0</v>
      </c>
      <c r="BW66" s="48">
        <f t="shared" si="234"/>
        <v>0</v>
      </c>
      <c r="BX66" s="48">
        <f t="shared" si="235"/>
        <v>0</v>
      </c>
      <c r="BY66" s="48">
        <f t="shared" si="236"/>
        <v>0</v>
      </c>
      <c r="BZ66" s="48">
        <f t="shared" si="237"/>
        <v>0</v>
      </c>
      <c r="CA66" s="48">
        <f t="shared" si="238"/>
        <v>0</v>
      </c>
      <c r="CB66" s="48">
        <f t="shared" si="239"/>
        <v>0</v>
      </c>
      <c r="CC66" s="48">
        <f t="shared" si="240"/>
        <v>0</v>
      </c>
      <c r="CD66" s="48">
        <f t="shared" si="241"/>
        <v>0</v>
      </c>
      <c r="CE66" s="48">
        <f t="shared" si="242"/>
        <v>0</v>
      </c>
      <c r="CF66" s="48">
        <f t="shared" si="243"/>
        <v>0</v>
      </c>
      <c r="CG66" s="48">
        <f t="shared" si="244"/>
        <v>0</v>
      </c>
      <c r="CH66" s="48">
        <f t="shared" si="245"/>
        <v>0</v>
      </c>
      <c r="CI66" s="48">
        <f t="shared" si="246"/>
        <v>0</v>
      </c>
      <c r="CJ66" s="48">
        <f t="shared" si="247"/>
        <v>0</v>
      </c>
      <c r="CK66" s="48">
        <f t="shared" si="248"/>
        <v>0</v>
      </c>
      <c r="CL66" s="48">
        <f t="shared" si="249"/>
        <v>0</v>
      </c>
      <c r="CM66" s="48">
        <f t="shared" si="250"/>
        <v>0</v>
      </c>
      <c r="CN66" s="48">
        <f t="shared" si="251"/>
        <v>0</v>
      </c>
      <c r="CO66" s="48">
        <f t="shared" si="252"/>
        <v>0</v>
      </c>
      <c r="CP66" s="48">
        <f t="shared" si="253"/>
        <v>0</v>
      </c>
      <c r="CQ66" s="48">
        <f t="shared" si="254"/>
        <v>0</v>
      </c>
      <c r="CR66" s="48">
        <f t="shared" si="255"/>
        <v>0</v>
      </c>
      <c r="CS66" s="48">
        <f t="shared" si="256"/>
        <v>0</v>
      </c>
      <c r="CT66" s="48">
        <f t="shared" si="257"/>
        <v>0</v>
      </c>
      <c r="CU66" s="48">
        <f t="shared" si="258"/>
        <v>0</v>
      </c>
      <c r="CV66" s="48">
        <f t="shared" si="259"/>
        <v>0</v>
      </c>
      <c r="CW66" s="48">
        <f t="shared" si="260"/>
        <v>0</v>
      </c>
      <c r="CX66" s="48">
        <f t="shared" si="261"/>
        <v>0</v>
      </c>
      <c r="CY66" s="48">
        <f t="shared" si="262"/>
        <v>0</v>
      </c>
      <c r="CZ66" s="48">
        <f t="shared" si="263"/>
        <v>0</v>
      </c>
      <c r="DA66" s="48">
        <f t="shared" si="264"/>
        <v>0</v>
      </c>
      <c r="DB66" s="48">
        <f t="shared" si="265"/>
        <v>0</v>
      </c>
      <c r="DC66" s="48">
        <f t="shared" si="266"/>
        <v>0</v>
      </c>
      <c r="DD66" s="48">
        <f t="shared" si="267"/>
        <v>0</v>
      </c>
      <c r="DE66" s="48">
        <f t="shared" si="268"/>
        <v>0</v>
      </c>
      <c r="DF66" s="48">
        <f t="shared" si="269"/>
        <v>0</v>
      </c>
      <c r="DG66" s="48">
        <f t="shared" si="270"/>
        <v>0</v>
      </c>
      <c r="DH66" s="48">
        <f t="shared" si="271"/>
        <v>0</v>
      </c>
      <c r="DI66" s="48">
        <f t="shared" si="272"/>
        <v>0</v>
      </c>
      <c r="DJ66" s="48">
        <f t="shared" si="273"/>
        <v>0</v>
      </c>
      <c r="DK66" s="48">
        <f t="shared" si="274"/>
        <v>0</v>
      </c>
      <c r="DL66" s="48">
        <f t="shared" si="275"/>
        <v>0</v>
      </c>
      <c r="DM66" s="48">
        <f t="shared" si="276"/>
        <v>0</v>
      </c>
      <c r="DN66" s="48">
        <f t="shared" si="277"/>
        <v>0</v>
      </c>
      <c r="DO66" s="48">
        <f t="shared" si="278"/>
        <v>0</v>
      </c>
      <c r="DP66" s="48">
        <f t="shared" si="279"/>
        <v>0</v>
      </c>
      <c r="DQ66" s="48">
        <f t="shared" si="280"/>
        <v>0</v>
      </c>
      <c r="DR66" s="48">
        <f t="shared" si="281"/>
        <v>0</v>
      </c>
      <c r="DS66" s="48">
        <f t="shared" si="282"/>
        <v>0</v>
      </c>
      <c r="DT66" s="48">
        <f t="shared" si="283"/>
        <v>0</v>
      </c>
      <c r="DU66" s="48">
        <f t="shared" si="284"/>
        <v>0</v>
      </c>
      <c r="DV66" s="48">
        <f t="shared" si="285"/>
        <v>0</v>
      </c>
      <c r="DW66" s="48">
        <f t="shared" si="286"/>
        <v>0</v>
      </c>
      <c r="DX66" s="48">
        <f t="shared" si="287"/>
        <v>0</v>
      </c>
      <c r="DY66" s="48">
        <f t="shared" si="288"/>
        <v>0</v>
      </c>
      <c r="DZ66" s="48">
        <f t="shared" si="289"/>
        <v>0</v>
      </c>
      <c r="EA66" s="48">
        <f t="shared" si="290"/>
        <v>0</v>
      </c>
      <c r="EB66" s="48">
        <f t="shared" si="291"/>
        <v>0</v>
      </c>
      <c r="EC66" s="48">
        <f t="shared" si="292"/>
        <v>0</v>
      </c>
      <c r="ED66" s="48">
        <f t="shared" si="293"/>
        <v>0</v>
      </c>
      <c r="EE66" s="48">
        <f t="shared" si="294"/>
        <v>0</v>
      </c>
      <c r="EF66" s="48">
        <f t="shared" si="295"/>
        <v>0</v>
      </c>
      <c r="EG66" s="48">
        <f t="shared" si="296"/>
        <v>0</v>
      </c>
      <c r="EH66" s="48">
        <f t="shared" si="297"/>
        <v>0</v>
      </c>
      <c r="EI66" s="48">
        <f t="shared" si="298"/>
        <v>0</v>
      </c>
      <c r="EJ66" s="48">
        <f t="shared" si="299"/>
        <v>0.83247422680412375</v>
      </c>
      <c r="EK66" s="48">
        <f t="shared" si="300"/>
        <v>0.16752577319587628</v>
      </c>
      <c r="EL66" s="48">
        <f t="shared" si="301"/>
        <v>0.82444840345347403</v>
      </c>
      <c r="EM66" s="48">
        <f t="shared" si="302"/>
        <v>0.17555159654652597</v>
      </c>
      <c r="EN66" s="48">
        <f t="shared" si="303"/>
        <v>0.83304136908772408</v>
      </c>
      <c r="EO66" s="48">
        <f t="shared" si="304"/>
        <v>0.16695863091227597</v>
      </c>
      <c r="EP66" s="48">
        <f t="shared" si="305"/>
        <v>0.83629759956783334</v>
      </c>
      <c r="EQ66" s="48">
        <f t="shared" si="306"/>
        <v>0.16370240043216666</v>
      </c>
      <c r="ER66" s="48">
        <f t="shared" si="307"/>
        <v>0.83577796419643791</v>
      </c>
      <c r="ES66" s="48">
        <f t="shared" si="308"/>
        <v>0.16422203580356215</v>
      </c>
      <c r="ET66" s="48">
        <f t="shared" si="309"/>
        <v>0.84609098338327426</v>
      </c>
      <c r="EU66" s="48">
        <f t="shared" si="310"/>
        <v>0.15390901661672568</v>
      </c>
      <c r="EV66" s="48">
        <f t="shared" si="311"/>
        <v>0.84845307624276756</v>
      </c>
      <c r="EW66" s="48">
        <f t="shared" si="312"/>
        <v>0.15154692375723247</v>
      </c>
      <c r="EX66" s="48">
        <f t="shared" si="313"/>
        <v>0.85061511423550085</v>
      </c>
      <c r="EY66" s="48">
        <f t="shared" si="314"/>
        <v>0.14938488576449913</v>
      </c>
      <c r="EZ66" s="48">
        <f t="shared" si="315"/>
        <v>0.85308186415197484</v>
      </c>
      <c r="FA66" s="48">
        <f t="shared" si="316"/>
        <v>0.14691813584802516</v>
      </c>
      <c r="FB66" s="48">
        <f t="shared" si="317"/>
        <v>0.8528753783392552</v>
      </c>
      <c r="FC66" s="48">
        <f t="shared" si="318"/>
        <v>0.14712462166074483</v>
      </c>
      <c r="FD66" s="48">
        <f t="shared" si="319"/>
        <v>0.85799662206054306</v>
      </c>
      <c r="FE66" s="48">
        <f t="shared" si="320"/>
        <v>0.14200337793945694</v>
      </c>
      <c r="FF66" s="48">
        <f t="shared" si="321"/>
        <v>0.85739823982398244</v>
      </c>
      <c r="FG66" s="48">
        <f t="shared" si="322"/>
        <v>0.14260176017601761</v>
      </c>
      <c r="FH66" s="48">
        <f t="shared" si="323"/>
        <v>0.856498449393854</v>
      </c>
      <c r="FI66" s="48">
        <f t="shared" si="324"/>
        <v>0.14350155060614603</v>
      </c>
      <c r="FJ66" s="48">
        <f t="shared" si="325"/>
        <v>0.85655080213903745</v>
      </c>
      <c r="FK66" s="48">
        <f t="shared" si="326"/>
        <v>0.14344919786096258</v>
      </c>
      <c r="FL66" s="48">
        <f t="shared" si="327"/>
        <v>0.8574621959237344</v>
      </c>
      <c r="FM66" s="48">
        <f t="shared" si="328"/>
        <v>0.14253780407626562</v>
      </c>
      <c r="FN66" s="48">
        <f t="shared" si="329"/>
        <v>0.85728061716489878</v>
      </c>
      <c r="FO66" s="48">
        <f t="shared" si="330"/>
        <v>0.14271938283510124</v>
      </c>
      <c r="FP66" s="48">
        <f t="shared" si="331"/>
        <v>0.85465924895688461</v>
      </c>
      <c r="FQ66" s="48">
        <f t="shared" si="332"/>
        <v>0.14534075104311545</v>
      </c>
      <c r="FR66" s="48">
        <f t="shared" si="333"/>
        <v>0.8524501884760366</v>
      </c>
      <c r="FS66" s="48">
        <f t="shared" si="334"/>
        <v>0.14754981152396338</v>
      </c>
      <c r="FT66" s="48">
        <f t="shared" si="335"/>
        <v>0.85594461456530424</v>
      </c>
      <c r="FU66" s="48">
        <f t="shared" si="336"/>
        <v>0.14405538543469579</v>
      </c>
      <c r="FV66" s="48">
        <f t="shared" si="337"/>
        <v>0.85274491962390053</v>
      </c>
      <c r="FW66" s="48">
        <f t="shared" si="338"/>
        <v>0.1472550803760995</v>
      </c>
      <c r="FX66" s="48">
        <f t="shared" si="339"/>
        <v>0.83246665159394073</v>
      </c>
      <c r="FY66" s="48">
        <f t="shared" si="340"/>
        <v>0.16753334840605924</v>
      </c>
      <c r="FZ66" s="48">
        <f t="shared" si="341"/>
        <v>0.83707183995150047</v>
      </c>
      <c r="GA66" s="48">
        <f t="shared" si="342"/>
        <v>0.16292816004849955</v>
      </c>
      <c r="GB66" s="48">
        <f t="shared" si="343"/>
        <v>0.84262016163334752</v>
      </c>
      <c r="GC66" s="48">
        <f t="shared" si="344"/>
        <v>0.15737983836665248</v>
      </c>
      <c r="GD66" s="48">
        <f t="shared" si="345"/>
        <v>0.84756464221286831</v>
      </c>
      <c r="GE66" s="48">
        <f t="shared" si="346"/>
        <v>0.15243535778713169</v>
      </c>
      <c r="GF66" s="48">
        <f t="shared" si="347"/>
        <v>0.8450832072617247</v>
      </c>
      <c r="GG66" s="48">
        <f t="shared" si="348"/>
        <v>0.15491679273827533</v>
      </c>
      <c r="GH66" s="48">
        <f t="shared" si="349"/>
        <v>0.84661299278178792</v>
      </c>
      <c r="GI66" s="48">
        <f t="shared" si="350"/>
        <v>0.15338700721821211</v>
      </c>
      <c r="GJ66" s="48">
        <f t="shared" si="351"/>
        <v>0.84605944914098719</v>
      </c>
      <c r="GK66" s="48">
        <f t="shared" si="352"/>
        <v>0.15394055085901281</v>
      </c>
      <c r="GL66" s="48">
        <f t="shared" si="353"/>
        <v>0.84463358338141947</v>
      </c>
      <c r="GM66" s="48">
        <f t="shared" si="354"/>
        <v>0.1553664166185805</v>
      </c>
      <c r="GN66" s="48">
        <f t="shared" si="355"/>
        <v>0.84256104486087446</v>
      </c>
      <c r="GO66" s="48">
        <f t="shared" si="356"/>
        <v>0.15743895513912551</v>
      </c>
      <c r="GP66" s="48">
        <f t="shared" si="357"/>
        <v>0.84826275787187844</v>
      </c>
      <c r="GQ66" s="48">
        <f t="shared" si="358"/>
        <v>0.15173724212812162</v>
      </c>
      <c r="GR66" s="48">
        <f t="shared" si="359"/>
        <v>0.85426236061515748</v>
      </c>
      <c r="GS66" s="48">
        <f t="shared" si="360"/>
        <v>0.14573763938484247</v>
      </c>
      <c r="GT66" s="48">
        <f t="shared" si="361"/>
        <v>0.84865248226950352</v>
      </c>
      <c r="GU66" s="48">
        <f t="shared" si="362"/>
        <v>0.15134751773049646</v>
      </c>
      <c r="GV66" s="48">
        <f t="shared" si="363"/>
        <v>0.85124545200111956</v>
      </c>
      <c r="GW66" s="48">
        <f t="shared" si="364"/>
        <v>0.14875454799888049</v>
      </c>
      <c r="GX66" s="48">
        <f t="shared" si="365"/>
        <v>0.84831443493389247</v>
      </c>
      <c r="GY66" s="48">
        <f t="shared" si="366"/>
        <v>0.15168556506610756</v>
      </c>
      <c r="GZ66" s="48">
        <f t="shared" si="367"/>
        <v>0.84737417943107218</v>
      </c>
      <c r="HA66" s="48">
        <f t="shared" si="368"/>
        <v>0.15262582056892779</v>
      </c>
      <c r="HB66" s="48">
        <f t="shared" si="369"/>
        <v>0.84758041147493479</v>
      </c>
      <c r="HC66" s="48">
        <f t="shared" si="370"/>
        <v>0.15241958852506521</v>
      </c>
      <c r="HD66" s="48">
        <f t="shared" si="371"/>
        <v>0.84948886667456869</v>
      </c>
      <c r="HE66" s="48">
        <f t="shared" si="372"/>
        <v>0.15051113332543128</v>
      </c>
      <c r="HF66" s="48">
        <f t="shared" si="373"/>
        <v>0.84850494349520222</v>
      </c>
      <c r="HG66" s="48">
        <f t="shared" si="374"/>
        <v>0.15149505650479775</v>
      </c>
      <c r="HH66" s="48">
        <f t="shared" si="375"/>
        <v>0.85169939958481633</v>
      </c>
      <c r="HI66" s="48">
        <f t="shared" si="376"/>
        <v>0.14830060041518364</v>
      </c>
      <c r="HJ66" s="48">
        <f t="shared" si="377"/>
        <v>0.85136809628266041</v>
      </c>
      <c r="HK66" s="48">
        <f t="shared" si="378"/>
        <v>0.14863190371733953</v>
      </c>
      <c r="HL66" s="48">
        <f t="shared" si="379"/>
        <v>0.84807725075814322</v>
      </c>
      <c r="HM66" s="48">
        <f t="shared" si="380"/>
        <v>0.15192274924185681</v>
      </c>
      <c r="HN66" s="48">
        <f t="shared" si="382"/>
        <v>0.84535769205246902</v>
      </c>
      <c r="HO66" s="48">
        <f t="shared" si="381"/>
        <v>0.154642307947531</v>
      </c>
    </row>
    <row r="67" spans="1:223" s="12" customFormat="1" ht="15" thickBot="1" x14ac:dyDescent="0.35">
      <c r="A67" s="13" t="s">
        <v>456</v>
      </c>
      <c r="B67" s="49">
        <f t="shared" si="161"/>
        <v>0</v>
      </c>
      <c r="C67" s="49">
        <f t="shared" si="162"/>
        <v>0</v>
      </c>
      <c r="D67" s="49">
        <f t="shared" si="163"/>
        <v>0</v>
      </c>
      <c r="E67" s="49">
        <f t="shared" si="164"/>
        <v>0</v>
      </c>
      <c r="F67" s="49">
        <f t="shared" si="165"/>
        <v>0</v>
      </c>
      <c r="G67" s="49">
        <f t="shared" si="166"/>
        <v>0</v>
      </c>
      <c r="H67" s="49">
        <f t="shared" si="167"/>
        <v>0</v>
      </c>
      <c r="I67" s="49">
        <f t="shared" si="168"/>
        <v>0</v>
      </c>
      <c r="J67" s="49">
        <f t="shared" si="169"/>
        <v>0</v>
      </c>
      <c r="K67" s="49">
        <f t="shared" si="170"/>
        <v>0</v>
      </c>
      <c r="L67" s="49">
        <f t="shared" si="171"/>
        <v>0</v>
      </c>
      <c r="M67" s="49">
        <f t="shared" si="172"/>
        <v>0</v>
      </c>
      <c r="N67" s="49">
        <f t="shared" si="173"/>
        <v>0</v>
      </c>
      <c r="O67" s="49">
        <f t="shared" si="174"/>
        <v>0</v>
      </c>
      <c r="P67" s="49">
        <f t="shared" si="175"/>
        <v>0</v>
      </c>
      <c r="Q67" s="49">
        <f t="shared" si="176"/>
        <v>0</v>
      </c>
      <c r="R67" s="49">
        <f t="shared" si="177"/>
        <v>0</v>
      </c>
      <c r="S67" s="49">
        <f t="shared" si="178"/>
        <v>0</v>
      </c>
      <c r="T67" s="49">
        <f t="shared" si="179"/>
        <v>0</v>
      </c>
      <c r="U67" s="49">
        <f t="shared" si="180"/>
        <v>0</v>
      </c>
      <c r="V67" s="49">
        <f t="shared" si="181"/>
        <v>0</v>
      </c>
      <c r="W67" s="49">
        <f t="shared" si="182"/>
        <v>0</v>
      </c>
      <c r="X67" s="49">
        <f t="shared" si="183"/>
        <v>0</v>
      </c>
      <c r="Y67" s="49">
        <f t="shared" si="184"/>
        <v>0</v>
      </c>
      <c r="Z67" s="49">
        <f t="shared" si="185"/>
        <v>0</v>
      </c>
      <c r="AA67" s="49">
        <f t="shared" si="186"/>
        <v>0</v>
      </c>
      <c r="AB67" s="49">
        <f t="shared" si="187"/>
        <v>0</v>
      </c>
      <c r="AC67" s="49">
        <f t="shared" si="188"/>
        <v>0</v>
      </c>
      <c r="AD67" s="49">
        <f t="shared" si="189"/>
        <v>0</v>
      </c>
      <c r="AE67" s="49">
        <f t="shared" si="190"/>
        <v>0</v>
      </c>
      <c r="AF67" s="49">
        <f t="shared" si="191"/>
        <v>0</v>
      </c>
      <c r="AG67" s="49">
        <f t="shared" si="192"/>
        <v>0</v>
      </c>
      <c r="AH67" s="49">
        <f t="shared" si="193"/>
        <v>0</v>
      </c>
      <c r="AI67" s="49">
        <f t="shared" si="194"/>
        <v>0</v>
      </c>
      <c r="AJ67" s="49">
        <f t="shared" si="195"/>
        <v>0</v>
      </c>
      <c r="AK67" s="49">
        <f t="shared" si="196"/>
        <v>0</v>
      </c>
      <c r="AL67" s="49">
        <f t="shared" si="197"/>
        <v>0</v>
      </c>
      <c r="AM67" s="49">
        <f t="shared" si="198"/>
        <v>0</v>
      </c>
      <c r="AN67" s="49">
        <f t="shared" si="199"/>
        <v>0</v>
      </c>
      <c r="AO67" s="49">
        <f t="shared" si="200"/>
        <v>0</v>
      </c>
      <c r="AP67" s="49">
        <f t="shared" si="201"/>
        <v>0</v>
      </c>
      <c r="AQ67" s="49">
        <f t="shared" si="202"/>
        <v>0</v>
      </c>
      <c r="AR67" s="49">
        <f t="shared" si="203"/>
        <v>0</v>
      </c>
      <c r="AS67" s="49">
        <f t="shared" si="204"/>
        <v>0</v>
      </c>
      <c r="AT67" s="49">
        <f t="shared" si="205"/>
        <v>0</v>
      </c>
      <c r="AU67" s="49">
        <f t="shared" si="206"/>
        <v>0</v>
      </c>
      <c r="AV67" s="49">
        <f t="shared" si="207"/>
        <v>0</v>
      </c>
      <c r="AW67" s="49">
        <f t="shared" si="208"/>
        <v>0</v>
      </c>
      <c r="AX67" s="49">
        <f t="shared" si="209"/>
        <v>0</v>
      </c>
      <c r="AY67" s="49">
        <f t="shared" si="210"/>
        <v>0</v>
      </c>
      <c r="AZ67" s="49">
        <f t="shared" si="211"/>
        <v>0</v>
      </c>
      <c r="BA67" s="49">
        <f t="shared" si="212"/>
        <v>0</v>
      </c>
      <c r="BB67" s="49">
        <f t="shared" si="213"/>
        <v>0</v>
      </c>
      <c r="BC67" s="49">
        <f t="shared" si="214"/>
        <v>0</v>
      </c>
      <c r="BD67" s="49">
        <f t="shared" si="215"/>
        <v>0</v>
      </c>
      <c r="BE67" s="49">
        <f t="shared" si="216"/>
        <v>0</v>
      </c>
      <c r="BF67" s="49">
        <f t="shared" si="217"/>
        <v>0</v>
      </c>
      <c r="BG67" s="49">
        <f t="shared" si="218"/>
        <v>0</v>
      </c>
      <c r="BH67" s="49">
        <f t="shared" si="219"/>
        <v>0</v>
      </c>
      <c r="BI67" s="49">
        <f t="shared" si="220"/>
        <v>0</v>
      </c>
      <c r="BJ67" s="49">
        <f t="shared" si="221"/>
        <v>0</v>
      </c>
      <c r="BK67" s="49">
        <f t="shared" si="222"/>
        <v>0</v>
      </c>
      <c r="BL67" s="49">
        <f t="shared" si="223"/>
        <v>0</v>
      </c>
      <c r="BM67" s="49">
        <f t="shared" si="224"/>
        <v>0</v>
      </c>
      <c r="BN67" s="49">
        <f t="shared" si="225"/>
        <v>0</v>
      </c>
      <c r="BO67" s="49">
        <f t="shared" si="226"/>
        <v>0</v>
      </c>
      <c r="BP67" s="49">
        <f t="shared" si="227"/>
        <v>0</v>
      </c>
      <c r="BQ67" s="49">
        <f t="shared" si="228"/>
        <v>0</v>
      </c>
      <c r="BR67" s="49">
        <f t="shared" si="229"/>
        <v>0</v>
      </c>
      <c r="BS67" s="49">
        <f t="shared" si="230"/>
        <v>0</v>
      </c>
      <c r="BT67" s="49">
        <f t="shared" si="231"/>
        <v>0</v>
      </c>
      <c r="BU67" s="49">
        <f t="shared" si="232"/>
        <v>0</v>
      </c>
      <c r="BV67" s="49">
        <f t="shared" si="233"/>
        <v>0</v>
      </c>
      <c r="BW67" s="49">
        <f t="shared" si="234"/>
        <v>0</v>
      </c>
      <c r="BX67" s="49">
        <f t="shared" si="235"/>
        <v>0</v>
      </c>
      <c r="BY67" s="49">
        <f t="shared" si="236"/>
        <v>0</v>
      </c>
      <c r="BZ67" s="49">
        <f t="shared" si="237"/>
        <v>0</v>
      </c>
      <c r="CA67" s="49">
        <f t="shared" si="238"/>
        <v>0</v>
      </c>
      <c r="CB67" s="49">
        <f t="shared" si="239"/>
        <v>0</v>
      </c>
      <c r="CC67" s="49">
        <f t="shared" si="240"/>
        <v>0</v>
      </c>
      <c r="CD67" s="49">
        <f t="shared" si="241"/>
        <v>0</v>
      </c>
      <c r="CE67" s="49">
        <f t="shared" si="242"/>
        <v>0</v>
      </c>
      <c r="CF67" s="49">
        <f t="shared" si="243"/>
        <v>0</v>
      </c>
      <c r="CG67" s="49">
        <f t="shared" si="244"/>
        <v>0</v>
      </c>
      <c r="CH67" s="49">
        <f t="shared" si="245"/>
        <v>0</v>
      </c>
      <c r="CI67" s="49">
        <f t="shared" si="246"/>
        <v>0</v>
      </c>
      <c r="CJ67" s="49">
        <f t="shared" si="247"/>
        <v>0</v>
      </c>
      <c r="CK67" s="49">
        <f t="shared" si="248"/>
        <v>0</v>
      </c>
      <c r="CL67" s="49">
        <f t="shared" si="249"/>
        <v>0</v>
      </c>
      <c r="CM67" s="49">
        <f t="shared" si="250"/>
        <v>0</v>
      </c>
      <c r="CN67" s="49">
        <f t="shared" si="251"/>
        <v>0</v>
      </c>
      <c r="CO67" s="49">
        <f t="shared" si="252"/>
        <v>0</v>
      </c>
      <c r="CP67" s="49">
        <f t="shared" si="253"/>
        <v>0</v>
      </c>
      <c r="CQ67" s="49">
        <f t="shared" si="254"/>
        <v>0</v>
      </c>
      <c r="CR67" s="49">
        <f t="shared" si="255"/>
        <v>0</v>
      </c>
      <c r="CS67" s="49">
        <f t="shared" si="256"/>
        <v>0</v>
      </c>
      <c r="CT67" s="49">
        <f t="shared" si="257"/>
        <v>0</v>
      </c>
      <c r="CU67" s="49">
        <f t="shared" si="258"/>
        <v>0</v>
      </c>
      <c r="CV67" s="49">
        <f t="shared" si="259"/>
        <v>0</v>
      </c>
      <c r="CW67" s="49">
        <f t="shared" si="260"/>
        <v>0</v>
      </c>
      <c r="CX67" s="49">
        <f t="shared" si="261"/>
        <v>0</v>
      </c>
      <c r="CY67" s="49">
        <f t="shared" si="262"/>
        <v>0</v>
      </c>
      <c r="CZ67" s="49">
        <f t="shared" si="263"/>
        <v>0</v>
      </c>
      <c r="DA67" s="49">
        <f t="shared" si="264"/>
        <v>0</v>
      </c>
      <c r="DB67" s="49">
        <f t="shared" si="265"/>
        <v>0</v>
      </c>
      <c r="DC67" s="49">
        <f t="shared" si="266"/>
        <v>0</v>
      </c>
      <c r="DD67" s="49">
        <f t="shared" si="267"/>
        <v>0</v>
      </c>
      <c r="DE67" s="49">
        <f t="shared" si="268"/>
        <v>0</v>
      </c>
      <c r="DF67" s="49">
        <f t="shared" si="269"/>
        <v>0</v>
      </c>
      <c r="DG67" s="49">
        <f t="shared" si="270"/>
        <v>0</v>
      </c>
      <c r="DH67" s="49">
        <f t="shared" si="271"/>
        <v>0</v>
      </c>
      <c r="DI67" s="49">
        <f t="shared" si="272"/>
        <v>0</v>
      </c>
      <c r="DJ67" s="49">
        <f t="shared" si="273"/>
        <v>0</v>
      </c>
      <c r="DK67" s="49">
        <f t="shared" si="274"/>
        <v>0</v>
      </c>
      <c r="DL67" s="49">
        <f t="shared" si="275"/>
        <v>0</v>
      </c>
      <c r="DM67" s="49">
        <f t="shared" si="276"/>
        <v>0</v>
      </c>
      <c r="DN67" s="49">
        <f t="shared" si="277"/>
        <v>0</v>
      </c>
      <c r="DO67" s="49">
        <f t="shared" si="278"/>
        <v>0</v>
      </c>
      <c r="DP67" s="49">
        <f t="shared" si="279"/>
        <v>0</v>
      </c>
      <c r="DQ67" s="49">
        <f t="shared" si="280"/>
        <v>0</v>
      </c>
      <c r="DR67" s="49">
        <f t="shared" si="281"/>
        <v>0</v>
      </c>
      <c r="DS67" s="49">
        <f t="shared" si="282"/>
        <v>0</v>
      </c>
      <c r="DT67" s="49">
        <f t="shared" si="283"/>
        <v>0</v>
      </c>
      <c r="DU67" s="49">
        <f t="shared" si="284"/>
        <v>0</v>
      </c>
      <c r="DV67" s="49">
        <f t="shared" si="285"/>
        <v>0</v>
      </c>
      <c r="DW67" s="49">
        <f t="shared" si="286"/>
        <v>0</v>
      </c>
      <c r="DX67" s="49">
        <f t="shared" si="287"/>
        <v>0</v>
      </c>
      <c r="DY67" s="49">
        <f t="shared" si="288"/>
        <v>0</v>
      </c>
      <c r="DZ67" s="49">
        <f t="shared" si="289"/>
        <v>0</v>
      </c>
      <c r="EA67" s="49">
        <f t="shared" si="290"/>
        <v>0</v>
      </c>
      <c r="EB67" s="49">
        <f t="shared" si="291"/>
        <v>0</v>
      </c>
      <c r="EC67" s="49">
        <f t="shared" si="292"/>
        <v>0</v>
      </c>
      <c r="ED67" s="49">
        <f t="shared" si="293"/>
        <v>0</v>
      </c>
      <c r="EE67" s="49">
        <f t="shared" si="294"/>
        <v>0</v>
      </c>
      <c r="EF67" s="49">
        <f t="shared" si="295"/>
        <v>0</v>
      </c>
      <c r="EG67" s="49">
        <f t="shared" si="296"/>
        <v>0</v>
      </c>
      <c r="EH67" s="49">
        <f t="shared" si="297"/>
        <v>0</v>
      </c>
      <c r="EI67" s="49">
        <f t="shared" si="298"/>
        <v>0</v>
      </c>
      <c r="EJ67" s="49">
        <f t="shared" si="299"/>
        <v>0</v>
      </c>
      <c r="EK67" s="49">
        <f t="shared" si="300"/>
        <v>0</v>
      </c>
      <c r="EL67" s="49">
        <f t="shared" si="301"/>
        <v>0</v>
      </c>
      <c r="EM67" s="49">
        <f t="shared" si="302"/>
        <v>0</v>
      </c>
      <c r="EN67" s="49">
        <f t="shared" si="303"/>
        <v>0</v>
      </c>
      <c r="EO67" s="49">
        <f t="shared" si="304"/>
        <v>0</v>
      </c>
      <c r="EP67" s="49">
        <f t="shared" si="305"/>
        <v>0</v>
      </c>
      <c r="EQ67" s="49">
        <f t="shared" si="306"/>
        <v>0</v>
      </c>
      <c r="ER67" s="49">
        <f t="shared" si="307"/>
        <v>0</v>
      </c>
      <c r="ES67" s="49">
        <f t="shared" si="308"/>
        <v>0</v>
      </c>
      <c r="ET67" s="49">
        <f t="shared" si="309"/>
        <v>0</v>
      </c>
      <c r="EU67" s="49">
        <f t="shared" si="310"/>
        <v>0</v>
      </c>
      <c r="EV67" s="49">
        <f t="shared" si="311"/>
        <v>0</v>
      </c>
      <c r="EW67" s="49">
        <f t="shared" si="312"/>
        <v>0</v>
      </c>
      <c r="EX67" s="49">
        <f t="shared" si="313"/>
        <v>0</v>
      </c>
      <c r="EY67" s="49">
        <f t="shared" si="314"/>
        <v>0</v>
      </c>
      <c r="EZ67" s="49">
        <f t="shared" si="315"/>
        <v>0</v>
      </c>
      <c r="FA67" s="49">
        <f t="shared" si="316"/>
        <v>0</v>
      </c>
      <c r="FB67" s="49">
        <f t="shared" si="317"/>
        <v>0</v>
      </c>
      <c r="FC67" s="49">
        <f t="shared" si="318"/>
        <v>0</v>
      </c>
      <c r="FD67" s="49">
        <f t="shared" si="319"/>
        <v>0</v>
      </c>
      <c r="FE67" s="49">
        <f t="shared" si="320"/>
        <v>0</v>
      </c>
      <c r="FF67" s="49">
        <f t="shared" si="321"/>
        <v>0</v>
      </c>
      <c r="FG67" s="49">
        <f t="shared" si="322"/>
        <v>0</v>
      </c>
      <c r="FH67" s="49">
        <f t="shared" si="323"/>
        <v>0</v>
      </c>
      <c r="FI67" s="49">
        <f t="shared" si="324"/>
        <v>0</v>
      </c>
      <c r="FJ67" s="49">
        <f t="shared" si="325"/>
        <v>0</v>
      </c>
      <c r="FK67" s="49">
        <f t="shared" si="326"/>
        <v>0</v>
      </c>
      <c r="FL67" s="49">
        <f t="shared" si="327"/>
        <v>0</v>
      </c>
      <c r="FM67" s="49">
        <f t="shared" si="328"/>
        <v>0</v>
      </c>
      <c r="FN67" s="49">
        <f t="shared" si="329"/>
        <v>0</v>
      </c>
      <c r="FO67" s="49">
        <f t="shared" si="330"/>
        <v>0</v>
      </c>
      <c r="FP67" s="49">
        <f t="shared" si="331"/>
        <v>0.1948756784046447</v>
      </c>
      <c r="FQ67" s="49">
        <f t="shared" si="332"/>
        <v>0.8051243215953553</v>
      </c>
      <c r="FR67" s="49">
        <f t="shared" si="333"/>
        <v>0.202603550295858</v>
      </c>
      <c r="FS67" s="49">
        <f t="shared" si="334"/>
        <v>0.79739644970414203</v>
      </c>
      <c r="FT67" s="49">
        <f t="shared" si="335"/>
        <v>0.20576685739930439</v>
      </c>
      <c r="FU67" s="49">
        <f t="shared" si="336"/>
        <v>0.79423314260069566</v>
      </c>
      <c r="FV67" s="49">
        <f t="shared" si="337"/>
        <v>0.21959334565619223</v>
      </c>
      <c r="FW67" s="49">
        <f t="shared" si="338"/>
        <v>0.78040665434380774</v>
      </c>
      <c r="FX67" s="49">
        <f t="shared" si="339"/>
        <v>0.18346682786761373</v>
      </c>
      <c r="FY67" s="49">
        <f t="shared" si="340"/>
        <v>0.8165331721323863</v>
      </c>
      <c r="FZ67" s="49">
        <f t="shared" si="341"/>
        <v>0.17043823821613865</v>
      </c>
      <c r="GA67" s="49">
        <f t="shared" si="342"/>
        <v>0.82956176178386132</v>
      </c>
      <c r="GB67" s="49">
        <f t="shared" si="343"/>
        <v>0.20348533862047374</v>
      </c>
      <c r="GC67" s="49">
        <f t="shared" si="344"/>
        <v>0.7965146613795262</v>
      </c>
      <c r="GD67" s="49">
        <f t="shared" si="345"/>
        <v>0.1959949361261365</v>
      </c>
      <c r="GE67" s="49">
        <f t="shared" si="346"/>
        <v>0.8040050638738635</v>
      </c>
      <c r="GF67" s="49">
        <f t="shared" si="347"/>
        <v>0.17049255969546662</v>
      </c>
      <c r="GG67" s="49">
        <f t="shared" si="348"/>
        <v>0.82950744030453338</v>
      </c>
      <c r="GH67" s="49">
        <f t="shared" si="349"/>
        <v>0.17562572605343754</v>
      </c>
      <c r="GI67" s="49">
        <f t="shared" si="350"/>
        <v>0.82437427394656249</v>
      </c>
      <c r="GJ67" s="49">
        <f t="shared" si="351"/>
        <v>0.18316085602330956</v>
      </c>
      <c r="GK67" s="49">
        <f t="shared" si="352"/>
        <v>0.81683914397669044</v>
      </c>
      <c r="GL67" s="49">
        <f t="shared" si="353"/>
        <v>0.18327028163093737</v>
      </c>
      <c r="GM67" s="49">
        <f t="shared" si="354"/>
        <v>0.81672971836906261</v>
      </c>
      <c r="GN67" s="49">
        <f t="shared" si="355"/>
        <v>0.16400911161731208</v>
      </c>
      <c r="GO67" s="49">
        <f t="shared" si="356"/>
        <v>0.83599088838268798</v>
      </c>
      <c r="GP67" s="49">
        <f t="shared" si="357"/>
        <v>0.17712359996035287</v>
      </c>
      <c r="GQ67" s="49">
        <f t="shared" si="358"/>
        <v>0.82287640003964713</v>
      </c>
      <c r="GR67" s="49">
        <f t="shared" si="359"/>
        <v>0.19050077186907632</v>
      </c>
      <c r="GS67" s="49">
        <f t="shared" si="360"/>
        <v>0.80949922813092379</v>
      </c>
      <c r="GT67" s="49">
        <f t="shared" si="361"/>
        <v>0.20577617328519857</v>
      </c>
      <c r="GU67" s="49">
        <f t="shared" si="362"/>
        <v>0.79422382671480141</v>
      </c>
      <c r="GV67" s="49">
        <f t="shared" si="363"/>
        <v>0.18483361774744028</v>
      </c>
      <c r="GW67" s="49">
        <f t="shared" si="364"/>
        <v>0.81516638225255977</v>
      </c>
      <c r="GX67" s="49">
        <f t="shared" si="365"/>
        <v>0.19218040992189253</v>
      </c>
      <c r="GY67" s="49">
        <f t="shared" si="366"/>
        <v>0.80781959007810744</v>
      </c>
      <c r="GZ67" s="49">
        <f t="shared" si="367"/>
        <v>0.19942907766512452</v>
      </c>
      <c r="HA67" s="49">
        <f t="shared" si="368"/>
        <v>0.80057092233487548</v>
      </c>
      <c r="HB67" s="49">
        <f t="shared" si="369"/>
        <v>0.21257937707892349</v>
      </c>
      <c r="HC67" s="49">
        <f t="shared" si="370"/>
        <v>0.78742062292107651</v>
      </c>
      <c r="HD67" s="49">
        <f t="shared" si="371"/>
        <v>0.17993469487567654</v>
      </c>
      <c r="HE67" s="49">
        <f t="shared" si="372"/>
        <v>0.82006530512432352</v>
      </c>
      <c r="HF67" s="49">
        <f t="shared" si="373"/>
        <v>0.18431967708317393</v>
      </c>
      <c r="HG67" s="49">
        <f t="shared" si="374"/>
        <v>0.81568032291682602</v>
      </c>
      <c r="HH67" s="49">
        <f t="shared" si="375"/>
        <v>0.19066556476687371</v>
      </c>
      <c r="HI67" s="49">
        <f t="shared" si="376"/>
        <v>0.8093344352331262</v>
      </c>
      <c r="HJ67" s="49">
        <f t="shared" si="377"/>
        <v>0.18888892782762387</v>
      </c>
      <c r="HK67" s="49">
        <f t="shared" si="378"/>
        <v>0.8111110721723761</v>
      </c>
      <c r="HL67" s="49">
        <f t="shared" si="379"/>
        <v>0.16829728559481272</v>
      </c>
      <c r="HM67" s="49">
        <f t="shared" si="380"/>
        <v>0.83170271440518728</v>
      </c>
      <c r="HN67" s="49">
        <f t="shared" si="382"/>
        <v>0.17409885042540754</v>
      </c>
      <c r="HO67" s="49">
        <f t="shared" si="381"/>
        <v>0.82590114957459249</v>
      </c>
    </row>
    <row r="68" spans="1:223" s="12" customFormat="1" ht="15" thickTop="1" x14ac:dyDescent="0.3">
      <c r="A68" s="11" t="s">
        <v>444</v>
      </c>
      <c r="B68" s="48">
        <f t="shared" si="161"/>
        <v>0</v>
      </c>
      <c r="C68" s="48">
        <f t="shared" si="162"/>
        <v>0</v>
      </c>
      <c r="D68" s="48">
        <f t="shared" si="163"/>
        <v>0</v>
      </c>
      <c r="E68" s="48">
        <f t="shared" si="164"/>
        <v>0</v>
      </c>
      <c r="F68" s="48">
        <f t="shared" si="165"/>
        <v>0</v>
      </c>
      <c r="G68" s="48">
        <f t="shared" si="166"/>
        <v>0</v>
      </c>
      <c r="H68" s="48">
        <f t="shared" si="167"/>
        <v>0</v>
      </c>
      <c r="I68" s="48">
        <f t="shared" si="168"/>
        <v>0</v>
      </c>
      <c r="J68" s="48">
        <f t="shared" si="169"/>
        <v>0</v>
      </c>
      <c r="K68" s="48">
        <f t="shared" si="170"/>
        <v>0</v>
      </c>
      <c r="L68" s="48">
        <f t="shared" si="171"/>
        <v>0</v>
      </c>
      <c r="M68" s="48">
        <f t="shared" si="172"/>
        <v>0</v>
      </c>
      <c r="N68" s="48">
        <f t="shared" si="173"/>
        <v>0</v>
      </c>
      <c r="O68" s="48">
        <f t="shared" si="174"/>
        <v>0</v>
      </c>
      <c r="P68" s="48">
        <f t="shared" si="175"/>
        <v>0</v>
      </c>
      <c r="Q68" s="48">
        <f t="shared" si="176"/>
        <v>0</v>
      </c>
      <c r="R68" s="48">
        <f t="shared" si="177"/>
        <v>0</v>
      </c>
      <c r="S68" s="48">
        <f t="shared" si="178"/>
        <v>0</v>
      </c>
      <c r="T68" s="48">
        <f t="shared" si="179"/>
        <v>0</v>
      </c>
      <c r="U68" s="48">
        <f t="shared" si="180"/>
        <v>0</v>
      </c>
      <c r="V68" s="48">
        <f t="shared" si="181"/>
        <v>0</v>
      </c>
      <c r="W68" s="48">
        <f t="shared" si="182"/>
        <v>0</v>
      </c>
      <c r="X68" s="48">
        <f t="shared" si="183"/>
        <v>0</v>
      </c>
      <c r="Y68" s="48">
        <f t="shared" si="184"/>
        <v>0</v>
      </c>
      <c r="Z68" s="48">
        <f t="shared" si="185"/>
        <v>0</v>
      </c>
      <c r="AA68" s="48">
        <f t="shared" si="186"/>
        <v>0</v>
      </c>
      <c r="AB68" s="48">
        <f t="shared" si="187"/>
        <v>0</v>
      </c>
      <c r="AC68" s="48">
        <f t="shared" si="188"/>
        <v>0</v>
      </c>
      <c r="AD68" s="48">
        <f t="shared" si="189"/>
        <v>0</v>
      </c>
      <c r="AE68" s="48">
        <f t="shared" si="190"/>
        <v>0</v>
      </c>
      <c r="AF68" s="48">
        <f t="shared" si="191"/>
        <v>0</v>
      </c>
      <c r="AG68" s="48">
        <f t="shared" si="192"/>
        <v>0</v>
      </c>
      <c r="AH68" s="48">
        <f t="shared" si="193"/>
        <v>0</v>
      </c>
      <c r="AI68" s="48">
        <f t="shared" si="194"/>
        <v>0</v>
      </c>
      <c r="AJ68" s="48">
        <f t="shared" si="195"/>
        <v>0</v>
      </c>
      <c r="AK68" s="48">
        <f t="shared" si="196"/>
        <v>0</v>
      </c>
      <c r="AL68" s="48">
        <f t="shared" si="197"/>
        <v>0</v>
      </c>
      <c r="AM68" s="48">
        <f t="shared" si="198"/>
        <v>0</v>
      </c>
      <c r="AN68" s="48">
        <f t="shared" si="199"/>
        <v>0</v>
      </c>
      <c r="AO68" s="48">
        <f t="shared" si="200"/>
        <v>0</v>
      </c>
      <c r="AP68" s="48">
        <f t="shared" si="201"/>
        <v>0</v>
      </c>
      <c r="AQ68" s="48">
        <f t="shared" si="202"/>
        <v>0</v>
      </c>
      <c r="AR68" s="48">
        <f t="shared" si="203"/>
        <v>0</v>
      </c>
      <c r="AS68" s="48">
        <f t="shared" si="204"/>
        <v>0</v>
      </c>
      <c r="AT68" s="48">
        <f t="shared" si="205"/>
        <v>0</v>
      </c>
      <c r="AU68" s="48">
        <f t="shared" si="206"/>
        <v>0</v>
      </c>
      <c r="AV68" s="48">
        <f t="shared" si="207"/>
        <v>0</v>
      </c>
      <c r="AW68" s="48">
        <f t="shared" si="208"/>
        <v>0</v>
      </c>
      <c r="AX68" s="48">
        <f t="shared" si="209"/>
        <v>0</v>
      </c>
      <c r="AY68" s="48">
        <f t="shared" si="210"/>
        <v>0</v>
      </c>
      <c r="AZ68" s="48">
        <f t="shared" si="211"/>
        <v>0</v>
      </c>
      <c r="BA68" s="48">
        <f t="shared" si="212"/>
        <v>0</v>
      </c>
      <c r="BB68" s="48">
        <f t="shared" si="213"/>
        <v>0</v>
      </c>
      <c r="BC68" s="48">
        <f t="shared" si="214"/>
        <v>0</v>
      </c>
      <c r="BD68" s="48">
        <f t="shared" si="215"/>
        <v>0</v>
      </c>
      <c r="BE68" s="48">
        <f t="shared" si="216"/>
        <v>0</v>
      </c>
      <c r="BF68" s="48">
        <f t="shared" si="217"/>
        <v>0</v>
      </c>
      <c r="BG68" s="48">
        <f t="shared" si="218"/>
        <v>0</v>
      </c>
      <c r="BH68" s="48">
        <f t="shared" si="219"/>
        <v>0</v>
      </c>
      <c r="BI68" s="48">
        <f t="shared" si="220"/>
        <v>0</v>
      </c>
      <c r="BJ68" s="48">
        <f t="shared" si="221"/>
        <v>0</v>
      </c>
      <c r="BK68" s="48">
        <f t="shared" si="222"/>
        <v>0</v>
      </c>
      <c r="BL68" s="48">
        <f t="shared" si="223"/>
        <v>0</v>
      </c>
      <c r="BM68" s="48">
        <f t="shared" si="224"/>
        <v>0</v>
      </c>
      <c r="BN68" s="48">
        <f t="shared" si="225"/>
        <v>0</v>
      </c>
      <c r="BO68" s="48">
        <f t="shared" si="226"/>
        <v>0</v>
      </c>
      <c r="BP68" s="48">
        <f t="shared" si="227"/>
        <v>0</v>
      </c>
      <c r="BQ68" s="48">
        <f t="shared" si="228"/>
        <v>0</v>
      </c>
      <c r="BR68" s="48">
        <f t="shared" si="229"/>
        <v>0</v>
      </c>
      <c r="BS68" s="48">
        <f t="shared" si="230"/>
        <v>0</v>
      </c>
      <c r="BT68" s="48">
        <f t="shared" si="231"/>
        <v>0</v>
      </c>
      <c r="BU68" s="48">
        <f t="shared" si="232"/>
        <v>0</v>
      </c>
      <c r="BV68" s="48">
        <f t="shared" si="233"/>
        <v>0</v>
      </c>
      <c r="BW68" s="48">
        <f t="shared" si="234"/>
        <v>0</v>
      </c>
      <c r="BX68" s="48">
        <f t="shared" si="235"/>
        <v>0</v>
      </c>
      <c r="BY68" s="48">
        <f t="shared" si="236"/>
        <v>0</v>
      </c>
      <c r="BZ68" s="48">
        <f t="shared" si="237"/>
        <v>0</v>
      </c>
      <c r="CA68" s="48">
        <f t="shared" si="238"/>
        <v>0</v>
      </c>
      <c r="CB68" s="48">
        <f t="shared" si="239"/>
        <v>0</v>
      </c>
      <c r="CC68" s="48">
        <f t="shared" si="240"/>
        <v>0</v>
      </c>
      <c r="CD68" s="48">
        <f t="shared" si="241"/>
        <v>0</v>
      </c>
      <c r="CE68" s="48">
        <f t="shared" si="242"/>
        <v>0</v>
      </c>
      <c r="CF68" s="48">
        <f t="shared" si="243"/>
        <v>0</v>
      </c>
      <c r="CG68" s="48">
        <f t="shared" si="244"/>
        <v>0</v>
      </c>
      <c r="CH68" s="48">
        <f t="shared" si="245"/>
        <v>0</v>
      </c>
      <c r="CI68" s="48">
        <f t="shared" si="246"/>
        <v>0</v>
      </c>
      <c r="CJ68" s="48">
        <f t="shared" si="247"/>
        <v>0</v>
      </c>
      <c r="CK68" s="48">
        <f t="shared" si="248"/>
        <v>0</v>
      </c>
      <c r="CL68" s="48">
        <f t="shared" si="249"/>
        <v>0</v>
      </c>
      <c r="CM68" s="48">
        <f t="shared" si="250"/>
        <v>0</v>
      </c>
      <c r="CN68" s="48">
        <f t="shared" si="251"/>
        <v>0</v>
      </c>
      <c r="CO68" s="48">
        <f t="shared" si="252"/>
        <v>0</v>
      </c>
      <c r="CP68" s="48">
        <f t="shared" si="253"/>
        <v>0</v>
      </c>
      <c r="CQ68" s="48">
        <f t="shared" si="254"/>
        <v>0</v>
      </c>
      <c r="CR68" s="48">
        <f t="shared" si="255"/>
        <v>0</v>
      </c>
      <c r="CS68" s="48">
        <f t="shared" si="256"/>
        <v>0</v>
      </c>
      <c r="CT68" s="48">
        <f t="shared" si="257"/>
        <v>0</v>
      </c>
      <c r="CU68" s="48">
        <f t="shared" si="258"/>
        <v>0</v>
      </c>
      <c r="CV68" s="48">
        <f t="shared" si="259"/>
        <v>0</v>
      </c>
      <c r="CW68" s="48">
        <f t="shared" si="260"/>
        <v>0</v>
      </c>
      <c r="CX68" s="48">
        <f t="shared" si="261"/>
        <v>0</v>
      </c>
      <c r="CY68" s="48">
        <f t="shared" si="262"/>
        <v>0</v>
      </c>
      <c r="CZ68" s="48">
        <f t="shared" si="263"/>
        <v>0</v>
      </c>
      <c r="DA68" s="48">
        <f t="shared" si="264"/>
        <v>0</v>
      </c>
      <c r="DB68" s="48">
        <f t="shared" si="265"/>
        <v>0</v>
      </c>
      <c r="DC68" s="48">
        <f t="shared" si="266"/>
        <v>0</v>
      </c>
      <c r="DD68" s="48">
        <f t="shared" si="267"/>
        <v>0</v>
      </c>
      <c r="DE68" s="48">
        <f t="shared" si="268"/>
        <v>0</v>
      </c>
      <c r="DF68" s="48">
        <f t="shared" si="269"/>
        <v>0</v>
      </c>
      <c r="DG68" s="48">
        <f t="shared" si="270"/>
        <v>0</v>
      </c>
      <c r="DH68" s="48">
        <f t="shared" si="271"/>
        <v>0</v>
      </c>
      <c r="DI68" s="48">
        <f t="shared" si="272"/>
        <v>0</v>
      </c>
      <c r="DJ68" s="48">
        <f t="shared" si="273"/>
        <v>0</v>
      </c>
      <c r="DK68" s="48">
        <f t="shared" si="274"/>
        <v>0</v>
      </c>
      <c r="DL68" s="48">
        <f t="shared" si="275"/>
        <v>0</v>
      </c>
      <c r="DM68" s="48">
        <f t="shared" si="276"/>
        <v>0</v>
      </c>
      <c r="DN68" s="48">
        <f t="shared" si="277"/>
        <v>0</v>
      </c>
      <c r="DO68" s="48">
        <f t="shared" si="278"/>
        <v>0</v>
      </c>
      <c r="DP68" s="48">
        <f t="shared" si="279"/>
        <v>0</v>
      </c>
      <c r="DQ68" s="48">
        <f t="shared" si="280"/>
        <v>0</v>
      </c>
      <c r="DR68" s="48">
        <f t="shared" si="281"/>
        <v>0</v>
      </c>
      <c r="DS68" s="48">
        <f t="shared" si="282"/>
        <v>0</v>
      </c>
      <c r="DT68" s="48">
        <f t="shared" si="283"/>
        <v>0</v>
      </c>
      <c r="DU68" s="48">
        <f t="shared" si="284"/>
        <v>0</v>
      </c>
      <c r="DV68" s="48">
        <f t="shared" si="285"/>
        <v>0</v>
      </c>
      <c r="DW68" s="48">
        <f t="shared" si="286"/>
        <v>0</v>
      </c>
      <c r="DX68" s="48">
        <f t="shared" si="287"/>
        <v>0</v>
      </c>
      <c r="DY68" s="48">
        <f t="shared" si="288"/>
        <v>0</v>
      </c>
      <c r="DZ68" s="48">
        <f t="shared" si="289"/>
        <v>0</v>
      </c>
      <c r="EA68" s="48">
        <f t="shared" si="290"/>
        <v>0</v>
      </c>
      <c r="EB68" s="48">
        <f t="shared" si="291"/>
        <v>0</v>
      </c>
      <c r="EC68" s="48">
        <f t="shared" si="292"/>
        <v>0</v>
      </c>
      <c r="ED68" s="48">
        <f t="shared" si="293"/>
        <v>0</v>
      </c>
      <c r="EE68" s="48">
        <f t="shared" si="294"/>
        <v>0</v>
      </c>
      <c r="EF68" s="48">
        <f t="shared" si="295"/>
        <v>0</v>
      </c>
      <c r="EG68" s="48">
        <f t="shared" si="296"/>
        <v>0</v>
      </c>
      <c r="EH68" s="48">
        <f t="shared" si="297"/>
        <v>0</v>
      </c>
      <c r="EI68" s="48">
        <f t="shared" si="298"/>
        <v>0</v>
      </c>
      <c r="EJ68" s="48">
        <f t="shared" si="299"/>
        <v>0</v>
      </c>
      <c r="EK68" s="48">
        <f t="shared" si="300"/>
        <v>0</v>
      </c>
      <c r="EL68" s="48">
        <f t="shared" si="301"/>
        <v>0</v>
      </c>
      <c r="EM68" s="48">
        <f t="shared" si="302"/>
        <v>0</v>
      </c>
      <c r="EN68" s="48">
        <f t="shared" si="303"/>
        <v>0</v>
      </c>
      <c r="EO68" s="48">
        <f t="shared" si="304"/>
        <v>0</v>
      </c>
      <c r="EP68" s="48">
        <f t="shared" si="305"/>
        <v>0</v>
      </c>
      <c r="EQ68" s="48">
        <f t="shared" si="306"/>
        <v>0</v>
      </c>
      <c r="ER68" s="48">
        <f t="shared" si="307"/>
        <v>0</v>
      </c>
      <c r="ES68" s="48">
        <f t="shared" si="308"/>
        <v>0</v>
      </c>
      <c r="ET68" s="48">
        <f t="shared" si="309"/>
        <v>0</v>
      </c>
      <c r="EU68" s="48">
        <f t="shared" si="310"/>
        <v>0</v>
      </c>
      <c r="EV68" s="48">
        <f t="shared" si="311"/>
        <v>0</v>
      </c>
      <c r="EW68" s="48">
        <f t="shared" si="312"/>
        <v>0</v>
      </c>
      <c r="EX68" s="48">
        <f t="shared" si="313"/>
        <v>0</v>
      </c>
      <c r="EY68" s="48">
        <f t="shared" si="314"/>
        <v>0</v>
      </c>
      <c r="EZ68" s="48">
        <f t="shared" si="315"/>
        <v>0</v>
      </c>
      <c r="FA68" s="48">
        <f t="shared" si="316"/>
        <v>0</v>
      </c>
      <c r="FB68" s="48">
        <f t="shared" si="317"/>
        <v>0</v>
      </c>
      <c r="FC68" s="48">
        <f t="shared" si="318"/>
        <v>0</v>
      </c>
      <c r="FD68" s="48">
        <f t="shared" si="319"/>
        <v>0</v>
      </c>
      <c r="FE68" s="48">
        <f t="shared" si="320"/>
        <v>0</v>
      </c>
      <c r="FF68" s="48">
        <f t="shared" si="321"/>
        <v>0</v>
      </c>
      <c r="FG68" s="48">
        <f t="shared" si="322"/>
        <v>0</v>
      </c>
      <c r="FH68" s="48">
        <f t="shared" si="323"/>
        <v>0</v>
      </c>
      <c r="FI68" s="48">
        <f t="shared" si="324"/>
        <v>0</v>
      </c>
      <c r="FJ68" s="48">
        <f t="shared" si="325"/>
        <v>0</v>
      </c>
      <c r="FK68" s="48">
        <f t="shared" si="326"/>
        <v>0</v>
      </c>
      <c r="FL68" s="48">
        <f t="shared" si="327"/>
        <v>0</v>
      </c>
      <c r="FM68" s="48">
        <f t="shared" si="328"/>
        <v>0</v>
      </c>
      <c r="FN68" s="48">
        <f t="shared" si="329"/>
        <v>0</v>
      </c>
      <c r="FO68" s="48">
        <f t="shared" si="330"/>
        <v>0</v>
      </c>
      <c r="FP68" s="48">
        <f t="shared" si="331"/>
        <v>0.29861511829197923</v>
      </c>
      <c r="FQ68" s="48">
        <f t="shared" si="332"/>
        <v>0.70138488170802082</v>
      </c>
      <c r="FR68" s="48">
        <f t="shared" si="333"/>
        <v>0.28190460166568521</v>
      </c>
      <c r="FS68" s="48">
        <f t="shared" si="334"/>
        <v>0.71809539833431479</v>
      </c>
      <c r="FT68" s="48">
        <f t="shared" si="335"/>
        <v>0.30331712400138938</v>
      </c>
      <c r="FU68" s="48">
        <f t="shared" si="336"/>
        <v>0.69668287599861067</v>
      </c>
      <c r="FV68" s="48">
        <f t="shared" si="337"/>
        <v>0.30409300538047657</v>
      </c>
      <c r="FW68" s="48">
        <f t="shared" si="338"/>
        <v>0.69590699461952343</v>
      </c>
      <c r="FX68" s="48">
        <f t="shared" si="339"/>
        <v>0.20848691049995274</v>
      </c>
      <c r="FY68" s="48">
        <f t="shared" si="340"/>
        <v>0.79151308950004728</v>
      </c>
      <c r="FZ68" s="48">
        <f t="shared" si="341"/>
        <v>0.22701402805611223</v>
      </c>
      <c r="GA68" s="48">
        <f t="shared" si="342"/>
        <v>0.77298597194388774</v>
      </c>
      <c r="GB68" s="48">
        <f t="shared" si="343"/>
        <v>0.28869849041207668</v>
      </c>
      <c r="GC68" s="48">
        <f t="shared" si="344"/>
        <v>0.71130150958792326</v>
      </c>
      <c r="GD68" s="48">
        <f t="shared" si="345"/>
        <v>0.25059564329475836</v>
      </c>
      <c r="GE68" s="48">
        <f t="shared" si="346"/>
        <v>0.74940435670524164</v>
      </c>
      <c r="GF68" s="48">
        <f t="shared" si="347"/>
        <v>0.23567353014140413</v>
      </c>
      <c r="GG68" s="48">
        <f t="shared" si="348"/>
        <v>0.76432646985859587</v>
      </c>
      <c r="GH68" s="48">
        <f t="shared" si="349"/>
        <v>0.25451784358390284</v>
      </c>
      <c r="GI68" s="48">
        <f t="shared" si="350"/>
        <v>0.74548215641609716</v>
      </c>
      <c r="GJ68" s="48">
        <f t="shared" si="351"/>
        <v>0.28080318774904289</v>
      </c>
      <c r="GK68" s="48">
        <f t="shared" si="352"/>
        <v>0.71919681225095711</v>
      </c>
      <c r="GL68" s="48">
        <f t="shared" si="353"/>
        <v>0.26196078431372549</v>
      </c>
      <c r="GM68" s="48">
        <f t="shared" si="354"/>
        <v>0.73803921568627451</v>
      </c>
      <c r="GN68" s="48">
        <f t="shared" si="355"/>
        <v>0.25109071761697005</v>
      </c>
      <c r="GO68" s="48">
        <f t="shared" si="356"/>
        <v>0.7489092823830299</v>
      </c>
      <c r="GP68" s="48">
        <f t="shared" si="357"/>
        <v>0.25650557620817843</v>
      </c>
      <c r="GQ68" s="48">
        <f t="shared" si="358"/>
        <v>0.74349442379182151</v>
      </c>
      <c r="GR68" s="48">
        <f t="shared" si="359"/>
        <v>0.28054698997662325</v>
      </c>
      <c r="GS68" s="48">
        <f t="shared" si="360"/>
        <v>0.71945301002337669</v>
      </c>
      <c r="GT68" s="48">
        <f t="shared" si="361"/>
        <v>0.28018634007062893</v>
      </c>
      <c r="GU68" s="48">
        <f t="shared" si="362"/>
        <v>0.71981365992937107</v>
      </c>
      <c r="GV68" s="48">
        <f t="shared" si="363"/>
        <v>0.26125009116767561</v>
      </c>
      <c r="GW68" s="48">
        <f t="shared" si="364"/>
        <v>0.73874990883232439</v>
      </c>
      <c r="GX68" s="48">
        <f t="shared" si="365"/>
        <v>0.25763726951408283</v>
      </c>
      <c r="GY68" s="48">
        <f t="shared" si="366"/>
        <v>0.74236273048591717</v>
      </c>
      <c r="GZ68" s="48">
        <f t="shared" si="367"/>
        <v>0.27812478550346625</v>
      </c>
      <c r="HA68" s="48">
        <f t="shared" si="368"/>
        <v>0.72187521449653369</v>
      </c>
      <c r="HB68" s="48">
        <f t="shared" si="369"/>
        <v>0.2819979934069084</v>
      </c>
      <c r="HC68" s="48">
        <f t="shared" si="370"/>
        <v>0.71800200659309155</v>
      </c>
      <c r="HD68" s="48">
        <f t="shared" si="371"/>
        <v>0.24593964587114803</v>
      </c>
      <c r="HE68" s="48">
        <f t="shared" si="372"/>
        <v>0.75406035412885197</v>
      </c>
      <c r="HF68" s="48">
        <f t="shared" si="373"/>
        <v>0.25370328501330097</v>
      </c>
      <c r="HG68" s="48">
        <f t="shared" si="374"/>
        <v>0.74629671498669903</v>
      </c>
      <c r="HH68" s="48">
        <f t="shared" si="375"/>
        <v>0.2754468340588348</v>
      </c>
      <c r="HI68" s="48">
        <f t="shared" si="376"/>
        <v>0.72455316594116526</v>
      </c>
      <c r="HJ68" s="48">
        <f t="shared" si="377"/>
        <v>0.26217012445615923</v>
      </c>
      <c r="HK68" s="48">
        <f t="shared" si="378"/>
        <v>0.73782987554384072</v>
      </c>
      <c r="HL68" s="48">
        <f t="shared" si="379"/>
        <v>0.24241076634845921</v>
      </c>
      <c r="HM68" s="48">
        <f t="shared" si="380"/>
        <v>0.75758923365154085</v>
      </c>
      <c r="HN68" s="48">
        <f t="shared" si="382"/>
        <v>0.24253594426291306</v>
      </c>
      <c r="HO68" s="48">
        <f t="shared" si="381"/>
        <v>0.75746405573708697</v>
      </c>
    </row>
    <row r="69" spans="1:223" s="12" customFormat="1" ht="15" thickBot="1" x14ac:dyDescent="0.35">
      <c r="A69" s="13" t="s">
        <v>446</v>
      </c>
      <c r="B69" s="49">
        <f t="shared" si="161"/>
        <v>0</v>
      </c>
      <c r="C69" s="49">
        <f t="shared" si="162"/>
        <v>0</v>
      </c>
      <c r="D69" s="49">
        <f t="shared" si="163"/>
        <v>0</v>
      </c>
      <c r="E69" s="49">
        <f t="shared" si="164"/>
        <v>0</v>
      </c>
      <c r="F69" s="49">
        <f t="shared" si="165"/>
        <v>0</v>
      </c>
      <c r="G69" s="49">
        <f t="shared" si="166"/>
        <v>0</v>
      </c>
      <c r="H69" s="49">
        <f t="shared" si="167"/>
        <v>0</v>
      </c>
      <c r="I69" s="49">
        <f t="shared" si="168"/>
        <v>0</v>
      </c>
      <c r="J69" s="49">
        <f t="shared" si="169"/>
        <v>0</v>
      </c>
      <c r="K69" s="49">
        <f t="shared" si="170"/>
        <v>0</v>
      </c>
      <c r="L69" s="49">
        <f t="shared" si="171"/>
        <v>0</v>
      </c>
      <c r="M69" s="49">
        <f t="shared" si="172"/>
        <v>0</v>
      </c>
      <c r="N69" s="49">
        <f t="shared" si="173"/>
        <v>0</v>
      </c>
      <c r="O69" s="49">
        <f t="shared" si="174"/>
        <v>0</v>
      </c>
      <c r="P69" s="49">
        <f t="shared" si="175"/>
        <v>0</v>
      </c>
      <c r="Q69" s="49">
        <f t="shared" si="176"/>
        <v>0</v>
      </c>
      <c r="R69" s="49">
        <f t="shared" si="177"/>
        <v>0</v>
      </c>
      <c r="S69" s="49">
        <f t="shared" si="178"/>
        <v>0</v>
      </c>
      <c r="T69" s="49">
        <f t="shared" si="179"/>
        <v>0</v>
      </c>
      <c r="U69" s="49">
        <f t="shared" si="180"/>
        <v>0</v>
      </c>
      <c r="V69" s="49">
        <f t="shared" si="181"/>
        <v>0</v>
      </c>
      <c r="W69" s="49">
        <f t="shared" si="182"/>
        <v>0</v>
      </c>
      <c r="X69" s="49">
        <f t="shared" si="183"/>
        <v>0</v>
      </c>
      <c r="Y69" s="49">
        <f t="shared" si="184"/>
        <v>0</v>
      </c>
      <c r="Z69" s="49">
        <f t="shared" si="185"/>
        <v>0</v>
      </c>
      <c r="AA69" s="49">
        <f t="shared" si="186"/>
        <v>0</v>
      </c>
      <c r="AB69" s="49">
        <f t="shared" si="187"/>
        <v>0</v>
      </c>
      <c r="AC69" s="49">
        <f t="shared" si="188"/>
        <v>0</v>
      </c>
      <c r="AD69" s="49">
        <f t="shared" si="189"/>
        <v>0</v>
      </c>
      <c r="AE69" s="49">
        <f t="shared" si="190"/>
        <v>0</v>
      </c>
      <c r="AF69" s="49">
        <f t="shared" si="191"/>
        <v>0</v>
      </c>
      <c r="AG69" s="49">
        <f t="shared" si="192"/>
        <v>0</v>
      </c>
      <c r="AH69" s="49">
        <f t="shared" si="193"/>
        <v>0</v>
      </c>
      <c r="AI69" s="49">
        <f t="shared" si="194"/>
        <v>0</v>
      </c>
      <c r="AJ69" s="49">
        <f t="shared" si="195"/>
        <v>0</v>
      </c>
      <c r="AK69" s="49">
        <f t="shared" si="196"/>
        <v>0</v>
      </c>
      <c r="AL69" s="49">
        <f t="shared" si="197"/>
        <v>0</v>
      </c>
      <c r="AM69" s="49">
        <f t="shared" si="198"/>
        <v>0</v>
      </c>
      <c r="AN69" s="49">
        <f t="shared" si="199"/>
        <v>0</v>
      </c>
      <c r="AO69" s="49">
        <f t="shared" si="200"/>
        <v>0</v>
      </c>
      <c r="AP69" s="49">
        <f t="shared" si="201"/>
        <v>0</v>
      </c>
      <c r="AQ69" s="49">
        <f t="shared" si="202"/>
        <v>0</v>
      </c>
      <c r="AR69" s="49">
        <f t="shared" si="203"/>
        <v>0</v>
      </c>
      <c r="AS69" s="49">
        <f t="shared" si="204"/>
        <v>0</v>
      </c>
      <c r="AT69" s="49">
        <f t="shared" si="205"/>
        <v>0</v>
      </c>
      <c r="AU69" s="49">
        <f t="shared" si="206"/>
        <v>0</v>
      </c>
      <c r="AV69" s="49">
        <f t="shared" si="207"/>
        <v>0</v>
      </c>
      <c r="AW69" s="49">
        <f t="shared" si="208"/>
        <v>0</v>
      </c>
      <c r="AX69" s="49">
        <f t="shared" si="209"/>
        <v>0</v>
      </c>
      <c r="AY69" s="49">
        <f t="shared" si="210"/>
        <v>0</v>
      </c>
      <c r="AZ69" s="49">
        <f t="shared" si="211"/>
        <v>0</v>
      </c>
      <c r="BA69" s="49">
        <f t="shared" si="212"/>
        <v>0</v>
      </c>
      <c r="BB69" s="49">
        <f t="shared" si="213"/>
        <v>0</v>
      </c>
      <c r="BC69" s="49">
        <f t="shared" si="214"/>
        <v>0</v>
      </c>
      <c r="BD69" s="49">
        <f t="shared" si="215"/>
        <v>0</v>
      </c>
      <c r="BE69" s="49">
        <f t="shared" si="216"/>
        <v>0</v>
      </c>
      <c r="BF69" s="49">
        <f t="shared" si="217"/>
        <v>0</v>
      </c>
      <c r="BG69" s="49">
        <f t="shared" si="218"/>
        <v>0</v>
      </c>
      <c r="BH69" s="49">
        <f t="shared" si="219"/>
        <v>0</v>
      </c>
      <c r="BI69" s="49">
        <f t="shared" si="220"/>
        <v>0</v>
      </c>
      <c r="BJ69" s="49">
        <f t="shared" si="221"/>
        <v>0</v>
      </c>
      <c r="BK69" s="49">
        <f t="shared" si="222"/>
        <v>0</v>
      </c>
      <c r="BL69" s="49">
        <f t="shared" si="223"/>
        <v>0</v>
      </c>
      <c r="BM69" s="49">
        <f t="shared" si="224"/>
        <v>0</v>
      </c>
      <c r="BN69" s="49">
        <f t="shared" si="225"/>
        <v>0</v>
      </c>
      <c r="BO69" s="49">
        <f t="shared" si="226"/>
        <v>0</v>
      </c>
      <c r="BP69" s="49">
        <f t="shared" si="227"/>
        <v>0</v>
      </c>
      <c r="BQ69" s="49">
        <f t="shared" si="228"/>
        <v>0</v>
      </c>
      <c r="BR69" s="49">
        <f t="shared" si="229"/>
        <v>0</v>
      </c>
      <c r="BS69" s="49">
        <f t="shared" si="230"/>
        <v>0</v>
      </c>
      <c r="BT69" s="49">
        <f t="shared" si="231"/>
        <v>0</v>
      </c>
      <c r="BU69" s="49">
        <f t="shared" si="232"/>
        <v>0</v>
      </c>
      <c r="BV69" s="49">
        <f t="shared" si="233"/>
        <v>0</v>
      </c>
      <c r="BW69" s="49">
        <f t="shared" si="234"/>
        <v>0</v>
      </c>
      <c r="BX69" s="49">
        <f t="shared" si="235"/>
        <v>0</v>
      </c>
      <c r="BY69" s="49">
        <f t="shared" si="236"/>
        <v>0</v>
      </c>
      <c r="BZ69" s="49">
        <f t="shared" si="237"/>
        <v>0</v>
      </c>
      <c r="CA69" s="49">
        <f t="shared" si="238"/>
        <v>0</v>
      </c>
      <c r="CB69" s="49">
        <f t="shared" si="239"/>
        <v>0</v>
      </c>
      <c r="CC69" s="49">
        <f t="shared" si="240"/>
        <v>0</v>
      </c>
      <c r="CD69" s="49">
        <f t="shared" si="241"/>
        <v>0</v>
      </c>
      <c r="CE69" s="49">
        <f t="shared" si="242"/>
        <v>0</v>
      </c>
      <c r="CF69" s="49">
        <f t="shared" si="243"/>
        <v>0</v>
      </c>
      <c r="CG69" s="49">
        <f t="shared" si="244"/>
        <v>0</v>
      </c>
      <c r="CH69" s="49">
        <f t="shared" si="245"/>
        <v>0</v>
      </c>
      <c r="CI69" s="49">
        <f t="shared" si="246"/>
        <v>0</v>
      </c>
      <c r="CJ69" s="49">
        <f t="shared" si="247"/>
        <v>0</v>
      </c>
      <c r="CK69" s="49">
        <f t="shared" si="248"/>
        <v>0</v>
      </c>
      <c r="CL69" s="49">
        <f t="shared" si="249"/>
        <v>0</v>
      </c>
      <c r="CM69" s="49">
        <f t="shared" si="250"/>
        <v>0</v>
      </c>
      <c r="CN69" s="49">
        <f t="shared" si="251"/>
        <v>0</v>
      </c>
      <c r="CO69" s="49">
        <f t="shared" si="252"/>
        <v>0</v>
      </c>
      <c r="CP69" s="49">
        <f t="shared" si="253"/>
        <v>0</v>
      </c>
      <c r="CQ69" s="49">
        <f t="shared" si="254"/>
        <v>0</v>
      </c>
      <c r="CR69" s="49">
        <f t="shared" si="255"/>
        <v>0</v>
      </c>
      <c r="CS69" s="49">
        <f t="shared" si="256"/>
        <v>0</v>
      </c>
      <c r="CT69" s="49">
        <f t="shared" si="257"/>
        <v>0</v>
      </c>
      <c r="CU69" s="49">
        <f t="shared" si="258"/>
        <v>0</v>
      </c>
      <c r="CV69" s="49">
        <f t="shared" si="259"/>
        <v>0</v>
      </c>
      <c r="CW69" s="49">
        <f t="shared" si="260"/>
        <v>0</v>
      </c>
      <c r="CX69" s="49">
        <f t="shared" si="261"/>
        <v>0</v>
      </c>
      <c r="CY69" s="49">
        <f t="shared" si="262"/>
        <v>0</v>
      </c>
      <c r="CZ69" s="49">
        <f t="shared" si="263"/>
        <v>0</v>
      </c>
      <c r="DA69" s="49">
        <f t="shared" si="264"/>
        <v>0</v>
      </c>
      <c r="DB69" s="49">
        <f t="shared" si="265"/>
        <v>0</v>
      </c>
      <c r="DC69" s="49">
        <f t="shared" si="266"/>
        <v>0</v>
      </c>
      <c r="DD69" s="49">
        <f t="shared" si="267"/>
        <v>0</v>
      </c>
      <c r="DE69" s="49">
        <f t="shared" si="268"/>
        <v>0</v>
      </c>
      <c r="DF69" s="49">
        <f t="shared" si="269"/>
        <v>0</v>
      </c>
      <c r="DG69" s="49">
        <f t="shared" si="270"/>
        <v>0</v>
      </c>
      <c r="DH69" s="49">
        <f t="shared" si="271"/>
        <v>0</v>
      </c>
      <c r="DI69" s="49">
        <f t="shared" si="272"/>
        <v>0</v>
      </c>
      <c r="DJ69" s="49">
        <f t="shared" si="273"/>
        <v>0</v>
      </c>
      <c r="DK69" s="49">
        <f t="shared" si="274"/>
        <v>0</v>
      </c>
      <c r="DL69" s="49">
        <f t="shared" si="275"/>
        <v>0</v>
      </c>
      <c r="DM69" s="49">
        <f t="shared" si="276"/>
        <v>0</v>
      </c>
      <c r="DN69" s="49">
        <f t="shared" si="277"/>
        <v>0</v>
      </c>
      <c r="DO69" s="49">
        <f t="shared" si="278"/>
        <v>0</v>
      </c>
      <c r="DP69" s="49">
        <f t="shared" si="279"/>
        <v>0</v>
      </c>
      <c r="DQ69" s="49">
        <f t="shared" si="280"/>
        <v>0</v>
      </c>
      <c r="DR69" s="49">
        <f t="shared" si="281"/>
        <v>0</v>
      </c>
      <c r="DS69" s="49">
        <f t="shared" si="282"/>
        <v>0</v>
      </c>
      <c r="DT69" s="49">
        <f t="shared" si="283"/>
        <v>0</v>
      </c>
      <c r="DU69" s="49">
        <f t="shared" si="284"/>
        <v>0</v>
      </c>
      <c r="DV69" s="49">
        <f t="shared" si="285"/>
        <v>0</v>
      </c>
      <c r="DW69" s="49">
        <f t="shared" si="286"/>
        <v>0</v>
      </c>
      <c r="DX69" s="49">
        <f t="shared" si="287"/>
        <v>0</v>
      </c>
      <c r="DY69" s="49">
        <f t="shared" si="288"/>
        <v>0</v>
      </c>
      <c r="DZ69" s="49">
        <f t="shared" si="289"/>
        <v>0</v>
      </c>
      <c r="EA69" s="49">
        <f t="shared" si="290"/>
        <v>0</v>
      </c>
      <c r="EB69" s="49">
        <f t="shared" si="291"/>
        <v>0</v>
      </c>
      <c r="EC69" s="49">
        <f t="shared" si="292"/>
        <v>0</v>
      </c>
      <c r="ED69" s="49">
        <f t="shared" si="293"/>
        <v>0</v>
      </c>
      <c r="EE69" s="49">
        <f t="shared" si="294"/>
        <v>0</v>
      </c>
      <c r="EF69" s="49">
        <f t="shared" si="295"/>
        <v>0</v>
      </c>
      <c r="EG69" s="49">
        <f t="shared" si="296"/>
        <v>0</v>
      </c>
      <c r="EH69" s="49">
        <f t="shared" si="297"/>
        <v>0</v>
      </c>
      <c r="EI69" s="49">
        <f t="shared" si="298"/>
        <v>0</v>
      </c>
      <c r="EJ69" s="49">
        <f t="shared" si="299"/>
        <v>0</v>
      </c>
      <c r="EK69" s="49">
        <f t="shared" si="300"/>
        <v>0</v>
      </c>
      <c r="EL69" s="49">
        <f t="shared" si="301"/>
        <v>0</v>
      </c>
      <c r="EM69" s="49">
        <f t="shared" si="302"/>
        <v>0</v>
      </c>
      <c r="EN69" s="49">
        <f t="shared" si="303"/>
        <v>0</v>
      </c>
      <c r="EO69" s="49">
        <f t="shared" si="304"/>
        <v>0</v>
      </c>
      <c r="EP69" s="49">
        <f t="shared" si="305"/>
        <v>0</v>
      </c>
      <c r="EQ69" s="49">
        <f t="shared" si="306"/>
        <v>0</v>
      </c>
      <c r="ER69" s="49">
        <f t="shared" si="307"/>
        <v>0</v>
      </c>
      <c r="ES69" s="49">
        <f t="shared" si="308"/>
        <v>0</v>
      </c>
      <c r="ET69" s="49">
        <f t="shared" si="309"/>
        <v>0</v>
      </c>
      <c r="EU69" s="49">
        <f t="shared" si="310"/>
        <v>0</v>
      </c>
      <c r="EV69" s="49">
        <f t="shared" si="311"/>
        <v>0</v>
      </c>
      <c r="EW69" s="49">
        <f t="shared" si="312"/>
        <v>0</v>
      </c>
      <c r="EX69" s="49">
        <f t="shared" si="313"/>
        <v>0</v>
      </c>
      <c r="EY69" s="49">
        <f t="shared" si="314"/>
        <v>0</v>
      </c>
      <c r="EZ69" s="49">
        <f t="shared" si="315"/>
        <v>0</v>
      </c>
      <c r="FA69" s="49">
        <f t="shared" si="316"/>
        <v>0</v>
      </c>
      <c r="FB69" s="49">
        <f t="shared" si="317"/>
        <v>0</v>
      </c>
      <c r="FC69" s="49">
        <f t="shared" si="318"/>
        <v>0</v>
      </c>
      <c r="FD69" s="49">
        <f t="shared" si="319"/>
        <v>0</v>
      </c>
      <c r="FE69" s="49">
        <f t="shared" si="320"/>
        <v>0</v>
      </c>
      <c r="FF69" s="49">
        <f t="shared" si="321"/>
        <v>0</v>
      </c>
      <c r="FG69" s="49">
        <f t="shared" si="322"/>
        <v>0</v>
      </c>
      <c r="FH69" s="49">
        <f t="shared" si="323"/>
        <v>0</v>
      </c>
      <c r="FI69" s="49">
        <f t="shared" si="324"/>
        <v>0</v>
      </c>
      <c r="FJ69" s="49">
        <f t="shared" si="325"/>
        <v>0</v>
      </c>
      <c r="FK69" s="49">
        <f t="shared" si="326"/>
        <v>0</v>
      </c>
      <c r="FL69" s="49">
        <f t="shared" si="327"/>
        <v>0</v>
      </c>
      <c r="FM69" s="49">
        <f t="shared" si="328"/>
        <v>0</v>
      </c>
      <c r="FN69" s="49">
        <f t="shared" si="329"/>
        <v>0</v>
      </c>
      <c r="FO69" s="49">
        <f t="shared" si="330"/>
        <v>0</v>
      </c>
      <c r="FP69" s="49">
        <f t="shared" si="331"/>
        <v>0</v>
      </c>
      <c r="FQ69" s="49">
        <f t="shared" si="332"/>
        <v>0</v>
      </c>
      <c r="FR69" s="49">
        <f t="shared" si="333"/>
        <v>0</v>
      </c>
      <c r="FS69" s="49">
        <f t="shared" si="334"/>
        <v>0</v>
      </c>
      <c r="FT69" s="49">
        <f t="shared" si="335"/>
        <v>0</v>
      </c>
      <c r="FU69" s="49">
        <f t="shared" si="336"/>
        <v>0</v>
      </c>
      <c r="FV69" s="49">
        <f t="shared" si="337"/>
        <v>0</v>
      </c>
      <c r="FW69" s="49">
        <f t="shared" si="338"/>
        <v>0</v>
      </c>
      <c r="FX69" s="49">
        <f t="shared" si="339"/>
        <v>0</v>
      </c>
      <c r="FY69" s="49">
        <f t="shared" si="340"/>
        <v>0</v>
      </c>
      <c r="FZ69" s="49">
        <f t="shared" si="341"/>
        <v>0</v>
      </c>
      <c r="GA69" s="49">
        <f t="shared" si="342"/>
        <v>0</v>
      </c>
      <c r="GB69" s="49">
        <f t="shared" si="343"/>
        <v>0.2764070932922128</v>
      </c>
      <c r="GC69" s="49">
        <f t="shared" si="344"/>
        <v>0.7235929067077872</v>
      </c>
      <c r="GD69" s="49">
        <f t="shared" si="345"/>
        <v>0.18998001712817586</v>
      </c>
      <c r="GE69" s="49">
        <f t="shared" si="346"/>
        <v>0.8100199828718242</v>
      </c>
      <c r="GF69" s="49">
        <f t="shared" si="347"/>
        <v>0.19439082547973202</v>
      </c>
      <c r="GG69" s="49">
        <f t="shared" si="348"/>
        <v>0.80560917452026792</v>
      </c>
      <c r="GH69" s="49">
        <f t="shared" si="349"/>
        <v>0.20502557260395821</v>
      </c>
      <c r="GI69" s="49">
        <f t="shared" si="350"/>
        <v>0.79497442739604185</v>
      </c>
      <c r="GJ69" s="49">
        <f t="shared" si="351"/>
        <v>0.2450281425891182</v>
      </c>
      <c r="GK69" s="49">
        <f t="shared" si="352"/>
        <v>0.7549718574108818</v>
      </c>
      <c r="GL69" s="49">
        <f t="shared" si="353"/>
        <v>0.21932307692307693</v>
      </c>
      <c r="GM69" s="49">
        <f t="shared" si="354"/>
        <v>0.78067692307692305</v>
      </c>
      <c r="GN69" s="49">
        <f t="shared" si="355"/>
        <v>0.21603276770040961</v>
      </c>
      <c r="GO69" s="49">
        <f t="shared" si="356"/>
        <v>0.78396723229959042</v>
      </c>
      <c r="GP69" s="49">
        <f t="shared" si="357"/>
        <v>0.22275730764923285</v>
      </c>
      <c r="GQ69" s="49">
        <f t="shared" si="358"/>
        <v>0.77724269235076715</v>
      </c>
      <c r="GR69" s="49">
        <f t="shared" si="359"/>
        <v>0.24637225903391907</v>
      </c>
      <c r="GS69" s="49">
        <f t="shared" si="360"/>
        <v>0.75362774096608098</v>
      </c>
      <c r="GT69" s="49">
        <f t="shared" si="361"/>
        <v>0.23043478260869565</v>
      </c>
      <c r="GU69" s="49">
        <f t="shared" si="362"/>
        <v>0.76956521739130435</v>
      </c>
      <c r="GV69" s="49">
        <f t="shared" si="363"/>
        <v>0.22077779001872866</v>
      </c>
      <c r="GW69" s="49">
        <f t="shared" si="364"/>
        <v>0.77922220998127134</v>
      </c>
      <c r="GX69" s="49">
        <f t="shared" si="365"/>
        <v>0.20951754306283024</v>
      </c>
      <c r="GY69" s="49">
        <f t="shared" si="366"/>
        <v>0.79048245693716979</v>
      </c>
      <c r="GZ69" s="49">
        <f t="shared" si="367"/>
        <v>0.22368151036322595</v>
      </c>
      <c r="HA69" s="49">
        <f t="shared" si="368"/>
        <v>0.77631848963677408</v>
      </c>
      <c r="HB69" s="49">
        <f t="shared" si="369"/>
        <v>0.2327912675428826</v>
      </c>
      <c r="HC69" s="49">
        <f t="shared" si="370"/>
        <v>0.7672087324571174</v>
      </c>
      <c r="HD69" s="49">
        <f t="shared" si="371"/>
        <v>0.21866024074092813</v>
      </c>
      <c r="HE69" s="49">
        <f t="shared" si="372"/>
        <v>0.78133975925907195</v>
      </c>
      <c r="HF69" s="49">
        <f t="shared" si="373"/>
        <v>0.2157498428311278</v>
      </c>
      <c r="HG69" s="49">
        <f t="shared" si="374"/>
        <v>0.78425015716887214</v>
      </c>
      <c r="HH69" s="49">
        <f t="shared" si="375"/>
        <v>0.23740727481094481</v>
      </c>
      <c r="HI69" s="49">
        <f t="shared" si="376"/>
        <v>0.76259272518905519</v>
      </c>
      <c r="HJ69" s="49">
        <f t="shared" si="377"/>
        <v>0.22885407240206054</v>
      </c>
      <c r="HK69" s="49">
        <f t="shared" si="378"/>
        <v>0.77114592759793954</v>
      </c>
      <c r="HL69" s="49">
        <f t="shared" si="379"/>
        <v>0.21814242174048842</v>
      </c>
      <c r="HM69" s="49">
        <f t="shared" si="380"/>
        <v>0.78185757825951163</v>
      </c>
      <c r="HN69" s="49">
        <f t="shared" si="382"/>
        <v>0.21238935844192725</v>
      </c>
      <c r="HO69" s="49">
        <f t="shared" si="381"/>
        <v>0.78761064155807281</v>
      </c>
    </row>
    <row r="70" spans="1:223" s="12" customFormat="1" ht="15" thickTop="1" x14ac:dyDescent="0.3">
      <c r="A70" s="11" t="s">
        <v>448</v>
      </c>
      <c r="B70" s="48">
        <f t="shared" si="161"/>
        <v>0</v>
      </c>
      <c r="C70" s="48">
        <f t="shared" si="162"/>
        <v>0</v>
      </c>
      <c r="D70" s="48">
        <f t="shared" si="163"/>
        <v>0</v>
      </c>
      <c r="E70" s="48">
        <f t="shared" si="164"/>
        <v>0</v>
      </c>
      <c r="F70" s="48">
        <f t="shared" si="165"/>
        <v>0</v>
      </c>
      <c r="G70" s="48">
        <f t="shared" si="166"/>
        <v>0</v>
      </c>
      <c r="H70" s="48">
        <f t="shared" si="167"/>
        <v>0</v>
      </c>
      <c r="I70" s="48">
        <f t="shared" si="168"/>
        <v>0</v>
      </c>
      <c r="J70" s="48">
        <f t="shared" si="169"/>
        <v>0</v>
      </c>
      <c r="K70" s="48">
        <f t="shared" si="170"/>
        <v>0</v>
      </c>
      <c r="L70" s="48">
        <f t="shared" si="171"/>
        <v>0</v>
      </c>
      <c r="M70" s="48">
        <f t="shared" si="172"/>
        <v>0</v>
      </c>
      <c r="N70" s="48">
        <f t="shared" si="173"/>
        <v>0</v>
      </c>
      <c r="O70" s="48">
        <f t="shared" si="174"/>
        <v>0</v>
      </c>
      <c r="P70" s="48">
        <f t="shared" si="175"/>
        <v>0</v>
      </c>
      <c r="Q70" s="48">
        <f t="shared" si="176"/>
        <v>0</v>
      </c>
      <c r="R70" s="48">
        <f t="shared" si="177"/>
        <v>0</v>
      </c>
      <c r="S70" s="48">
        <f t="shared" si="178"/>
        <v>0</v>
      </c>
      <c r="T70" s="48">
        <f t="shared" si="179"/>
        <v>0</v>
      </c>
      <c r="U70" s="48">
        <f t="shared" si="180"/>
        <v>0</v>
      </c>
      <c r="V70" s="48">
        <f t="shared" si="181"/>
        <v>0</v>
      </c>
      <c r="W70" s="48">
        <f t="shared" si="182"/>
        <v>0</v>
      </c>
      <c r="X70" s="48">
        <f t="shared" si="183"/>
        <v>0</v>
      </c>
      <c r="Y70" s="48">
        <f t="shared" si="184"/>
        <v>0</v>
      </c>
      <c r="Z70" s="48">
        <f t="shared" si="185"/>
        <v>0</v>
      </c>
      <c r="AA70" s="48">
        <f t="shared" si="186"/>
        <v>0</v>
      </c>
      <c r="AB70" s="48">
        <f t="shared" si="187"/>
        <v>0</v>
      </c>
      <c r="AC70" s="48">
        <f t="shared" si="188"/>
        <v>0</v>
      </c>
      <c r="AD70" s="48">
        <f t="shared" si="189"/>
        <v>0</v>
      </c>
      <c r="AE70" s="48">
        <f t="shared" si="190"/>
        <v>0</v>
      </c>
      <c r="AF70" s="48">
        <f t="shared" si="191"/>
        <v>0</v>
      </c>
      <c r="AG70" s="48">
        <f t="shared" si="192"/>
        <v>0</v>
      </c>
      <c r="AH70" s="48">
        <f t="shared" si="193"/>
        <v>0</v>
      </c>
      <c r="AI70" s="48">
        <f t="shared" si="194"/>
        <v>0</v>
      </c>
      <c r="AJ70" s="48">
        <f t="shared" si="195"/>
        <v>0</v>
      </c>
      <c r="AK70" s="48">
        <f t="shared" si="196"/>
        <v>0</v>
      </c>
      <c r="AL70" s="48">
        <f t="shared" si="197"/>
        <v>0</v>
      </c>
      <c r="AM70" s="48">
        <f t="shared" si="198"/>
        <v>0</v>
      </c>
      <c r="AN70" s="48">
        <f t="shared" si="199"/>
        <v>0</v>
      </c>
      <c r="AO70" s="48">
        <f t="shared" si="200"/>
        <v>0</v>
      </c>
      <c r="AP70" s="48">
        <f t="shared" si="201"/>
        <v>0</v>
      </c>
      <c r="AQ70" s="48">
        <f t="shared" si="202"/>
        <v>0</v>
      </c>
      <c r="AR70" s="48">
        <f t="shared" si="203"/>
        <v>0</v>
      </c>
      <c r="AS70" s="48">
        <f t="shared" si="204"/>
        <v>0</v>
      </c>
      <c r="AT70" s="48">
        <f t="shared" si="205"/>
        <v>0</v>
      </c>
      <c r="AU70" s="48">
        <f t="shared" si="206"/>
        <v>0</v>
      </c>
      <c r="AV70" s="48">
        <f t="shared" si="207"/>
        <v>0</v>
      </c>
      <c r="AW70" s="48">
        <f t="shared" si="208"/>
        <v>0</v>
      </c>
      <c r="AX70" s="48">
        <f t="shared" si="209"/>
        <v>0</v>
      </c>
      <c r="AY70" s="48">
        <f t="shared" si="210"/>
        <v>0</v>
      </c>
      <c r="AZ70" s="48">
        <f t="shared" si="211"/>
        <v>0</v>
      </c>
      <c r="BA70" s="48">
        <f t="shared" si="212"/>
        <v>0</v>
      </c>
      <c r="BB70" s="48">
        <f t="shared" si="213"/>
        <v>0</v>
      </c>
      <c r="BC70" s="48">
        <f t="shared" si="214"/>
        <v>0</v>
      </c>
      <c r="BD70" s="48">
        <f t="shared" si="215"/>
        <v>0</v>
      </c>
      <c r="BE70" s="48">
        <f t="shared" si="216"/>
        <v>0</v>
      </c>
      <c r="BF70" s="48">
        <f t="shared" si="217"/>
        <v>0</v>
      </c>
      <c r="BG70" s="48">
        <f t="shared" si="218"/>
        <v>0</v>
      </c>
      <c r="BH70" s="48">
        <f t="shared" si="219"/>
        <v>0</v>
      </c>
      <c r="BI70" s="48">
        <f t="shared" si="220"/>
        <v>0</v>
      </c>
      <c r="BJ70" s="48">
        <f t="shared" si="221"/>
        <v>0</v>
      </c>
      <c r="BK70" s="48">
        <f t="shared" si="222"/>
        <v>0</v>
      </c>
      <c r="BL70" s="48">
        <f t="shared" si="223"/>
        <v>0</v>
      </c>
      <c r="BM70" s="48">
        <f t="shared" si="224"/>
        <v>0</v>
      </c>
      <c r="BN70" s="48">
        <f t="shared" si="225"/>
        <v>0</v>
      </c>
      <c r="BO70" s="48">
        <f t="shared" si="226"/>
        <v>0</v>
      </c>
      <c r="BP70" s="48">
        <f t="shared" si="227"/>
        <v>0</v>
      </c>
      <c r="BQ70" s="48">
        <f t="shared" si="228"/>
        <v>0</v>
      </c>
      <c r="BR70" s="48">
        <f t="shared" si="229"/>
        <v>0</v>
      </c>
      <c r="BS70" s="48">
        <f t="shared" si="230"/>
        <v>0</v>
      </c>
      <c r="BT70" s="48">
        <f t="shared" si="231"/>
        <v>0</v>
      </c>
      <c r="BU70" s="48">
        <f t="shared" si="232"/>
        <v>0</v>
      </c>
      <c r="BV70" s="48">
        <f t="shared" si="233"/>
        <v>0</v>
      </c>
      <c r="BW70" s="48">
        <f t="shared" si="234"/>
        <v>0</v>
      </c>
      <c r="BX70" s="48">
        <f t="shared" si="235"/>
        <v>0</v>
      </c>
      <c r="BY70" s="48">
        <f t="shared" si="236"/>
        <v>0</v>
      </c>
      <c r="BZ70" s="48">
        <f t="shared" si="237"/>
        <v>0</v>
      </c>
      <c r="CA70" s="48">
        <f t="shared" si="238"/>
        <v>0</v>
      </c>
      <c r="CB70" s="48">
        <f t="shared" si="239"/>
        <v>0</v>
      </c>
      <c r="CC70" s="48">
        <f t="shared" si="240"/>
        <v>0</v>
      </c>
      <c r="CD70" s="48">
        <f t="shared" si="241"/>
        <v>0</v>
      </c>
      <c r="CE70" s="48">
        <f t="shared" si="242"/>
        <v>0</v>
      </c>
      <c r="CF70" s="48">
        <f t="shared" si="243"/>
        <v>0</v>
      </c>
      <c r="CG70" s="48">
        <f t="shared" si="244"/>
        <v>0</v>
      </c>
      <c r="CH70" s="48">
        <f t="shared" si="245"/>
        <v>0</v>
      </c>
      <c r="CI70" s="48">
        <f t="shared" si="246"/>
        <v>0</v>
      </c>
      <c r="CJ70" s="48">
        <f t="shared" si="247"/>
        <v>0</v>
      </c>
      <c r="CK70" s="48">
        <f t="shared" si="248"/>
        <v>0</v>
      </c>
      <c r="CL70" s="48">
        <f t="shared" si="249"/>
        <v>0</v>
      </c>
      <c r="CM70" s="48">
        <f t="shared" si="250"/>
        <v>0</v>
      </c>
      <c r="CN70" s="48">
        <f t="shared" si="251"/>
        <v>0</v>
      </c>
      <c r="CO70" s="48">
        <f t="shared" si="252"/>
        <v>0</v>
      </c>
      <c r="CP70" s="48">
        <f t="shared" si="253"/>
        <v>0</v>
      </c>
      <c r="CQ70" s="48">
        <f t="shared" si="254"/>
        <v>0</v>
      </c>
      <c r="CR70" s="48">
        <f t="shared" si="255"/>
        <v>0</v>
      </c>
      <c r="CS70" s="48">
        <f t="shared" si="256"/>
        <v>0</v>
      </c>
      <c r="CT70" s="48">
        <f t="shared" si="257"/>
        <v>0</v>
      </c>
      <c r="CU70" s="48">
        <f t="shared" si="258"/>
        <v>0</v>
      </c>
      <c r="CV70" s="48">
        <f t="shared" si="259"/>
        <v>0</v>
      </c>
      <c r="CW70" s="48">
        <f t="shared" si="260"/>
        <v>0</v>
      </c>
      <c r="CX70" s="48">
        <f t="shared" si="261"/>
        <v>0</v>
      </c>
      <c r="CY70" s="48">
        <f t="shared" si="262"/>
        <v>0</v>
      </c>
      <c r="CZ70" s="48">
        <f t="shared" si="263"/>
        <v>0</v>
      </c>
      <c r="DA70" s="48">
        <f t="shared" si="264"/>
        <v>0</v>
      </c>
      <c r="DB70" s="48">
        <f t="shared" si="265"/>
        <v>0</v>
      </c>
      <c r="DC70" s="48">
        <f t="shared" si="266"/>
        <v>0</v>
      </c>
      <c r="DD70" s="48">
        <f t="shared" si="267"/>
        <v>0</v>
      </c>
      <c r="DE70" s="48">
        <f t="shared" si="268"/>
        <v>0</v>
      </c>
      <c r="DF70" s="48">
        <f t="shared" si="269"/>
        <v>0</v>
      </c>
      <c r="DG70" s="48">
        <f t="shared" si="270"/>
        <v>0</v>
      </c>
      <c r="DH70" s="48">
        <f t="shared" si="271"/>
        <v>0</v>
      </c>
      <c r="DI70" s="48">
        <f t="shared" si="272"/>
        <v>0</v>
      </c>
      <c r="DJ70" s="48">
        <f t="shared" si="273"/>
        <v>0</v>
      </c>
      <c r="DK70" s="48">
        <f t="shared" si="274"/>
        <v>0</v>
      </c>
      <c r="DL70" s="48">
        <f t="shared" si="275"/>
        <v>0</v>
      </c>
      <c r="DM70" s="48">
        <f t="shared" si="276"/>
        <v>0</v>
      </c>
      <c r="DN70" s="48">
        <f t="shared" si="277"/>
        <v>0</v>
      </c>
      <c r="DO70" s="48">
        <f t="shared" si="278"/>
        <v>0</v>
      </c>
      <c r="DP70" s="48">
        <f t="shared" si="279"/>
        <v>0</v>
      </c>
      <c r="DQ70" s="48">
        <f t="shared" si="280"/>
        <v>0</v>
      </c>
      <c r="DR70" s="48">
        <f t="shared" si="281"/>
        <v>0</v>
      </c>
      <c r="DS70" s="48">
        <f t="shared" si="282"/>
        <v>0</v>
      </c>
      <c r="DT70" s="48">
        <f t="shared" si="283"/>
        <v>0</v>
      </c>
      <c r="DU70" s="48">
        <f t="shared" si="284"/>
        <v>0</v>
      </c>
      <c r="DV70" s="48">
        <f t="shared" si="285"/>
        <v>0</v>
      </c>
      <c r="DW70" s="48">
        <f t="shared" si="286"/>
        <v>0</v>
      </c>
      <c r="DX70" s="48">
        <f t="shared" si="287"/>
        <v>0</v>
      </c>
      <c r="DY70" s="48">
        <f t="shared" si="288"/>
        <v>0</v>
      </c>
      <c r="DZ70" s="48">
        <f t="shared" si="289"/>
        <v>0</v>
      </c>
      <c r="EA70" s="48">
        <f t="shared" si="290"/>
        <v>0</v>
      </c>
      <c r="EB70" s="48">
        <f t="shared" si="291"/>
        <v>0</v>
      </c>
      <c r="EC70" s="48">
        <f t="shared" si="292"/>
        <v>0</v>
      </c>
      <c r="ED70" s="48">
        <f t="shared" si="293"/>
        <v>0</v>
      </c>
      <c r="EE70" s="48">
        <f t="shared" si="294"/>
        <v>0</v>
      </c>
      <c r="EF70" s="48">
        <f t="shared" si="295"/>
        <v>0</v>
      </c>
      <c r="EG70" s="48">
        <f t="shared" si="296"/>
        <v>0</v>
      </c>
      <c r="EH70" s="48">
        <f t="shared" si="297"/>
        <v>0</v>
      </c>
      <c r="EI70" s="48">
        <f t="shared" si="298"/>
        <v>0</v>
      </c>
      <c r="EJ70" s="48">
        <f t="shared" si="299"/>
        <v>0</v>
      </c>
      <c r="EK70" s="48">
        <f t="shared" si="300"/>
        <v>0</v>
      </c>
      <c r="EL70" s="48">
        <f t="shared" si="301"/>
        <v>0</v>
      </c>
      <c r="EM70" s="48">
        <f t="shared" si="302"/>
        <v>0</v>
      </c>
      <c r="EN70" s="48">
        <f t="shared" si="303"/>
        <v>0</v>
      </c>
      <c r="EO70" s="48">
        <f t="shared" si="304"/>
        <v>0</v>
      </c>
      <c r="EP70" s="48">
        <f t="shared" si="305"/>
        <v>0</v>
      </c>
      <c r="EQ70" s="48">
        <f t="shared" si="306"/>
        <v>0</v>
      </c>
      <c r="ER70" s="48">
        <f t="shared" si="307"/>
        <v>0</v>
      </c>
      <c r="ES70" s="48">
        <f t="shared" si="308"/>
        <v>0</v>
      </c>
      <c r="ET70" s="48">
        <f t="shared" si="309"/>
        <v>0</v>
      </c>
      <c r="EU70" s="48">
        <f t="shared" si="310"/>
        <v>0</v>
      </c>
      <c r="EV70" s="48">
        <f t="shared" si="311"/>
        <v>0</v>
      </c>
      <c r="EW70" s="48">
        <f t="shared" si="312"/>
        <v>0</v>
      </c>
      <c r="EX70" s="48">
        <f t="shared" si="313"/>
        <v>0</v>
      </c>
      <c r="EY70" s="48">
        <f t="shared" si="314"/>
        <v>0</v>
      </c>
      <c r="EZ70" s="48">
        <f t="shared" si="315"/>
        <v>0</v>
      </c>
      <c r="FA70" s="48">
        <f t="shared" si="316"/>
        <v>0</v>
      </c>
      <c r="FB70" s="48">
        <f t="shared" si="317"/>
        <v>0</v>
      </c>
      <c r="FC70" s="48">
        <f t="shared" si="318"/>
        <v>0</v>
      </c>
      <c r="FD70" s="48">
        <f t="shared" si="319"/>
        <v>0</v>
      </c>
      <c r="FE70" s="48">
        <f t="shared" si="320"/>
        <v>0</v>
      </c>
      <c r="FF70" s="48">
        <f t="shared" si="321"/>
        <v>0</v>
      </c>
      <c r="FG70" s="48">
        <f t="shared" si="322"/>
        <v>0</v>
      </c>
      <c r="FH70" s="48">
        <f t="shared" si="323"/>
        <v>0</v>
      </c>
      <c r="FI70" s="48">
        <f t="shared" si="324"/>
        <v>0</v>
      </c>
      <c r="FJ70" s="48">
        <f t="shared" si="325"/>
        <v>0</v>
      </c>
      <c r="FK70" s="48">
        <f t="shared" si="326"/>
        <v>0</v>
      </c>
      <c r="FL70" s="48">
        <f t="shared" si="327"/>
        <v>0</v>
      </c>
      <c r="FM70" s="48">
        <f t="shared" si="328"/>
        <v>0</v>
      </c>
      <c r="FN70" s="48">
        <f t="shared" si="329"/>
        <v>0</v>
      </c>
      <c r="FO70" s="48">
        <f t="shared" si="330"/>
        <v>0</v>
      </c>
      <c r="FP70" s="48">
        <f t="shared" si="331"/>
        <v>0</v>
      </c>
      <c r="FQ70" s="48">
        <f t="shared" si="332"/>
        <v>0</v>
      </c>
      <c r="FR70" s="48">
        <f t="shared" si="333"/>
        <v>0</v>
      </c>
      <c r="FS70" s="48">
        <f t="shared" si="334"/>
        <v>0</v>
      </c>
      <c r="FT70" s="48">
        <f t="shared" si="335"/>
        <v>0</v>
      </c>
      <c r="FU70" s="48">
        <f t="shared" si="336"/>
        <v>0</v>
      </c>
      <c r="FV70" s="48">
        <f t="shared" si="337"/>
        <v>0</v>
      </c>
      <c r="FW70" s="48">
        <f t="shared" si="338"/>
        <v>0</v>
      </c>
      <c r="FX70" s="48">
        <f t="shared" si="339"/>
        <v>0</v>
      </c>
      <c r="FY70" s="48">
        <f t="shared" si="340"/>
        <v>0</v>
      </c>
      <c r="FZ70" s="48">
        <f t="shared" si="341"/>
        <v>0</v>
      </c>
      <c r="GA70" s="48">
        <f t="shared" si="342"/>
        <v>0</v>
      </c>
      <c r="GB70" s="48">
        <f t="shared" si="343"/>
        <v>0</v>
      </c>
      <c r="GC70" s="48">
        <f t="shared" si="344"/>
        <v>0</v>
      </c>
      <c r="GD70" s="48">
        <f t="shared" si="345"/>
        <v>0</v>
      </c>
      <c r="GE70" s="48">
        <f t="shared" si="346"/>
        <v>0</v>
      </c>
      <c r="GF70" s="48">
        <f t="shared" si="347"/>
        <v>0</v>
      </c>
      <c r="GG70" s="48">
        <f t="shared" si="348"/>
        <v>0</v>
      </c>
      <c r="GH70" s="48">
        <f t="shared" si="349"/>
        <v>0</v>
      </c>
      <c r="GI70" s="48">
        <f t="shared" si="350"/>
        <v>0</v>
      </c>
      <c r="GJ70" s="48">
        <f t="shared" si="351"/>
        <v>0</v>
      </c>
      <c r="GK70" s="48">
        <f t="shared" si="352"/>
        <v>0</v>
      </c>
      <c r="GL70" s="48">
        <f t="shared" si="353"/>
        <v>0</v>
      </c>
      <c r="GM70" s="48">
        <f t="shared" si="354"/>
        <v>0</v>
      </c>
      <c r="GN70" s="48">
        <f t="shared" si="355"/>
        <v>0</v>
      </c>
      <c r="GO70" s="48">
        <f t="shared" si="356"/>
        <v>0</v>
      </c>
      <c r="GP70" s="48">
        <f t="shared" si="357"/>
        <v>0.44972067039106145</v>
      </c>
      <c r="GQ70" s="48">
        <f t="shared" si="358"/>
        <v>0.55027932960893855</v>
      </c>
      <c r="GR70" s="48">
        <f t="shared" si="359"/>
        <v>0.50183259742898612</v>
      </c>
      <c r="GS70" s="48">
        <f t="shared" si="360"/>
        <v>0.49816740257101388</v>
      </c>
      <c r="GT70" s="48">
        <f t="shared" si="361"/>
        <v>0.45677259009408838</v>
      </c>
      <c r="GU70" s="48">
        <f t="shared" si="362"/>
        <v>0.54322740990591156</v>
      </c>
      <c r="GV70" s="48">
        <f t="shared" si="363"/>
        <v>0.42390601422720414</v>
      </c>
      <c r="GW70" s="48">
        <f t="shared" si="364"/>
        <v>0.57609398577279591</v>
      </c>
      <c r="GX70" s="48">
        <f t="shared" si="365"/>
        <v>0.41481485839278837</v>
      </c>
      <c r="GY70" s="48">
        <f t="shared" si="366"/>
        <v>0.58518514160721169</v>
      </c>
      <c r="GZ70" s="48">
        <f t="shared" si="367"/>
        <v>0.38102143757881463</v>
      </c>
      <c r="HA70" s="48">
        <f t="shared" si="368"/>
        <v>0.61897856242118532</v>
      </c>
      <c r="HB70" s="48">
        <f t="shared" si="369"/>
        <v>0.3655119152691968</v>
      </c>
      <c r="HC70" s="48">
        <f t="shared" si="370"/>
        <v>0.6344880847308032</v>
      </c>
      <c r="HD70" s="48">
        <f t="shared" si="371"/>
        <v>0.33977877924684857</v>
      </c>
      <c r="HE70" s="48">
        <f t="shared" si="372"/>
        <v>0.66022122075315159</v>
      </c>
      <c r="HF70" s="48">
        <f t="shared" si="373"/>
        <v>0.3377676619307699</v>
      </c>
      <c r="HG70" s="48">
        <f t="shared" si="374"/>
        <v>0.66223233806923021</v>
      </c>
      <c r="HH70" s="48">
        <f t="shared" si="375"/>
        <v>0.34438188253945251</v>
      </c>
      <c r="HI70" s="48">
        <f t="shared" si="376"/>
        <v>0.65561811746054754</v>
      </c>
      <c r="HJ70" s="48">
        <f t="shared" si="377"/>
        <v>0.35746685615737994</v>
      </c>
      <c r="HK70" s="48">
        <f t="shared" si="378"/>
        <v>0.64253314384262006</v>
      </c>
      <c r="HL70" s="48">
        <f t="shared" si="379"/>
        <v>0.33416494285384751</v>
      </c>
      <c r="HM70" s="48">
        <f t="shared" si="380"/>
        <v>0.66583505714615243</v>
      </c>
      <c r="HN70" s="48">
        <f t="shared" si="382"/>
        <v>0.3301782912936444</v>
      </c>
      <c r="HO70" s="48">
        <f t="shared" si="381"/>
        <v>0.6698217087063556</v>
      </c>
    </row>
    <row r="71" spans="1:223" s="12" customFormat="1" ht="14.55" customHeight="1" thickBot="1" x14ac:dyDescent="0.35">
      <c r="A71" s="14" t="s">
        <v>447</v>
      </c>
      <c r="B71" s="49">
        <f t="shared" si="161"/>
        <v>0</v>
      </c>
      <c r="C71" s="49">
        <f t="shared" si="162"/>
        <v>0</v>
      </c>
      <c r="D71" s="49">
        <f t="shared" si="163"/>
        <v>0</v>
      </c>
      <c r="E71" s="49">
        <f t="shared" si="164"/>
        <v>0</v>
      </c>
      <c r="F71" s="49"/>
      <c r="G71" s="49">
        <v>0</v>
      </c>
      <c r="H71" s="49">
        <v>0</v>
      </c>
      <c r="I71" s="49">
        <v>0</v>
      </c>
      <c r="J71" s="49">
        <v>0</v>
      </c>
      <c r="K71" s="49"/>
      <c r="L71" s="49">
        <v>0</v>
      </c>
      <c r="M71" s="49">
        <v>0</v>
      </c>
      <c r="N71" s="49">
        <v>0</v>
      </c>
      <c r="O71" s="49">
        <f t="shared" si="174"/>
        <v>0</v>
      </c>
      <c r="P71" s="49">
        <f t="shared" si="175"/>
        <v>0</v>
      </c>
      <c r="Q71" s="49">
        <f t="shared" si="176"/>
        <v>0</v>
      </c>
      <c r="R71" s="49">
        <f t="shared" si="177"/>
        <v>0</v>
      </c>
      <c r="S71" s="49">
        <f t="shared" si="178"/>
        <v>0</v>
      </c>
      <c r="T71" s="49">
        <f t="shared" si="179"/>
        <v>0</v>
      </c>
      <c r="U71" s="49">
        <f t="shared" si="180"/>
        <v>0</v>
      </c>
      <c r="V71" s="49">
        <f t="shared" si="181"/>
        <v>0</v>
      </c>
      <c r="W71" s="49">
        <f t="shared" si="182"/>
        <v>0</v>
      </c>
      <c r="X71" s="49">
        <f t="shared" si="183"/>
        <v>0</v>
      </c>
      <c r="Y71" s="49">
        <f t="shared" si="184"/>
        <v>0</v>
      </c>
      <c r="Z71" s="49">
        <f t="shared" si="185"/>
        <v>0</v>
      </c>
      <c r="AA71" s="49">
        <f t="shared" si="186"/>
        <v>0</v>
      </c>
      <c r="AB71" s="49">
        <f t="shared" si="187"/>
        <v>0</v>
      </c>
      <c r="AC71" s="49">
        <f t="shared" si="188"/>
        <v>0</v>
      </c>
      <c r="AD71" s="49">
        <f t="shared" si="189"/>
        <v>0</v>
      </c>
      <c r="AE71" s="49">
        <f t="shared" si="190"/>
        <v>0</v>
      </c>
      <c r="AF71" s="49">
        <f t="shared" si="191"/>
        <v>0</v>
      </c>
      <c r="AG71" s="49">
        <f t="shared" si="192"/>
        <v>0</v>
      </c>
      <c r="AH71" s="49">
        <f t="shared" si="193"/>
        <v>0</v>
      </c>
      <c r="AI71" s="49">
        <f t="shared" si="194"/>
        <v>0</v>
      </c>
      <c r="AJ71" s="49">
        <f t="shared" si="195"/>
        <v>0</v>
      </c>
      <c r="AK71" s="49">
        <f t="shared" si="196"/>
        <v>0</v>
      </c>
      <c r="AL71" s="49">
        <f t="shared" si="197"/>
        <v>0</v>
      </c>
      <c r="AM71" s="49">
        <f t="shared" si="198"/>
        <v>0</v>
      </c>
      <c r="AN71" s="49">
        <f t="shared" si="199"/>
        <v>0</v>
      </c>
      <c r="AO71" s="49">
        <f t="shared" si="200"/>
        <v>0</v>
      </c>
      <c r="AP71" s="49">
        <f t="shared" si="201"/>
        <v>0</v>
      </c>
      <c r="AQ71" s="49">
        <f t="shared" si="202"/>
        <v>0</v>
      </c>
      <c r="AR71" s="49">
        <f t="shared" si="203"/>
        <v>0</v>
      </c>
      <c r="AS71" s="49">
        <f t="shared" si="204"/>
        <v>0</v>
      </c>
      <c r="AT71" s="49">
        <f t="shared" si="205"/>
        <v>0</v>
      </c>
      <c r="AU71" s="49">
        <f t="shared" si="206"/>
        <v>0</v>
      </c>
      <c r="AV71" s="49">
        <f t="shared" si="207"/>
        <v>0</v>
      </c>
      <c r="AW71" s="49">
        <f t="shared" si="208"/>
        <v>0</v>
      </c>
      <c r="AX71" s="49">
        <f t="shared" si="209"/>
        <v>0</v>
      </c>
      <c r="AY71" s="49">
        <f t="shared" si="210"/>
        <v>0</v>
      </c>
      <c r="AZ71" s="49">
        <f t="shared" si="211"/>
        <v>0</v>
      </c>
      <c r="BA71" s="49">
        <f t="shared" si="212"/>
        <v>0</v>
      </c>
      <c r="BB71" s="49">
        <f t="shared" si="213"/>
        <v>0</v>
      </c>
      <c r="BC71" s="49">
        <f t="shared" si="214"/>
        <v>0</v>
      </c>
      <c r="BD71" s="49">
        <f t="shared" si="215"/>
        <v>0</v>
      </c>
      <c r="BE71" s="49">
        <f t="shared" si="216"/>
        <v>0</v>
      </c>
      <c r="BF71" s="49">
        <f t="shared" si="217"/>
        <v>0</v>
      </c>
      <c r="BG71" s="49">
        <f t="shared" si="218"/>
        <v>0</v>
      </c>
      <c r="BH71" s="49">
        <f t="shared" si="219"/>
        <v>0</v>
      </c>
      <c r="BI71" s="49">
        <f t="shared" si="220"/>
        <v>0</v>
      </c>
      <c r="BJ71" s="49">
        <f t="shared" si="221"/>
        <v>0</v>
      </c>
      <c r="BK71" s="49">
        <f t="shared" si="222"/>
        <v>0</v>
      </c>
      <c r="BL71" s="49">
        <f t="shared" si="223"/>
        <v>0</v>
      </c>
      <c r="BM71" s="49">
        <f t="shared" si="224"/>
        <v>0</v>
      </c>
      <c r="BN71" s="49">
        <f t="shared" si="225"/>
        <v>0</v>
      </c>
      <c r="BO71" s="49">
        <f t="shared" si="226"/>
        <v>0</v>
      </c>
      <c r="BP71" s="49">
        <f t="shared" si="227"/>
        <v>0</v>
      </c>
      <c r="BQ71" s="49">
        <f t="shared" si="228"/>
        <v>0</v>
      </c>
      <c r="BR71" s="49">
        <f t="shared" si="229"/>
        <v>0</v>
      </c>
      <c r="BS71" s="49">
        <f t="shared" si="230"/>
        <v>0</v>
      </c>
      <c r="BT71" s="49">
        <f t="shared" si="231"/>
        <v>0</v>
      </c>
      <c r="BU71" s="49">
        <f t="shared" si="232"/>
        <v>0</v>
      </c>
      <c r="BV71" s="49">
        <f t="shared" si="233"/>
        <v>0</v>
      </c>
      <c r="BW71" s="49">
        <f t="shared" si="234"/>
        <v>0</v>
      </c>
      <c r="BX71" s="49">
        <f t="shared" si="235"/>
        <v>0</v>
      </c>
      <c r="BY71" s="49">
        <f t="shared" si="236"/>
        <v>0</v>
      </c>
      <c r="BZ71" s="49">
        <f t="shared" si="237"/>
        <v>0</v>
      </c>
      <c r="CA71" s="49">
        <f t="shared" si="238"/>
        <v>0</v>
      </c>
      <c r="CB71" s="49">
        <f t="shared" si="239"/>
        <v>0</v>
      </c>
      <c r="CC71" s="49">
        <f t="shared" si="240"/>
        <v>0</v>
      </c>
      <c r="CD71" s="49">
        <f t="shared" si="241"/>
        <v>0</v>
      </c>
      <c r="CE71" s="49">
        <f t="shared" si="242"/>
        <v>0</v>
      </c>
      <c r="CF71" s="49">
        <f t="shared" si="243"/>
        <v>0</v>
      </c>
      <c r="CG71" s="49">
        <f t="shared" si="244"/>
        <v>0</v>
      </c>
      <c r="CH71" s="49">
        <f t="shared" si="245"/>
        <v>0</v>
      </c>
      <c r="CI71" s="49">
        <f t="shared" si="246"/>
        <v>0</v>
      </c>
      <c r="CJ71" s="49">
        <f t="shared" si="247"/>
        <v>0</v>
      </c>
      <c r="CK71" s="49">
        <f t="shared" si="248"/>
        <v>0</v>
      </c>
      <c r="CL71" s="49">
        <f t="shared" si="249"/>
        <v>0</v>
      </c>
      <c r="CM71" s="49">
        <f t="shared" si="250"/>
        <v>0</v>
      </c>
      <c r="CN71" s="49">
        <f t="shared" si="251"/>
        <v>0</v>
      </c>
      <c r="CO71" s="49">
        <f t="shared" si="252"/>
        <v>0</v>
      </c>
      <c r="CP71" s="49">
        <f t="shared" si="253"/>
        <v>0</v>
      </c>
      <c r="CQ71" s="49">
        <f t="shared" si="254"/>
        <v>0</v>
      </c>
      <c r="CR71" s="49">
        <f t="shared" si="255"/>
        <v>0</v>
      </c>
      <c r="CS71" s="49">
        <f t="shared" si="256"/>
        <v>0</v>
      </c>
      <c r="CT71" s="49">
        <f t="shared" si="257"/>
        <v>0</v>
      </c>
      <c r="CU71" s="49">
        <f t="shared" si="258"/>
        <v>0</v>
      </c>
      <c r="CV71" s="49">
        <f t="shared" si="259"/>
        <v>0</v>
      </c>
      <c r="CW71" s="49">
        <f t="shared" si="260"/>
        <v>0</v>
      </c>
      <c r="CX71" s="49">
        <f t="shared" si="261"/>
        <v>0</v>
      </c>
      <c r="CY71" s="49">
        <f t="shared" si="262"/>
        <v>0</v>
      </c>
      <c r="CZ71" s="49">
        <f t="shared" si="263"/>
        <v>0</v>
      </c>
      <c r="DA71" s="49">
        <f t="shared" si="264"/>
        <v>0</v>
      </c>
      <c r="DB71" s="49">
        <f t="shared" si="265"/>
        <v>0</v>
      </c>
      <c r="DC71" s="49">
        <f t="shared" si="266"/>
        <v>0</v>
      </c>
      <c r="DD71" s="49">
        <f t="shared" si="267"/>
        <v>0</v>
      </c>
      <c r="DE71" s="49">
        <f t="shared" si="268"/>
        <v>0</v>
      </c>
      <c r="DF71" s="49">
        <f t="shared" si="269"/>
        <v>0</v>
      </c>
      <c r="DG71" s="49">
        <f t="shared" si="270"/>
        <v>0</v>
      </c>
      <c r="DH71" s="49">
        <f t="shared" si="271"/>
        <v>0</v>
      </c>
      <c r="DI71" s="49">
        <f t="shared" si="272"/>
        <v>0</v>
      </c>
      <c r="DJ71" s="49">
        <f t="shared" si="273"/>
        <v>0</v>
      </c>
      <c r="DK71" s="49">
        <f t="shared" si="274"/>
        <v>0</v>
      </c>
      <c r="DL71" s="49">
        <f t="shared" si="275"/>
        <v>0</v>
      </c>
      <c r="DM71" s="49">
        <f t="shared" si="276"/>
        <v>0</v>
      </c>
      <c r="DN71" s="49">
        <f t="shared" si="277"/>
        <v>0</v>
      </c>
      <c r="DO71" s="49">
        <f t="shared" si="278"/>
        <v>0</v>
      </c>
      <c r="DP71" s="49">
        <f t="shared" si="279"/>
        <v>0</v>
      </c>
      <c r="DQ71" s="49">
        <f t="shared" si="280"/>
        <v>0</v>
      </c>
      <c r="DR71" s="49">
        <f t="shared" si="281"/>
        <v>0</v>
      </c>
      <c r="DS71" s="49">
        <f t="shared" si="282"/>
        <v>0</v>
      </c>
      <c r="DT71" s="49">
        <f t="shared" si="283"/>
        <v>0</v>
      </c>
      <c r="DU71" s="49">
        <f t="shared" si="284"/>
        <v>0</v>
      </c>
      <c r="DV71" s="49">
        <f t="shared" si="285"/>
        <v>0</v>
      </c>
      <c r="DW71" s="49">
        <f t="shared" si="286"/>
        <v>0</v>
      </c>
      <c r="DX71" s="49">
        <f t="shared" si="287"/>
        <v>0</v>
      </c>
      <c r="DY71" s="49">
        <f t="shared" si="288"/>
        <v>0</v>
      </c>
      <c r="DZ71" s="49">
        <f t="shared" si="289"/>
        <v>0</v>
      </c>
      <c r="EA71" s="49">
        <f t="shared" si="290"/>
        <v>0</v>
      </c>
      <c r="EB71" s="49">
        <f t="shared" si="291"/>
        <v>0</v>
      </c>
      <c r="EC71" s="49">
        <f t="shared" si="292"/>
        <v>0</v>
      </c>
      <c r="ED71" s="49">
        <f t="shared" si="293"/>
        <v>0</v>
      </c>
      <c r="EE71" s="49">
        <f t="shared" si="294"/>
        <v>0</v>
      </c>
      <c r="EF71" s="49">
        <f t="shared" si="295"/>
        <v>0</v>
      </c>
      <c r="EG71" s="49">
        <f t="shared" si="296"/>
        <v>0</v>
      </c>
      <c r="EH71" s="49">
        <f t="shared" si="297"/>
        <v>0</v>
      </c>
      <c r="EI71" s="49">
        <f t="shared" si="298"/>
        <v>0</v>
      </c>
      <c r="EJ71" s="49">
        <f t="shared" si="299"/>
        <v>0</v>
      </c>
      <c r="EK71" s="49">
        <f t="shared" si="300"/>
        <v>0</v>
      </c>
      <c r="EL71" s="49">
        <f t="shared" si="301"/>
        <v>0</v>
      </c>
      <c r="EM71" s="49">
        <f t="shared" si="302"/>
        <v>0</v>
      </c>
      <c r="EN71" s="49">
        <f t="shared" si="303"/>
        <v>0</v>
      </c>
      <c r="EO71" s="49">
        <f t="shared" si="304"/>
        <v>0</v>
      </c>
      <c r="EP71" s="49">
        <f t="shared" si="305"/>
        <v>0</v>
      </c>
      <c r="EQ71" s="49">
        <f t="shared" si="306"/>
        <v>0</v>
      </c>
      <c r="ER71" s="49">
        <f t="shared" si="307"/>
        <v>0</v>
      </c>
      <c r="ES71" s="49">
        <f t="shared" si="308"/>
        <v>0</v>
      </c>
      <c r="ET71" s="49">
        <f t="shared" si="309"/>
        <v>0</v>
      </c>
      <c r="EU71" s="49">
        <f t="shared" si="310"/>
        <v>0</v>
      </c>
      <c r="EV71" s="49">
        <f t="shared" si="311"/>
        <v>0</v>
      </c>
      <c r="EW71" s="49">
        <f t="shared" si="312"/>
        <v>0</v>
      </c>
      <c r="EX71" s="49">
        <f t="shared" si="313"/>
        <v>0</v>
      </c>
      <c r="EY71" s="49">
        <f t="shared" si="314"/>
        <v>0</v>
      </c>
      <c r="EZ71" s="49">
        <f t="shared" si="315"/>
        <v>0</v>
      </c>
      <c r="FA71" s="49">
        <f t="shared" si="316"/>
        <v>0</v>
      </c>
      <c r="FB71" s="49">
        <f t="shared" si="317"/>
        <v>0</v>
      </c>
      <c r="FC71" s="49">
        <f t="shared" si="318"/>
        <v>0</v>
      </c>
      <c r="FD71" s="49">
        <f t="shared" si="319"/>
        <v>0</v>
      </c>
      <c r="FE71" s="49">
        <f t="shared" si="320"/>
        <v>0</v>
      </c>
      <c r="FF71" s="49">
        <f t="shared" si="321"/>
        <v>0</v>
      </c>
      <c r="FG71" s="49">
        <f t="shared" si="322"/>
        <v>0</v>
      </c>
      <c r="FH71" s="49">
        <f t="shared" si="323"/>
        <v>0</v>
      </c>
      <c r="FI71" s="49">
        <f t="shared" si="324"/>
        <v>0</v>
      </c>
      <c r="FJ71" s="49">
        <f t="shared" si="325"/>
        <v>0</v>
      </c>
      <c r="FK71" s="49">
        <f t="shared" si="326"/>
        <v>0</v>
      </c>
      <c r="FL71" s="49">
        <f t="shared" si="327"/>
        <v>0</v>
      </c>
      <c r="FM71" s="49">
        <f t="shared" si="328"/>
        <v>0</v>
      </c>
      <c r="FN71" s="49">
        <f t="shared" si="329"/>
        <v>0</v>
      </c>
      <c r="FO71" s="49">
        <f t="shared" si="330"/>
        <v>0</v>
      </c>
      <c r="FP71" s="49">
        <f t="shared" si="331"/>
        <v>0</v>
      </c>
      <c r="FQ71" s="49">
        <f t="shared" si="332"/>
        <v>0</v>
      </c>
      <c r="FR71" s="49">
        <f t="shared" si="333"/>
        <v>0</v>
      </c>
      <c r="FS71" s="49">
        <f t="shared" si="334"/>
        <v>0</v>
      </c>
      <c r="FT71" s="49">
        <f t="shared" si="335"/>
        <v>0</v>
      </c>
      <c r="FU71" s="49">
        <f t="shared" si="336"/>
        <v>0</v>
      </c>
      <c r="FV71" s="49">
        <f t="shared" si="337"/>
        <v>0</v>
      </c>
      <c r="FW71" s="49">
        <f t="shared" si="338"/>
        <v>0</v>
      </c>
      <c r="FX71" s="49">
        <f t="shared" si="339"/>
        <v>0</v>
      </c>
      <c r="FY71" s="49">
        <f t="shared" si="340"/>
        <v>0</v>
      </c>
      <c r="FZ71" s="49">
        <f t="shared" si="341"/>
        <v>0</v>
      </c>
      <c r="GA71" s="49">
        <f t="shared" si="342"/>
        <v>0</v>
      </c>
      <c r="GB71" s="49">
        <f t="shared" si="343"/>
        <v>0</v>
      </c>
      <c r="GC71" s="49">
        <f t="shared" si="344"/>
        <v>0</v>
      </c>
      <c r="GD71" s="49">
        <f t="shared" si="345"/>
        <v>0</v>
      </c>
      <c r="GE71" s="49">
        <f t="shared" si="346"/>
        <v>0</v>
      </c>
      <c r="GF71" s="49">
        <f t="shared" si="347"/>
        <v>0</v>
      </c>
      <c r="GG71" s="49">
        <f t="shared" si="348"/>
        <v>0</v>
      </c>
      <c r="GH71" s="49">
        <f t="shared" si="349"/>
        <v>0</v>
      </c>
      <c r="GI71" s="49">
        <f t="shared" si="350"/>
        <v>0</v>
      </c>
      <c r="GJ71" s="49">
        <f t="shared" si="351"/>
        <v>0</v>
      </c>
      <c r="GK71" s="49">
        <f t="shared" si="352"/>
        <v>0</v>
      </c>
      <c r="GL71" s="49">
        <f t="shared" si="353"/>
        <v>0</v>
      </c>
      <c r="GM71" s="49">
        <f t="shared" si="354"/>
        <v>0</v>
      </c>
      <c r="GN71" s="49">
        <f t="shared" si="355"/>
        <v>0</v>
      </c>
      <c r="GO71" s="49">
        <f t="shared" si="356"/>
        <v>0</v>
      </c>
      <c r="GP71" s="49">
        <f t="shared" si="357"/>
        <v>0</v>
      </c>
      <c r="GQ71" s="49">
        <f t="shared" si="358"/>
        <v>0</v>
      </c>
      <c r="GR71" s="49">
        <f t="shared" si="359"/>
        <v>0.20327578950092853</v>
      </c>
      <c r="GS71" s="49">
        <f t="shared" si="360"/>
        <v>0.79672421049907138</v>
      </c>
      <c r="GT71" s="49">
        <f t="shared" si="361"/>
        <v>0.20218677182290734</v>
      </c>
      <c r="GU71" s="49">
        <f t="shared" si="362"/>
        <v>0.79781322817709266</v>
      </c>
      <c r="GV71" s="49">
        <f t="shared" si="363"/>
        <v>0.1744998794890335</v>
      </c>
      <c r="GW71" s="49">
        <f t="shared" si="364"/>
        <v>0.82550012051096655</v>
      </c>
      <c r="GX71" s="49">
        <f t="shared" si="365"/>
        <v>0.19250311488007329</v>
      </c>
      <c r="GY71" s="49">
        <f t="shared" si="366"/>
        <v>0.80749688511992668</v>
      </c>
      <c r="GZ71" s="49">
        <f t="shared" si="367"/>
        <v>0.1845260826395784</v>
      </c>
      <c r="HA71" s="49">
        <f t="shared" si="368"/>
        <v>0.81547391736042163</v>
      </c>
      <c r="HB71" s="49">
        <f t="shared" si="369"/>
        <v>0.19615255376344087</v>
      </c>
      <c r="HC71" s="49">
        <f t="shared" si="370"/>
        <v>0.80384744623655913</v>
      </c>
      <c r="HD71" s="49">
        <f t="shared" si="371"/>
        <v>0.17161377794103425</v>
      </c>
      <c r="HE71" s="49">
        <f t="shared" si="372"/>
        <v>0.82838622205896584</v>
      </c>
      <c r="HF71" s="49">
        <f t="shared" si="373"/>
        <v>0.18447673155449595</v>
      </c>
      <c r="HG71" s="49">
        <f t="shared" si="374"/>
        <v>0.81552326844550405</v>
      </c>
      <c r="HH71" s="49">
        <f t="shared" si="375"/>
        <v>0.18217155997841519</v>
      </c>
      <c r="HI71" s="49">
        <f t="shared" si="376"/>
        <v>0.81782844002158472</v>
      </c>
      <c r="HJ71" s="49">
        <f t="shared" si="377"/>
        <v>0.18843775351087663</v>
      </c>
      <c r="HK71" s="49">
        <f t="shared" si="378"/>
        <v>0.81156224648912334</v>
      </c>
      <c r="HL71" s="49">
        <f t="shared" si="379"/>
        <v>0.17393577389417647</v>
      </c>
      <c r="HM71" s="49">
        <f t="shared" si="380"/>
        <v>0.82606422610582364</v>
      </c>
      <c r="HN71" s="49">
        <f t="shared" si="382"/>
        <v>0.18706092076994027</v>
      </c>
      <c r="HO71" s="49">
        <f t="shared" si="381"/>
        <v>0.8129390792300597</v>
      </c>
    </row>
    <row r="72" spans="1:223" s="15" customFormat="1" ht="14.55" customHeight="1" thickTop="1" x14ac:dyDescent="0.3">
      <c r="A72" s="1" t="s">
        <v>469</v>
      </c>
      <c r="B72" s="50">
        <f t="shared" si="161"/>
        <v>0</v>
      </c>
      <c r="C72" s="50">
        <f t="shared" si="162"/>
        <v>0</v>
      </c>
      <c r="D72" s="50">
        <f t="shared" si="163"/>
        <v>0</v>
      </c>
      <c r="E72" s="50">
        <f t="shared" si="164"/>
        <v>0</v>
      </c>
      <c r="F72" s="50">
        <f>IFERROR((D53/D15),0)</f>
        <v>0</v>
      </c>
      <c r="G72" s="50">
        <f>IFERROR((D34/D15),0)</f>
        <v>0</v>
      </c>
      <c r="H72" s="50">
        <f>IFERROR((E53/E15),0)</f>
        <v>0</v>
      </c>
      <c r="I72" s="50">
        <f>IFERROR((E34/E15),0)</f>
        <v>0</v>
      </c>
      <c r="J72" s="50">
        <f>IFERROR((G53/G15),0)</f>
        <v>0</v>
      </c>
      <c r="K72" s="50">
        <f>IFERROR((G34/G15),0)</f>
        <v>0</v>
      </c>
      <c r="L72" s="50">
        <f>IFERROR((H53/H15),0)</f>
        <v>0</v>
      </c>
      <c r="M72" s="50">
        <f>IFERROR((H34/H15),0)</f>
        <v>0</v>
      </c>
      <c r="N72" s="50">
        <f>IFERROR((I53/I15),0)</f>
        <v>0</v>
      </c>
      <c r="O72" s="50">
        <f t="shared" si="174"/>
        <v>0</v>
      </c>
      <c r="P72" s="50">
        <f t="shared" si="175"/>
        <v>0</v>
      </c>
      <c r="Q72" s="50">
        <f t="shared" si="176"/>
        <v>0</v>
      </c>
      <c r="R72" s="50">
        <f t="shared" si="177"/>
        <v>0</v>
      </c>
      <c r="S72" s="50">
        <f t="shared" si="178"/>
        <v>0</v>
      </c>
      <c r="T72" s="50">
        <f t="shared" si="179"/>
        <v>0</v>
      </c>
      <c r="U72" s="50">
        <f t="shared" si="180"/>
        <v>0</v>
      </c>
      <c r="V72" s="50">
        <f t="shared" si="181"/>
        <v>0</v>
      </c>
      <c r="W72" s="50">
        <f t="shared" si="182"/>
        <v>0</v>
      </c>
      <c r="X72" s="50">
        <f t="shared" si="183"/>
        <v>0</v>
      </c>
      <c r="Y72" s="50">
        <f t="shared" si="184"/>
        <v>0</v>
      </c>
      <c r="Z72" s="50">
        <f t="shared" si="185"/>
        <v>0</v>
      </c>
      <c r="AA72" s="50">
        <f t="shared" si="186"/>
        <v>0</v>
      </c>
      <c r="AB72" s="50">
        <f t="shared" si="187"/>
        <v>0</v>
      </c>
      <c r="AC72" s="50">
        <f t="shared" si="188"/>
        <v>0</v>
      </c>
      <c r="AD72" s="50">
        <f t="shared" si="189"/>
        <v>0</v>
      </c>
      <c r="AE72" s="50">
        <f t="shared" si="190"/>
        <v>0</v>
      </c>
      <c r="AF72" s="50">
        <f t="shared" si="191"/>
        <v>0</v>
      </c>
      <c r="AG72" s="50">
        <f t="shared" si="192"/>
        <v>0</v>
      </c>
      <c r="AH72" s="50">
        <f t="shared" si="193"/>
        <v>0</v>
      </c>
      <c r="AI72" s="50">
        <f t="shared" si="194"/>
        <v>0</v>
      </c>
      <c r="AJ72" s="50">
        <f t="shared" si="195"/>
        <v>0</v>
      </c>
      <c r="AK72" s="50">
        <f t="shared" si="196"/>
        <v>0</v>
      </c>
      <c r="AL72" s="50">
        <f t="shared" si="197"/>
        <v>0</v>
      </c>
      <c r="AM72" s="50">
        <f t="shared" si="198"/>
        <v>0</v>
      </c>
      <c r="AN72" s="50">
        <f t="shared" si="199"/>
        <v>0</v>
      </c>
      <c r="AO72" s="50">
        <f t="shared" si="200"/>
        <v>0</v>
      </c>
      <c r="AP72" s="50">
        <f t="shared" si="201"/>
        <v>0</v>
      </c>
      <c r="AQ72" s="50">
        <f t="shared" si="202"/>
        <v>0</v>
      </c>
      <c r="AR72" s="50">
        <f t="shared" si="203"/>
        <v>0</v>
      </c>
      <c r="AS72" s="50">
        <f t="shared" si="204"/>
        <v>0</v>
      </c>
      <c r="AT72" s="50">
        <f t="shared" si="205"/>
        <v>0</v>
      </c>
      <c r="AU72" s="50">
        <f t="shared" si="206"/>
        <v>0</v>
      </c>
      <c r="AV72" s="50">
        <f t="shared" si="207"/>
        <v>0</v>
      </c>
      <c r="AW72" s="50">
        <f t="shared" si="208"/>
        <v>0</v>
      </c>
      <c r="AX72" s="50">
        <f t="shared" si="209"/>
        <v>0</v>
      </c>
      <c r="AY72" s="50">
        <f t="shared" si="210"/>
        <v>0</v>
      </c>
      <c r="AZ72" s="50">
        <f t="shared" si="211"/>
        <v>0</v>
      </c>
      <c r="BA72" s="50">
        <f t="shared" si="212"/>
        <v>0</v>
      </c>
      <c r="BB72" s="50">
        <f t="shared" si="213"/>
        <v>0</v>
      </c>
      <c r="BC72" s="50">
        <f t="shared" si="214"/>
        <v>0</v>
      </c>
      <c r="BD72" s="50">
        <f t="shared" si="215"/>
        <v>0</v>
      </c>
      <c r="BE72" s="50">
        <f t="shared" si="216"/>
        <v>0</v>
      </c>
      <c r="BF72" s="50">
        <f t="shared" si="217"/>
        <v>0</v>
      </c>
      <c r="BG72" s="50">
        <f t="shared" si="218"/>
        <v>0</v>
      </c>
      <c r="BH72" s="50">
        <f t="shared" si="219"/>
        <v>0</v>
      </c>
      <c r="BI72" s="50">
        <f t="shared" si="220"/>
        <v>0</v>
      </c>
      <c r="BJ72" s="50">
        <f t="shared" si="221"/>
        <v>0</v>
      </c>
      <c r="BK72" s="50">
        <f t="shared" si="222"/>
        <v>0</v>
      </c>
      <c r="BL72" s="50">
        <f t="shared" si="223"/>
        <v>0</v>
      </c>
      <c r="BM72" s="50">
        <f t="shared" si="224"/>
        <v>0</v>
      </c>
      <c r="BN72" s="50">
        <f t="shared" si="225"/>
        <v>0</v>
      </c>
      <c r="BO72" s="50">
        <f t="shared" si="226"/>
        <v>0</v>
      </c>
      <c r="BP72" s="50">
        <f t="shared" si="227"/>
        <v>0</v>
      </c>
      <c r="BQ72" s="50">
        <f t="shared" si="228"/>
        <v>0</v>
      </c>
      <c r="BR72" s="50">
        <f t="shared" si="229"/>
        <v>0</v>
      </c>
      <c r="BS72" s="50">
        <f t="shared" si="230"/>
        <v>0</v>
      </c>
      <c r="BT72" s="50">
        <f t="shared" si="231"/>
        <v>0</v>
      </c>
      <c r="BU72" s="50">
        <f t="shared" si="232"/>
        <v>0</v>
      </c>
      <c r="BV72" s="50">
        <f t="shared" si="233"/>
        <v>0</v>
      </c>
      <c r="BW72" s="50">
        <f t="shared" si="234"/>
        <v>0</v>
      </c>
      <c r="BX72" s="50">
        <f t="shared" si="235"/>
        <v>0</v>
      </c>
      <c r="BY72" s="50">
        <f t="shared" si="236"/>
        <v>0</v>
      </c>
      <c r="BZ72" s="50">
        <f t="shared" si="237"/>
        <v>0</v>
      </c>
      <c r="CA72" s="50">
        <f t="shared" si="238"/>
        <v>0</v>
      </c>
      <c r="CB72" s="50">
        <f t="shared" si="239"/>
        <v>0</v>
      </c>
      <c r="CC72" s="50">
        <f t="shared" si="240"/>
        <v>0</v>
      </c>
      <c r="CD72" s="50">
        <f t="shared" si="241"/>
        <v>0</v>
      </c>
      <c r="CE72" s="50">
        <f t="shared" si="242"/>
        <v>0</v>
      </c>
      <c r="CF72" s="50">
        <f t="shared" si="243"/>
        <v>0</v>
      </c>
      <c r="CG72" s="50">
        <f t="shared" si="244"/>
        <v>0</v>
      </c>
      <c r="CH72" s="50">
        <f t="shared" si="245"/>
        <v>0</v>
      </c>
      <c r="CI72" s="50">
        <f t="shared" si="246"/>
        <v>0</v>
      </c>
      <c r="CJ72" s="50">
        <f t="shared" si="247"/>
        <v>0</v>
      </c>
      <c r="CK72" s="50">
        <f t="shared" si="248"/>
        <v>0</v>
      </c>
      <c r="CL72" s="50">
        <f t="shared" si="249"/>
        <v>0</v>
      </c>
      <c r="CM72" s="50">
        <f t="shared" si="250"/>
        <v>0</v>
      </c>
      <c r="CN72" s="50">
        <f t="shared" si="251"/>
        <v>0</v>
      </c>
      <c r="CO72" s="50">
        <f t="shared" si="252"/>
        <v>0</v>
      </c>
      <c r="CP72" s="50">
        <f t="shared" si="253"/>
        <v>0</v>
      </c>
      <c r="CQ72" s="50">
        <f t="shared" si="254"/>
        <v>0</v>
      </c>
      <c r="CR72" s="50">
        <f t="shared" si="255"/>
        <v>0</v>
      </c>
      <c r="CS72" s="50">
        <f t="shared" si="256"/>
        <v>0</v>
      </c>
      <c r="CT72" s="50">
        <f t="shared" si="257"/>
        <v>0</v>
      </c>
      <c r="CU72" s="50">
        <f t="shared" si="258"/>
        <v>0</v>
      </c>
      <c r="CV72" s="50">
        <f t="shared" si="259"/>
        <v>0</v>
      </c>
      <c r="CW72" s="50">
        <f t="shared" si="260"/>
        <v>0</v>
      </c>
      <c r="CX72" s="50">
        <f t="shared" si="261"/>
        <v>0</v>
      </c>
      <c r="CY72" s="50">
        <f t="shared" si="262"/>
        <v>0</v>
      </c>
      <c r="CZ72" s="50">
        <f t="shared" si="263"/>
        <v>0</v>
      </c>
      <c r="DA72" s="50">
        <f t="shared" si="264"/>
        <v>0</v>
      </c>
      <c r="DB72" s="50">
        <f t="shared" si="265"/>
        <v>0</v>
      </c>
      <c r="DC72" s="50">
        <f t="shared" si="266"/>
        <v>0</v>
      </c>
      <c r="DD72" s="50">
        <f t="shared" si="267"/>
        <v>0</v>
      </c>
      <c r="DE72" s="50">
        <f t="shared" si="268"/>
        <v>0</v>
      </c>
      <c r="DF72" s="50">
        <f t="shared" si="269"/>
        <v>0</v>
      </c>
      <c r="DG72" s="50">
        <f t="shared" si="270"/>
        <v>0</v>
      </c>
      <c r="DH72" s="50">
        <f t="shared" si="271"/>
        <v>0</v>
      </c>
      <c r="DI72" s="50">
        <f t="shared" si="272"/>
        <v>0</v>
      </c>
      <c r="DJ72" s="50">
        <f t="shared" si="273"/>
        <v>0</v>
      </c>
      <c r="DK72" s="50">
        <f t="shared" si="274"/>
        <v>0</v>
      </c>
      <c r="DL72" s="50">
        <f t="shared" si="275"/>
        <v>0</v>
      </c>
      <c r="DM72" s="50">
        <f t="shared" si="276"/>
        <v>0</v>
      </c>
      <c r="DN72" s="50">
        <f t="shared" si="277"/>
        <v>0</v>
      </c>
      <c r="DO72" s="50">
        <f t="shared" si="278"/>
        <v>0</v>
      </c>
      <c r="DP72" s="50">
        <f t="shared" si="279"/>
        <v>0</v>
      </c>
      <c r="DQ72" s="50">
        <f t="shared" si="280"/>
        <v>0</v>
      </c>
      <c r="DR72" s="50">
        <f t="shared" si="281"/>
        <v>0</v>
      </c>
      <c r="DS72" s="50">
        <f t="shared" si="282"/>
        <v>0</v>
      </c>
      <c r="DT72" s="50">
        <f t="shared" si="283"/>
        <v>0</v>
      </c>
      <c r="DU72" s="50">
        <f t="shared" si="284"/>
        <v>0</v>
      </c>
      <c r="DV72" s="50">
        <f t="shared" si="285"/>
        <v>0</v>
      </c>
      <c r="DW72" s="50">
        <f t="shared" si="286"/>
        <v>0</v>
      </c>
      <c r="DX72" s="50">
        <f t="shared" si="287"/>
        <v>0</v>
      </c>
      <c r="DY72" s="50">
        <f t="shared" si="288"/>
        <v>0</v>
      </c>
      <c r="DZ72" s="50">
        <f t="shared" si="289"/>
        <v>0</v>
      </c>
      <c r="EA72" s="50">
        <f t="shared" si="290"/>
        <v>0</v>
      </c>
      <c r="EB72" s="50">
        <f t="shared" si="291"/>
        <v>0</v>
      </c>
      <c r="EC72" s="50">
        <f t="shared" si="292"/>
        <v>0</v>
      </c>
      <c r="ED72" s="50">
        <f t="shared" si="293"/>
        <v>0</v>
      </c>
      <c r="EE72" s="50">
        <f t="shared" si="294"/>
        <v>0</v>
      </c>
      <c r="EF72" s="50">
        <f t="shared" si="295"/>
        <v>0</v>
      </c>
      <c r="EG72" s="50">
        <f t="shared" si="296"/>
        <v>0</v>
      </c>
      <c r="EH72" s="50">
        <f t="shared" si="297"/>
        <v>0</v>
      </c>
      <c r="EI72" s="50">
        <f t="shared" si="298"/>
        <v>0</v>
      </c>
      <c r="EJ72" s="50">
        <f t="shared" si="299"/>
        <v>0</v>
      </c>
      <c r="EK72" s="50">
        <f t="shared" si="300"/>
        <v>0</v>
      </c>
      <c r="EL72" s="50">
        <f t="shared" si="301"/>
        <v>0</v>
      </c>
      <c r="EM72" s="50">
        <f t="shared" si="302"/>
        <v>0</v>
      </c>
      <c r="EN72" s="50">
        <f t="shared" si="303"/>
        <v>0</v>
      </c>
      <c r="EO72" s="50">
        <f t="shared" si="304"/>
        <v>0</v>
      </c>
      <c r="EP72" s="50">
        <f t="shared" si="305"/>
        <v>0</v>
      </c>
      <c r="EQ72" s="50">
        <f t="shared" si="306"/>
        <v>0</v>
      </c>
      <c r="ER72" s="50">
        <f t="shared" si="307"/>
        <v>0</v>
      </c>
      <c r="ES72" s="50">
        <f t="shared" si="308"/>
        <v>0</v>
      </c>
      <c r="ET72" s="50">
        <f t="shared" si="309"/>
        <v>0</v>
      </c>
      <c r="EU72" s="50">
        <f t="shared" si="310"/>
        <v>0</v>
      </c>
      <c r="EV72" s="50">
        <f t="shared" si="311"/>
        <v>0</v>
      </c>
      <c r="EW72" s="50">
        <f t="shared" si="312"/>
        <v>0</v>
      </c>
      <c r="EX72" s="50">
        <f t="shared" si="313"/>
        <v>0</v>
      </c>
      <c r="EY72" s="50">
        <f t="shared" si="314"/>
        <v>0</v>
      </c>
      <c r="EZ72" s="50">
        <f t="shared" si="315"/>
        <v>0</v>
      </c>
      <c r="FA72" s="50">
        <f t="shared" si="316"/>
        <v>0</v>
      </c>
      <c r="FB72" s="50">
        <f t="shared" si="317"/>
        <v>0</v>
      </c>
      <c r="FC72" s="50">
        <f t="shared" si="318"/>
        <v>0</v>
      </c>
      <c r="FD72" s="50">
        <f t="shared" si="319"/>
        <v>0</v>
      </c>
      <c r="FE72" s="50">
        <f t="shared" si="320"/>
        <v>0</v>
      </c>
      <c r="FF72" s="50">
        <f t="shared" si="321"/>
        <v>0</v>
      </c>
      <c r="FG72" s="50">
        <f t="shared" si="322"/>
        <v>0</v>
      </c>
      <c r="FH72" s="50">
        <f t="shared" si="323"/>
        <v>0</v>
      </c>
      <c r="FI72" s="50">
        <f t="shared" si="324"/>
        <v>0</v>
      </c>
      <c r="FJ72" s="50">
        <f t="shared" si="325"/>
        <v>0</v>
      </c>
      <c r="FK72" s="50">
        <f t="shared" si="326"/>
        <v>0</v>
      </c>
      <c r="FL72" s="50">
        <f t="shared" si="327"/>
        <v>0</v>
      </c>
      <c r="FM72" s="50">
        <f t="shared" si="328"/>
        <v>0</v>
      </c>
      <c r="FN72" s="50">
        <f t="shared" si="329"/>
        <v>0</v>
      </c>
      <c r="FO72" s="50">
        <f t="shared" si="330"/>
        <v>0</v>
      </c>
      <c r="FP72" s="50">
        <f t="shared" si="331"/>
        <v>0</v>
      </c>
      <c r="FQ72" s="50">
        <f t="shared" si="332"/>
        <v>0</v>
      </c>
      <c r="FR72" s="50">
        <f t="shared" si="333"/>
        <v>0</v>
      </c>
      <c r="FS72" s="50">
        <f t="shared" si="334"/>
        <v>0</v>
      </c>
      <c r="FT72" s="50">
        <f t="shared" si="335"/>
        <v>0</v>
      </c>
      <c r="FU72" s="50">
        <f t="shared" si="336"/>
        <v>0</v>
      </c>
      <c r="FV72" s="50">
        <f t="shared" si="337"/>
        <v>0</v>
      </c>
      <c r="FW72" s="50">
        <f t="shared" si="338"/>
        <v>0</v>
      </c>
      <c r="FX72" s="50">
        <f t="shared" si="339"/>
        <v>0</v>
      </c>
      <c r="FY72" s="50">
        <f t="shared" si="340"/>
        <v>0</v>
      </c>
      <c r="FZ72" s="50">
        <f t="shared" si="341"/>
        <v>0</v>
      </c>
      <c r="GA72" s="50">
        <f t="shared" si="342"/>
        <v>0</v>
      </c>
      <c r="GB72" s="50">
        <f t="shared" si="343"/>
        <v>0</v>
      </c>
      <c r="GC72" s="50">
        <f t="shared" si="344"/>
        <v>0</v>
      </c>
      <c r="GD72" s="50">
        <f t="shared" si="345"/>
        <v>0</v>
      </c>
      <c r="GE72" s="50">
        <f t="shared" si="346"/>
        <v>0</v>
      </c>
      <c r="GF72" s="50">
        <f t="shared" si="347"/>
        <v>0</v>
      </c>
      <c r="GG72" s="50">
        <f t="shared" si="348"/>
        <v>0</v>
      </c>
      <c r="GH72" s="50">
        <f t="shared" si="349"/>
        <v>0</v>
      </c>
      <c r="GI72" s="50">
        <f t="shared" si="350"/>
        <v>0</v>
      </c>
      <c r="GJ72" s="50">
        <f t="shared" si="351"/>
        <v>0</v>
      </c>
      <c r="GK72" s="50">
        <f t="shared" si="352"/>
        <v>0</v>
      </c>
      <c r="GL72" s="50">
        <f t="shared" si="353"/>
        <v>0</v>
      </c>
      <c r="GM72" s="50">
        <f t="shared" si="354"/>
        <v>0</v>
      </c>
      <c r="GN72" s="50">
        <f t="shared" si="355"/>
        <v>0</v>
      </c>
      <c r="GO72" s="50">
        <f t="shared" si="356"/>
        <v>0</v>
      </c>
      <c r="GP72" s="50">
        <f t="shared" si="357"/>
        <v>0</v>
      </c>
      <c r="GQ72" s="50">
        <f t="shared" si="358"/>
        <v>0</v>
      </c>
      <c r="GR72" s="50">
        <f t="shared" si="359"/>
        <v>0</v>
      </c>
      <c r="GS72" s="50">
        <f t="shared" si="360"/>
        <v>0</v>
      </c>
      <c r="GT72" s="50">
        <f t="shared" si="361"/>
        <v>0</v>
      </c>
      <c r="GU72" s="50">
        <f t="shared" si="362"/>
        <v>0</v>
      </c>
      <c r="GV72" s="50">
        <f t="shared" si="363"/>
        <v>0.31226681741096662</v>
      </c>
      <c r="GW72" s="50">
        <f t="shared" si="364"/>
        <v>0.68773318258903338</v>
      </c>
      <c r="GX72" s="50">
        <f t="shared" si="365"/>
        <v>0.31763278886257446</v>
      </c>
      <c r="GY72" s="50">
        <f t="shared" si="366"/>
        <v>0.68236721113742549</v>
      </c>
      <c r="GZ72" s="50">
        <f t="shared" si="367"/>
        <v>0.32536813922356089</v>
      </c>
      <c r="HA72" s="50">
        <f t="shared" si="368"/>
        <v>0.67463186077643911</v>
      </c>
      <c r="HB72" s="50">
        <f t="shared" si="369"/>
        <v>0.33968001158329109</v>
      </c>
      <c r="HC72" s="50">
        <f t="shared" si="370"/>
        <v>0.66031998841670891</v>
      </c>
      <c r="HD72" s="50">
        <f t="shared" si="371"/>
        <v>0.30486074648375094</v>
      </c>
      <c r="HE72" s="50">
        <f t="shared" si="372"/>
        <v>0.69513925351624906</v>
      </c>
      <c r="HF72" s="50">
        <f t="shared" si="373"/>
        <v>0.30605062308940556</v>
      </c>
      <c r="HG72" s="50">
        <f t="shared" si="374"/>
        <v>0.69394937691059444</v>
      </c>
      <c r="HH72" s="50">
        <f t="shared" si="375"/>
        <v>0.32656414962175162</v>
      </c>
      <c r="HI72" s="50">
        <f t="shared" si="376"/>
        <v>0.67343585037824838</v>
      </c>
      <c r="HJ72" s="50">
        <f t="shared" si="377"/>
        <v>0.33022696002287333</v>
      </c>
      <c r="HK72" s="50">
        <f t="shared" si="378"/>
        <v>0.66977303997712667</v>
      </c>
      <c r="HL72" s="50">
        <f t="shared" si="379"/>
        <v>0.32093941416548216</v>
      </c>
      <c r="HM72" s="50">
        <f t="shared" si="380"/>
        <v>0.67906058583451778</v>
      </c>
      <c r="HN72" s="50">
        <f t="shared" si="382"/>
        <v>0.30797037832520313</v>
      </c>
      <c r="HO72" s="50">
        <f t="shared" si="381"/>
        <v>0.69202962167479687</v>
      </c>
    </row>
    <row r="73" spans="1:223" s="12" customFormat="1" ht="14.55" customHeight="1" x14ac:dyDescent="0.3">
      <c r="A73" s="2" t="s">
        <v>460</v>
      </c>
      <c r="B73" s="49"/>
      <c r="C73" s="49"/>
      <c r="D73" s="49"/>
      <c r="E73" s="49"/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f t="shared" si="174"/>
        <v>0</v>
      </c>
      <c r="P73" s="49">
        <f t="shared" si="175"/>
        <v>0</v>
      </c>
      <c r="Q73" s="49">
        <f t="shared" si="176"/>
        <v>0</v>
      </c>
      <c r="R73" s="49">
        <f t="shared" si="177"/>
        <v>0</v>
      </c>
      <c r="S73" s="49">
        <f t="shared" si="178"/>
        <v>0</v>
      </c>
      <c r="T73" s="49">
        <f t="shared" si="179"/>
        <v>0</v>
      </c>
      <c r="U73" s="49">
        <f t="shared" si="180"/>
        <v>0</v>
      </c>
      <c r="V73" s="49">
        <f t="shared" si="181"/>
        <v>0</v>
      </c>
      <c r="W73" s="49">
        <f t="shared" si="182"/>
        <v>0</v>
      </c>
      <c r="X73" s="49">
        <f t="shared" si="183"/>
        <v>0</v>
      </c>
      <c r="Y73" s="49">
        <f t="shared" si="184"/>
        <v>0</v>
      </c>
      <c r="Z73" s="49">
        <f t="shared" si="185"/>
        <v>0</v>
      </c>
      <c r="AA73" s="49">
        <f t="shared" si="186"/>
        <v>0</v>
      </c>
      <c r="AB73" s="49">
        <f t="shared" si="187"/>
        <v>0</v>
      </c>
      <c r="AC73" s="49">
        <f t="shared" si="188"/>
        <v>0</v>
      </c>
      <c r="AD73" s="49">
        <f t="shared" si="189"/>
        <v>0</v>
      </c>
      <c r="AE73" s="49">
        <f t="shared" si="190"/>
        <v>0</v>
      </c>
      <c r="AF73" s="49">
        <f t="shared" si="191"/>
        <v>0</v>
      </c>
      <c r="AG73" s="49">
        <f t="shared" si="192"/>
        <v>0</v>
      </c>
      <c r="AH73" s="49">
        <f t="shared" si="193"/>
        <v>0</v>
      </c>
      <c r="AI73" s="49">
        <f t="shared" si="194"/>
        <v>0</v>
      </c>
      <c r="AJ73" s="49">
        <f t="shared" si="195"/>
        <v>0</v>
      </c>
      <c r="AK73" s="49">
        <f t="shared" si="196"/>
        <v>0</v>
      </c>
      <c r="AL73" s="49">
        <f t="shared" si="197"/>
        <v>0</v>
      </c>
      <c r="AM73" s="49">
        <f t="shared" si="198"/>
        <v>0</v>
      </c>
      <c r="AN73" s="49">
        <f t="shared" si="199"/>
        <v>0</v>
      </c>
      <c r="AO73" s="49">
        <f t="shared" si="200"/>
        <v>0</v>
      </c>
      <c r="AP73" s="49">
        <f t="shared" si="201"/>
        <v>0</v>
      </c>
      <c r="AQ73" s="49">
        <f t="shared" si="202"/>
        <v>0</v>
      </c>
      <c r="AR73" s="49">
        <f t="shared" si="203"/>
        <v>0</v>
      </c>
      <c r="AS73" s="49">
        <f t="shared" si="204"/>
        <v>0</v>
      </c>
      <c r="AT73" s="49">
        <f t="shared" si="205"/>
        <v>0</v>
      </c>
      <c r="AU73" s="49">
        <f t="shared" si="206"/>
        <v>0</v>
      </c>
      <c r="AV73" s="49">
        <f t="shared" si="207"/>
        <v>0</v>
      </c>
      <c r="AW73" s="49">
        <f t="shared" si="208"/>
        <v>0</v>
      </c>
      <c r="AX73" s="49">
        <f t="shared" si="209"/>
        <v>0</v>
      </c>
      <c r="AY73" s="49">
        <f t="shared" si="210"/>
        <v>0</v>
      </c>
      <c r="AZ73" s="49">
        <f t="shared" si="211"/>
        <v>0</v>
      </c>
      <c r="BA73" s="49">
        <f t="shared" si="212"/>
        <v>0</v>
      </c>
      <c r="BB73" s="49">
        <f t="shared" si="213"/>
        <v>0</v>
      </c>
      <c r="BC73" s="49">
        <f t="shared" si="214"/>
        <v>0</v>
      </c>
      <c r="BD73" s="49">
        <f t="shared" si="215"/>
        <v>0</v>
      </c>
      <c r="BE73" s="49">
        <f t="shared" si="216"/>
        <v>0</v>
      </c>
      <c r="BF73" s="49">
        <f t="shared" si="217"/>
        <v>0</v>
      </c>
      <c r="BG73" s="49">
        <f t="shared" si="218"/>
        <v>0</v>
      </c>
      <c r="BH73" s="49">
        <f t="shared" si="219"/>
        <v>0</v>
      </c>
      <c r="BI73" s="49">
        <f t="shared" si="220"/>
        <v>0</v>
      </c>
      <c r="BJ73" s="49">
        <f t="shared" si="221"/>
        <v>0</v>
      </c>
      <c r="BK73" s="49">
        <f t="shared" si="222"/>
        <v>0</v>
      </c>
      <c r="BL73" s="49">
        <f t="shared" si="223"/>
        <v>0</v>
      </c>
      <c r="BM73" s="49">
        <f t="shared" si="224"/>
        <v>0</v>
      </c>
      <c r="BN73" s="49">
        <f t="shared" si="225"/>
        <v>0</v>
      </c>
      <c r="BO73" s="49">
        <f t="shared" si="226"/>
        <v>0</v>
      </c>
      <c r="BP73" s="49">
        <f t="shared" si="227"/>
        <v>0</v>
      </c>
      <c r="BQ73" s="49">
        <f t="shared" si="228"/>
        <v>0</v>
      </c>
      <c r="BR73" s="49">
        <f t="shared" si="229"/>
        <v>0</v>
      </c>
      <c r="BS73" s="49">
        <f t="shared" si="230"/>
        <v>0</v>
      </c>
      <c r="BT73" s="49">
        <f t="shared" si="231"/>
        <v>0</v>
      </c>
      <c r="BU73" s="49">
        <f t="shared" si="232"/>
        <v>0</v>
      </c>
      <c r="BV73" s="49">
        <f t="shared" si="233"/>
        <v>0</v>
      </c>
      <c r="BW73" s="49">
        <f t="shared" si="234"/>
        <v>0</v>
      </c>
      <c r="BX73" s="49">
        <f t="shared" si="235"/>
        <v>0</v>
      </c>
      <c r="BY73" s="49">
        <f t="shared" si="236"/>
        <v>0</v>
      </c>
      <c r="BZ73" s="49">
        <f t="shared" si="237"/>
        <v>0</v>
      </c>
      <c r="CA73" s="49">
        <f t="shared" si="238"/>
        <v>0</v>
      </c>
      <c r="CB73" s="49">
        <f t="shared" si="239"/>
        <v>0</v>
      </c>
      <c r="CC73" s="49">
        <f t="shared" si="240"/>
        <v>0</v>
      </c>
      <c r="CD73" s="49">
        <f t="shared" si="241"/>
        <v>0</v>
      </c>
      <c r="CE73" s="49">
        <f t="shared" si="242"/>
        <v>0</v>
      </c>
      <c r="CF73" s="49">
        <f t="shared" si="243"/>
        <v>0</v>
      </c>
      <c r="CG73" s="49">
        <f t="shared" si="244"/>
        <v>0</v>
      </c>
      <c r="CH73" s="49">
        <f t="shared" si="245"/>
        <v>0</v>
      </c>
      <c r="CI73" s="49">
        <f t="shared" si="246"/>
        <v>0</v>
      </c>
      <c r="CJ73" s="49">
        <f t="shared" si="247"/>
        <v>0</v>
      </c>
      <c r="CK73" s="49">
        <f t="shared" si="248"/>
        <v>0</v>
      </c>
      <c r="CL73" s="49">
        <f t="shared" si="249"/>
        <v>0</v>
      </c>
      <c r="CM73" s="49">
        <f t="shared" si="250"/>
        <v>0</v>
      </c>
      <c r="CN73" s="49">
        <f t="shared" si="251"/>
        <v>0</v>
      </c>
      <c r="CO73" s="49">
        <f t="shared" si="252"/>
        <v>0</v>
      </c>
      <c r="CP73" s="49">
        <f t="shared" si="253"/>
        <v>0</v>
      </c>
      <c r="CQ73" s="49">
        <f t="shared" si="254"/>
        <v>0</v>
      </c>
      <c r="CR73" s="49">
        <f t="shared" si="255"/>
        <v>0</v>
      </c>
      <c r="CS73" s="49">
        <f t="shared" si="256"/>
        <v>0</v>
      </c>
      <c r="CT73" s="49">
        <f t="shared" si="257"/>
        <v>0</v>
      </c>
      <c r="CU73" s="49">
        <f t="shared" si="258"/>
        <v>0</v>
      </c>
      <c r="CV73" s="49">
        <f t="shared" si="259"/>
        <v>0</v>
      </c>
      <c r="CW73" s="49">
        <f t="shared" si="260"/>
        <v>0</v>
      </c>
      <c r="CX73" s="49">
        <f t="shared" si="261"/>
        <v>0</v>
      </c>
      <c r="CY73" s="49">
        <f t="shared" si="262"/>
        <v>0</v>
      </c>
      <c r="CZ73" s="49">
        <f t="shared" si="263"/>
        <v>0</v>
      </c>
      <c r="DA73" s="49">
        <f t="shared" si="264"/>
        <v>0</v>
      </c>
      <c r="DB73" s="49">
        <f t="shared" si="265"/>
        <v>0</v>
      </c>
      <c r="DC73" s="49">
        <f t="shared" si="266"/>
        <v>0</v>
      </c>
      <c r="DD73" s="49">
        <f t="shared" si="267"/>
        <v>0</v>
      </c>
      <c r="DE73" s="49">
        <f t="shared" si="268"/>
        <v>0</v>
      </c>
      <c r="DF73" s="49">
        <f t="shared" si="269"/>
        <v>0</v>
      </c>
      <c r="DG73" s="49">
        <f t="shared" si="270"/>
        <v>0</v>
      </c>
      <c r="DH73" s="49">
        <f t="shared" si="271"/>
        <v>0</v>
      </c>
      <c r="DI73" s="49">
        <f t="shared" si="272"/>
        <v>0</v>
      </c>
      <c r="DJ73" s="49">
        <f t="shared" si="273"/>
        <v>0</v>
      </c>
      <c r="DK73" s="49">
        <f t="shared" si="274"/>
        <v>0</v>
      </c>
      <c r="DL73" s="49">
        <f t="shared" si="275"/>
        <v>0</v>
      </c>
      <c r="DM73" s="49">
        <f t="shared" si="276"/>
        <v>0</v>
      </c>
      <c r="DN73" s="49">
        <f t="shared" si="277"/>
        <v>0</v>
      </c>
      <c r="DO73" s="49">
        <f t="shared" si="278"/>
        <v>0</v>
      </c>
      <c r="DP73" s="49">
        <f t="shared" si="279"/>
        <v>0</v>
      </c>
      <c r="DQ73" s="49">
        <f t="shared" si="280"/>
        <v>0</v>
      </c>
      <c r="DR73" s="49">
        <f t="shared" si="281"/>
        <v>0</v>
      </c>
      <c r="DS73" s="49">
        <f t="shared" si="282"/>
        <v>0</v>
      </c>
      <c r="DT73" s="49">
        <f t="shared" si="283"/>
        <v>0</v>
      </c>
      <c r="DU73" s="49">
        <f t="shared" si="284"/>
        <v>0</v>
      </c>
      <c r="DV73" s="49">
        <f t="shared" si="285"/>
        <v>0</v>
      </c>
      <c r="DW73" s="49">
        <f t="shared" si="286"/>
        <v>0</v>
      </c>
      <c r="DX73" s="49">
        <f t="shared" si="287"/>
        <v>0</v>
      </c>
      <c r="DY73" s="49">
        <f t="shared" si="288"/>
        <v>0</v>
      </c>
      <c r="DZ73" s="49">
        <f t="shared" si="289"/>
        <v>0</v>
      </c>
      <c r="EA73" s="49">
        <f t="shared" si="290"/>
        <v>0</v>
      </c>
      <c r="EB73" s="49">
        <f t="shared" si="291"/>
        <v>0</v>
      </c>
      <c r="EC73" s="49">
        <f t="shared" si="292"/>
        <v>0</v>
      </c>
      <c r="ED73" s="49">
        <f t="shared" si="293"/>
        <v>0</v>
      </c>
      <c r="EE73" s="49">
        <f t="shared" si="294"/>
        <v>0</v>
      </c>
      <c r="EF73" s="49">
        <f t="shared" si="295"/>
        <v>0</v>
      </c>
      <c r="EG73" s="49">
        <f t="shared" si="296"/>
        <v>0</v>
      </c>
      <c r="EH73" s="49">
        <f t="shared" si="297"/>
        <v>0</v>
      </c>
      <c r="EI73" s="49">
        <f t="shared" si="298"/>
        <v>0</v>
      </c>
      <c r="EJ73" s="49">
        <f t="shared" si="299"/>
        <v>0</v>
      </c>
      <c r="EK73" s="49">
        <f t="shared" si="300"/>
        <v>0</v>
      </c>
      <c r="EL73" s="49">
        <f t="shared" si="301"/>
        <v>0</v>
      </c>
      <c r="EM73" s="49">
        <f t="shared" si="302"/>
        <v>0</v>
      </c>
      <c r="EN73" s="49">
        <f t="shared" si="303"/>
        <v>0</v>
      </c>
      <c r="EO73" s="49">
        <f t="shared" si="304"/>
        <v>0</v>
      </c>
      <c r="EP73" s="49">
        <f t="shared" si="305"/>
        <v>0</v>
      </c>
      <c r="EQ73" s="49">
        <f t="shared" si="306"/>
        <v>0</v>
      </c>
      <c r="ER73" s="49">
        <f t="shared" si="307"/>
        <v>0</v>
      </c>
      <c r="ES73" s="49">
        <f t="shared" si="308"/>
        <v>0</v>
      </c>
      <c r="ET73" s="49">
        <f t="shared" si="309"/>
        <v>0</v>
      </c>
      <c r="EU73" s="49">
        <f t="shared" si="310"/>
        <v>0</v>
      </c>
      <c r="EV73" s="49">
        <f t="shared" si="311"/>
        <v>0</v>
      </c>
      <c r="EW73" s="49">
        <f t="shared" si="312"/>
        <v>0</v>
      </c>
      <c r="EX73" s="49">
        <f t="shared" si="313"/>
        <v>0</v>
      </c>
      <c r="EY73" s="49">
        <f t="shared" si="314"/>
        <v>0</v>
      </c>
      <c r="EZ73" s="49">
        <f t="shared" si="315"/>
        <v>0</v>
      </c>
      <c r="FA73" s="49">
        <f t="shared" si="316"/>
        <v>0</v>
      </c>
      <c r="FB73" s="49">
        <f t="shared" si="317"/>
        <v>0</v>
      </c>
      <c r="FC73" s="49">
        <f t="shared" si="318"/>
        <v>0</v>
      </c>
      <c r="FD73" s="49">
        <f t="shared" si="319"/>
        <v>0</v>
      </c>
      <c r="FE73" s="49">
        <f t="shared" si="320"/>
        <v>0</v>
      </c>
      <c r="FF73" s="49">
        <f t="shared" si="321"/>
        <v>0</v>
      </c>
      <c r="FG73" s="49">
        <f t="shared" si="322"/>
        <v>0</v>
      </c>
      <c r="FH73" s="49">
        <f t="shared" si="323"/>
        <v>0</v>
      </c>
      <c r="FI73" s="49">
        <f t="shared" si="324"/>
        <v>0</v>
      </c>
      <c r="FJ73" s="49">
        <f t="shared" si="325"/>
        <v>0</v>
      </c>
      <c r="FK73" s="49">
        <f t="shared" si="326"/>
        <v>0</v>
      </c>
      <c r="FL73" s="49">
        <f t="shared" si="327"/>
        <v>0</v>
      </c>
      <c r="FM73" s="49">
        <f t="shared" si="328"/>
        <v>0</v>
      </c>
      <c r="FN73" s="49">
        <f t="shared" si="329"/>
        <v>0</v>
      </c>
      <c r="FO73" s="49">
        <f t="shared" si="330"/>
        <v>0</v>
      </c>
      <c r="FP73" s="49">
        <f t="shared" si="331"/>
        <v>0</v>
      </c>
      <c r="FQ73" s="49">
        <f t="shared" si="332"/>
        <v>0</v>
      </c>
      <c r="FR73" s="49">
        <f t="shared" si="333"/>
        <v>0</v>
      </c>
      <c r="FS73" s="49">
        <f t="shared" si="334"/>
        <v>0</v>
      </c>
      <c r="FT73" s="49">
        <f t="shared" si="335"/>
        <v>0</v>
      </c>
      <c r="FU73" s="49">
        <f t="shared" si="336"/>
        <v>0</v>
      </c>
      <c r="FV73" s="49">
        <f t="shared" si="337"/>
        <v>0</v>
      </c>
      <c r="FW73" s="49">
        <f t="shared" si="338"/>
        <v>0</v>
      </c>
      <c r="FX73" s="49">
        <f t="shared" si="339"/>
        <v>0</v>
      </c>
      <c r="FY73" s="49">
        <f t="shared" si="340"/>
        <v>0</v>
      </c>
      <c r="FZ73" s="49">
        <f t="shared" si="341"/>
        <v>0</v>
      </c>
      <c r="GA73" s="49">
        <f t="shared" si="342"/>
        <v>0</v>
      </c>
      <c r="GB73" s="49">
        <f t="shared" si="343"/>
        <v>0</v>
      </c>
      <c r="GC73" s="49">
        <f t="shared" si="344"/>
        <v>0</v>
      </c>
      <c r="GD73" s="49">
        <f t="shared" si="345"/>
        <v>0</v>
      </c>
      <c r="GE73" s="49">
        <f t="shared" si="346"/>
        <v>0</v>
      </c>
      <c r="GF73" s="49">
        <f t="shared" si="347"/>
        <v>0</v>
      </c>
      <c r="GG73" s="49">
        <f t="shared" si="348"/>
        <v>0</v>
      </c>
      <c r="GH73" s="49">
        <f t="shared" si="349"/>
        <v>0</v>
      </c>
      <c r="GI73" s="49">
        <f t="shared" si="350"/>
        <v>0</v>
      </c>
      <c r="GJ73" s="49">
        <f t="shared" si="351"/>
        <v>0</v>
      </c>
      <c r="GK73" s="49">
        <f t="shared" si="352"/>
        <v>0</v>
      </c>
      <c r="GL73" s="49">
        <f t="shared" si="353"/>
        <v>0</v>
      </c>
      <c r="GM73" s="49">
        <f t="shared" si="354"/>
        <v>0</v>
      </c>
      <c r="GN73" s="49">
        <f t="shared" si="355"/>
        <v>0</v>
      </c>
      <c r="GO73" s="49">
        <f t="shared" si="356"/>
        <v>0</v>
      </c>
      <c r="GP73" s="49">
        <f t="shared" si="357"/>
        <v>0</v>
      </c>
      <c r="GQ73" s="49">
        <f t="shared" si="358"/>
        <v>0</v>
      </c>
      <c r="GR73" s="49">
        <f t="shared" si="359"/>
        <v>0</v>
      </c>
      <c r="GS73" s="49">
        <f t="shared" si="360"/>
        <v>0</v>
      </c>
      <c r="GT73" s="49">
        <f t="shared" si="361"/>
        <v>0</v>
      </c>
      <c r="GU73" s="49">
        <f t="shared" si="362"/>
        <v>0</v>
      </c>
      <c r="GV73" s="49">
        <f t="shared" si="363"/>
        <v>0</v>
      </c>
      <c r="GW73" s="49">
        <f t="shared" si="364"/>
        <v>0</v>
      </c>
      <c r="GX73" s="49">
        <f t="shared" si="365"/>
        <v>0</v>
      </c>
      <c r="GY73" s="49">
        <f t="shared" si="366"/>
        <v>0</v>
      </c>
      <c r="GZ73" s="49">
        <f t="shared" si="367"/>
        <v>0</v>
      </c>
      <c r="HA73" s="49">
        <f t="shared" si="368"/>
        <v>0</v>
      </c>
      <c r="HB73" s="49">
        <f t="shared" si="369"/>
        <v>0</v>
      </c>
      <c r="HC73" s="49">
        <f t="shared" si="370"/>
        <v>0</v>
      </c>
      <c r="HD73" s="49">
        <f t="shared" si="371"/>
        <v>0</v>
      </c>
      <c r="HE73" s="49">
        <f t="shared" si="372"/>
        <v>0</v>
      </c>
      <c r="HF73" s="49">
        <f t="shared" si="373"/>
        <v>0</v>
      </c>
      <c r="HG73" s="49">
        <f t="shared" si="374"/>
        <v>0</v>
      </c>
      <c r="HH73" s="49">
        <f t="shared" si="375"/>
        <v>0</v>
      </c>
      <c r="HI73" s="49">
        <f t="shared" si="376"/>
        <v>0</v>
      </c>
      <c r="HJ73" s="49">
        <f t="shared" si="377"/>
        <v>0.6734237282737644</v>
      </c>
      <c r="HK73" s="49">
        <f t="shared" si="378"/>
        <v>0.32657627172623549</v>
      </c>
      <c r="HL73" s="49">
        <f t="shared" si="379"/>
        <v>0.63058752772670068</v>
      </c>
      <c r="HM73" s="49">
        <f t="shared" si="380"/>
        <v>0.36941247227329921</v>
      </c>
      <c r="HN73" s="49">
        <f t="shared" si="382"/>
        <v>0.6244786303115798</v>
      </c>
      <c r="HO73" s="49">
        <f t="shared" si="381"/>
        <v>0.37552136968842015</v>
      </c>
    </row>
    <row r="74" spans="1:223" x14ac:dyDescent="0.3">
      <c r="A74" s="5" t="s">
        <v>413</v>
      </c>
      <c r="B74" s="51">
        <f t="shared" ref="B74" si="383">IFERROR((B55/B17),0)</f>
        <v>0.70932641843949107</v>
      </c>
      <c r="C74" s="51">
        <f t="shared" ref="C74" si="384">IFERROR((B36/B17),0)</f>
        <v>0.29067358156050893</v>
      </c>
      <c r="D74" s="51">
        <f t="shared" ref="D74" si="385">IFERROR((C55/C17),0)</f>
        <v>0.62646961189572925</v>
      </c>
      <c r="E74" s="51">
        <f t="shared" ref="E74" si="386">IFERROR((C36/C17),0)</f>
        <v>0.37353038810427092</v>
      </c>
      <c r="F74" s="51">
        <f t="shared" ref="F74" si="387">IFERROR((D55/D17),0)</f>
        <v>0.58681186940581453</v>
      </c>
      <c r="G74" s="51">
        <f t="shared" ref="G74" si="388">IFERROR((D36/D17),0)</f>
        <v>0.41318813059418535</v>
      </c>
      <c r="H74" s="51">
        <f t="shared" ref="H74" si="389">IFERROR((E55/E17),0)</f>
        <v>0.65406487742223141</v>
      </c>
      <c r="I74" s="51">
        <f t="shared" ref="I74" si="390">IFERROR((E36/E17),0)</f>
        <v>0.34593512257776848</v>
      </c>
      <c r="J74" s="51">
        <f t="shared" ref="J74" si="391">IFERROR((G55/G17),0)</f>
        <v>0.68396326054782186</v>
      </c>
      <c r="K74" s="51">
        <f t="shared" ref="K74" si="392">IFERROR((G36/G17),0)</f>
        <v>0.31603673945217803</v>
      </c>
      <c r="L74" s="51">
        <f t="shared" ref="L74" si="393">IFERROR((H55/H17),0)</f>
        <v>0.57170497222085093</v>
      </c>
      <c r="M74" s="51">
        <f t="shared" ref="M74" si="394">IFERROR((H36/H17),0)</f>
        <v>0.42829502777914902</v>
      </c>
      <c r="N74" s="51">
        <f t="shared" ref="N74" si="395">IFERROR((I55/I17),0)</f>
        <v>0.59015637513024066</v>
      </c>
      <c r="O74" s="51">
        <f t="shared" ref="O74" si="396">IFERROR((I36/I17),0)</f>
        <v>0.40984362486975934</v>
      </c>
      <c r="P74" s="51">
        <f t="shared" ref="P74" si="397">IFERROR((J55/J17),0)</f>
        <v>0.62949235240119283</v>
      </c>
      <c r="Q74" s="51">
        <f t="shared" ref="Q74" si="398">IFERROR((J36/J17),0)</f>
        <v>0.37050764759880711</v>
      </c>
      <c r="R74" s="51">
        <f t="shared" ref="R74" si="399">IFERROR((L55/L17),0)</f>
        <v>0.67015828204586514</v>
      </c>
      <c r="S74" s="51">
        <f t="shared" ref="S74" si="400">IFERROR((L36/L17),0)</f>
        <v>0.32984171795413469</v>
      </c>
      <c r="T74" s="51">
        <f t="shared" ref="T74" si="401">IFERROR((M55/M17),0)</f>
        <v>0.57886662215513007</v>
      </c>
      <c r="U74" s="51">
        <f t="shared" ref="U74" si="402">IFERROR((M36/M17),0)</f>
        <v>0.42113337784487009</v>
      </c>
      <c r="V74" s="51">
        <f t="shared" ref="V74" si="403">IFERROR((N55/N17),0)</f>
        <v>0.55715880275675478</v>
      </c>
      <c r="W74" s="51">
        <f t="shared" ref="W74" si="404">IFERROR((N36/N17),0)</f>
        <v>0.44284119724324522</v>
      </c>
      <c r="X74" s="51">
        <f t="shared" ref="X74" si="405">IFERROR((O55/O17),0)</f>
        <v>0.62492712814218476</v>
      </c>
      <c r="Y74" s="51">
        <f t="shared" ref="Y74" si="406">IFERROR((O36/O17),0)</f>
        <v>0.37507287185781518</v>
      </c>
      <c r="Z74" s="51">
        <f t="shared" ref="Z74" si="407">IFERROR((Q55/Q17),0)</f>
        <v>0.62827729525152431</v>
      </c>
      <c r="AA74" s="51">
        <f t="shared" ref="AA74" si="408">IFERROR((Q36/Q17),0)</f>
        <v>0.37172270474847563</v>
      </c>
      <c r="AB74" s="51">
        <f t="shared" ref="AB74" si="409">IFERROR((R55/R17),0)</f>
        <v>0.45589001010250257</v>
      </c>
      <c r="AC74" s="51">
        <f t="shared" ref="AC74" si="410">IFERROR((R36/R17),0)</f>
        <v>0.54410998989749737</v>
      </c>
      <c r="AD74" s="51">
        <f t="shared" ref="AD74" si="411">IFERROR((S55/S17),0)</f>
        <v>0.45357027087556173</v>
      </c>
      <c r="AE74" s="51">
        <f t="shared" ref="AE74" si="412">IFERROR((S36/S17),0)</f>
        <v>0.54642972912443832</v>
      </c>
      <c r="AF74" s="51">
        <f t="shared" ref="AF74" si="413">IFERROR((T55/T17),0)</f>
        <v>0.54121041291111549</v>
      </c>
      <c r="AG74" s="51">
        <f t="shared" ref="AG74" si="414">IFERROR((T36/T17),0)</f>
        <v>0.45878958708888445</v>
      </c>
      <c r="AH74" s="51">
        <f t="shared" ref="AH74" si="415">IFERROR((V55/V17),0)</f>
        <v>0.5855260378063768</v>
      </c>
      <c r="AI74" s="51">
        <f t="shared" ref="AI74" si="416">IFERROR((V36/V17),0)</f>
        <v>0.41447396219362304</v>
      </c>
      <c r="AJ74" s="51">
        <f t="shared" ref="AJ74" si="417">IFERROR((W55/W17),0)</f>
        <v>0.43616658411736081</v>
      </c>
      <c r="AK74" s="51">
        <f t="shared" ref="AK74" si="418">IFERROR((W36/W17),0)</f>
        <v>0.56383341588263924</v>
      </c>
      <c r="AL74" s="51">
        <f t="shared" ref="AL74" si="419">IFERROR((X55/X17),0)</f>
        <v>0.4284184865145117</v>
      </c>
      <c r="AM74" s="51">
        <f t="shared" ref="AM74" si="420">IFERROR((X36/X17),0)</f>
        <v>0.57158151348548836</v>
      </c>
      <c r="AN74" s="51">
        <f t="shared" ref="AN74" si="421">IFERROR((Y55/Y17),0)</f>
        <v>0.52958918602259786</v>
      </c>
      <c r="AO74" s="51">
        <f t="shared" ref="AO74" si="422">IFERROR((Y36/Y17),0)</f>
        <v>0.47041081397740225</v>
      </c>
      <c r="AP74" s="51">
        <f t="shared" ref="AP74" si="423">IFERROR((AA55/AA17),0)</f>
        <v>0.56480741988793759</v>
      </c>
      <c r="AQ74" s="51">
        <f t="shared" ref="AQ74" si="424">IFERROR((AA36/AA17),0)</f>
        <v>0.43519258011206235</v>
      </c>
      <c r="AR74" s="51">
        <f t="shared" ref="AR74" si="425">IFERROR((AB55/AB17),0)</f>
        <v>0.4013875323191694</v>
      </c>
      <c r="AS74" s="51">
        <f t="shared" ref="AS74" si="426">IFERROR((AB36/AB17),0)</f>
        <v>0.59861246768083065</v>
      </c>
      <c r="AT74" s="51">
        <f t="shared" ref="AT74" si="427">IFERROR((AC55/AC17),0)</f>
        <v>0.41259165840977419</v>
      </c>
      <c r="AU74" s="51">
        <f t="shared" ref="AU74" si="428">IFERROR((AC36/AC17),0)</f>
        <v>0.58740834159022592</v>
      </c>
      <c r="AV74" s="51">
        <f t="shared" ref="AV74" si="429">IFERROR((AD55/AD17),0)</f>
        <v>0.49578885615198381</v>
      </c>
      <c r="AW74" s="51">
        <f t="shared" ref="AW74" si="430">IFERROR((AD36/AD17),0)</f>
        <v>0.50421114384801624</v>
      </c>
      <c r="AX74" s="51">
        <f t="shared" ref="AX74" si="431">IFERROR((AF55/AF17),0)</f>
        <v>0.50953569109673624</v>
      </c>
      <c r="AY74" s="51">
        <f t="shared" ref="AY74" si="432">IFERROR((AF36/AF17),0)</f>
        <v>0.4904643089032637</v>
      </c>
      <c r="AZ74" s="51">
        <f t="shared" ref="AZ74" si="433">IFERROR((AG55/AG17),0)</f>
        <v>0.38622867902207636</v>
      </c>
      <c r="BA74" s="51">
        <f t="shared" ref="BA74" si="434">IFERROR((AG36/AG17),0)</f>
        <v>0.61377132097792375</v>
      </c>
      <c r="BB74" s="51">
        <f t="shared" ref="BB74" si="435">IFERROR((AH55/AH17),0)</f>
        <v>0.41096694519642529</v>
      </c>
      <c r="BC74" s="51">
        <f t="shared" ref="BC74" si="436">IFERROR((AH36/AH17),0)</f>
        <v>0.58903305480357482</v>
      </c>
      <c r="BD74" s="51">
        <f t="shared" ref="BD74" si="437">IFERROR((AI55/AI17),0)</f>
        <v>0.48537865462163837</v>
      </c>
      <c r="BE74" s="51">
        <f t="shared" ref="BE74" si="438">IFERROR((AI36/AI17),0)</f>
        <v>0.51462134537836179</v>
      </c>
      <c r="BF74" s="51">
        <f t="shared" ref="BF74" si="439">IFERROR((AK55/AK17),0)</f>
        <v>0.5220153759935996</v>
      </c>
      <c r="BG74" s="51">
        <f t="shared" ref="BG74" si="440">IFERROR((AK36/AK17),0)</f>
        <v>0.4779846240064004</v>
      </c>
      <c r="BH74" s="51">
        <f t="shared" ref="BH74" si="441">IFERROR((AL55/AL17),0)</f>
        <v>0.4088473493709987</v>
      </c>
      <c r="BI74" s="51">
        <f t="shared" ref="BI74" si="442">IFERROR((AL36/AL17),0)</f>
        <v>0.59115265062900135</v>
      </c>
      <c r="BJ74" s="51">
        <f t="shared" ref="BJ74" si="443">IFERROR((AM55/AM17),0)</f>
        <v>0.41584045400524083</v>
      </c>
      <c r="BK74" s="51">
        <f t="shared" ref="BK74" si="444">IFERROR((AM36/AM17),0)</f>
        <v>0.58415954599475894</v>
      </c>
      <c r="BL74" s="51">
        <f t="shared" ref="BL74" si="445">IFERROR((AN55/AN17),0)</f>
        <v>0.48889967758973835</v>
      </c>
      <c r="BM74" s="51">
        <f t="shared" ref="BM74" si="446">IFERROR((AN36/AN17),0)</f>
        <v>0.5111003224102616</v>
      </c>
      <c r="BN74" s="51">
        <f t="shared" ref="BN74" si="447">IFERROR((AP55/AP17),0)</f>
        <v>0.53470737364710408</v>
      </c>
      <c r="BO74" s="51">
        <f t="shared" ref="BO74" si="448">IFERROR((AP36/AP17),0)</f>
        <v>0.46529262635289603</v>
      </c>
      <c r="BP74" s="51">
        <f t="shared" ref="BP74" si="449">IFERROR((AQ55/AQ17),0)</f>
        <v>0.39192573670702779</v>
      </c>
      <c r="BQ74" s="51">
        <f t="shared" ref="BQ74" si="450">IFERROR((AQ36/AQ17),0)</f>
        <v>0.60807426329297221</v>
      </c>
      <c r="BR74" s="51">
        <f t="shared" ref="BR74" si="451">IFERROR((AR55/AR17),0)</f>
        <v>0.41123562104982408</v>
      </c>
      <c r="BS74" s="51">
        <f t="shared" ref="BS74" si="452">IFERROR((AR36/AR17),0)</f>
        <v>0.58876437895017586</v>
      </c>
      <c r="BT74" s="51">
        <f t="shared" ref="BT74" si="453">IFERROR((AS55/AS17),0)</f>
        <v>0.48743062404745624</v>
      </c>
      <c r="BU74" s="51">
        <f t="shared" ref="BU74" si="454">IFERROR((AS36/AS17),0)</f>
        <v>0.5125693759525437</v>
      </c>
      <c r="BV74" s="51">
        <f t="shared" ref="BV74" si="455">IFERROR((AU55/AU17),0)</f>
        <v>0.51048903111217403</v>
      </c>
      <c r="BW74" s="51">
        <f t="shared" ref="BW74" si="456">IFERROR((AU36/AU17),0)</f>
        <v>0.48951096888782608</v>
      </c>
      <c r="BX74" s="51">
        <f t="shared" ref="BX74" si="457">IFERROR((AV55/AV17),0)</f>
        <v>0.38559232039674474</v>
      </c>
      <c r="BY74" s="51">
        <f t="shared" ref="BY74" si="458">IFERROR((AV36/AV17),0)</f>
        <v>0.61440767960325504</v>
      </c>
      <c r="BZ74" s="51">
        <f t="shared" ref="BZ74" si="459">IFERROR((AW55/AW17),0)</f>
        <v>0.39871372758988916</v>
      </c>
      <c r="CA74" s="51">
        <f t="shared" ref="CA74" si="460">IFERROR((AW36/AW17),0)</f>
        <v>0.60128627241011101</v>
      </c>
      <c r="CB74" s="51">
        <f t="shared" ref="CB74" si="461">IFERROR((AX55/AX17),0)</f>
        <v>0.47002650346014685</v>
      </c>
      <c r="CC74" s="51">
        <f t="shared" ref="CC74" si="462">IFERROR((AX36/AX17),0)</f>
        <v>0.52997349653985304</v>
      </c>
      <c r="CD74" s="51">
        <f t="shared" ref="CD74" si="463">IFERROR((AZ55/AZ17),0)</f>
        <v>0.47410108076564561</v>
      </c>
      <c r="CE74" s="51">
        <f t="shared" ref="CE74" si="464">IFERROR((AZ36/AZ17),0)</f>
        <v>0.5258989192343545</v>
      </c>
      <c r="CF74" s="51">
        <f t="shared" ref="CF74" si="465">IFERROR((BA55/BA17),0)</f>
        <v>0.38033810197701806</v>
      </c>
      <c r="CG74" s="51">
        <f t="shared" ref="CG74" si="466">IFERROR((BA36/BA17),0)</f>
        <v>0.61966189802298188</v>
      </c>
      <c r="CH74" s="51">
        <f t="shared" ref="CH74" si="467">IFERROR((BB55/BB17),0)</f>
        <v>0.40898162216702055</v>
      </c>
      <c r="CI74" s="51">
        <f t="shared" ref="CI74" si="468">IFERROR((BB36/BB17),0)</f>
        <v>0.59101837783297961</v>
      </c>
      <c r="CJ74" s="51">
        <f t="shared" ref="CJ74" si="469">IFERROR((BC55/BC17),0)</f>
        <v>0.47538831285933608</v>
      </c>
      <c r="CK74" s="51">
        <f t="shared" ref="CK74" si="470">IFERROR((BC36/BC17),0)</f>
        <v>0.52461168714066408</v>
      </c>
      <c r="CL74" s="51">
        <f t="shared" ref="CL74" si="471">IFERROR((BE55/BE17),0)</f>
        <v>0.49830478185003313</v>
      </c>
      <c r="CM74" s="51">
        <f t="shared" ref="CM74" si="472">IFERROR((BE36/BE17),0)</f>
        <v>0.50169521814996687</v>
      </c>
      <c r="CN74" s="51">
        <f t="shared" ref="CN74" si="473">IFERROR((BF55/BF17),0)</f>
        <v>0.40036088254065877</v>
      </c>
      <c r="CO74" s="51">
        <f t="shared" ref="CO74" si="474">IFERROR((BF36/BF17),0)</f>
        <v>0.59963911745934129</v>
      </c>
      <c r="CP74" s="51">
        <f t="shared" ref="CP74" si="475">IFERROR((BG55/BG17),0)</f>
        <v>0.46730837073476095</v>
      </c>
      <c r="CQ74" s="51">
        <f t="shared" ref="CQ74" si="476">IFERROR((BG36/BG17),0)</f>
        <v>0.53269162926523905</v>
      </c>
      <c r="CR74" s="51">
        <f t="shared" ref="CR74" si="477">IFERROR((BH55/BH17),0)</f>
        <v>0.5103307500306602</v>
      </c>
      <c r="CS74" s="51">
        <f t="shared" ref="CS74" si="478">IFERROR((BH36/BH17),0)</f>
        <v>0.4896692499693398</v>
      </c>
      <c r="CT74" s="51">
        <f t="shared" ref="CT74" si="479">IFERROR((BJ55/BJ17),0)</f>
        <v>0.51510985638885476</v>
      </c>
      <c r="CU74" s="51">
        <f t="shared" ref="CU74" si="480">IFERROR((BJ36/BJ17),0)</f>
        <v>0.48489014361114519</v>
      </c>
      <c r="CV74" s="51">
        <f t="shared" ref="CV74" si="481">IFERROR((BK55/BK17),0)</f>
        <v>0.49796518200316525</v>
      </c>
      <c r="CW74" s="51">
        <f t="shared" ref="CW74" si="482">IFERROR((BK36/BK17),0)</f>
        <v>0.50203481799683469</v>
      </c>
      <c r="CX74" s="51">
        <f t="shared" ref="CX74" si="483">IFERROR((BL55/BL17),0)</f>
        <v>0.53541999175829658</v>
      </c>
      <c r="CY74" s="51">
        <f t="shared" ref="CY74" si="484">IFERROR((BL36/BL17),0)</f>
        <v>0.46458000824170353</v>
      </c>
      <c r="CZ74" s="51">
        <f t="shared" ref="CZ74" si="485">IFERROR((BM55/BM17),0)</f>
        <v>0.56178456724038539</v>
      </c>
      <c r="DA74" s="51">
        <f t="shared" ref="DA74" si="486">IFERROR((BM36/BM17),0)</f>
        <v>0.43821543275961461</v>
      </c>
      <c r="DB74" s="51">
        <f t="shared" ref="DB74" si="487">IFERROR((BO55/BO17),0)</f>
        <v>0.55862977602108033</v>
      </c>
      <c r="DC74" s="51">
        <f t="shared" ref="DC74" si="488">IFERROR((BO36/BO17),0)</f>
        <v>0.44137022397891962</v>
      </c>
      <c r="DD74" s="51">
        <f t="shared" ref="DD74" si="489">IFERROR((BP55/BP17),0)</f>
        <v>0.4968546809491563</v>
      </c>
      <c r="DE74" s="51">
        <f t="shared" ref="DE74" si="490">IFERROR((BP36/BP17),0)</f>
        <v>0.5031453190508437</v>
      </c>
      <c r="DF74" s="51">
        <f t="shared" ref="DF74" si="491">IFERROR((BQ55/BQ17),0)</f>
        <v>0.49992454930263136</v>
      </c>
      <c r="DG74" s="51">
        <f t="shared" ref="DG74" si="492">IFERROR((BQ36/BQ17),0)</f>
        <v>0.5000754506973687</v>
      </c>
      <c r="DH74" s="51">
        <f t="shared" ref="DH74" si="493">IFERROR((BR55/BR17),0)</f>
        <v>0.54791658530870468</v>
      </c>
      <c r="DI74" s="51">
        <f t="shared" ref="DI74" si="494">IFERROR((BR36/BR17),0)</f>
        <v>0.45208341469129537</v>
      </c>
      <c r="DJ74" s="51">
        <f t="shared" ref="DJ74" si="495">IFERROR((BT55/BT17),0)</f>
        <v>0.55930484046930928</v>
      </c>
      <c r="DK74" s="51">
        <f t="shared" ref="DK74" si="496">IFERROR((BT36/BT17),0)</f>
        <v>0.44069515953069077</v>
      </c>
      <c r="DL74" s="51">
        <f t="shared" ref="DL74" si="497">IFERROR((BU55/BU17),0)</f>
        <v>0.4970714170302149</v>
      </c>
      <c r="DM74" s="51">
        <f t="shared" ref="DM74" si="498">IFERROR((BU36/BU17),0)</f>
        <v>0.50292858296978515</v>
      </c>
      <c r="DN74" s="51">
        <f t="shared" ref="DN74" si="499">IFERROR((BV55/BV17),0)</f>
        <v>0.50917614013778445</v>
      </c>
      <c r="DO74" s="51">
        <f t="shared" ref="DO74" si="500">IFERROR((BV36/BV17),0)</f>
        <v>0.49082385986221555</v>
      </c>
      <c r="DP74" s="51">
        <f t="shared" ref="DP74" si="501">IFERROR((BW55/BW17),0)</f>
        <v>0.54429473331916911</v>
      </c>
      <c r="DQ74" s="51">
        <f t="shared" ref="DQ74" si="502">IFERROR((BW36/BW17),0)</f>
        <v>0.45570526668083078</v>
      </c>
      <c r="DR74" s="51">
        <f t="shared" ref="DR74" si="503">IFERROR((BY55/BY17),0)</f>
        <v>0.54946224299775781</v>
      </c>
      <c r="DS74" s="51">
        <f t="shared" ref="DS74" si="504">IFERROR((BY36/BY17),0)</f>
        <v>0.45053775700224225</v>
      </c>
      <c r="DT74" s="51">
        <f t="shared" ref="DT74" si="505">IFERROR((BZ55/BZ17),0)</f>
        <v>0.46791554155415543</v>
      </c>
      <c r="DU74" s="51">
        <f t="shared" ref="DU74" si="506">IFERROR((BZ36/BZ17),0)</f>
        <v>0.53208445844584462</v>
      </c>
      <c r="DV74" s="51">
        <f t="shared" ref="DV74" si="507">IFERROR((CA55/CA17),0)</f>
        <v>0.47595136033592861</v>
      </c>
      <c r="DW74" s="51">
        <f t="shared" ref="DW74" si="508">IFERROR((CA36/CA17),0)</f>
        <v>0.52404863966407134</v>
      </c>
      <c r="DX74" s="51">
        <f t="shared" ref="DX74" si="509">IFERROR((CB36/CB17),0)</f>
        <v>0.46840644866706471</v>
      </c>
      <c r="DY74" s="51">
        <f t="shared" ref="DY74" si="510">IFERROR((CB36/CB17),0)</f>
        <v>0.46840644866706471</v>
      </c>
      <c r="DZ74" s="51">
        <f t="shared" ref="DZ74" si="511">IFERROR((CD55/CD17),0)</f>
        <v>0.52700087348211078</v>
      </c>
      <c r="EA74" s="51">
        <f t="shared" ref="EA74" si="512">IFERROR((CD36/CD17),0)</f>
        <v>0.47299912651788928</v>
      </c>
      <c r="EB74" s="51">
        <f t="shared" ref="EB74" si="513">IFERROR((CE55/CE17),0)</f>
        <v>0.45942505398175898</v>
      </c>
      <c r="EC74" s="51">
        <f t="shared" ref="EC74" si="514">IFERROR((CE36/CE17),0)</f>
        <v>0.54057494601824096</v>
      </c>
      <c r="ED74" s="51">
        <f t="shared" ref="ED74" si="515">IFERROR((CF55/CF17),0)</f>
        <v>0.45136137392309755</v>
      </c>
      <c r="EE74" s="51">
        <f t="shared" ref="EE74" si="516">IFERROR((CF36/CF17),0)</f>
        <v>0.5486386260769025</v>
      </c>
      <c r="EF74" s="51">
        <f t="shared" ref="EF74" si="517">IFERROR((CG55/CG17),0)</f>
        <v>0.49866135786366445</v>
      </c>
      <c r="EG74" s="51">
        <f t="shared" ref="EG74" si="518">IFERROR((CG36/CG17),0)</f>
        <v>0.5013386421363355</v>
      </c>
      <c r="EH74" s="51">
        <f t="shared" ref="EH74" si="519">IFERROR((CI55/CI17),0)</f>
        <v>0.49952836165509862</v>
      </c>
      <c r="EI74" s="51">
        <f t="shared" ref="EI74" si="520">IFERROR((CI36/CI17),0)</f>
        <v>0.50047163834490138</v>
      </c>
      <c r="EJ74" s="51">
        <f t="shared" ref="EJ74" si="521">IFERROR((CJ55/CJ17),0)</f>
        <v>0.47572495920762603</v>
      </c>
      <c r="EK74" s="51">
        <f t="shared" ref="EK74" si="522">IFERROR((CJ36/CJ17),0)</f>
        <v>0.52427504079237397</v>
      </c>
      <c r="EL74" s="51">
        <f t="shared" ref="EL74" si="523">IFERROR((CK55/CK17),0)</f>
        <v>0.508989452375879</v>
      </c>
      <c r="EM74" s="51">
        <f t="shared" ref="EM74" si="524">IFERROR((CK36/CK17),0)</f>
        <v>0.49101054762412105</v>
      </c>
      <c r="EN74" s="51">
        <f t="shared" ref="EN74" si="525">IFERROR((CL55/CL17),0)</f>
        <v>0.54573365231259963</v>
      </c>
      <c r="EO74" s="51">
        <f t="shared" ref="EO74" si="526">IFERROR((CL36/CL17),0)</f>
        <v>0.45426634768740032</v>
      </c>
      <c r="EP74" s="51">
        <f t="shared" ref="EP74" si="527">IFERROR((CN55/CN17),0)</f>
        <v>0.55336020741639402</v>
      </c>
      <c r="EQ74" s="51">
        <f t="shared" ref="EQ74" si="528">IFERROR((CN36/CN17),0)</f>
        <v>0.44663979258360609</v>
      </c>
      <c r="ER74" s="51">
        <f t="shared" ref="ER74" si="529">IFERROR((CO55/CO17),0)</f>
        <v>0.50140316220946524</v>
      </c>
      <c r="ES74" s="51">
        <f t="shared" ref="ES74" si="530">IFERROR((CO36/CO17),0)</f>
        <v>0.49859683779053482</v>
      </c>
      <c r="ET74" s="51">
        <f t="shared" ref="ET74" si="531">IFERROR((CP55/CP17),0)</f>
        <v>0.52036315361226504</v>
      </c>
      <c r="EU74" s="51">
        <f t="shared" ref="EU74" si="532">IFERROR((CP36/CP17),0)</f>
        <v>0.47963684638773502</v>
      </c>
      <c r="EV74" s="51">
        <f t="shared" ref="EV74" si="533">IFERROR((CQ55/CQ17),0)</f>
        <v>0.55314280141756045</v>
      </c>
      <c r="EW74" s="51">
        <f t="shared" ref="EW74" si="534">IFERROR((CQ36/CQ17),0)</f>
        <v>0.44685719858243966</v>
      </c>
      <c r="EX74" s="51">
        <f t="shared" ref="EX74" si="535">IFERROR((CS55/CS17),0)</f>
        <v>0.54863598416502846</v>
      </c>
      <c r="EY74" s="51">
        <f t="shared" ref="EY74" si="536">IFERROR((CS36/CS17),0)</f>
        <v>0.4513640158349716</v>
      </c>
      <c r="EZ74" s="51">
        <f t="shared" ref="EZ74" si="537">IFERROR((CT55/CT17),0)</f>
        <v>0.50513849466575311</v>
      </c>
      <c r="FA74" s="51">
        <f t="shared" ref="FA74" si="538">IFERROR((CT36/CT17),0)</f>
        <v>0.49486150533424683</v>
      </c>
      <c r="FB74" s="51">
        <f t="shared" ref="FB74" si="539">IFERROR((CU55/CU17),0)</f>
        <v>0.51230284753542743</v>
      </c>
      <c r="FC74" s="51">
        <f t="shared" ref="FC74" si="540">IFERROR((CU36/CU17),0)</f>
        <v>0.48769715246457263</v>
      </c>
      <c r="FD74" s="51">
        <f t="shared" ref="FD74" si="541">IFERROR((CV55/CV17),0)</f>
        <v>0.54707869951577714</v>
      </c>
      <c r="FE74" s="51">
        <f t="shared" ref="FE74" si="542">IFERROR((CV36/CV17),0)</f>
        <v>0.45292130048422286</v>
      </c>
      <c r="FF74" s="51">
        <f t="shared" ref="FF74" si="543">IFERROR((CX55/CX17),0)</f>
        <v>0.55124617171823842</v>
      </c>
      <c r="FG74" s="51">
        <f t="shared" ref="FG74" si="544">IFERROR((CX36/CX17),0)</f>
        <v>0.44875382828176152</v>
      </c>
      <c r="FH74" s="51">
        <f t="shared" ref="FH74" si="545">IFERROR((CY55/CY17),0)</f>
        <v>0.51167381089162878</v>
      </c>
      <c r="FI74" s="51">
        <f t="shared" ref="FI74" si="546">IFERROR((CY36/CY17),0)</f>
        <v>0.48832618910837128</v>
      </c>
      <c r="FJ74" s="51">
        <f t="shared" ref="FJ74" si="547">IFERROR((CZ55/CZ17),0)</f>
        <v>0.52030546843038317</v>
      </c>
      <c r="FK74" s="51">
        <f t="shared" ref="FK74" si="548">IFERROR((CZ36/CZ17),0)</f>
        <v>0.47969453156961678</v>
      </c>
      <c r="FL74" s="51">
        <f t="shared" ref="FL74" si="549">IFERROR((DA55/DA17),0)</f>
        <v>0.55987731211743752</v>
      </c>
      <c r="FM74" s="51">
        <f t="shared" ref="FM74" si="550">IFERROR((DA36/DA17),0)</f>
        <v>0.44012268788256254</v>
      </c>
      <c r="FN74" s="51">
        <f t="shared" ref="FN74" si="551">IFERROR((DC55/DC17),0)</f>
        <v>0.57250881300287937</v>
      </c>
      <c r="FO74" s="51">
        <f t="shared" ref="FO74" si="552">IFERROR((DC36/DC17),0)</f>
        <v>0.42749118699712063</v>
      </c>
      <c r="FP74" s="51">
        <f t="shared" ref="FP74" si="553">IFERROR((DD55/DD17),0)</f>
        <v>0.48277542269648688</v>
      </c>
      <c r="FQ74" s="51">
        <f t="shared" ref="FQ74" si="554">IFERROR((DD36/DD17),0)</f>
        <v>0.51722457730351312</v>
      </c>
      <c r="FR74" s="51">
        <f t="shared" ref="FR74" si="555">IFERROR((DE55/DE17),0)</f>
        <v>0.46293081275720166</v>
      </c>
      <c r="FS74" s="51">
        <f t="shared" ref="FS74" si="556">IFERROR((DE36/DE17),0)</f>
        <v>0.5370691872427984</v>
      </c>
      <c r="FT74" s="51">
        <f t="shared" ref="FT74" si="557">IFERROR((DF55/DF17),0)</f>
        <v>0.49805937487096907</v>
      </c>
      <c r="FU74" s="51">
        <f t="shared" ref="FU74" si="558">IFERROR((DF36/DF17),0)</f>
        <v>0.50194062512903093</v>
      </c>
      <c r="FV74" s="51">
        <f t="shared" ref="FV74" si="559">IFERROR((DH55/DH17),0)</f>
        <v>0.48390249319784551</v>
      </c>
      <c r="FW74" s="51">
        <f t="shared" ref="FW74" si="560">IFERROR((DH36/DH17),0)</f>
        <v>0.51609750680215449</v>
      </c>
      <c r="FX74" s="51">
        <f t="shared" ref="FX74" si="561">IFERROR((DI55/DI17),0)</f>
        <v>0.34990603349134669</v>
      </c>
      <c r="FY74" s="51">
        <f t="shared" ref="FY74" si="562">IFERROR((DI36/DI17),0)</f>
        <v>0.65009396650865336</v>
      </c>
      <c r="FZ74" s="51">
        <f t="shared" ref="FZ74" si="563">IFERROR((DJ55/DJ17),0)</f>
        <v>0.42191464821222607</v>
      </c>
      <c r="GA74" s="51">
        <f t="shared" ref="GA74" si="564">IFERROR((DJ36/DJ17),0)</f>
        <v>0.57808535178777398</v>
      </c>
      <c r="GB74" s="51">
        <f t="shared" ref="GB74" si="565">IFERROR((DK55/DK17),0)</f>
        <v>0.47040220075902089</v>
      </c>
      <c r="GC74" s="51">
        <f t="shared" ref="GC74" si="566">IFERROR((DK36/DK17),0)</f>
        <v>0.52959779924097905</v>
      </c>
      <c r="GD74" s="51">
        <f t="shared" ref="GD74" si="567">IFERROR((DM55/DM17),0)</f>
        <v>0.42799971774478079</v>
      </c>
      <c r="GE74" s="51">
        <f t="shared" ref="GE74" si="568">IFERROR((DM36/DM17),0)</f>
        <v>0.57200028225521915</v>
      </c>
      <c r="GF74" s="51">
        <f t="shared" ref="GF74" si="569">IFERROR((DN55/DN17),0)</f>
        <v>0.38773466088836439</v>
      </c>
      <c r="GG74" s="51">
        <f t="shared" ref="GG74" si="570">IFERROR((DN36/DN17),0)</f>
        <v>0.61226533911163561</v>
      </c>
      <c r="GH74" s="51">
        <f t="shared" ref="GH74" si="571">IFERROR((DO55/DO17),0)</f>
        <v>0.41868124690931824</v>
      </c>
      <c r="GI74" s="51">
        <f t="shared" ref="GI74" si="572">IFERROR((DO36/DO17),0)</f>
        <v>0.58131875309068182</v>
      </c>
      <c r="GJ74" s="51">
        <f t="shared" ref="GJ74" si="573">IFERROR((DP55/DP17),0)</f>
        <v>0.45172112158875721</v>
      </c>
      <c r="GK74" s="51">
        <f t="shared" ref="GK74" si="574">IFERROR((DP36/DP17),0)</f>
        <v>0.54827887841124279</v>
      </c>
      <c r="GL74" s="51">
        <f t="shared" ref="GL74" si="575">IFERROR((DR55/DR17),0)</f>
        <v>0.44984347352660953</v>
      </c>
      <c r="GM74" s="51">
        <f t="shared" ref="GM74" si="576">IFERROR((DR36/DR17),0)</f>
        <v>0.55015652647339053</v>
      </c>
      <c r="GN74" s="51">
        <f t="shared" ref="GN74" si="577">IFERROR((DS55/DS17),0)</f>
        <v>0.42205804188370361</v>
      </c>
      <c r="GO74" s="51">
        <f t="shared" ref="GO74" si="578">IFERROR((DS36/DS17),0)</f>
        <v>0.57794195811629634</v>
      </c>
      <c r="GP74" s="51">
        <f t="shared" ref="GP74" si="579">IFERROR((DT55/DT17),0)</f>
        <v>0.42963571185388422</v>
      </c>
      <c r="GQ74" s="51">
        <f t="shared" ref="GQ74" si="580">IFERROR((DT36/DT17),0)</f>
        <v>0.57036428814611584</v>
      </c>
      <c r="GR74" s="51">
        <f t="shared" ref="GR74" si="581">IFERROR((DU55/DU17),0)</f>
        <v>0.43798644041564766</v>
      </c>
      <c r="GS74" s="51">
        <f t="shared" ref="GS74" si="582">IFERROR((DU36/DU17),0)</f>
        <v>0.5620135595843524</v>
      </c>
      <c r="GT74" s="51">
        <f t="shared" ref="GT74" si="583">IFERROR((DW55/DW17),0)</f>
        <v>0.44180780258478919</v>
      </c>
      <c r="GU74" s="51">
        <f t="shared" ref="GU74" si="584">IFERROR((DW36/DW17),0)</f>
        <v>0.55819219741521087</v>
      </c>
      <c r="GV74" s="51">
        <f t="shared" ref="GV74" si="585">IFERROR((DX55/DX17),0)</f>
        <v>0.39990697674418607</v>
      </c>
      <c r="GW74" s="51">
        <f t="shared" ref="GW74" si="586">IFERROR((DX36/DX17),0)</f>
        <v>0.60009302325581393</v>
      </c>
      <c r="GX74" s="51">
        <f t="shared" ref="GX74" si="587">IFERROR((DY55/DY17),0)</f>
        <v>0.39767686486949061</v>
      </c>
      <c r="GY74" s="51">
        <f t="shared" ref="GY74" si="588">IFERROR((DY36/DY17),0)</f>
        <v>0.60232313513050928</v>
      </c>
      <c r="GZ74" s="51">
        <f t="shared" ref="GZ74" si="589">IFERROR((DZ55/DZ17),0)</f>
        <v>0.40356294226701833</v>
      </c>
      <c r="HA74" s="51">
        <f t="shared" ref="HA74" si="590">IFERROR((DZ36/DZ17),0)</f>
        <v>0.59643705773298172</v>
      </c>
      <c r="HB74" s="51">
        <f t="shared" ref="HB74" si="591">IFERROR((EB55/EB17),0)</f>
        <v>0.41219810332321416</v>
      </c>
      <c r="HC74" s="51">
        <f t="shared" ref="HC74" si="592">IFERROR((EB36/EB17),0)</f>
        <v>0.58780189667678584</v>
      </c>
      <c r="HD74" s="51">
        <f t="shared" ref="HD74" si="593">IFERROR((EC55/EC17),0)</f>
        <v>0.37511998793470097</v>
      </c>
      <c r="HE74" s="51">
        <f t="shared" ref="HE74" si="594">IFERROR((EC36/EC17),0)</f>
        <v>0.6248800120652992</v>
      </c>
      <c r="HF74" s="51">
        <f t="shared" si="373"/>
        <v>0.37458014457401778</v>
      </c>
      <c r="HG74" s="51">
        <f t="shared" si="374"/>
        <v>0.62541985542598244</v>
      </c>
      <c r="HH74" s="51">
        <f t="shared" si="375"/>
        <v>0.39367126831288102</v>
      </c>
      <c r="HI74" s="51">
        <f t="shared" si="376"/>
        <v>0.60632873168711898</v>
      </c>
      <c r="HJ74" s="51">
        <f t="shared" si="377"/>
        <v>0.40218328231696571</v>
      </c>
      <c r="HK74" s="51">
        <f t="shared" si="378"/>
        <v>0.59781671768303446</v>
      </c>
      <c r="HL74" s="51">
        <f t="shared" si="379"/>
        <v>0.41503783225333446</v>
      </c>
      <c r="HM74" s="51">
        <f t="shared" si="380"/>
        <v>0.58496216774666565</v>
      </c>
      <c r="HN74" s="51">
        <f t="shared" si="382"/>
        <v>0.40952252751507351</v>
      </c>
      <c r="HO74" s="51">
        <f t="shared" si="381"/>
        <v>0.59047747248492655</v>
      </c>
    </row>
    <row r="77" spans="1:223" x14ac:dyDescent="0.3">
      <c r="A77" s="3" t="s">
        <v>357</v>
      </c>
      <c r="B77" s="6" t="s">
        <v>4</v>
      </c>
      <c r="C77" s="6" t="s">
        <v>5</v>
      </c>
      <c r="D77" s="6" t="s">
        <v>6</v>
      </c>
      <c r="E77" s="6" t="s">
        <v>7</v>
      </c>
      <c r="F77" s="6">
        <v>1998</v>
      </c>
      <c r="G77" s="6" t="s">
        <v>8</v>
      </c>
      <c r="H77" s="6" t="s">
        <v>9</v>
      </c>
      <c r="I77" s="6" t="s">
        <v>10</v>
      </c>
      <c r="J77" s="6" t="s">
        <v>11</v>
      </c>
      <c r="K77" s="6">
        <v>1999</v>
      </c>
      <c r="L77" s="6" t="s">
        <v>12</v>
      </c>
      <c r="M77" s="6" t="s">
        <v>13</v>
      </c>
      <c r="N77" s="6" t="s">
        <v>14</v>
      </c>
      <c r="O77" s="6" t="s">
        <v>15</v>
      </c>
      <c r="P77" s="6">
        <v>2000</v>
      </c>
      <c r="Q77" s="6" t="s">
        <v>16</v>
      </c>
      <c r="R77" s="6" t="s">
        <v>17</v>
      </c>
      <c r="S77" s="6" t="s">
        <v>18</v>
      </c>
      <c r="T77" s="6" t="s">
        <v>19</v>
      </c>
      <c r="U77" s="6">
        <v>2001</v>
      </c>
      <c r="V77" s="6" t="s">
        <v>20</v>
      </c>
      <c r="W77" s="6" t="s">
        <v>21</v>
      </c>
      <c r="X77" s="6" t="s">
        <v>22</v>
      </c>
      <c r="Y77" s="6" t="s">
        <v>23</v>
      </c>
      <c r="Z77" s="6">
        <v>2002</v>
      </c>
      <c r="AA77" s="6" t="s">
        <v>24</v>
      </c>
      <c r="AB77" s="6" t="s">
        <v>25</v>
      </c>
      <c r="AC77" s="6" t="s">
        <v>26</v>
      </c>
      <c r="AD77" s="6" t="s">
        <v>27</v>
      </c>
      <c r="AE77" s="6">
        <v>2003</v>
      </c>
      <c r="AF77" s="6" t="s">
        <v>28</v>
      </c>
      <c r="AG77" s="6" t="s">
        <v>29</v>
      </c>
      <c r="AH77" s="6" t="s">
        <v>30</v>
      </c>
      <c r="AI77" s="6" t="s">
        <v>31</v>
      </c>
      <c r="AJ77" s="6">
        <v>2004</v>
      </c>
      <c r="AK77" s="6" t="s">
        <v>32</v>
      </c>
      <c r="AL77" s="6" t="s">
        <v>33</v>
      </c>
      <c r="AM77" s="6" t="s">
        <v>34</v>
      </c>
      <c r="AN77" s="6" t="s">
        <v>35</v>
      </c>
      <c r="AO77" s="6">
        <v>2005</v>
      </c>
      <c r="AP77" s="6" t="s">
        <v>36</v>
      </c>
      <c r="AQ77" s="6" t="s">
        <v>37</v>
      </c>
      <c r="AR77" s="6" t="s">
        <v>38</v>
      </c>
      <c r="AS77" s="6" t="s">
        <v>39</v>
      </c>
      <c r="AT77" s="6">
        <v>2006</v>
      </c>
      <c r="AU77" s="6" t="s">
        <v>40</v>
      </c>
      <c r="AV77" s="6" t="s">
        <v>41</v>
      </c>
      <c r="AW77" s="6" t="s">
        <v>42</v>
      </c>
      <c r="AX77" s="6" t="s">
        <v>43</v>
      </c>
      <c r="AY77" s="6">
        <v>2007</v>
      </c>
      <c r="AZ77" s="6" t="s">
        <v>44</v>
      </c>
      <c r="BA77" s="6" t="s">
        <v>45</v>
      </c>
      <c r="BB77" s="6" t="s">
        <v>46</v>
      </c>
      <c r="BC77" s="6" t="s">
        <v>47</v>
      </c>
      <c r="BD77" s="6">
        <v>2008</v>
      </c>
      <c r="BE77" s="6" t="s">
        <v>48</v>
      </c>
      <c r="BF77" s="6" t="s">
        <v>49</v>
      </c>
      <c r="BG77" s="6" t="s">
        <v>50</v>
      </c>
      <c r="BH77" s="6" t="s">
        <v>51</v>
      </c>
      <c r="BI77" s="6">
        <v>2009</v>
      </c>
      <c r="BJ77" s="6" t="s">
        <v>52</v>
      </c>
      <c r="BK77" s="6" t="s">
        <v>53</v>
      </c>
      <c r="BL77" s="6" t="s">
        <v>54</v>
      </c>
      <c r="BM77" s="6" t="s">
        <v>55</v>
      </c>
      <c r="BN77" s="6">
        <v>2010</v>
      </c>
      <c r="BO77" s="6" t="s">
        <v>56</v>
      </c>
      <c r="BP77" s="6" t="s">
        <v>57</v>
      </c>
      <c r="BQ77" s="6" t="s">
        <v>58</v>
      </c>
      <c r="BR77" s="6" t="s">
        <v>59</v>
      </c>
      <c r="BS77" s="6">
        <v>2011</v>
      </c>
      <c r="BT77" s="6" t="s">
        <v>60</v>
      </c>
      <c r="BU77" s="6" t="s">
        <v>61</v>
      </c>
      <c r="BV77" s="6" t="s">
        <v>62</v>
      </c>
      <c r="BW77" s="6" t="s">
        <v>63</v>
      </c>
      <c r="BX77" s="6">
        <v>2012</v>
      </c>
      <c r="BY77" s="6" t="s">
        <v>64</v>
      </c>
      <c r="BZ77" s="6" t="s">
        <v>65</v>
      </c>
      <c r="CA77" s="6" t="s">
        <v>66</v>
      </c>
      <c r="CB77" s="6" t="s">
        <v>67</v>
      </c>
      <c r="CC77" s="6">
        <v>2013</v>
      </c>
      <c r="CD77" s="6" t="s">
        <v>68</v>
      </c>
      <c r="CE77" s="6" t="s">
        <v>69</v>
      </c>
      <c r="CF77" s="6" t="s">
        <v>70</v>
      </c>
      <c r="CG77" s="6" t="s">
        <v>71</v>
      </c>
      <c r="CH77" s="6">
        <v>2014</v>
      </c>
      <c r="CI77" s="6" t="s">
        <v>72</v>
      </c>
      <c r="CJ77" s="6" t="s">
        <v>73</v>
      </c>
      <c r="CK77" s="6" t="s">
        <v>74</v>
      </c>
      <c r="CL77" s="6" t="s">
        <v>75</v>
      </c>
      <c r="CM77" s="6">
        <v>2015</v>
      </c>
      <c r="CN77" s="6" t="s">
        <v>76</v>
      </c>
      <c r="CO77" s="6" t="s">
        <v>77</v>
      </c>
      <c r="CP77" s="6" t="s">
        <v>78</v>
      </c>
      <c r="CQ77" s="6" t="s">
        <v>79</v>
      </c>
      <c r="CR77" s="6">
        <v>2016</v>
      </c>
      <c r="CS77" s="6" t="s">
        <v>80</v>
      </c>
      <c r="CT77" s="6" t="s">
        <v>81</v>
      </c>
      <c r="CU77" s="6" t="s">
        <v>82</v>
      </c>
      <c r="CV77" s="6" t="s">
        <v>83</v>
      </c>
      <c r="CW77" s="6">
        <v>2017</v>
      </c>
      <c r="CX77" s="6" t="s">
        <v>84</v>
      </c>
      <c r="CY77" s="6" t="s">
        <v>85</v>
      </c>
      <c r="CZ77" s="6" t="s">
        <v>86</v>
      </c>
      <c r="DA77" s="6" t="s">
        <v>87</v>
      </c>
      <c r="DB77" s="6">
        <v>2018</v>
      </c>
      <c r="DC77" s="6" t="s">
        <v>88</v>
      </c>
      <c r="DD77" s="6" t="s">
        <v>89</v>
      </c>
      <c r="DE77" s="6" t="s">
        <v>90</v>
      </c>
      <c r="DF77" s="6" t="s">
        <v>91</v>
      </c>
      <c r="DG77" s="6">
        <v>2019</v>
      </c>
      <c r="DH77" s="6" t="s">
        <v>92</v>
      </c>
      <c r="DI77" s="6" t="s">
        <v>93</v>
      </c>
      <c r="DJ77" s="6" t="s">
        <v>94</v>
      </c>
      <c r="DK77" s="6" t="s">
        <v>95</v>
      </c>
      <c r="DL77" s="6">
        <v>2020</v>
      </c>
      <c r="DM77" s="6" t="s">
        <v>96</v>
      </c>
      <c r="DN77" s="6" t="s">
        <v>97</v>
      </c>
      <c r="DO77" s="6" t="s">
        <v>98</v>
      </c>
      <c r="DP77" s="6" t="s">
        <v>99</v>
      </c>
      <c r="DQ77" s="6">
        <v>2021</v>
      </c>
      <c r="DR77" s="6" t="s">
        <v>100</v>
      </c>
      <c r="DS77" s="6" t="s">
        <v>101</v>
      </c>
      <c r="DT77" s="6" t="s">
        <v>200</v>
      </c>
      <c r="DU77" s="6" t="s">
        <v>380</v>
      </c>
      <c r="DV77" s="6">
        <v>2022</v>
      </c>
      <c r="DW77" s="6" t="s">
        <v>379</v>
      </c>
      <c r="DX77" s="6" t="s">
        <v>402</v>
      </c>
      <c r="DY77" s="6" t="s">
        <v>414</v>
      </c>
      <c r="DZ77" s="6" t="s">
        <v>419</v>
      </c>
      <c r="EA77" s="6">
        <v>2023</v>
      </c>
      <c r="EB77" s="6" t="s">
        <v>424</v>
      </c>
      <c r="EC77" s="6" t="s">
        <v>429</v>
      </c>
      <c r="ED77" s="6" t="str">
        <f>$ED$1</f>
        <v>3T24</v>
      </c>
      <c r="EE77" s="6" t="str">
        <f t="shared" ref="EE77:EG78" si="595">EE39</f>
        <v>4T24</v>
      </c>
      <c r="EF77" s="6">
        <f t="shared" si="595"/>
        <v>2024</v>
      </c>
      <c r="EG77" s="6" t="str">
        <f t="shared" si="595"/>
        <v>1T25</v>
      </c>
      <c r="EH77" s="6" t="str">
        <f t="shared" ref="EH77:EI77" si="596">EH39</f>
        <v>2T25</v>
      </c>
      <c r="EI77" s="6" t="str">
        <f t="shared" si="596"/>
        <v>3T25</v>
      </c>
    </row>
    <row r="78" spans="1:223" ht="15" thickBot="1" x14ac:dyDescent="0.35">
      <c r="A78" s="4" t="s">
        <v>358</v>
      </c>
      <c r="B78" s="7" t="s">
        <v>102</v>
      </c>
      <c r="C78" s="7" t="s">
        <v>103</v>
      </c>
      <c r="D78" s="7" t="s">
        <v>104</v>
      </c>
      <c r="E78" s="7" t="s">
        <v>105</v>
      </c>
      <c r="F78" s="7">
        <v>1998</v>
      </c>
      <c r="G78" s="7" t="s">
        <v>106</v>
      </c>
      <c r="H78" s="7" t="s">
        <v>107</v>
      </c>
      <c r="I78" s="7" t="s">
        <v>108</v>
      </c>
      <c r="J78" s="7" t="s">
        <v>109</v>
      </c>
      <c r="K78" s="7">
        <v>1999</v>
      </c>
      <c r="L78" s="7" t="s">
        <v>110</v>
      </c>
      <c r="M78" s="7" t="s">
        <v>111</v>
      </c>
      <c r="N78" s="7" t="s">
        <v>112</v>
      </c>
      <c r="O78" s="7" t="s">
        <v>113</v>
      </c>
      <c r="P78" s="7">
        <v>2000</v>
      </c>
      <c r="Q78" s="7" t="s">
        <v>114</v>
      </c>
      <c r="R78" s="7" t="s">
        <v>115</v>
      </c>
      <c r="S78" s="7" t="s">
        <v>116</v>
      </c>
      <c r="T78" s="7" t="s">
        <v>117</v>
      </c>
      <c r="U78" s="7">
        <v>2001</v>
      </c>
      <c r="V78" s="7" t="s">
        <v>118</v>
      </c>
      <c r="W78" s="7" t="s">
        <v>119</v>
      </c>
      <c r="X78" s="7" t="s">
        <v>120</v>
      </c>
      <c r="Y78" s="7" t="s">
        <v>121</v>
      </c>
      <c r="Z78" s="7">
        <v>2002</v>
      </c>
      <c r="AA78" s="7" t="s">
        <v>122</v>
      </c>
      <c r="AB78" s="7" t="s">
        <v>123</v>
      </c>
      <c r="AC78" s="7" t="s">
        <v>124</v>
      </c>
      <c r="AD78" s="7" t="s">
        <v>125</v>
      </c>
      <c r="AE78" s="7">
        <v>2003</v>
      </c>
      <c r="AF78" s="7" t="s">
        <v>126</v>
      </c>
      <c r="AG78" s="7" t="s">
        <v>127</v>
      </c>
      <c r="AH78" s="7" t="s">
        <v>128</v>
      </c>
      <c r="AI78" s="7" t="s">
        <v>129</v>
      </c>
      <c r="AJ78" s="7">
        <v>2004</v>
      </c>
      <c r="AK78" s="7" t="s">
        <v>130</v>
      </c>
      <c r="AL78" s="7" t="s">
        <v>131</v>
      </c>
      <c r="AM78" s="7" t="s">
        <v>132</v>
      </c>
      <c r="AN78" s="7" t="s">
        <v>133</v>
      </c>
      <c r="AO78" s="7">
        <v>2005</v>
      </c>
      <c r="AP78" s="7" t="s">
        <v>134</v>
      </c>
      <c r="AQ78" s="7" t="s">
        <v>135</v>
      </c>
      <c r="AR78" s="7" t="s">
        <v>136</v>
      </c>
      <c r="AS78" s="7" t="s">
        <v>137</v>
      </c>
      <c r="AT78" s="7">
        <v>2006</v>
      </c>
      <c r="AU78" s="7" t="s">
        <v>138</v>
      </c>
      <c r="AV78" s="7" t="s">
        <v>139</v>
      </c>
      <c r="AW78" s="7" t="s">
        <v>140</v>
      </c>
      <c r="AX78" s="7" t="s">
        <v>141</v>
      </c>
      <c r="AY78" s="7">
        <v>2007</v>
      </c>
      <c r="AZ78" s="7" t="s">
        <v>142</v>
      </c>
      <c r="BA78" s="7" t="s">
        <v>143</v>
      </c>
      <c r="BB78" s="7" t="s">
        <v>144</v>
      </c>
      <c r="BC78" s="7" t="s">
        <v>145</v>
      </c>
      <c r="BD78" s="7">
        <v>2008</v>
      </c>
      <c r="BE78" s="7" t="s">
        <v>146</v>
      </c>
      <c r="BF78" s="7" t="s">
        <v>147</v>
      </c>
      <c r="BG78" s="7" t="s">
        <v>148</v>
      </c>
      <c r="BH78" s="7" t="s">
        <v>149</v>
      </c>
      <c r="BI78" s="7">
        <v>2009</v>
      </c>
      <c r="BJ78" s="7" t="s">
        <v>150</v>
      </c>
      <c r="BK78" s="7" t="s">
        <v>151</v>
      </c>
      <c r="BL78" s="7" t="s">
        <v>152</v>
      </c>
      <c r="BM78" s="7" t="s">
        <v>153</v>
      </c>
      <c r="BN78" s="7">
        <v>2010</v>
      </c>
      <c r="BO78" s="7" t="s">
        <v>154</v>
      </c>
      <c r="BP78" s="7" t="s">
        <v>155</v>
      </c>
      <c r="BQ78" s="7" t="s">
        <v>156</v>
      </c>
      <c r="BR78" s="7" t="s">
        <v>157</v>
      </c>
      <c r="BS78" s="7">
        <v>2011</v>
      </c>
      <c r="BT78" s="7" t="s">
        <v>158</v>
      </c>
      <c r="BU78" s="7" t="s">
        <v>159</v>
      </c>
      <c r="BV78" s="7" t="s">
        <v>160</v>
      </c>
      <c r="BW78" s="7" t="s">
        <v>161</v>
      </c>
      <c r="BX78" s="7">
        <v>2012</v>
      </c>
      <c r="BY78" s="7" t="s">
        <v>162</v>
      </c>
      <c r="BZ78" s="7" t="s">
        <v>163</v>
      </c>
      <c r="CA78" s="7" t="s">
        <v>164</v>
      </c>
      <c r="CB78" s="7" t="s">
        <v>165</v>
      </c>
      <c r="CC78" s="7">
        <v>2013</v>
      </c>
      <c r="CD78" s="7" t="s">
        <v>166</v>
      </c>
      <c r="CE78" s="7" t="s">
        <v>167</v>
      </c>
      <c r="CF78" s="7" t="s">
        <v>168</v>
      </c>
      <c r="CG78" s="7" t="s">
        <v>169</v>
      </c>
      <c r="CH78" s="7">
        <v>2014</v>
      </c>
      <c r="CI78" s="7" t="s">
        <v>170</v>
      </c>
      <c r="CJ78" s="7" t="s">
        <v>171</v>
      </c>
      <c r="CK78" s="7" t="s">
        <v>172</v>
      </c>
      <c r="CL78" s="7" t="s">
        <v>173</v>
      </c>
      <c r="CM78" s="7">
        <v>2015</v>
      </c>
      <c r="CN78" s="7" t="s">
        <v>174</v>
      </c>
      <c r="CO78" s="7" t="s">
        <v>175</v>
      </c>
      <c r="CP78" s="7" t="s">
        <v>176</v>
      </c>
      <c r="CQ78" s="7" t="s">
        <v>177</v>
      </c>
      <c r="CR78" s="7">
        <v>2016</v>
      </c>
      <c r="CS78" s="7" t="s">
        <v>178</v>
      </c>
      <c r="CT78" s="7" t="s">
        <v>179</v>
      </c>
      <c r="CU78" s="7" t="s">
        <v>180</v>
      </c>
      <c r="CV78" s="7" t="s">
        <v>181</v>
      </c>
      <c r="CW78" s="7">
        <v>2017</v>
      </c>
      <c r="CX78" s="7" t="s">
        <v>182</v>
      </c>
      <c r="CY78" s="7" t="s">
        <v>183</v>
      </c>
      <c r="CZ78" s="7" t="s">
        <v>184</v>
      </c>
      <c r="DA78" s="7" t="s">
        <v>185</v>
      </c>
      <c r="DB78" s="7">
        <v>2018</v>
      </c>
      <c r="DC78" s="7" t="s">
        <v>186</v>
      </c>
      <c r="DD78" s="7" t="s">
        <v>187</v>
      </c>
      <c r="DE78" s="7" t="s">
        <v>188</v>
      </c>
      <c r="DF78" s="7" t="s">
        <v>189</v>
      </c>
      <c r="DG78" s="7">
        <v>2019</v>
      </c>
      <c r="DH78" s="7" t="s">
        <v>190</v>
      </c>
      <c r="DI78" s="7" t="s">
        <v>191</v>
      </c>
      <c r="DJ78" s="7" t="s">
        <v>192</v>
      </c>
      <c r="DK78" s="7" t="s">
        <v>193</v>
      </c>
      <c r="DL78" s="7">
        <v>2020</v>
      </c>
      <c r="DM78" s="7" t="s">
        <v>194</v>
      </c>
      <c r="DN78" s="7" t="s">
        <v>195</v>
      </c>
      <c r="DO78" s="7" t="s">
        <v>196</v>
      </c>
      <c r="DP78" s="7" t="s">
        <v>197</v>
      </c>
      <c r="DQ78" s="7">
        <v>2021</v>
      </c>
      <c r="DR78" s="7" t="s">
        <v>198</v>
      </c>
      <c r="DS78" s="7" t="s">
        <v>199</v>
      </c>
      <c r="DT78" s="7" t="s">
        <v>201</v>
      </c>
      <c r="DU78" s="7" t="s">
        <v>381</v>
      </c>
      <c r="DV78" s="7">
        <v>2022</v>
      </c>
      <c r="DW78" s="7" t="s">
        <v>382</v>
      </c>
      <c r="DX78" s="7" t="s">
        <v>403</v>
      </c>
      <c r="DY78" s="7" t="s">
        <v>415</v>
      </c>
      <c r="DZ78" s="7" t="s">
        <v>420</v>
      </c>
      <c r="EA78" s="7">
        <v>2023</v>
      </c>
      <c r="EB78" s="7" t="s">
        <v>425</v>
      </c>
      <c r="EC78" s="7" t="s">
        <v>430</v>
      </c>
      <c r="ED78" s="7" t="str">
        <f>$ED$2</f>
        <v>3Q24</v>
      </c>
      <c r="EE78" s="7" t="str">
        <f t="shared" si="595"/>
        <v>4Q24</v>
      </c>
      <c r="EF78" s="7">
        <f t="shared" si="595"/>
        <v>2024</v>
      </c>
      <c r="EG78" s="7" t="str">
        <f t="shared" si="595"/>
        <v>1Q25</v>
      </c>
      <c r="EH78" s="7" t="str">
        <f t="shared" ref="EH78:EI78" si="597">EH40</f>
        <v>2Q25</v>
      </c>
      <c r="EI78" s="7" t="str">
        <f t="shared" si="597"/>
        <v>3Q25</v>
      </c>
    </row>
    <row r="79" spans="1:223" ht="15" thickTop="1" x14ac:dyDescent="0.3">
      <c r="A79" s="1" t="s">
        <v>359</v>
      </c>
      <c r="B79" s="8">
        <v>0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8">
        <v>0</v>
      </c>
      <c r="BN79" s="8">
        <v>0</v>
      </c>
      <c r="BO79" s="8">
        <v>0</v>
      </c>
      <c r="BP79" s="8">
        <v>77761</v>
      </c>
      <c r="BQ79" s="8">
        <v>82198</v>
      </c>
      <c r="BR79" s="8">
        <v>69928</v>
      </c>
      <c r="BS79" s="8">
        <f>SUM(BO79:BR79)</f>
        <v>229887</v>
      </c>
      <c r="BT79" s="8">
        <v>70092</v>
      </c>
      <c r="BU79" s="8">
        <v>77750</v>
      </c>
      <c r="BV79" s="8">
        <v>82603</v>
      </c>
      <c r="BW79" s="8">
        <v>87750</v>
      </c>
      <c r="BX79" s="8">
        <f>SUM(BT79:BW79)</f>
        <v>318195</v>
      </c>
      <c r="BY79" s="8">
        <v>66715</v>
      </c>
      <c r="BZ79" s="8">
        <v>78769</v>
      </c>
      <c r="CA79" s="8">
        <v>118818</v>
      </c>
      <c r="CB79" s="8">
        <v>67405</v>
      </c>
      <c r="CC79" s="8">
        <f>SUM(BY79:CB79)</f>
        <v>331707</v>
      </c>
      <c r="CD79" s="8">
        <v>50969</v>
      </c>
      <c r="CE79" s="8">
        <v>55857</v>
      </c>
      <c r="CF79" s="8">
        <v>63279</v>
      </c>
      <c r="CG79" s="8">
        <v>62600</v>
      </c>
      <c r="CH79" s="8">
        <f>SUM(CD79:CG79)</f>
        <v>232705</v>
      </c>
      <c r="CI79" s="8">
        <v>41416</v>
      </c>
      <c r="CJ79" s="8">
        <v>33902</v>
      </c>
      <c r="CK79" s="8">
        <v>22069</v>
      </c>
      <c r="CL79" s="8">
        <v>6415</v>
      </c>
      <c r="CM79" s="8">
        <f>SUM(CI79:CL79)</f>
        <v>103802</v>
      </c>
      <c r="CN79" s="8">
        <v>181</v>
      </c>
      <c r="CO79" s="8">
        <v>143</v>
      </c>
      <c r="CP79" s="8">
        <v>12</v>
      </c>
      <c r="CQ79" s="8">
        <v>0</v>
      </c>
      <c r="CR79" s="8">
        <f>SUM(CN79:CQ79)</f>
        <v>336</v>
      </c>
      <c r="CS79" s="8">
        <v>0</v>
      </c>
      <c r="CT79" s="8">
        <v>0</v>
      </c>
      <c r="CU79" s="8">
        <v>0</v>
      </c>
      <c r="CV79" s="8">
        <v>0</v>
      </c>
      <c r="CW79" s="8">
        <f>SUM(CS79:CV79)</f>
        <v>0</v>
      </c>
      <c r="CX79" s="8">
        <v>0</v>
      </c>
      <c r="CY79" s="8">
        <v>85</v>
      </c>
      <c r="CZ79" s="8">
        <v>171</v>
      </c>
      <c r="DA79" s="8">
        <v>0</v>
      </c>
      <c r="DB79" s="8">
        <f>SUM(CX79:DA79)</f>
        <v>256</v>
      </c>
      <c r="DC79" s="8">
        <v>1840</v>
      </c>
      <c r="DD79" s="8">
        <v>4352</v>
      </c>
      <c r="DE79" s="8">
        <v>3200</v>
      </c>
      <c r="DF79" s="8">
        <v>2711</v>
      </c>
      <c r="DG79" s="8">
        <f>SUM(DC79:DF79)</f>
        <v>12103</v>
      </c>
      <c r="DH79" s="8">
        <v>2341</v>
      </c>
      <c r="DI79" s="8">
        <v>3604</v>
      </c>
      <c r="DJ79" s="8">
        <v>3101</v>
      </c>
      <c r="DK79" s="8">
        <v>4768</v>
      </c>
      <c r="DL79" s="8">
        <f>SUM(DH79:DK79)</f>
        <v>13814</v>
      </c>
      <c r="DM79" s="8">
        <v>6237</v>
      </c>
      <c r="DN79" s="8">
        <v>5694</v>
      </c>
      <c r="DO79" s="8">
        <v>7041</v>
      </c>
      <c r="DP79" s="8">
        <v>3840</v>
      </c>
      <c r="DQ79" s="8">
        <f>SUM(DM79:DP79)</f>
        <v>22812</v>
      </c>
      <c r="DR79" s="8">
        <v>5320</v>
      </c>
      <c r="DS79" s="8">
        <v>4155</v>
      </c>
      <c r="DT79" s="8">
        <v>6755</v>
      </c>
      <c r="DU79" s="8">
        <v>7116</v>
      </c>
      <c r="DV79" s="8">
        <f>SUM(DR79:DU79)</f>
        <v>23346</v>
      </c>
      <c r="DW79" s="8">
        <v>4338</v>
      </c>
      <c r="DX79" s="8">
        <v>4031</v>
      </c>
      <c r="DY79" s="8">
        <v>8318</v>
      </c>
      <c r="DZ79" s="8">
        <v>9089</v>
      </c>
      <c r="EA79" s="8">
        <f>SUM(DW79:DZ79)</f>
        <v>25776</v>
      </c>
      <c r="EB79" s="8">
        <v>10459</v>
      </c>
      <c r="EC79" s="8">
        <v>11054</v>
      </c>
      <c r="ED79" s="8">
        <f>SUM(ED80:ED81)</f>
        <v>5688</v>
      </c>
      <c r="EE79" s="8">
        <f>SUM(EE80:EE81)</f>
        <v>2872</v>
      </c>
      <c r="EF79" s="8">
        <f>SUM(EB79:EE79)</f>
        <v>30073</v>
      </c>
      <c r="EG79" s="8">
        <f>SUM(EG80:EG81)</f>
        <v>4723</v>
      </c>
      <c r="EH79" s="8">
        <f>SUM(EH80:EH81)</f>
        <v>6841</v>
      </c>
      <c r="EI79" s="8">
        <f>SUM(EI80:EI81)</f>
        <v>2872</v>
      </c>
    </row>
    <row r="80" spans="1:223" ht="15" thickBot="1" x14ac:dyDescent="0.35">
      <c r="A80" s="2" t="s">
        <v>368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56087</v>
      </c>
      <c r="BQ80" s="9">
        <v>62875</v>
      </c>
      <c r="BR80" s="9">
        <v>53911</v>
      </c>
      <c r="BS80" s="9">
        <f>SUM(BO80:BR80)</f>
        <v>172873</v>
      </c>
      <c r="BT80" s="9">
        <v>52293</v>
      </c>
      <c r="BU80" s="9">
        <v>58374</v>
      </c>
      <c r="BV80" s="9">
        <v>64929</v>
      </c>
      <c r="BW80" s="9">
        <v>68707</v>
      </c>
      <c r="BX80" s="9">
        <f>SUM(BT80:BW80)</f>
        <v>244303</v>
      </c>
      <c r="BY80" s="9">
        <v>52336</v>
      </c>
      <c r="BZ80" s="9">
        <v>62727</v>
      </c>
      <c r="CA80" s="9">
        <v>96208</v>
      </c>
      <c r="CB80" s="9">
        <v>54089</v>
      </c>
      <c r="CC80" s="9">
        <f>SUM(BY80:CB80)</f>
        <v>265360</v>
      </c>
      <c r="CD80" s="9">
        <v>40012</v>
      </c>
      <c r="CE80" s="9">
        <v>41153</v>
      </c>
      <c r="CF80" s="9">
        <v>48250</v>
      </c>
      <c r="CG80" s="9">
        <v>46180</v>
      </c>
      <c r="CH80" s="9">
        <f>SUM(CD80:CG80)</f>
        <v>175595</v>
      </c>
      <c r="CI80" s="9">
        <v>32245</v>
      </c>
      <c r="CJ80" s="9">
        <v>26296</v>
      </c>
      <c r="CK80" s="9">
        <v>16966</v>
      </c>
      <c r="CL80" s="9">
        <v>5145</v>
      </c>
      <c r="CM80" s="9">
        <f>SUM(CI80:CL80)</f>
        <v>80652</v>
      </c>
      <c r="CN80" s="9">
        <v>181</v>
      </c>
      <c r="CO80" s="9">
        <v>143</v>
      </c>
      <c r="CP80" s="9">
        <v>12</v>
      </c>
      <c r="CQ80" s="9">
        <v>0</v>
      </c>
      <c r="CR80" s="9">
        <f>SUM(CN80:CQ80)</f>
        <v>336</v>
      </c>
      <c r="CS80" s="9">
        <v>0</v>
      </c>
      <c r="CT80" s="9">
        <v>0</v>
      </c>
      <c r="CU80" s="9">
        <v>0</v>
      </c>
      <c r="CV80" s="9">
        <v>0</v>
      </c>
      <c r="CW80" s="9">
        <f>SUM(CS80:CV80)</f>
        <v>0</v>
      </c>
      <c r="CX80" s="9">
        <v>0</v>
      </c>
      <c r="CY80" s="9">
        <v>85</v>
      </c>
      <c r="CZ80" s="9">
        <v>171</v>
      </c>
      <c r="DA80" s="9">
        <v>0</v>
      </c>
      <c r="DB80" s="9">
        <f>SUM(CX80:DA80)</f>
        <v>256</v>
      </c>
      <c r="DC80" s="9">
        <v>955</v>
      </c>
      <c r="DD80" s="9">
        <v>2800</v>
      </c>
      <c r="DE80" s="9">
        <v>2103</v>
      </c>
      <c r="DF80" s="9">
        <v>1905</v>
      </c>
      <c r="DG80" s="9">
        <f>SUM(DC80:DF80)</f>
        <v>7763</v>
      </c>
      <c r="DH80" s="9">
        <v>1393</v>
      </c>
      <c r="DI80" s="9">
        <v>1839</v>
      </c>
      <c r="DJ80" s="9">
        <v>2207</v>
      </c>
      <c r="DK80" s="9">
        <v>1721</v>
      </c>
      <c r="DL80" s="9">
        <f>SUM(DH80:DK80)</f>
        <v>7160</v>
      </c>
      <c r="DM80" s="9">
        <v>3770</v>
      </c>
      <c r="DN80" s="9">
        <v>4697</v>
      </c>
      <c r="DO80" s="9">
        <v>4661</v>
      </c>
      <c r="DP80" s="9">
        <v>3372</v>
      </c>
      <c r="DQ80" s="9">
        <f>SUM(DM80:DP80)</f>
        <v>16500</v>
      </c>
      <c r="DR80" s="9">
        <v>4064</v>
      </c>
      <c r="DS80" s="9">
        <v>3508</v>
      </c>
      <c r="DT80" s="9">
        <v>5366</v>
      </c>
      <c r="DU80" s="9">
        <v>5442</v>
      </c>
      <c r="DV80" s="9">
        <f>SUM(DR80:DU80)</f>
        <v>18380</v>
      </c>
      <c r="DW80" s="9">
        <v>3012</v>
      </c>
      <c r="DX80" s="9">
        <v>2753</v>
      </c>
      <c r="DY80" s="9">
        <v>3802</v>
      </c>
      <c r="DZ80" s="9">
        <v>3445</v>
      </c>
      <c r="EA80" s="9">
        <f>SUM(DW80:DZ80)</f>
        <v>13012</v>
      </c>
      <c r="EB80" s="9">
        <v>5629</v>
      </c>
      <c r="EC80" s="9">
        <v>6499</v>
      </c>
      <c r="ED80" s="9">
        <v>3337</v>
      </c>
      <c r="EE80" s="9">
        <v>1576</v>
      </c>
      <c r="EF80" s="9">
        <f>SUM(EB80:EE80)</f>
        <v>17041</v>
      </c>
      <c r="EG80" s="9">
        <v>3325</v>
      </c>
      <c r="EH80" s="9">
        <v>4101</v>
      </c>
      <c r="EI80" s="9">
        <v>1576</v>
      </c>
    </row>
    <row r="81" spans="1:139" ht="15" thickTop="1" x14ac:dyDescent="0.3">
      <c r="A81" s="1" t="s">
        <v>369</v>
      </c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21674</v>
      </c>
      <c r="BQ81" s="8">
        <v>19323</v>
      </c>
      <c r="BR81" s="8">
        <v>16017</v>
      </c>
      <c r="BS81" s="8">
        <f>SUM(BO81:BR81)</f>
        <v>57014</v>
      </c>
      <c r="BT81" s="8">
        <v>17799</v>
      </c>
      <c r="BU81" s="8">
        <v>19376</v>
      </c>
      <c r="BV81" s="8">
        <v>17674</v>
      </c>
      <c r="BW81" s="8">
        <v>19043</v>
      </c>
      <c r="BX81" s="8">
        <f>SUM(BT81:BW81)</f>
        <v>73892</v>
      </c>
      <c r="BY81" s="8">
        <v>14379</v>
      </c>
      <c r="BZ81" s="8">
        <v>16042</v>
      </c>
      <c r="CA81" s="8">
        <v>22610</v>
      </c>
      <c r="CB81" s="8">
        <v>13316</v>
      </c>
      <c r="CC81" s="8">
        <f>SUM(BY81:CB81)</f>
        <v>66347</v>
      </c>
      <c r="CD81" s="8">
        <v>10957</v>
      </c>
      <c r="CE81" s="8">
        <v>14704</v>
      </c>
      <c r="CF81" s="8">
        <v>15029</v>
      </c>
      <c r="CG81" s="8">
        <v>16420</v>
      </c>
      <c r="CH81" s="8">
        <f>SUM(CD81:CG81)</f>
        <v>57110</v>
      </c>
      <c r="CI81" s="8">
        <v>9171</v>
      </c>
      <c r="CJ81" s="8">
        <v>7606</v>
      </c>
      <c r="CK81" s="8">
        <v>5103</v>
      </c>
      <c r="CL81" s="8">
        <v>1270</v>
      </c>
      <c r="CM81" s="8">
        <f>SUM(CI81:CL81)</f>
        <v>23150</v>
      </c>
      <c r="CN81" s="8">
        <v>0</v>
      </c>
      <c r="CO81" s="8">
        <v>0</v>
      </c>
      <c r="CP81" s="8">
        <v>0</v>
      </c>
      <c r="CQ81" s="8">
        <v>0</v>
      </c>
      <c r="CR81" s="8">
        <f>SUM(CN81:CQ81)</f>
        <v>0</v>
      </c>
      <c r="CS81" s="8">
        <v>0</v>
      </c>
      <c r="CT81" s="8">
        <v>0</v>
      </c>
      <c r="CU81" s="8">
        <v>0</v>
      </c>
      <c r="CV81" s="8">
        <v>0</v>
      </c>
      <c r="CW81" s="8">
        <f>SUM(CS81:CV81)</f>
        <v>0</v>
      </c>
      <c r="CX81" s="8">
        <v>0</v>
      </c>
      <c r="CY81" s="8">
        <v>0</v>
      </c>
      <c r="CZ81" s="8">
        <v>0</v>
      </c>
      <c r="DA81" s="8">
        <v>0</v>
      </c>
      <c r="DB81" s="8">
        <f>SUM(CX81:DA81)</f>
        <v>0</v>
      </c>
      <c r="DC81" s="8">
        <v>885</v>
      </c>
      <c r="DD81" s="8">
        <v>1552</v>
      </c>
      <c r="DE81" s="8">
        <v>1097</v>
      </c>
      <c r="DF81" s="8">
        <v>806</v>
      </c>
      <c r="DG81" s="8">
        <f>SUM(DC81:DF81)</f>
        <v>4340</v>
      </c>
      <c r="DH81" s="8">
        <v>948</v>
      </c>
      <c r="DI81" s="8">
        <v>1765</v>
      </c>
      <c r="DJ81" s="8">
        <v>894</v>
      </c>
      <c r="DK81" s="8">
        <v>3047</v>
      </c>
      <c r="DL81" s="8">
        <f>SUM(DH81:DK81)</f>
        <v>6654</v>
      </c>
      <c r="DM81" s="8">
        <v>2467</v>
      </c>
      <c r="DN81" s="8">
        <v>997</v>
      </c>
      <c r="DO81" s="8">
        <v>2380</v>
      </c>
      <c r="DP81" s="8">
        <v>468</v>
      </c>
      <c r="DQ81" s="8">
        <f>SUM(DM81:DP81)</f>
        <v>6312</v>
      </c>
      <c r="DR81" s="8">
        <v>1256</v>
      </c>
      <c r="DS81" s="8">
        <v>647</v>
      </c>
      <c r="DT81" s="8">
        <v>1389</v>
      </c>
      <c r="DU81" s="8">
        <v>1674</v>
      </c>
      <c r="DV81" s="8">
        <f>SUM(DR81:DU81)</f>
        <v>4966</v>
      </c>
      <c r="DW81" s="8">
        <v>1326</v>
      </c>
      <c r="DX81" s="8">
        <v>1278</v>
      </c>
      <c r="DY81" s="8">
        <v>4516</v>
      </c>
      <c r="DZ81" s="8">
        <v>5644</v>
      </c>
      <c r="EA81" s="8">
        <f>SUM(DW81:DZ81)</f>
        <v>12764</v>
      </c>
      <c r="EB81" s="8">
        <v>4830</v>
      </c>
      <c r="EC81" s="8">
        <v>4555</v>
      </c>
      <c r="ED81" s="8">
        <v>2351</v>
      </c>
      <c r="EE81" s="8">
        <v>1296</v>
      </c>
      <c r="EF81" s="8">
        <f>SUM(EB81:EE81)</f>
        <v>13032</v>
      </c>
      <c r="EG81" s="8">
        <v>1398</v>
      </c>
      <c r="EH81" s="8">
        <v>2740</v>
      </c>
      <c r="EI81" s="8">
        <v>1296</v>
      </c>
    </row>
    <row r="82" spans="1:139" x14ac:dyDescent="0.3">
      <c r="A82" s="2" t="s">
        <v>360</v>
      </c>
      <c r="B82" s="9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19498</v>
      </c>
      <c r="BQ82" s="9">
        <v>21597</v>
      </c>
      <c r="BR82" s="9">
        <v>21545</v>
      </c>
      <c r="BS82" s="9">
        <f>SUM(BO82:BR82)</f>
        <v>62640</v>
      </c>
      <c r="BT82" s="9">
        <v>20200</v>
      </c>
      <c r="BU82" s="9">
        <v>20392</v>
      </c>
      <c r="BV82" s="9">
        <v>20193</v>
      </c>
      <c r="BW82" s="9">
        <v>21283</v>
      </c>
      <c r="BX82" s="9">
        <f>SUM(BT82:BW82)</f>
        <v>82068</v>
      </c>
      <c r="BY82" s="9">
        <v>20336</v>
      </c>
      <c r="BZ82" s="9">
        <v>21717</v>
      </c>
      <c r="CA82" s="9">
        <v>25845</v>
      </c>
      <c r="CB82" s="9">
        <v>20488</v>
      </c>
      <c r="CC82" s="9">
        <f>SUM(BY82:CB82)</f>
        <v>88386</v>
      </c>
      <c r="CD82" s="9">
        <v>18028</v>
      </c>
      <c r="CE82" s="9">
        <v>19495</v>
      </c>
      <c r="CF82" s="9">
        <v>21949</v>
      </c>
      <c r="CG82" s="9">
        <v>20103</v>
      </c>
      <c r="CH82" s="9">
        <f>SUM(CD82:CG82)</f>
        <v>79575</v>
      </c>
      <c r="CI82" s="9">
        <v>17950</v>
      </c>
      <c r="CJ82" s="9">
        <v>14887</v>
      </c>
      <c r="CK82" s="9">
        <v>12848</v>
      </c>
      <c r="CL82" s="9">
        <v>11053</v>
      </c>
      <c r="CM82" s="9">
        <f>SUM(CI82:CL82)</f>
        <v>56738</v>
      </c>
      <c r="CN82" s="9">
        <v>9976</v>
      </c>
      <c r="CO82" s="9">
        <v>10779</v>
      </c>
      <c r="CP82" s="9">
        <v>11458</v>
      </c>
      <c r="CQ82" s="9">
        <v>10351</v>
      </c>
      <c r="CR82" s="9">
        <f>SUM(CN82:CQ82)</f>
        <v>42564</v>
      </c>
      <c r="CS82" s="9">
        <v>9672</v>
      </c>
      <c r="CT82" s="9">
        <v>9040</v>
      </c>
      <c r="CU82" s="9">
        <v>9583</v>
      </c>
      <c r="CV82" s="9">
        <v>10274</v>
      </c>
      <c r="CW82" s="9">
        <f>SUM(CS82:CV82)</f>
        <v>38569</v>
      </c>
      <c r="CX82" s="9">
        <f>9950</f>
        <v>9950</v>
      </c>
      <c r="CY82" s="9">
        <v>11013</v>
      </c>
      <c r="CZ82" s="9">
        <v>13410</v>
      </c>
      <c r="DA82" s="9">
        <v>12744</v>
      </c>
      <c r="DB82" s="9">
        <f>SUM(CX82:DA82)</f>
        <v>47117</v>
      </c>
      <c r="DC82" s="9">
        <v>13609</v>
      </c>
      <c r="DD82" s="9">
        <v>12384</v>
      </c>
      <c r="DE82" s="9">
        <v>12845</v>
      </c>
      <c r="DF82" s="9">
        <v>11267</v>
      </c>
      <c r="DG82" s="9">
        <f>SUM(DC82:DF82)</f>
        <v>50105</v>
      </c>
      <c r="DH82" s="9">
        <v>9794</v>
      </c>
      <c r="DI82" s="9">
        <v>9212</v>
      </c>
      <c r="DJ82" s="9">
        <v>9384</v>
      </c>
      <c r="DK82" s="9">
        <v>11348</v>
      </c>
      <c r="DL82" s="9">
        <f>SUM(DH82:DK82)</f>
        <v>39738</v>
      </c>
      <c r="DM82" s="9">
        <v>13138</v>
      </c>
      <c r="DN82" s="9">
        <v>12944</v>
      </c>
      <c r="DO82" s="9">
        <v>13375</v>
      </c>
      <c r="DP82" s="9">
        <v>13755</v>
      </c>
      <c r="DQ82" s="9">
        <f>SUM(DM82:DP82)</f>
        <v>53212</v>
      </c>
      <c r="DR82" s="9">
        <v>14534</v>
      </c>
      <c r="DS82" s="9">
        <v>15104</v>
      </c>
      <c r="DT82" s="9">
        <v>18612</v>
      </c>
      <c r="DU82" s="9">
        <v>16944</v>
      </c>
      <c r="DV82" s="9">
        <f>SUM(DR82:DU82)</f>
        <v>65194</v>
      </c>
      <c r="DW82" s="9">
        <v>14254</v>
      </c>
      <c r="DX82" s="9">
        <v>13451</v>
      </c>
      <c r="DY82" s="9">
        <v>13428</v>
      </c>
      <c r="DZ82" s="9">
        <v>13850</v>
      </c>
      <c r="EA82" s="9">
        <f>SUM(DW82:DZ82)</f>
        <v>54983</v>
      </c>
      <c r="EB82" s="9">
        <v>13000</v>
      </c>
      <c r="EC82" s="9">
        <v>13249</v>
      </c>
      <c r="ED82" s="9">
        <v>14761</v>
      </c>
      <c r="EE82" s="9">
        <v>15433</v>
      </c>
      <c r="EF82" s="9">
        <f>SUM(EB82:EE82)</f>
        <v>56443</v>
      </c>
      <c r="EG82" s="9">
        <v>16206</v>
      </c>
      <c r="EH82" s="9">
        <v>14078</v>
      </c>
      <c r="EI82" s="9">
        <v>15433</v>
      </c>
    </row>
    <row r="83" spans="1:139" x14ac:dyDescent="0.3">
      <c r="A83" s="5" t="s">
        <v>413</v>
      </c>
      <c r="B83" s="10">
        <f t="shared" ref="B83:BM83" si="598">B82+B79</f>
        <v>0</v>
      </c>
      <c r="C83" s="10">
        <f t="shared" si="598"/>
        <v>0</v>
      </c>
      <c r="D83" s="10">
        <f t="shared" si="598"/>
        <v>0</v>
      </c>
      <c r="E83" s="10">
        <f t="shared" si="598"/>
        <v>0</v>
      </c>
      <c r="F83" s="10">
        <f t="shared" si="598"/>
        <v>0</v>
      </c>
      <c r="G83" s="10">
        <f t="shared" si="598"/>
        <v>0</v>
      </c>
      <c r="H83" s="10">
        <f t="shared" si="598"/>
        <v>0</v>
      </c>
      <c r="I83" s="10">
        <f t="shared" si="598"/>
        <v>0</v>
      </c>
      <c r="J83" s="10">
        <f t="shared" si="598"/>
        <v>0</v>
      </c>
      <c r="K83" s="10">
        <f t="shared" si="598"/>
        <v>0</v>
      </c>
      <c r="L83" s="10">
        <f t="shared" si="598"/>
        <v>0</v>
      </c>
      <c r="M83" s="10">
        <f t="shared" si="598"/>
        <v>0</v>
      </c>
      <c r="N83" s="10">
        <f t="shared" si="598"/>
        <v>0</v>
      </c>
      <c r="O83" s="10">
        <f t="shared" si="598"/>
        <v>0</v>
      </c>
      <c r="P83" s="10">
        <f t="shared" si="598"/>
        <v>0</v>
      </c>
      <c r="Q83" s="10">
        <f t="shared" si="598"/>
        <v>0</v>
      </c>
      <c r="R83" s="10">
        <f t="shared" si="598"/>
        <v>0</v>
      </c>
      <c r="S83" s="10">
        <f t="shared" si="598"/>
        <v>0</v>
      </c>
      <c r="T83" s="10">
        <f t="shared" si="598"/>
        <v>0</v>
      </c>
      <c r="U83" s="10">
        <f t="shared" si="598"/>
        <v>0</v>
      </c>
      <c r="V83" s="10">
        <f t="shared" si="598"/>
        <v>0</v>
      </c>
      <c r="W83" s="10">
        <f t="shared" si="598"/>
        <v>0</v>
      </c>
      <c r="X83" s="10">
        <f t="shared" si="598"/>
        <v>0</v>
      </c>
      <c r="Y83" s="10">
        <f t="shared" si="598"/>
        <v>0</v>
      </c>
      <c r="Z83" s="10">
        <f t="shared" si="598"/>
        <v>0</v>
      </c>
      <c r="AA83" s="10">
        <f t="shared" si="598"/>
        <v>0</v>
      </c>
      <c r="AB83" s="10">
        <f t="shared" si="598"/>
        <v>0</v>
      </c>
      <c r="AC83" s="10">
        <f t="shared" si="598"/>
        <v>0</v>
      </c>
      <c r="AD83" s="10">
        <f t="shared" si="598"/>
        <v>0</v>
      </c>
      <c r="AE83" s="10">
        <f t="shared" si="598"/>
        <v>0</v>
      </c>
      <c r="AF83" s="10">
        <f t="shared" si="598"/>
        <v>0</v>
      </c>
      <c r="AG83" s="10">
        <f t="shared" si="598"/>
        <v>0</v>
      </c>
      <c r="AH83" s="10">
        <f t="shared" si="598"/>
        <v>0</v>
      </c>
      <c r="AI83" s="10">
        <f t="shared" si="598"/>
        <v>0</v>
      </c>
      <c r="AJ83" s="10">
        <f t="shared" si="598"/>
        <v>0</v>
      </c>
      <c r="AK83" s="10">
        <f t="shared" si="598"/>
        <v>0</v>
      </c>
      <c r="AL83" s="10">
        <f t="shared" si="598"/>
        <v>0</v>
      </c>
      <c r="AM83" s="10">
        <f t="shared" si="598"/>
        <v>0</v>
      </c>
      <c r="AN83" s="10">
        <f t="shared" si="598"/>
        <v>0</v>
      </c>
      <c r="AO83" s="10">
        <f t="shared" si="598"/>
        <v>0</v>
      </c>
      <c r="AP83" s="10">
        <f t="shared" si="598"/>
        <v>0</v>
      </c>
      <c r="AQ83" s="10">
        <f t="shared" si="598"/>
        <v>0</v>
      </c>
      <c r="AR83" s="10">
        <f t="shared" si="598"/>
        <v>0</v>
      </c>
      <c r="AS83" s="10">
        <f t="shared" si="598"/>
        <v>0</v>
      </c>
      <c r="AT83" s="10">
        <f t="shared" si="598"/>
        <v>0</v>
      </c>
      <c r="AU83" s="10">
        <f t="shared" si="598"/>
        <v>0</v>
      </c>
      <c r="AV83" s="10">
        <f t="shared" si="598"/>
        <v>0</v>
      </c>
      <c r="AW83" s="10">
        <f t="shared" si="598"/>
        <v>0</v>
      </c>
      <c r="AX83" s="10">
        <f t="shared" si="598"/>
        <v>0</v>
      </c>
      <c r="AY83" s="10">
        <f t="shared" si="598"/>
        <v>0</v>
      </c>
      <c r="AZ83" s="10">
        <f t="shared" si="598"/>
        <v>0</v>
      </c>
      <c r="BA83" s="10">
        <f t="shared" si="598"/>
        <v>0</v>
      </c>
      <c r="BB83" s="10">
        <f t="shared" si="598"/>
        <v>0</v>
      </c>
      <c r="BC83" s="10">
        <f t="shared" si="598"/>
        <v>0</v>
      </c>
      <c r="BD83" s="10">
        <f t="shared" si="598"/>
        <v>0</v>
      </c>
      <c r="BE83" s="10">
        <f t="shared" si="598"/>
        <v>0</v>
      </c>
      <c r="BF83" s="10">
        <f t="shared" si="598"/>
        <v>0</v>
      </c>
      <c r="BG83" s="10">
        <f t="shared" si="598"/>
        <v>0</v>
      </c>
      <c r="BH83" s="10">
        <f t="shared" si="598"/>
        <v>0</v>
      </c>
      <c r="BI83" s="10">
        <f t="shared" si="598"/>
        <v>0</v>
      </c>
      <c r="BJ83" s="10">
        <f t="shared" si="598"/>
        <v>0</v>
      </c>
      <c r="BK83" s="10">
        <f t="shared" si="598"/>
        <v>0</v>
      </c>
      <c r="BL83" s="10">
        <f t="shared" si="598"/>
        <v>0</v>
      </c>
      <c r="BM83" s="10">
        <f t="shared" si="598"/>
        <v>0</v>
      </c>
      <c r="BN83" s="10">
        <f t="shared" ref="BN83:DV83" si="599">BN82+BN79</f>
        <v>0</v>
      </c>
      <c r="BO83" s="10">
        <f t="shared" si="599"/>
        <v>0</v>
      </c>
      <c r="BP83" s="10">
        <f t="shared" si="599"/>
        <v>97259</v>
      </c>
      <c r="BQ83" s="10">
        <f t="shared" si="599"/>
        <v>103795</v>
      </c>
      <c r="BR83" s="10">
        <f t="shared" si="599"/>
        <v>91473</v>
      </c>
      <c r="BS83" s="10">
        <f t="shared" si="599"/>
        <v>292527</v>
      </c>
      <c r="BT83" s="10">
        <f t="shared" si="599"/>
        <v>90292</v>
      </c>
      <c r="BU83" s="10">
        <f t="shared" si="599"/>
        <v>98142</v>
      </c>
      <c r="BV83" s="10">
        <f t="shared" si="599"/>
        <v>102796</v>
      </c>
      <c r="BW83" s="10">
        <f t="shared" si="599"/>
        <v>109033</v>
      </c>
      <c r="BX83" s="10">
        <f t="shared" si="599"/>
        <v>400263</v>
      </c>
      <c r="BY83" s="10">
        <f t="shared" si="599"/>
        <v>87051</v>
      </c>
      <c r="BZ83" s="10">
        <f t="shared" si="599"/>
        <v>100486</v>
      </c>
      <c r="CA83" s="10">
        <f t="shared" si="599"/>
        <v>144663</v>
      </c>
      <c r="CB83" s="10">
        <f t="shared" si="599"/>
        <v>87893</v>
      </c>
      <c r="CC83" s="10">
        <f t="shared" si="599"/>
        <v>420093</v>
      </c>
      <c r="CD83" s="10">
        <f t="shared" si="599"/>
        <v>68997</v>
      </c>
      <c r="CE83" s="10">
        <f t="shared" si="599"/>
        <v>75352</v>
      </c>
      <c r="CF83" s="10">
        <f t="shared" si="599"/>
        <v>85228</v>
      </c>
      <c r="CG83" s="10">
        <f t="shared" si="599"/>
        <v>82703</v>
      </c>
      <c r="CH83" s="10">
        <f t="shared" si="599"/>
        <v>312280</v>
      </c>
      <c r="CI83" s="10">
        <f t="shared" si="599"/>
        <v>59366</v>
      </c>
      <c r="CJ83" s="10">
        <f t="shared" si="599"/>
        <v>48789</v>
      </c>
      <c r="CK83" s="10">
        <f t="shared" si="599"/>
        <v>34917</v>
      </c>
      <c r="CL83" s="10">
        <f t="shared" si="599"/>
        <v>17468</v>
      </c>
      <c r="CM83" s="10">
        <f t="shared" si="599"/>
        <v>160540</v>
      </c>
      <c r="CN83" s="10">
        <f t="shared" si="599"/>
        <v>10157</v>
      </c>
      <c r="CO83" s="10">
        <f t="shared" si="599"/>
        <v>10922</v>
      </c>
      <c r="CP83" s="10">
        <f t="shared" si="599"/>
        <v>11470</v>
      </c>
      <c r="CQ83" s="10">
        <f t="shared" si="599"/>
        <v>10351</v>
      </c>
      <c r="CR83" s="10">
        <f t="shared" si="599"/>
        <v>42900</v>
      </c>
      <c r="CS83" s="10">
        <f t="shared" si="599"/>
        <v>9672</v>
      </c>
      <c r="CT83" s="10">
        <f t="shared" si="599"/>
        <v>9040</v>
      </c>
      <c r="CU83" s="10">
        <f t="shared" si="599"/>
        <v>9583</v>
      </c>
      <c r="CV83" s="10">
        <f t="shared" si="599"/>
        <v>10274</v>
      </c>
      <c r="CW83" s="10">
        <f t="shared" si="599"/>
        <v>38569</v>
      </c>
      <c r="CX83" s="10">
        <f t="shared" si="599"/>
        <v>9950</v>
      </c>
      <c r="CY83" s="10">
        <f t="shared" si="599"/>
        <v>11098</v>
      </c>
      <c r="CZ83" s="10">
        <f t="shared" si="599"/>
        <v>13581</v>
      </c>
      <c r="DA83" s="10">
        <f t="shared" si="599"/>
        <v>12744</v>
      </c>
      <c r="DB83" s="10">
        <f t="shared" si="599"/>
        <v>47373</v>
      </c>
      <c r="DC83" s="10">
        <f t="shared" si="599"/>
        <v>15449</v>
      </c>
      <c r="DD83" s="10">
        <f t="shared" si="599"/>
        <v>16736</v>
      </c>
      <c r="DE83" s="10">
        <f t="shared" si="599"/>
        <v>16045</v>
      </c>
      <c r="DF83" s="10">
        <f t="shared" si="599"/>
        <v>13978</v>
      </c>
      <c r="DG83" s="10">
        <f t="shared" si="599"/>
        <v>62208</v>
      </c>
      <c r="DH83" s="10">
        <f t="shared" si="599"/>
        <v>12135</v>
      </c>
      <c r="DI83" s="10">
        <f t="shared" si="599"/>
        <v>12816</v>
      </c>
      <c r="DJ83" s="10">
        <f t="shared" si="599"/>
        <v>12485</v>
      </c>
      <c r="DK83" s="10">
        <f t="shared" si="599"/>
        <v>16116</v>
      </c>
      <c r="DL83" s="10">
        <f t="shared" si="599"/>
        <v>53552</v>
      </c>
      <c r="DM83" s="10">
        <f t="shared" si="599"/>
        <v>19375</v>
      </c>
      <c r="DN83" s="10">
        <f t="shared" si="599"/>
        <v>18638</v>
      </c>
      <c r="DO83" s="10">
        <f t="shared" si="599"/>
        <v>20416</v>
      </c>
      <c r="DP83" s="10">
        <f t="shared" si="599"/>
        <v>17595</v>
      </c>
      <c r="DQ83" s="10">
        <f t="shared" si="599"/>
        <v>76024</v>
      </c>
      <c r="DR83" s="10">
        <f t="shared" si="599"/>
        <v>19854</v>
      </c>
      <c r="DS83" s="10">
        <f t="shared" si="599"/>
        <v>19259</v>
      </c>
      <c r="DT83" s="10">
        <f t="shared" si="599"/>
        <v>25367</v>
      </c>
      <c r="DU83" s="10">
        <f t="shared" si="599"/>
        <v>24060</v>
      </c>
      <c r="DV83" s="10">
        <f t="shared" si="599"/>
        <v>88540</v>
      </c>
      <c r="DW83" s="10">
        <f t="shared" ref="DW83:ED83" si="600">DW82+DW79</f>
        <v>18592</v>
      </c>
      <c r="DX83" s="10">
        <f t="shared" si="600"/>
        <v>17482</v>
      </c>
      <c r="DY83" s="10">
        <f t="shared" si="600"/>
        <v>21746</v>
      </c>
      <c r="DZ83" s="10">
        <f t="shared" si="600"/>
        <v>22939</v>
      </c>
      <c r="EA83" s="10">
        <f t="shared" si="600"/>
        <v>80759</v>
      </c>
      <c r="EB83" s="10">
        <f t="shared" si="600"/>
        <v>23459</v>
      </c>
      <c r="EC83" s="10">
        <f t="shared" si="600"/>
        <v>24303</v>
      </c>
      <c r="ED83" s="10">
        <f t="shared" si="600"/>
        <v>20449</v>
      </c>
      <c r="EE83" s="10">
        <f t="shared" ref="EE83:EF83" si="601">EE82+EE79</f>
        <v>18305</v>
      </c>
      <c r="EF83" s="10">
        <f t="shared" si="601"/>
        <v>86516</v>
      </c>
      <c r="EG83" s="10">
        <f t="shared" ref="EG83" si="602">EG82+EG79</f>
        <v>20929</v>
      </c>
      <c r="EH83" s="10">
        <f t="shared" ref="EH83:EI83" si="603">EH82+EH79</f>
        <v>20919</v>
      </c>
      <c r="EI83" s="10">
        <f t="shared" si="603"/>
        <v>18305</v>
      </c>
    </row>
  </sheetData>
  <mergeCells count="111">
    <mergeCell ref="HN58:HO58"/>
    <mergeCell ref="HL58:HM58"/>
    <mergeCell ref="HJ58:HK58"/>
    <mergeCell ref="HH58:HI58"/>
    <mergeCell ref="HF58:HG58"/>
    <mergeCell ref="BJ58:BK58"/>
    <mergeCell ref="BH58:BI58"/>
    <mergeCell ref="AT58:AU58"/>
    <mergeCell ref="AV58:AW58"/>
    <mergeCell ref="CP58:CQ58"/>
    <mergeCell ref="CR58:CS58"/>
    <mergeCell ref="CT58:CU58"/>
    <mergeCell ref="CV58:CW58"/>
    <mergeCell ref="CX58:CY58"/>
    <mergeCell ref="CN58:CO58"/>
    <mergeCell ref="DT58:DU58"/>
    <mergeCell ref="DV58:DW58"/>
    <mergeCell ref="DX58:DY58"/>
    <mergeCell ref="BL58:BM58"/>
    <mergeCell ref="BP58:BQ58"/>
    <mergeCell ref="BN58:BO58"/>
    <mergeCell ref="BR58:BS58"/>
    <mergeCell ref="BT58:BU58"/>
    <mergeCell ref="BV58:BW58"/>
    <mergeCell ref="B58:C58"/>
    <mergeCell ref="D58:E58"/>
    <mergeCell ref="F58:G58"/>
    <mergeCell ref="H58:I58"/>
    <mergeCell ref="AN58:AO58"/>
    <mergeCell ref="R58:S58"/>
    <mergeCell ref="T58:U58"/>
    <mergeCell ref="V58:W58"/>
    <mergeCell ref="X58:Y58"/>
    <mergeCell ref="AH58:AI58"/>
    <mergeCell ref="AJ58:AK58"/>
    <mergeCell ref="AD58:AE58"/>
    <mergeCell ref="AF58:AG58"/>
    <mergeCell ref="Z58:AA58"/>
    <mergeCell ref="AB58:AC58"/>
    <mergeCell ref="AL58:AM58"/>
    <mergeCell ref="J58:K58"/>
    <mergeCell ref="L58:M58"/>
    <mergeCell ref="N58:O58"/>
    <mergeCell ref="P58:Q58"/>
    <mergeCell ref="CJ58:CK58"/>
    <mergeCell ref="CL58:CM58"/>
    <mergeCell ref="CZ58:DA58"/>
    <mergeCell ref="DB58:DC58"/>
    <mergeCell ref="CH58:CI58"/>
    <mergeCell ref="DF58:DG58"/>
    <mergeCell ref="AP58:AQ58"/>
    <mergeCell ref="AR58:AS58"/>
    <mergeCell ref="BF58:BG58"/>
    <mergeCell ref="BB58:BC58"/>
    <mergeCell ref="BD58:BE58"/>
    <mergeCell ref="AX58:AY58"/>
    <mergeCell ref="DD58:DE58"/>
    <mergeCell ref="BX58:BY58"/>
    <mergeCell ref="BZ58:CA58"/>
    <mergeCell ref="CB58:CC58"/>
    <mergeCell ref="CF58:CG58"/>
    <mergeCell ref="AZ58:BA58"/>
    <mergeCell ref="CD58:CE58"/>
    <mergeCell ref="GF58:GG58"/>
    <mergeCell ref="GH58:GI58"/>
    <mergeCell ref="FX58:FY58"/>
    <mergeCell ref="GJ58:GK58"/>
    <mergeCell ref="DL58:DM58"/>
    <mergeCell ref="DN58:DO58"/>
    <mergeCell ref="DP58:DQ58"/>
    <mergeCell ref="FL58:FM58"/>
    <mergeCell ref="FN58:FO58"/>
    <mergeCell ref="FB58:FC58"/>
    <mergeCell ref="EB58:EC58"/>
    <mergeCell ref="DH58:DI58"/>
    <mergeCell ref="DJ58:DK58"/>
    <mergeCell ref="EX58:EY58"/>
    <mergeCell ref="EJ58:EK58"/>
    <mergeCell ref="EL58:EM58"/>
    <mergeCell ref="EN58:EO58"/>
    <mergeCell ref="EP58:EQ58"/>
    <mergeCell ref="ER58:ES58"/>
    <mergeCell ref="ET58:EU58"/>
    <mergeCell ref="EV58:EW58"/>
    <mergeCell ref="ED58:EE58"/>
    <mergeCell ref="DR58:DS58"/>
    <mergeCell ref="DZ58:EA58"/>
    <mergeCell ref="HD58:HE58"/>
    <mergeCell ref="HB58:HC58"/>
    <mergeCell ref="GZ58:HA58"/>
    <mergeCell ref="GX58:GY58"/>
    <mergeCell ref="EF58:EG58"/>
    <mergeCell ref="GN58:GO58"/>
    <mergeCell ref="EZ58:FA58"/>
    <mergeCell ref="EH58:EI58"/>
    <mergeCell ref="GV58:GW58"/>
    <mergeCell ref="GR58:GS58"/>
    <mergeCell ref="GT58:GU58"/>
    <mergeCell ref="GP58:GQ58"/>
    <mergeCell ref="FD58:FE58"/>
    <mergeCell ref="FF58:FG58"/>
    <mergeCell ref="FH58:FI58"/>
    <mergeCell ref="FJ58:FK58"/>
    <mergeCell ref="GB58:GC58"/>
    <mergeCell ref="FZ58:GA58"/>
    <mergeCell ref="GL58:GM58"/>
    <mergeCell ref="FP58:FQ58"/>
    <mergeCell ref="FR58:FS58"/>
    <mergeCell ref="FT58:FU58"/>
    <mergeCell ref="FV58:FW58"/>
    <mergeCell ref="GD58:GE58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customProperties>
    <customPr name="EpmWorksheetKeyString_GUID" r:id="rId2"/>
  </customProperties>
  <ignoredErrors>
    <ignoredError sqref="DV32:DV33 BS79:DW83 DV52:DV53 DV51 Z44:DW50 Z55:DW56 Z51:DU51 DW51 Z52:DU53 DW52:DW53 Z25:Z28 CC27 DY56:FL56 ER55:FL55 ER44:FL50 ER51:FL51 ER52:FL53" formulaRange="1"/>
    <ignoredError sqref="I60:Y70 AG60:BE72 BM60:CK72 CS60:DM72 DQ60:DW72 DY60:GU72 I74:Y74 AG74:BE74 CS74:DM74 DQ74:DW74 DY74:GU74 I72:Y72 O71:Y71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8013-8523-46A5-84B5-215DF32DE2DC}">
  <sheetPr codeName="Planilha12">
    <tabColor rgb="FF002060"/>
  </sheetPr>
  <dimension ref="A1:S35"/>
  <sheetViews>
    <sheetView showGridLines="0" zoomScale="85" zoomScaleNormal="85" workbookViewId="0"/>
  </sheetViews>
  <sheetFormatPr defaultRowHeight="14.4" x14ac:dyDescent="0.3"/>
  <cols>
    <col min="1" max="1" width="20.21875" customWidth="1"/>
    <col min="2" max="2" width="21.77734375" bestFit="1" customWidth="1"/>
  </cols>
  <sheetData>
    <row r="1" spans="1:19" x14ac:dyDescent="0.3">
      <c r="A1" s="59" t="s">
        <v>370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x14ac:dyDescent="0.3">
      <c r="A2" s="40" t="s">
        <v>388</v>
      </c>
    </row>
    <row r="3" spans="1:19" x14ac:dyDescent="0.3">
      <c r="A3" s="40" t="s">
        <v>394</v>
      </c>
    </row>
    <row r="4" spans="1:19" x14ac:dyDescent="0.3">
      <c r="A4" s="40" t="s">
        <v>389</v>
      </c>
    </row>
    <row r="5" spans="1:19" x14ac:dyDescent="0.3">
      <c r="A5" s="40" t="s">
        <v>397</v>
      </c>
    </row>
    <row r="6" spans="1:19" x14ac:dyDescent="0.3">
      <c r="A6" s="40" t="s">
        <v>398</v>
      </c>
    </row>
    <row r="7" spans="1:19" x14ac:dyDescent="0.3">
      <c r="A7" s="40" t="s">
        <v>399</v>
      </c>
    </row>
    <row r="9" spans="1:19" x14ac:dyDescent="0.3">
      <c r="A9" s="59" t="s">
        <v>305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19" x14ac:dyDescent="0.3">
      <c r="A10" t="s">
        <v>390</v>
      </c>
    </row>
    <row r="11" spans="1:19" x14ac:dyDescent="0.3">
      <c r="A11" s="40" t="s">
        <v>391</v>
      </c>
    </row>
    <row r="12" spans="1:19" x14ac:dyDescent="0.3">
      <c r="A12" s="40" t="s">
        <v>392</v>
      </c>
    </row>
    <row r="14" spans="1:19" x14ac:dyDescent="0.3">
      <c r="A14" s="59" t="s">
        <v>393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</row>
    <row r="15" spans="1:19" x14ac:dyDescent="0.3">
      <c r="A15" s="40" t="s">
        <v>395</v>
      </c>
    </row>
    <row r="16" spans="1:19" x14ac:dyDescent="0.3">
      <c r="A16" s="40" t="s">
        <v>394</v>
      </c>
    </row>
    <row r="17" spans="1:19" x14ac:dyDescent="0.3">
      <c r="A17" s="40" t="s">
        <v>396</v>
      </c>
    </row>
    <row r="19" spans="1:19" x14ac:dyDescent="0.3">
      <c r="A19" s="59" t="s">
        <v>307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1:19" x14ac:dyDescent="0.3">
      <c r="A20" t="s">
        <v>438</v>
      </c>
    </row>
    <row r="22" spans="1:19" x14ac:dyDescent="0.3">
      <c r="A22" s="59" t="s">
        <v>450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</row>
    <row r="23" spans="1:19" ht="15" thickBot="1" x14ac:dyDescent="0.35">
      <c r="A23" s="61"/>
    </row>
    <row r="24" spans="1:19" ht="15" thickBot="1" x14ac:dyDescent="0.35">
      <c r="A24" s="62" t="s">
        <v>439</v>
      </c>
      <c r="B24" s="63" t="s">
        <v>440</v>
      </c>
    </row>
    <row r="25" spans="1:19" ht="15" thickBot="1" x14ac:dyDescent="0.35">
      <c r="A25" s="57" t="s">
        <v>441</v>
      </c>
      <c r="B25" s="58" t="s">
        <v>442</v>
      </c>
    </row>
    <row r="26" spans="1:19" ht="15" thickBot="1" x14ac:dyDescent="0.35">
      <c r="A26" s="57" t="s">
        <v>471</v>
      </c>
      <c r="B26" s="58" t="s">
        <v>443</v>
      </c>
    </row>
    <row r="27" spans="1:19" ht="15" thickBot="1" x14ac:dyDescent="0.35">
      <c r="A27" s="57" t="s">
        <v>472</v>
      </c>
      <c r="B27" s="58" t="s">
        <v>481</v>
      </c>
    </row>
    <row r="28" spans="1:19" ht="15" thickBot="1" x14ac:dyDescent="0.35">
      <c r="A28" s="57" t="s">
        <v>473</v>
      </c>
      <c r="B28" s="58" t="s">
        <v>444</v>
      </c>
    </row>
    <row r="29" spans="1:19" ht="15" thickBot="1" x14ac:dyDescent="0.35">
      <c r="A29" s="57" t="s">
        <v>474</v>
      </c>
      <c r="B29" s="58" t="s">
        <v>445</v>
      </c>
    </row>
    <row r="30" spans="1:19" ht="15" thickBot="1" x14ac:dyDescent="0.35">
      <c r="A30" s="57" t="s">
        <v>475</v>
      </c>
      <c r="B30" s="58" t="s">
        <v>446</v>
      </c>
    </row>
    <row r="31" spans="1:19" ht="15" thickBot="1" x14ac:dyDescent="0.35">
      <c r="A31" s="57" t="s">
        <v>476</v>
      </c>
      <c r="B31" s="58" t="s">
        <v>447</v>
      </c>
    </row>
    <row r="32" spans="1:19" ht="15" thickBot="1" x14ac:dyDescent="0.35">
      <c r="A32" s="57" t="s">
        <v>477</v>
      </c>
      <c r="B32" s="58" t="s">
        <v>448</v>
      </c>
    </row>
    <row r="33" spans="1:2" ht="15" thickBot="1" x14ac:dyDescent="0.35">
      <c r="A33" s="57" t="s">
        <v>478</v>
      </c>
      <c r="B33" s="58" t="s">
        <v>449</v>
      </c>
    </row>
    <row r="34" spans="1:2" ht="15" thickBot="1" x14ac:dyDescent="0.35">
      <c r="A34" s="57" t="s">
        <v>461</v>
      </c>
      <c r="B34" s="58" t="s">
        <v>454</v>
      </c>
    </row>
    <row r="35" spans="1:2" ht="15" thickBot="1" x14ac:dyDescent="0.35">
      <c r="A35" s="57" t="s">
        <v>462</v>
      </c>
      <c r="B35" s="58" t="s">
        <v>463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A4879-0E66-417D-8C33-227436E519F1}">
  <sheetPr codeName="Planilha2">
    <tabColor theme="4" tint="-0.499984740745262"/>
  </sheetPr>
  <dimension ref="A1:EI170"/>
  <sheetViews>
    <sheetView showGridLines="0" zoomScale="85" zoomScaleNormal="85" workbookViewId="0">
      <pane xSplit="1" topLeftCell="DV1" activePane="topRight" state="frozen"/>
      <selection activeCell="EK144" sqref="EK144"/>
      <selection pane="topRight" activeCell="EI1" sqref="EI1"/>
    </sheetView>
  </sheetViews>
  <sheetFormatPr defaultRowHeight="14.4" x14ac:dyDescent="0.3"/>
  <cols>
    <col min="1" max="1" width="48.77734375" bestFit="1" customWidth="1"/>
    <col min="2" max="5" width="5.5546875" hidden="1" customWidth="1"/>
    <col min="6" max="6" width="5.21875" hidden="1" customWidth="1"/>
    <col min="7" max="10" width="5.5546875" hidden="1" customWidth="1"/>
    <col min="11" max="11" width="5.21875" hidden="1" customWidth="1"/>
    <col min="12" max="15" width="5.5546875" hidden="1" customWidth="1"/>
    <col min="16" max="16" width="5.21875" hidden="1" customWidth="1"/>
    <col min="17" max="20" width="5.5546875" hidden="1" customWidth="1"/>
    <col min="21" max="21" width="5.21875" hidden="1" customWidth="1"/>
    <col min="22" max="25" width="5.5546875" hidden="1" customWidth="1"/>
    <col min="26" max="26" width="5.21875" hidden="1" customWidth="1"/>
    <col min="27" max="30" width="5.5546875" hidden="1" customWidth="1"/>
    <col min="31" max="31" width="5.21875" hidden="1" customWidth="1"/>
    <col min="32" max="35" width="5.5546875" hidden="1" customWidth="1"/>
    <col min="36" max="36" width="5.21875" hidden="1" customWidth="1"/>
    <col min="37" max="40" width="5.5546875" hidden="1" customWidth="1"/>
    <col min="41" max="41" width="5.21875" hidden="1" customWidth="1"/>
    <col min="42" max="45" width="5.5546875" hidden="1" customWidth="1"/>
    <col min="46" max="46" width="5.21875" hidden="1" customWidth="1"/>
    <col min="47" max="50" width="5.5546875" hidden="1" customWidth="1"/>
    <col min="51" max="51" width="5.21875" hidden="1" customWidth="1"/>
    <col min="52" max="55" width="5.5546875" hidden="1" customWidth="1"/>
    <col min="56" max="56" width="5.21875" hidden="1" customWidth="1"/>
    <col min="57" max="60" width="5.5546875" hidden="1" customWidth="1"/>
    <col min="61" max="61" width="5.21875" hidden="1" customWidth="1"/>
    <col min="62" max="65" width="7" hidden="1" customWidth="1"/>
    <col min="66" max="66" width="8.5546875" hidden="1" customWidth="1"/>
    <col min="67" max="70" width="7" hidden="1" customWidth="1"/>
    <col min="71" max="71" width="8.5546875" hidden="1" customWidth="1"/>
    <col min="72" max="75" width="7" hidden="1" customWidth="1"/>
    <col min="76" max="76" width="8.5546875" hidden="1" customWidth="1"/>
    <col min="77" max="80" width="7" hidden="1" customWidth="1"/>
    <col min="81" max="81" width="8.5546875" hidden="1" customWidth="1"/>
    <col min="82" max="82" width="7" hidden="1" customWidth="1"/>
    <col min="83" max="84" width="8.5546875" hidden="1" customWidth="1"/>
    <col min="85" max="85" width="7" hidden="1" customWidth="1"/>
    <col min="86" max="86" width="8.5546875" hidden="1" customWidth="1"/>
    <col min="87" max="90" width="7" hidden="1" customWidth="1"/>
    <col min="91" max="91" width="8.5546875" hidden="1" customWidth="1"/>
    <col min="92" max="95" width="7" hidden="1" customWidth="1"/>
    <col min="96" max="96" width="8.5546875" hidden="1" customWidth="1"/>
    <col min="97" max="97" width="7.77734375" hidden="1" customWidth="1"/>
    <col min="98" max="98" width="7" hidden="1" customWidth="1"/>
    <col min="99" max="100" width="7.77734375" hidden="1" customWidth="1"/>
    <col min="101" max="101" width="8.5546875" hidden="1" customWidth="1"/>
    <col min="102" max="104" width="7.77734375" hidden="1" customWidth="1"/>
    <col min="105" max="111" width="8.5546875" hidden="1" customWidth="1"/>
    <col min="112" max="134" width="8.5546875" customWidth="1"/>
    <col min="135" max="135" width="9.21875" customWidth="1"/>
    <col min="136" max="140" width="9.77734375" customWidth="1"/>
    <col min="141" max="141" width="9.21875" bestFit="1" customWidth="1"/>
    <col min="144" max="144" width="8.77734375" customWidth="1"/>
    <col min="145" max="145" width="16.21875" customWidth="1"/>
    <col min="146" max="146" width="9.21875" customWidth="1"/>
  </cols>
  <sheetData>
    <row r="1" spans="1:139" x14ac:dyDescent="0.3">
      <c r="A1" s="3" t="s">
        <v>302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303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f>EF1</f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27">
        <v>55.425000000000004</v>
      </c>
      <c r="BK3" s="27">
        <v>36.432946700000002</v>
      </c>
      <c r="BL3" s="27">
        <v>40.642053299999993</v>
      </c>
      <c r="BM3" s="27">
        <v>38.200000000000003</v>
      </c>
      <c r="BN3" s="27">
        <f>SUM(BJ3:BM3)</f>
        <v>170.7</v>
      </c>
      <c r="BO3" s="27">
        <v>45.256694199999991</v>
      </c>
      <c r="BP3" s="27">
        <v>48.22950389999999</v>
      </c>
      <c r="BQ3" s="27">
        <v>51.363956299999991</v>
      </c>
      <c r="BR3" s="27">
        <v>49.180832200000012</v>
      </c>
      <c r="BS3" s="27">
        <f>SUM(BO3:BR3)</f>
        <v>194.03098660000001</v>
      </c>
      <c r="BT3" s="27">
        <v>55</v>
      </c>
      <c r="BU3" s="27">
        <v>52.881151600000003</v>
      </c>
      <c r="BV3" s="27">
        <v>60.6660629</v>
      </c>
      <c r="BW3" s="27">
        <v>56.800808599999982</v>
      </c>
      <c r="BX3" s="27">
        <f>SUM(BT3:BW3)</f>
        <v>225.34802309999998</v>
      </c>
      <c r="BY3" s="27">
        <v>54.8</v>
      </c>
      <c r="BZ3" s="27">
        <v>66.7</v>
      </c>
      <c r="CA3" s="27">
        <v>59.3</v>
      </c>
      <c r="CB3" s="27">
        <v>56.3</v>
      </c>
      <c r="CC3" s="27">
        <f>SUM(BY3:CB3)</f>
        <v>237.10000000000002</v>
      </c>
      <c r="CD3" s="27">
        <v>69.400000000000006</v>
      </c>
      <c r="CE3" s="27">
        <v>66.590880840000011</v>
      </c>
      <c r="CF3" s="27">
        <v>63.900000000000013</v>
      </c>
      <c r="CG3" s="27">
        <v>68.3</v>
      </c>
      <c r="CH3" s="27">
        <f>SUM(CD3:CG3)</f>
        <v>268.19088084000003</v>
      </c>
      <c r="CI3" s="27">
        <v>76.5</v>
      </c>
      <c r="CJ3" s="27">
        <v>76.8</v>
      </c>
      <c r="CK3" s="27">
        <v>72.647722110000004</v>
      </c>
      <c r="CL3" s="27">
        <v>63.067481399999998</v>
      </c>
      <c r="CM3" s="27">
        <f>SUM(CI3:CL3)</f>
        <v>289.01520351000005</v>
      </c>
      <c r="CN3" s="27">
        <v>82.600000000000009</v>
      </c>
      <c r="CO3" s="27">
        <v>64.899999999999991</v>
      </c>
      <c r="CP3" s="27">
        <v>61.400000000000006</v>
      </c>
      <c r="CQ3" s="27">
        <v>61.40000000000002</v>
      </c>
      <c r="CR3" s="27">
        <f>SUM(CN3:CQ3)</f>
        <v>270.3</v>
      </c>
      <c r="CS3" s="27">
        <v>84.710676140000004</v>
      </c>
      <c r="CT3" s="27">
        <v>76.768282429999999</v>
      </c>
      <c r="CU3" s="27">
        <v>88.170265540000031</v>
      </c>
      <c r="CV3" s="27">
        <f>326.752-SUM(CS3:CU3)</f>
        <v>77.102775889999975</v>
      </c>
      <c r="CW3" s="27">
        <f>SUM(CS3:CV3)</f>
        <v>326.75200000000001</v>
      </c>
      <c r="CX3" s="27">
        <v>87.808999999999997</v>
      </c>
      <c r="CY3" s="27">
        <v>71.623000000000005</v>
      </c>
      <c r="CZ3" s="27">
        <v>76.215999999999994</v>
      </c>
      <c r="DA3" s="27">
        <v>75.995999999999995</v>
      </c>
      <c r="DB3" s="27">
        <f>SUM(CX3:DA3)</f>
        <v>311.64400000000001</v>
      </c>
      <c r="DC3" s="27">
        <v>78.515000000000001</v>
      </c>
      <c r="DD3" s="27">
        <v>70.522000000000006</v>
      </c>
      <c r="DE3" s="27">
        <v>75.570999999999998</v>
      </c>
      <c r="DF3" s="27">
        <v>81.031999999999996</v>
      </c>
      <c r="DG3" s="27">
        <f>SUM(DC3:DF3)</f>
        <v>305.64</v>
      </c>
      <c r="DH3" s="27">
        <v>93.647000000000006</v>
      </c>
      <c r="DI3" s="27">
        <v>80.091999999999999</v>
      </c>
      <c r="DJ3" s="27">
        <v>83.709000000000003</v>
      </c>
      <c r="DK3" s="27">
        <v>83.052000000000007</v>
      </c>
      <c r="DL3" s="27">
        <f>SUM(DH3:DK3)</f>
        <v>340.5</v>
      </c>
      <c r="DM3" s="27">
        <v>86.784000000000006</v>
      </c>
      <c r="DN3" s="27">
        <v>85.924999999999997</v>
      </c>
      <c r="DO3" s="27">
        <v>91.153999999999996</v>
      </c>
      <c r="DP3" s="27">
        <v>56.478999999999999</v>
      </c>
      <c r="DQ3" s="27">
        <f t="shared" ref="DQ3:DQ14" si="0">SUM(DM3:DP3)</f>
        <v>320.34199999999998</v>
      </c>
      <c r="DR3" s="27">
        <v>0</v>
      </c>
      <c r="DS3" s="27">
        <v>0</v>
      </c>
      <c r="DT3" s="27">
        <v>0</v>
      </c>
      <c r="DU3" s="27">
        <v>0</v>
      </c>
      <c r="DV3" s="27">
        <f>SUM(DR3:DU3)</f>
        <v>0</v>
      </c>
      <c r="DW3" s="27">
        <v>0</v>
      </c>
      <c r="DX3" s="27">
        <v>0</v>
      </c>
      <c r="DY3" s="27">
        <v>0</v>
      </c>
      <c r="DZ3" s="27">
        <v>0</v>
      </c>
      <c r="EA3" s="27">
        <f t="shared" ref="EA3:EA22" si="1">SUM(DW3:DZ3)</f>
        <v>0</v>
      </c>
      <c r="EB3" s="27">
        <v>0</v>
      </c>
      <c r="EC3" s="27">
        <v>0</v>
      </c>
      <c r="ED3" s="27">
        <v>0</v>
      </c>
      <c r="EE3" s="27">
        <v>0</v>
      </c>
      <c r="EF3" s="27">
        <f t="shared" ref="EF3:EF22" si="2">SUM(EB3:EE3)</f>
        <v>0</v>
      </c>
      <c r="EG3" s="27">
        <v>0</v>
      </c>
      <c r="EH3" s="27">
        <v>0</v>
      </c>
      <c r="EI3" s="27">
        <v>0</v>
      </c>
    </row>
    <row r="4" spans="1:139" ht="15" thickBot="1" x14ac:dyDescent="0.35">
      <c r="A4" s="2" t="s">
        <v>454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28">
        <v>29.331</v>
      </c>
      <c r="BK4" s="28">
        <v>36.108002599999999</v>
      </c>
      <c r="BL4" s="28">
        <v>33.100997399999997</v>
      </c>
      <c r="BM4" s="28">
        <v>32.20000000000001</v>
      </c>
      <c r="BN4" s="28">
        <f t="shared" ref="BN4:BN22" si="3">SUM(BJ4:BM4)</f>
        <v>130.74</v>
      </c>
      <c r="BO4" s="28">
        <v>37.440730800000004</v>
      </c>
      <c r="BP4" s="28">
        <v>48.91842839000001</v>
      </c>
      <c r="BQ4" s="28">
        <v>42.159875800000009</v>
      </c>
      <c r="BR4" s="28">
        <v>39.751308800000004</v>
      </c>
      <c r="BS4" s="28">
        <f t="shared" ref="BS4:BS22" si="4">SUM(BO4:BR4)</f>
        <v>168.27034379000003</v>
      </c>
      <c r="BT4" s="28">
        <v>39.400000000000006</v>
      </c>
      <c r="BU4" s="28">
        <v>49.222187000000005</v>
      </c>
      <c r="BV4" s="28">
        <v>44.721157099999992</v>
      </c>
      <c r="BW4" s="28">
        <v>44.758166200000034</v>
      </c>
      <c r="BX4" s="28">
        <f t="shared" ref="BX4:BX22" si="5">SUM(BT4:BW4)</f>
        <v>178.10151030000003</v>
      </c>
      <c r="BY4" s="28">
        <v>44.500000000000007</v>
      </c>
      <c r="BZ4" s="28">
        <v>66.5</v>
      </c>
      <c r="CA4" s="28">
        <v>59.70000000000001</v>
      </c>
      <c r="CB4" s="28">
        <v>55.599999999999987</v>
      </c>
      <c r="CC4" s="28">
        <f t="shared" ref="CC4:CC22" si="6">SUM(BY4:CB4)</f>
        <v>226.3</v>
      </c>
      <c r="CD4" s="28">
        <v>51.4</v>
      </c>
      <c r="CE4" s="28">
        <v>60.70520093999999</v>
      </c>
      <c r="CF4" s="28">
        <v>58.5</v>
      </c>
      <c r="CG4" s="28">
        <v>53.800000000000011</v>
      </c>
      <c r="CH4" s="28">
        <f t="shared" ref="CH4:CH22" si="7">SUM(CD4:CG4)</f>
        <v>224.40520093999999</v>
      </c>
      <c r="CI4" s="28">
        <v>52.7</v>
      </c>
      <c r="CJ4" s="28">
        <v>63.699999999999996</v>
      </c>
      <c r="CK4" s="28">
        <v>60.670731190000012</v>
      </c>
      <c r="CL4" s="28">
        <v>51.618721300000004</v>
      </c>
      <c r="CM4" s="28">
        <f t="shared" ref="CM4:CM22" si="8">SUM(CI4:CL4)</f>
        <v>228.68945249000001</v>
      </c>
      <c r="CN4" s="28">
        <v>74.099999999999994</v>
      </c>
      <c r="CO4" s="28">
        <v>91.9</v>
      </c>
      <c r="CP4" s="28">
        <v>84.7</v>
      </c>
      <c r="CQ4" s="28">
        <v>68.499999999999986</v>
      </c>
      <c r="CR4" s="28">
        <f t="shared" ref="CR4:CR22" si="9">SUM(CN4:CQ4)</f>
        <v>319.2</v>
      </c>
      <c r="CS4" s="28">
        <v>77.25354600999998</v>
      </c>
      <c r="CT4" s="28">
        <v>97.554861920000036</v>
      </c>
      <c r="CU4" s="28">
        <v>90.942141719999981</v>
      </c>
      <c r="CV4" s="28">
        <f>356.959-SUM(CS4:CU4)</f>
        <v>91.208450350000021</v>
      </c>
      <c r="CW4" s="28">
        <f t="shared" ref="CW4:CW22" si="10">SUM(CS4:CV4)</f>
        <v>356.959</v>
      </c>
      <c r="CX4" s="28">
        <v>86.054000000000002</v>
      </c>
      <c r="CY4" s="28">
        <v>101.678</v>
      </c>
      <c r="CZ4" s="28">
        <v>100.08499999999999</v>
      </c>
      <c r="DA4" s="28">
        <v>96.013999999999996</v>
      </c>
      <c r="DB4" s="28">
        <f t="shared" ref="DB4:DB22" si="11">SUM(CX4:DA4)</f>
        <v>383.83100000000002</v>
      </c>
      <c r="DC4" s="28">
        <v>89.201999999999998</v>
      </c>
      <c r="DD4" s="28">
        <v>105.941</v>
      </c>
      <c r="DE4" s="28">
        <v>103.86199999999999</v>
      </c>
      <c r="DF4" s="28">
        <v>108.69799999999999</v>
      </c>
      <c r="DG4" s="28">
        <f t="shared" ref="DG4:DG22" si="12">SUM(DC4:DF4)</f>
        <v>407.70299999999997</v>
      </c>
      <c r="DH4" s="28">
        <v>88.040999999999997</v>
      </c>
      <c r="DI4" s="28">
        <v>106.04600000000001</v>
      </c>
      <c r="DJ4" s="28">
        <v>94.241</v>
      </c>
      <c r="DK4" s="28">
        <v>103.048</v>
      </c>
      <c r="DL4" s="28">
        <f t="shared" ref="DL4:DL22" si="13">SUM(DH4:DK4)</f>
        <v>391.37599999999998</v>
      </c>
      <c r="DM4" s="28">
        <v>107.749</v>
      </c>
      <c r="DN4" s="28">
        <v>138.684</v>
      </c>
      <c r="DO4" s="28">
        <v>133.60599999999999</v>
      </c>
      <c r="DP4" s="28">
        <v>124.607</v>
      </c>
      <c r="DQ4" s="28">
        <f t="shared" si="0"/>
        <v>504.64599999999996</v>
      </c>
      <c r="DR4" s="28">
        <v>92.570999999999998</v>
      </c>
      <c r="DS4" s="28">
        <v>88.754999999999995</v>
      </c>
      <c r="DT4" s="28">
        <v>95.355999999999995</v>
      </c>
      <c r="DU4" s="28">
        <v>191.44499999999999</v>
      </c>
      <c r="DV4" s="28">
        <f t="shared" ref="DV4:DV22" si="14">SUM(DR4:DU4)</f>
        <v>468.12700000000001</v>
      </c>
      <c r="DW4" s="28">
        <v>129.83000000000001</v>
      </c>
      <c r="DX4" s="28">
        <v>138.81</v>
      </c>
      <c r="DY4" s="28">
        <v>151.79153933000003</v>
      </c>
      <c r="DZ4" s="28">
        <v>144.11892241999996</v>
      </c>
      <c r="EA4" s="28">
        <f t="shared" si="1"/>
        <v>564.55046174999995</v>
      </c>
      <c r="EB4" s="28">
        <v>143.85755155999999</v>
      </c>
      <c r="EC4" s="28">
        <v>149.31837624000002</v>
      </c>
      <c r="ED4" s="28">
        <v>170.46299999999999</v>
      </c>
      <c r="EE4" s="28">
        <v>175.57178717000002</v>
      </c>
      <c r="EF4" s="28">
        <f t="shared" si="2"/>
        <v>639.21071497000003</v>
      </c>
      <c r="EG4" s="28">
        <v>179.10303528999998</v>
      </c>
      <c r="EH4" s="28">
        <v>169.52684276000002</v>
      </c>
      <c r="EI4" s="28">
        <v>190.02899656</v>
      </c>
    </row>
    <row r="5" spans="1:139" ht="15" thickTop="1" x14ac:dyDescent="0.3">
      <c r="A5" s="1" t="s">
        <v>442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27">
        <v>164.202</v>
      </c>
      <c r="BK5" s="27">
        <v>161.51437070999998</v>
      </c>
      <c r="BL5" s="27">
        <v>184.68362929</v>
      </c>
      <c r="BM5" s="27">
        <v>201.70000000000005</v>
      </c>
      <c r="BN5" s="27">
        <f t="shared" si="3"/>
        <v>712.1</v>
      </c>
      <c r="BO5" s="27">
        <v>186.3722291</v>
      </c>
      <c r="BP5" s="27">
        <v>181.76425704999997</v>
      </c>
      <c r="BQ5" s="27">
        <v>208.32501049999999</v>
      </c>
      <c r="BR5" s="27">
        <v>222.71510764999999</v>
      </c>
      <c r="BS5" s="27">
        <f t="shared" si="4"/>
        <v>799.17660430000001</v>
      </c>
      <c r="BT5" s="27">
        <v>211.1</v>
      </c>
      <c r="BU5" s="27">
        <v>188.18644384999993</v>
      </c>
      <c r="BV5" s="27">
        <v>240.98391920000012</v>
      </c>
      <c r="BW5" s="27">
        <v>254.32417469999987</v>
      </c>
      <c r="BX5" s="27">
        <f t="shared" si="5"/>
        <v>894.59453774999986</v>
      </c>
      <c r="BY5" s="27">
        <v>231.8</v>
      </c>
      <c r="BZ5" s="27">
        <v>244.60000000000002</v>
      </c>
      <c r="CA5" s="27">
        <v>280.39999999999998</v>
      </c>
      <c r="CB5" s="27">
        <v>329.2</v>
      </c>
      <c r="CC5" s="27">
        <f t="shared" si="6"/>
        <v>1086</v>
      </c>
      <c r="CD5" s="27">
        <v>282.3</v>
      </c>
      <c r="CE5" s="27">
        <v>327.19664244000006</v>
      </c>
      <c r="CF5" s="27">
        <v>292.2</v>
      </c>
      <c r="CG5" s="27">
        <v>304.10000000000002</v>
      </c>
      <c r="CH5" s="27">
        <f t="shared" si="7"/>
        <v>1205.7966424400001</v>
      </c>
      <c r="CI5" s="27">
        <v>250.8</v>
      </c>
      <c r="CJ5" s="27">
        <v>230.99999999999997</v>
      </c>
      <c r="CK5" s="27">
        <v>256.63177981000001</v>
      </c>
      <c r="CL5" s="27">
        <v>280.32911889999991</v>
      </c>
      <c r="CM5" s="27">
        <f t="shared" si="8"/>
        <v>1018.7608987099999</v>
      </c>
      <c r="CN5" s="27">
        <v>249</v>
      </c>
      <c r="CO5" s="27">
        <v>229.6</v>
      </c>
      <c r="CP5" s="27">
        <v>258.8</v>
      </c>
      <c r="CQ5" s="27">
        <v>287.09999999999991</v>
      </c>
      <c r="CR5" s="27">
        <f t="shared" si="9"/>
        <v>1024.5</v>
      </c>
      <c r="CS5" s="27">
        <v>275.10617587999997</v>
      </c>
      <c r="CT5" s="27">
        <v>252.73139377999999</v>
      </c>
      <c r="CU5" s="27">
        <v>292.58640514999996</v>
      </c>
      <c r="CV5" s="27">
        <f>1119.117-SUM(CS5:CU5)</f>
        <v>298.69302519000007</v>
      </c>
      <c r="CW5" s="27">
        <f t="shared" si="10"/>
        <v>1119.117</v>
      </c>
      <c r="CX5" s="27">
        <v>306.54300000000001</v>
      </c>
      <c r="CY5" s="27">
        <v>259.58499999999998</v>
      </c>
      <c r="CZ5" s="27">
        <v>283.46100000000001</v>
      </c>
      <c r="DA5" s="27">
        <v>304.67700000000002</v>
      </c>
      <c r="DB5" s="27">
        <f t="shared" si="11"/>
        <v>1154.2660000000001</v>
      </c>
      <c r="DC5" s="27">
        <v>302.02699999999999</v>
      </c>
      <c r="DD5" s="27">
        <v>277.82</v>
      </c>
      <c r="DE5" s="27">
        <v>310.72500000000002</v>
      </c>
      <c r="DF5" s="27">
        <v>338.10399999999998</v>
      </c>
      <c r="DG5" s="27">
        <f t="shared" si="12"/>
        <v>1228.6759999999999</v>
      </c>
      <c r="DH5" s="27">
        <v>299.45999999999998</v>
      </c>
      <c r="DI5" s="27">
        <v>230.45</v>
      </c>
      <c r="DJ5" s="27">
        <v>295.459</v>
      </c>
      <c r="DK5" s="27">
        <v>302.40499999999997</v>
      </c>
      <c r="DL5" s="27">
        <f t="shared" si="13"/>
        <v>1127.7739999999999</v>
      </c>
      <c r="DM5" s="27">
        <v>286.81799999999998</v>
      </c>
      <c r="DN5" s="27">
        <v>271.286</v>
      </c>
      <c r="DO5" s="27">
        <v>307.33600000000001</v>
      </c>
      <c r="DP5" s="27">
        <v>324.58699999999999</v>
      </c>
      <c r="DQ5" s="27">
        <f t="shared" si="0"/>
        <v>1190.027</v>
      </c>
      <c r="DR5" s="27">
        <v>350.322</v>
      </c>
      <c r="DS5" s="27">
        <v>328.851</v>
      </c>
      <c r="DT5" s="27">
        <v>408.33699999999999</v>
      </c>
      <c r="DU5" s="27">
        <v>433.28500000000003</v>
      </c>
      <c r="DV5" s="27">
        <f t="shared" si="14"/>
        <v>1520.7950000000001</v>
      </c>
      <c r="DW5" s="27">
        <v>430.26499999999999</v>
      </c>
      <c r="DX5" s="27">
        <v>450.02600000000001</v>
      </c>
      <c r="DY5" s="27">
        <v>484.93605072000003</v>
      </c>
      <c r="DZ5" s="27">
        <v>501.17494831999994</v>
      </c>
      <c r="EA5" s="27">
        <f t="shared" si="1"/>
        <v>1866.40199904</v>
      </c>
      <c r="EB5" s="27">
        <v>465.84303749999998</v>
      </c>
      <c r="EC5" s="27">
        <v>488.13425983000002</v>
      </c>
      <c r="ED5" s="27">
        <v>493.53300000000002</v>
      </c>
      <c r="EE5" s="27">
        <v>506.04884446000005</v>
      </c>
      <c r="EF5" s="27">
        <f t="shared" si="2"/>
        <v>1953.55914179</v>
      </c>
      <c r="EG5" s="27">
        <v>493.93974151999998</v>
      </c>
      <c r="EH5" s="27">
        <v>496.07477756000009</v>
      </c>
      <c r="EI5" s="27">
        <v>544.26628333000008</v>
      </c>
    </row>
    <row r="6" spans="1:139" ht="15" thickBot="1" x14ac:dyDescent="0.35">
      <c r="A6" s="2" t="s">
        <v>3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28">
        <v>44.762</v>
      </c>
      <c r="BK6" s="28">
        <v>41.571078299999996</v>
      </c>
      <c r="BL6" s="28">
        <v>45.866921700000006</v>
      </c>
      <c r="BM6" s="28">
        <v>47.499999999999993</v>
      </c>
      <c r="BN6" s="28">
        <f t="shared" si="3"/>
        <v>179.7</v>
      </c>
      <c r="BO6" s="28">
        <v>51.552296000000005</v>
      </c>
      <c r="BP6" s="28">
        <v>50.132466499999992</v>
      </c>
      <c r="BQ6" s="28">
        <v>52.580819199999986</v>
      </c>
      <c r="BR6" s="28">
        <v>57.703589600000022</v>
      </c>
      <c r="BS6" s="28">
        <f t="shared" si="4"/>
        <v>211.9691713</v>
      </c>
      <c r="BT6" s="28">
        <v>69.900000000000006</v>
      </c>
      <c r="BU6" s="28">
        <v>56.334647100000005</v>
      </c>
      <c r="BV6" s="28">
        <v>64.191269599999984</v>
      </c>
      <c r="BW6" s="28">
        <v>80.62418335000001</v>
      </c>
      <c r="BX6" s="28">
        <f t="shared" si="5"/>
        <v>271.05010005000003</v>
      </c>
      <c r="BY6" s="28">
        <v>69.099999999999994</v>
      </c>
      <c r="BZ6" s="28">
        <v>71.7</v>
      </c>
      <c r="CA6" s="28">
        <v>68.999999999999986</v>
      </c>
      <c r="CB6" s="28">
        <v>64.3</v>
      </c>
      <c r="CC6" s="28">
        <f t="shared" si="6"/>
        <v>274.10000000000002</v>
      </c>
      <c r="CD6" s="28">
        <v>70.650000000000006</v>
      </c>
      <c r="CE6" s="28">
        <v>66.384956319999986</v>
      </c>
      <c r="CF6" s="28">
        <v>68.5</v>
      </c>
      <c r="CG6" s="28">
        <v>79</v>
      </c>
      <c r="CH6" s="28">
        <f t="shared" si="7"/>
        <v>284.53495631999999</v>
      </c>
      <c r="CI6" s="28">
        <v>72.900000000000006</v>
      </c>
      <c r="CJ6" s="28">
        <v>71.3</v>
      </c>
      <c r="CK6" s="28">
        <v>79.598184360000019</v>
      </c>
      <c r="CL6" s="28">
        <v>86.254424</v>
      </c>
      <c r="CM6" s="28">
        <f t="shared" si="8"/>
        <v>310.05260836000002</v>
      </c>
      <c r="CN6" s="28">
        <v>84.2</v>
      </c>
      <c r="CO6" s="28">
        <v>82.699999999999974</v>
      </c>
      <c r="CP6" s="28">
        <v>88.90000000000002</v>
      </c>
      <c r="CQ6" s="28">
        <v>83.199999999999974</v>
      </c>
      <c r="CR6" s="28">
        <f t="shared" si="9"/>
        <v>339</v>
      </c>
      <c r="CS6" s="28">
        <v>94.714404709999997</v>
      </c>
      <c r="CT6" s="28">
        <v>87.944013629999986</v>
      </c>
      <c r="CU6" s="28">
        <v>95.325631059999978</v>
      </c>
      <c r="CV6" s="28">
        <f>392.124-SUM(CS6:CU6)</f>
        <v>114.13995060000008</v>
      </c>
      <c r="CW6" s="28">
        <f t="shared" si="10"/>
        <v>392.12400000000002</v>
      </c>
      <c r="CX6" s="28">
        <v>102.867</v>
      </c>
      <c r="CY6" s="28">
        <v>93.364999999999995</v>
      </c>
      <c r="CZ6" s="28">
        <v>98.412000000000006</v>
      </c>
      <c r="DA6" s="28">
        <v>102.785</v>
      </c>
      <c r="DB6" s="28">
        <f t="shared" si="11"/>
        <v>397.42899999999997</v>
      </c>
      <c r="DC6" s="28">
        <v>92.650999999999996</v>
      </c>
      <c r="DD6" s="28">
        <v>86.65</v>
      </c>
      <c r="DE6" s="28">
        <v>94.146000000000001</v>
      </c>
      <c r="DF6" s="28">
        <v>97.278999999999996</v>
      </c>
      <c r="DG6" s="28">
        <f t="shared" si="12"/>
        <v>370.726</v>
      </c>
      <c r="DH6" s="28">
        <v>99.224999999999994</v>
      </c>
      <c r="DI6" s="28">
        <v>73.972999999999999</v>
      </c>
      <c r="DJ6" s="28">
        <v>86.855000000000004</v>
      </c>
      <c r="DK6" s="28">
        <v>100.883</v>
      </c>
      <c r="DL6" s="28">
        <f t="shared" si="13"/>
        <v>360.93599999999998</v>
      </c>
      <c r="DM6" s="28">
        <v>94.349000000000004</v>
      </c>
      <c r="DN6" s="28">
        <v>103.706</v>
      </c>
      <c r="DO6" s="28">
        <v>117.866</v>
      </c>
      <c r="DP6" s="28">
        <v>75.745999999999995</v>
      </c>
      <c r="DQ6" s="28">
        <f t="shared" si="0"/>
        <v>391.66699999999997</v>
      </c>
      <c r="DR6" s="28">
        <v>0</v>
      </c>
      <c r="DS6" s="28">
        <v>0</v>
      </c>
      <c r="DT6" s="28">
        <v>0</v>
      </c>
      <c r="DU6" s="28">
        <v>0</v>
      </c>
      <c r="DV6" s="28">
        <f t="shared" si="14"/>
        <v>0</v>
      </c>
      <c r="DW6" s="28">
        <v>0</v>
      </c>
      <c r="DX6" s="28">
        <v>0</v>
      </c>
      <c r="DY6" s="28">
        <v>0</v>
      </c>
      <c r="DZ6" s="28">
        <v>0</v>
      </c>
      <c r="EA6" s="28">
        <f t="shared" si="1"/>
        <v>0</v>
      </c>
      <c r="EB6" s="28">
        <v>0</v>
      </c>
      <c r="EC6" s="28">
        <v>0</v>
      </c>
      <c r="ED6" s="28">
        <v>0</v>
      </c>
      <c r="EE6" s="28">
        <v>0</v>
      </c>
      <c r="EF6" s="28">
        <f t="shared" si="2"/>
        <v>0</v>
      </c>
      <c r="EG6" s="28">
        <v>0</v>
      </c>
      <c r="EH6" s="28">
        <v>0</v>
      </c>
      <c r="EI6" s="28">
        <v>0</v>
      </c>
    </row>
    <row r="7" spans="1:139" ht="15" thickTop="1" x14ac:dyDescent="0.3">
      <c r="A7" s="1" t="s">
        <v>443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27">
        <v>78.688999999999993</v>
      </c>
      <c r="BK7" s="27">
        <v>66.868689139999987</v>
      </c>
      <c r="BL7" s="27">
        <v>57.599999999999994</v>
      </c>
      <c r="BM7" s="27">
        <v>59.900000000000006</v>
      </c>
      <c r="BN7" s="27">
        <f t="shared" si="3"/>
        <v>263.05768913999998</v>
      </c>
      <c r="BO7" s="27">
        <v>61.382915800000006</v>
      </c>
      <c r="BP7" s="27">
        <v>69.543264349999987</v>
      </c>
      <c r="BQ7" s="27">
        <v>62.968627100000027</v>
      </c>
      <c r="BR7" s="27">
        <v>74.116044549999984</v>
      </c>
      <c r="BS7" s="27">
        <f t="shared" si="4"/>
        <v>268.01085180000001</v>
      </c>
      <c r="BT7" s="27">
        <v>65</v>
      </c>
      <c r="BU7" s="27">
        <v>84.456708099999986</v>
      </c>
      <c r="BV7" s="27">
        <v>93.274142400000017</v>
      </c>
      <c r="BW7" s="27">
        <v>92.755926899999992</v>
      </c>
      <c r="BX7" s="27">
        <f t="shared" si="5"/>
        <v>335.48677739999999</v>
      </c>
      <c r="BY7" s="27">
        <v>80</v>
      </c>
      <c r="BZ7" s="27">
        <v>98.1</v>
      </c>
      <c r="CA7" s="27">
        <v>115.8</v>
      </c>
      <c r="CB7" s="27">
        <v>107.00000000000001</v>
      </c>
      <c r="CC7" s="27">
        <f t="shared" si="6"/>
        <v>400.9</v>
      </c>
      <c r="CD7" s="27">
        <v>85.300000000000011</v>
      </c>
      <c r="CE7" s="27">
        <v>91.349246350000001</v>
      </c>
      <c r="CF7" s="27">
        <v>95.100000000000009</v>
      </c>
      <c r="CG7" s="27">
        <v>108.99999999999999</v>
      </c>
      <c r="CH7" s="27">
        <f t="shared" si="7"/>
        <v>380.74924635000002</v>
      </c>
      <c r="CI7" s="27">
        <v>123.7</v>
      </c>
      <c r="CJ7" s="27">
        <v>104.4</v>
      </c>
      <c r="CK7" s="27">
        <v>94.428761260000002</v>
      </c>
      <c r="CL7" s="27">
        <v>94.114851949999974</v>
      </c>
      <c r="CM7" s="27">
        <f t="shared" si="8"/>
        <v>416.64361321000001</v>
      </c>
      <c r="CN7" s="27">
        <v>79.900000000000006</v>
      </c>
      <c r="CO7" s="27">
        <v>83.399999999999991</v>
      </c>
      <c r="CP7" s="27">
        <v>123.89999999999999</v>
      </c>
      <c r="CQ7" s="27">
        <v>96.90000000000002</v>
      </c>
      <c r="CR7" s="27">
        <f t="shared" si="9"/>
        <v>384.1</v>
      </c>
      <c r="CS7" s="27">
        <v>94.13278523000001</v>
      </c>
      <c r="CT7" s="27">
        <v>123.54234416000001</v>
      </c>
      <c r="CU7" s="27">
        <v>137.96109770000001</v>
      </c>
      <c r="CV7" s="27">
        <f>487.495-SUM(CS7:CU7)</f>
        <v>131.85877290999997</v>
      </c>
      <c r="CW7" s="27">
        <f t="shared" si="10"/>
        <v>487.495</v>
      </c>
      <c r="CX7" s="27">
        <v>103.586</v>
      </c>
      <c r="CY7" s="27">
        <v>80.551000000000002</v>
      </c>
      <c r="CZ7" s="27">
        <v>83.796999999999997</v>
      </c>
      <c r="DA7" s="27">
        <v>94.182000000000002</v>
      </c>
      <c r="DB7" s="27">
        <f t="shared" si="11"/>
        <v>362.11599999999999</v>
      </c>
      <c r="DC7" s="27">
        <v>92.174999999999997</v>
      </c>
      <c r="DD7" s="27">
        <v>94.933000000000007</v>
      </c>
      <c r="DE7" s="27">
        <v>91.402000000000001</v>
      </c>
      <c r="DF7" s="27">
        <v>94.227999999999994</v>
      </c>
      <c r="DG7" s="27">
        <f t="shared" si="12"/>
        <v>372.738</v>
      </c>
      <c r="DH7" s="27">
        <v>81.552000000000007</v>
      </c>
      <c r="DI7" s="27">
        <v>56.94</v>
      </c>
      <c r="DJ7" s="27">
        <v>80.578999999999994</v>
      </c>
      <c r="DK7" s="27">
        <v>102.63800000000001</v>
      </c>
      <c r="DL7" s="27">
        <f t="shared" si="13"/>
        <v>321.70900000000006</v>
      </c>
      <c r="DM7" s="27">
        <v>84.024000000000001</v>
      </c>
      <c r="DN7" s="27">
        <v>91.774000000000001</v>
      </c>
      <c r="DO7" s="27">
        <v>111.114</v>
      </c>
      <c r="DP7" s="27">
        <v>106.598</v>
      </c>
      <c r="DQ7" s="27">
        <f t="shared" si="0"/>
        <v>393.51000000000005</v>
      </c>
      <c r="DR7" s="27">
        <v>94.156999999999996</v>
      </c>
      <c r="DS7" s="27">
        <v>96.134</v>
      </c>
      <c r="DT7" s="27">
        <v>134.042</v>
      </c>
      <c r="DU7" s="27">
        <v>155.232</v>
      </c>
      <c r="DV7" s="27">
        <f t="shared" si="14"/>
        <v>479.56499999999994</v>
      </c>
      <c r="DW7" s="27">
        <v>114.541</v>
      </c>
      <c r="DX7" s="27">
        <v>121.848</v>
      </c>
      <c r="DY7" s="27">
        <v>141.07963671000002</v>
      </c>
      <c r="DZ7" s="27">
        <v>157.20973915999997</v>
      </c>
      <c r="EA7" s="27">
        <f t="shared" si="1"/>
        <v>534.67837587000008</v>
      </c>
      <c r="EB7" s="27">
        <v>153.53873754</v>
      </c>
      <c r="EC7" s="27">
        <v>158.33209628999998</v>
      </c>
      <c r="ED7" s="27">
        <v>196.572</v>
      </c>
      <c r="EE7" s="27">
        <v>204.67219569</v>
      </c>
      <c r="EF7" s="27">
        <f t="shared" si="2"/>
        <v>713.11502952000001</v>
      </c>
      <c r="EG7" s="27">
        <v>187.58256316999999</v>
      </c>
      <c r="EH7" s="27">
        <v>198.74650356000004</v>
      </c>
      <c r="EI7" s="27">
        <v>188.59643869999994</v>
      </c>
    </row>
    <row r="8" spans="1:139" ht="15" thickBot="1" x14ac:dyDescent="0.35">
      <c r="A8" s="2" t="s">
        <v>481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28">
        <v>0</v>
      </c>
      <c r="BK8" s="28">
        <v>0</v>
      </c>
      <c r="BL8" s="28">
        <v>0</v>
      </c>
      <c r="BM8" s="28">
        <v>0</v>
      </c>
      <c r="BN8" s="28">
        <f t="shared" si="3"/>
        <v>0</v>
      </c>
      <c r="BO8" s="28">
        <v>0</v>
      </c>
      <c r="BP8" s="28">
        <v>0</v>
      </c>
      <c r="BQ8" s="28">
        <v>0</v>
      </c>
      <c r="BR8" s="28">
        <v>0</v>
      </c>
      <c r="BS8" s="28">
        <f t="shared" si="4"/>
        <v>0</v>
      </c>
      <c r="BT8" s="28">
        <v>0</v>
      </c>
      <c r="BU8" s="28">
        <v>0</v>
      </c>
      <c r="BV8" s="28">
        <v>0</v>
      </c>
      <c r="BW8" s="28">
        <v>0</v>
      </c>
      <c r="BX8" s="28">
        <f t="shared" si="5"/>
        <v>0</v>
      </c>
      <c r="BY8" s="28">
        <v>0</v>
      </c>
      <c r="BZ8" s="28">
        <v>0</v>
      </c>
      <c r="CA8" s="28">
        <v>11.1</v>
      </c>
      <c r="CB8" s="28">
        <v>15.5</v>
      </c>
      <c r="CC8" s="28">
        <f t="shared" si="6"/>
        <v>26.6</v>
      </c>
      <c r="CD8" s="28">
        <v>31.3</v>
      </c>
      <c r="CE8" s="28">
        <v>146.11121702000003</v>
      </c>
      <c r="CF8" s="28">
        <v>63.199999999999996</v>
      </c>
      <c r="CG8" s="28">
        <v>59.800000000000004</v>
      </c>
      <c r="CH8" s="28">
        <f t="shared" si="7"/>
        <v>300.41121702000004</v>
      </c>
      <c r="CI8" s="28">
        <v>56.899999999999991</v>
      </c>
      <c r="CJ8" s="28">
        <v>69.800000000000011</v>
      </c>
      <c r="CK8" s="28">
        <v>83.043358679999997</v>
      </c>
      <c r="CL8" s="28">
        <v>78.235870949999978</v>
      </c>
      <c r="CM8" s="28">
        <f t="shared" si="8"/>
        <v>287.97922962999996</v>
      </c>
      <c r="CN8" s="28">
        <v>57.4</v>
      </c>
      <c r="CO8" s="28">
        <v>60.2</v>
      </c>
      <c r="CP8" s="28">
        <v>77.599999999999994</v>
      </c>
      <c r="CQ8" s="28">
        <v>78.599999999999994</v>
      </c>
      <c r="CR8" s="28">
        <f t="shared" si="9"/>
        <v>273.79999999999995</v>
      </c>
      <c r="CS8" s="28">
        <v>63.293804789999996</v>
      </c>
      <c r="CT8" s="28">
        <v>71.621430299999986</v>
      </c>
      <c r="CU8" s="28">
        <v>75.555494409999994</v>
      </c>
      <c r="CV8" s="28">
        <f>296.232-SUM(CS8:CU8)</f>
        <v>85.761270500000052</v>
      </c>
      <c r="CW8" s="28">
        <f t="shared" si="10"/>
        <v>296.23200000000003</v>
      </c>
      <c r="CX8" s="28">
        <v>98.78</v>
      </c>
      <c r="CY8" s="28">
        <v>99.03</v>
      </c>
      <c r="CZ8" s="28">
        <v>95.447999999999993</v>
      </c>
      <c r="DA8" s="28">
        <v>119.35599999999999</v>
      </c>
      <c r="DB8" s="28">
        <f t="shared" si="11"/>
        <v>412.61399999999998</v>
      </c>
      <c r="DC8" s="28">
        <v>104.21299999999999</v>
      </c>
      <c r="DD8" s="28">
        <v>107.928</v>
      </c>
      <c r="DE8" s="28">
        <v>123.033</v>
      </c>
      <c r="DF8" s="28">
        <v>123.21899999999999</v>
      </c>
      <c r="DG8" s="28">
        <f t="shared" si="12"/>
        <v>458.39299999999997</v>
      </c>
      <c r="DH8" s="28">
        <v>97.498999999999995</v>
      </c>
      <c r="DI8" s="28">
        <v>76.971000000000004</v>
      </c>
      <c r="DJ8" s="28">
        <v>86.397000000000006</v>
      </c>
      <c r="DK8" s="28">
        <v>91.742999999999995</v>
      </c>
      <c r="DL8" s="28">
        <f t="shared" si="13"/>
        <v>352.61</v>
      </c>
      <c r="DM8" s="28">
        <v>95.376999999999995</v>
      </c>
      <c r="DN8" s="28">
        <v>108.238</v>
      </c>
      <c r="DO8" s="28">
        <v>127.399</v>
      </c>
      <c r="DP8" s="28">
        <v>112.566</v>
      </c>
      <c r="DQ8" s="28">
        <f t="shared" si="0"/>
        <v>443.58000000000004</v>
      </c>
      <c r="DR8" s="28">
        <v>119.625</v>
      </c>
      <c r="DS8" s="28">
        <v>135.489</v>
      </c>
      <c r="DT8" s="28">
        <v>153.786</v>
      </c>
      <c r="DU8" s="28">
        <v>105.253</v>
      </c>
      <c r="DV8" s="28">
        <f t="shared" si="14"/>
        <v>514.15300000000002</v>
      </c>
      <c r="DW8" s="28">
        <v>104.485</v>
      </c>
      <c r="DX8" s="28">
        <v>120.29</v>
      </c>
      <c r="DY8" s="28">
        <v>117.91080604</v>
      </c>
      <c r="DZ8" s="28">
        <v>118.11395358000004</v>
      </c>
      <c r="EA8" s="28">
        <f t="shared" si="1"/>
        <v>460.79975962000003</v>
      </c>
      <c r="EB8" s="28">
        <v>117.30977142</v>
      </c>
      <c r="EC8" s="28">
        <v>141.62599095999997</v>
      </c>
      <c r="ED8" s="28">
        <v>121.87</v>
      </c>
      <c r="EE8" s="28">
        <v>136.78655051999999</v>
      </c>
      <c r="EF8" s="28">
        <f t="shared" si="2"/>
        <v>517.59231290000002</v>
      </c>
      <c r="EG8" s="28">
        <v>117.80671907999999</v>
      </c>
      <c r="EH8" s="28">
        <v>108.79957564999999</v>
      </c>
      <c r="EI8" s="28">
        <v>119.42285706000003</v>
      </c>
    </row>
    <row r="9" spans="1:139" ht="15" thickTop="1" x14ac:dyDescent="0.3">
      <c r="A9" s="1" t="s">
        <v>445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27">
        <v>0</v>
      </c>
      <c r="BK9" s="27">
        <v>0</v>
      </c>
      <c r="BL9" s="27">
        <v>0</v>
      </c>
      <c r="BM9" s="27">
        <v>0</v>
      </c>
      <c r="BN9" s="27">
        <f t="shared" si="3"/>
        <v>0</v>
      </c>
      <c r="BO9" s="27">
        <v>0</v>
      </c>
      <c r="BP9" s="27">
        <v>0</v>
      </c>
      <c r="BQ9" s="27">
        <v>0</v>
      </c>
      <c r="BR9" s="27">
        <v>0</v>
      </c>
      <c r="BS9" s="27">
        <f t="shared" si="4"/>
        <v>0</v>
      </c>
      <c r="BT9" s="27">
        <v>0</v>
      </c>
      <c r="BU9" s="27">
        <v>0</v>
      </c>
      <c r="BV9" s="27">
        <v>0</v>
      </c>
      <c r="BW9" s="27">
        <v>0</v>
      </c>
      <c r="BX9" s="27">
        <f t="shared" si="5"/>
        <v>0</v>
      </c>
      <c r="BY9" s="27">
        <v>0</v>
      </c>
      <c r="BZ9" s="27">
        <v>0</v>
      </c>
      <c r="CA9" s="27">
        <v>0</v>
      </c>
      <c r="CB9" s="27">
        <v>0</v>
      </c>
      <c r="CC9" s="27">
        <f t="shared" si="6"/>
        <v>0</v>
      </c>
      <c r="CD9" s="27">
        <v>0</v>
      </c>
      <c r="CE9" s="27">
        <v>0</v>
      </c>
      <c r="CF9" s="27">
        <v>0</v>
      </c>
      <c r="CG9" s="27">
        <v>0</v>
      </c>
      <c r="CH9" s="27">
        <f t="shared" si="7"/>
        <v>0</v>
      </c>
      <c r="CI9" s="27">
        <v>0</v>
      </c>
      <c r="CJ9" s="27">
        <v>8.6999999999999993</v>
      </c>
      <c r="CK9" s="27">
        <v>27.351333799999999</v>
      </c>
      <c r="CL9" s="27">
        <v>35.866603549999994</v>
      </c>
      <c r="CM9" s="27">
        <f t="shared" si="8"/>
        <v>71.917937349999988</v>
      </c>
      <c r="CN9" s="27">
        <v>35</v>
      </c>
      <c r="CO9" s="27">
        <v>41.3</v>
      </c>
      <c r="CP9" s="27">
        <v>44.999999999999993</v>
      </c>
      <c r="CQ9" s="27">
        <v>53.40000000000002</v>
      </c>
      <c r="CR9" s="27">
        <f t="shared" si="9"/>
        <v>174.7</v>
      </c>
      <c r="CS9" s="27">
        <v>55.410676609999996</v>
      </c>
      <c r="CT9" s="27">
        <v>62.646385679999995</v>
      </c>
      <c r="CU9" s="27">
        <v>56.845770589999979</v>
      </c>
      <c r="CV9" s="27">
        <f>226.769-SUM(CS9:CU9)</f>
        <v>51.866167120000028</v>
      </c>
      <c r="CW9" s="27">
        <f t="shared" si="10"/>
        <v>226.76900000000001</v>
      </c>
      <c r="CX9" s="27">
        <v>36.152000000000001</v>
      </c>
      <c r="CY9" s="27">
        <v>37.741999999999997</v>
      </c>
      <c r="CZ9" s="27">
        <v>50.235999999999997</v>
      </c>
      <c r="DA9" s="27">
        <v>70.42</v>
      </c>
      <c r="DB9" s="27">
        <f t="shared" si="11"/>
        <v>194.55</v>
      </c>
      <c r="DC9" s="27">
        <v>77.198999999999998</v>
      </c>
      <c r="DD9" s="27">
        <v>102.268</v>
      </c>
      <c r="DE9" s="27">
        <v>98.26</v>
      </c>
      <c r="DF9" s="27">
        <v>103.538</v>
      </c>
      <c r="DG9" s="27">
        <f t="shared" si="12"/>
        <v>381.26499999999999</v>
      </c>
      <c r="DH9" s="27">
        <v>77.989999999999995</v>
      </c>
      <c r="DI9" s="27">
        <v>49.276000000000003</v>
      </c>
      <c r="DJ9" s="27">
        <v>61.438000000000002</v>
      </c>
      <c r="DK9" s="27">
        <v>61.951000000000001</v>
      </c>
      <c r="DL9" s="27">
        <f t="shared" si="13"/>
        <v>250.655</v>
      </c>
      <c r="DM9" s="27">
        <v>47.332999999999998</v>
      </c>
      <c r="DN9" s="27">
        <v>39.634</v>
      </c>
      <c r="DO9" s="27">
        <v>42.442999999999998</v>
      </c>
      <c r="DP9" s="27">
        <v>44.863</v>
      </c>
      <c r="DQ9" s="27">
        <f t="shared" si="0"/>
        <v>174.273</v>
      </c>
      <c r="DR9" s="27">
        <v>47.603000000000002</v>
      </c>
      <c r="DS9" s="27">
        <v>41.326999999999998</v>
      </c>
      <c r="DT9" s="27">
        <v>48.124000000000002</v>
      </c>
      <c r="DU9" s="27">
        <v>52.296999999999997</v>
      </c>
      <c r="DV9" s="27">
        <f t="shared" si="14"/>
        <v>189.351</v>
      </c>
      <c r="DW9" s="27">
        <v>45.165999999999997</v>
      </c>
      <c r="DX9" s="27">
        <v>46.527999999999999</v>
      </c>
      <c r="DY9" s="27">
        <v>56.879923720000015</v>
      </c>
      <c r="DZ9" s="27">
        <v>57.073236780000002</v>
      </c>
      <c r="EA9" s="27">
        <f t="shared" si="1"/>
        <v>205.64716050000001</v>
      </c>
      <c r="EB9" s="27">
        <v>58.207537899999998</v>
      </c>
      <c r="EC9" s="27">
        <v>67.438768360000012</v>
      </c>
      <c r="ED9" s="27">
        <v>64.254999999999995</v>
      </c>
      <c r="EE9" s="27">
        <v>65.170465820000018</v>
      </c>
      <c r="EF9" s="27">
        <f t="shared" si="2"/>
        <v>255.07177208000002</v>
      </c>
      <c r="EG9" s="27">
        <v>55.722649920000002</v>
      </c>
      <c r="EH9" s="27">
        <v>67.211858269999993</v>
      </c>
      <c r="EI9" s="27">
        <v>59.167164789999994</v>
      </c>
    </row>
    <row r="10" spans="1:139" ht="15" thickBot="1" x14ac:dyDescent="0.35">
      <c r="A10" s="2" t="s">
        <v>444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28">
        <v>0</v>
      </c>
      <c r="BK10" s="28">
        <v>0</v>
      </c>
      <c r="BL10" s="28">
        <v>0</v>
      </c>
      <c r="BM10" s="28">
        <v>0</v>
      </c>
      <c r="BN10" s="28">
        <f t="shared" si="3"/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f t="shared" si="4"/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f t="shared" si="5"/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f t="shared" si="6"/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f t="shared" si="7"/>
        <v>0</v>
      </c>
      <c r="CI10" s="28">
        <v>0</v>
      </c>
      <c r="CJ10" s="28">
        <v>0</v>
      </c>
      <c r="CK10" s="28">
        <v>0</v>
      </c>
      <c r="CL10" s="28">
        <v>0</v>
      </c>
      <c r="CM10" s="28">
        <f t="shared" si="8"/>
        <v>0</v>
      </c>
      <c r="CN10" s="28">
        <v>0</v>
      </c>
      <c r="CO10" s="28">
        <v>0</v>
      </c>
      <c r="CP10" s="28">
        <v>0</v>
      </c>
      <c r="CQ10" s="28">
        <v>0</v>
      </c>
      <c r="CR10" s="28">
        <f t="shared" si="9"/>
        <v>0</v>
      </c>
      <c r="CS10" s="28">
        <v>0</v>
      </c>
      <c r="CT10" s="28">
        <v>0</v>
      </c>
      <c r="CU10" s="28">
        <v>0</v>
      </c>
      <c r="CV10" s="28">
        <v>0</v>
      </c>
      <c r="CW10" s="28">
        <f t="shared" si="10"/>
        <v>0</v>
      </c>
      <c r="CX10" s="28">
        <v>0</v>
      </c>
      <c r="CY10" s="28">
        <v>0</v>
      </c>
      <c r="CZ10" s="28">
        <v>0</v>
      </c>
      <c r="DA10" s="28">
        <v>0</v>
      </c>
      <c r="DB10" s="28">
        <f t="shared" si="11"/>
        <v>0</v>
      </c>
      <c r="DC10" s="28">
        <v>0</v>
      </c>
      <c r="DD10" s="28">
        <v>64.661000000000001</v>
      </c>
      <c r="DE10" s="28">
        <v>36.58</v>
      </c>
      <c r="DF10" s="28">
        <v>120.319</v>
      </c>
      <c r="DG10" s="28">
        <f t="shared" si="12"/>
        <v>221.56</v>
      </c>
      <c r="DH10" s="28">
        <v>97.373999999999995</v>
      </c>
      <c r="DI10" s="28">
        <v>84.513999999999996</v>
      </c>
      <c r="DJ10" s="28">
        <v>98.638000000000005</v>
      </c>
      <c r="DK10" s="28">
        <v>105.45099999999999</v>
      </c>
      <c r="DL10" s="28">
        <f t="shared" si="13"/>
        <v>385.97699999999998</v>
      </c>
      <c r="DM10" s="28">
        <v>88.134</v>
      </c>
      <c r="DN10" s="28">
        <v>119.61799999999999</v>
      </c>
      <c r="DO10" s="28">
        <v>145.989</v>
      </c>
      <c r="DP10" s="28">
        <v>127.56699999999999</v>
      </c>
      <c r="DQ10" s="28">
        <f t="shared" si="0"/>
        <v>481.30799999999999</v>
      </c>
      <c r="DR10" s="28">
        <v>101.111</v>
      </c>
      <c r="DS10" s="28">
        <v>102.926</v>
      </c>
      <c r="DT10" s="28">
        <v>160.25</v>
      </c>
      <c r="DU10" s="28">
        <v>181.64500000000001</v>
      </c>
      <c r="DV10" s="28">
        <f t="shared" si="14"/>
        <v>545.93200000000002</v>
      </c>
      <c r="DW10" s="28">
        <v>118.64700000000001</v>
      </c>
      <c r="DX10" s="28">
        <v>145.44</v>
      </c>
      <c r="DY10" s="28">
        <v>167.83391554000002</v>
      </c>
      <c r="DZ10" s="28">
        <v>180.74448929000002</v>
      </c>
      <c r="EA10" s="28">
        <f t="shared" si="1"/>
        <v>612.66540483000006</v>
      </c>
      <c r="EB10" s="28">
        <v>151.14720328000001</v>
      </c>
      <c r="EC10" s="28">
        <v>179.14252203000001</v>
      </c>
      <c r="ED10" s="28">
        <v>174.48</v>
      </c>
      <c r="EE10" s="28">
        <v>183.37616488000006</v>
      </c>
      <c r="EF10" s="28">
        <f t="shared" si="2"/>
        <v>688.14589019000005</v>
      </c>
      <c r="EG10" s="28">
        <v>136.30063705000001</v>
      </c>
      <c r="EH10" s="28">
        <v>142.93867146999997</v>
      </c>
      <c r="EI10" s="28">
        <v>173.36898338</v>
      </c>
    </row>
    <row r="11" spans="1:139" ht="15" thickTop="1" x14ac:dyDescent="0.3">
      <c r="A11" s="1" t="s">
        <v>456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27">
        <v>0</v>
      </c>
      <c r="BK11" s="27">
        <v>0</v>
      </c>
      <c r="BL11" s="27">
        <v>0</v>
      </c>
      <c r="BM11" s="27">
        <v>0</v>
      </c>
      <c r="BN11" s="27">
        <f t="shared" si="3"/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f t="shared" si="4"/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f t="shared" si="5"/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f t="shared" si="6"/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f t="shared" si="7"/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f t="shared" si="8"/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f t="shared" si="9"/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f t="shared" si="10"/>
        <v>0</v>
      </c>
      <c r="CX11" s="27">
        <v>0</v>
      </c>
      <c r="CY11" s="27">
        <v>0</v>
      </c>
      <c r="CZ11" s="27">
        <v>0</v>
      </c>
      <c r="DA11" s="27">
        <v>53.466999999999999</v>
      </c>
      <c r="DB11" s="27">
        <f t="shared" si="11"/>
        <v>53.466999999999999</v>
      </c>
      <c r="DC11" s="27">
        <v>69.299000000000007</v>
      </c>
      <c r="DD11" s="27">
        <v>78.691999999999993</v>
      </c>
      <c r="DE11" s="27">
        <v>67.013999999999996</v>
      </c>
      <c r="DF11" s="27">
        <v>78.7</v>
      </c>
      <c r="DG11" s="27">
        <f t="shared" si="12"/>
        <v>293.70499999999998</v>
      </c>
      <c r="DH11" s="27">
        <v>69.12</v>
      </c>
      <c r="DI11" s="27">
        <v>63.604999999999997</v>
      </c>
      <c r="DJ11" s="27">
        <v>87.713999999999999</v>
      </c>
      <c r="DK11" s="27">
        <v>79.774000000000001</v>
      </c>
      <c r="DL11" s="27">
        <f t="shared" si="13"/>
        <v>300.21299999999997</v>
      </c>
      <c r="DM11" s="27">
        <v>72.644000000000005</v>
      </c>
      <c r="DN11" s="27">
        <v>90.055999999999997</v>
      </c>
      <c r="DO11" s="27">
        <v>123.60899999999999</v>
      </c>
      <c r="DP11" s="27">
        <v>191.39</v>
      </c>
      <c r="DQ11" s="27">
        <f t="shared" si="0"/>
        <v>477.69899999999996</v>
      </c>
      <c r="DR11" s="27">
        <v>154.13200000000001</v>
      </c>
      <c r="DS11" s="27">
        <v>172.30600000000001</v>
      </c>
      <c r="DT11" s="27">
        <v>217.047</v>
      </c>
      <c r="DU11" s="27">
        <v>237.482</v>
      </c>
      <c r="DV11" s="27">
        <f t="shared" si="14"/>
        <v>780.96699999999998</v>
      </c>
      <c r="DW11" s="27">
        <v>160.33600000000001</v>
      </c>
      <c r="DX11" s="27">
        <v>238.625</v>
      </c>
      <c r="DY11" s="27">
        <v>361.09660026000006</v>
      </c>
      <c r="DZ11" s="27">
        <v>362.18746430999994</v>
      </c>
      <c r="EA11" s="27">
        <f t="shared" si="1"/>
        <v>1122.2450645700001</v>
      </c>
      <c r="EB11" s="27">
        <v>198.51353696999999</v>
      </c>
      <c r="EC11" s="27">
        <v>252.71412263000002</v>
      </c>
      <c r="ED11" s="27">
        <v>309.80700000000002</v>
      </c>
      <c r="EE11" s="27">
        <v>362.38721426000001</v>
      </c>
      <c r="EF11" s="27">
        <f t="shared" si="2"/>
        <v>1123.42187386</v>
      </c>
      <c r="EG11" s="27">
        <v>202.76518797999998</v>
      </c>
      <c r="EH11" s="27">
        <v>230.17825626000001</v>
      </c>
      <c r="EI11" s="27">
        <v>262.05098833000005</v>
      </c>
    </row>
    <row r="12" spans="1:139" ht="15" thickBot="1" x14ac:dyDescent="0.35">
      <c r="A12" s="2" t="s">
        <v>446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28">
        <v>0</v>
      </c>
      <c r="BK12" s="28">
        <v>0</v>
      </c>
      <c r="BL12" s="28">
        <v>0</v>
      </c>
      <c r="BM12" s="28">
        <v>0</v>
      </c>
      <c r="BN12" s="28">
        <f t="shared" si="3"/>
        <v>0</v>
      </c>
      <c r="BO12" s="28">
        <v>0</v>
      </c>
      <c r="BP12" s="28">
        <v>0</v>
      </c>
      <c r="BQ12" s="28">
        <v>0</v>
      </c>
      <c r="BR12" s="28">
        <v>0</v>
      </c>
      <c r="BS12" s="28">
        <f t="shared" si="4"/>
        <v>0</v>
      </c>
      <c r="BT12" s="28">
        <v>0</v>
      </c>
      <c r="BU12" s="28">
        <v>0</v>
      </c>
      <c r="BV12" s="28">
        <v>0</v>
      </c>
      <c r="BW12" s="28">
        <v>0</v>
      </c>
      <c r="BX12" s="28">
        <f t="shared" si="5"/>
        <v>0</v>
      </c>
      <c r="BY12" s="28">
        <v>0</v>
      </c>
      <c r="BZ12" s="28">
        <v>0</v>
      </c>
      <c r="CA12" s="28">
        <v>0</v>
      </c>
      <c r="CB12" s="28">
        <v>0</v>
      </c>
      <c r="CC12" s="28">
        <f t="shared" si="6"/>
        <v>0</v>
      </c>
      <c r="CD12" s="28">
        <v>0</v>
      </c>
      <c r="CE12" s="28">
        <v>0</v>
      </c>
      <c r="CF12" s="28">
        <v>0</v>
      </c>
      <c r="CG12" s="28">
        <v>0</v>
      </c>
      <c r="CH12" s="28">
        <f t="shared" si="7"/>
        <v>0</v>
      </c>
      <c r="CI12" s="28">
        <v>0</v>
      </c>
      <c r="CJ12" s="28">
        <v>0</v>
      </c>
      <c r="CK12" s="28">
        <v>0</v>
      </c>
      <c r="CL12" s="28">
        <v>0</v>
      </c>
      <c r="CM12" s="28">
        <f t="shared" si="8"/>
        <v>0</v>
      </c>
      <c r="CN12" s="28">
        <v>0</v>
      </c>
      <c r="CO12" s="28">
        <v>0</v>
      </c>
      <c r="CP12" s="28">
        <v>0</v>
      </c>
      <c r="CQ12" s="28">
        <v>0</v>
      </c>
      <c r="CR12" s="28">
        <f t="shared" si="9"/>
        <v>0</v>
      </c>
      <c r="CS12" s="28">
        <v>0</v>
      </c>
      <c r="CT12" s="28">
        <v>0</v>
      </c>
      <c r="CU12" s="28">
        <v>0</v>
      </c>
      <c r="CV12" s="28">
        <v>0</v>
      </c>
      <c r="CW12" s="28">
        <f t="shared" si="10"/>
        <v>0</v>
      </c>
      <c r="CX12" s="28">
        <v>0</v>
      </c>
      <c r="CY12" s="28">
        <v>0</v>
      </c>
      <c r="CZ12" s="28">
        <v>0</v>
      </c>
      <c r="DA12" s="28">
        <v>0</v>
      </c>
      <c r="DB12" s="28">
        <f t="shared" si="11"/>
        <v>0</v>
      </c>
      <c r="DC12" s="28">
        <v>0</v>
      </c>
      <c r="DD12" s="28">
        <v>0</v>
      </c>
      <c r="DE12" s="28">
        <v>0</v>
      </c>
      <c r="DF12" s="28">
        <v>0</v>
      </c>
      <c r="DG12" s="28">
        <f t="shared" si="12"/>
        <v>0</v>
      </c>
      <c r="DH12" s="28">
        <v>0</v>
      </c>
      <c r="DI12" s="28">
        <v>97.06</v>
      </c>
      <c r="DJ12" s="28">
        <v>107.64</v>
      </c>
      <c r="DK12" s="28">
        <v>58.113</v>
      </c>
      <c r="DL12" s="28">
        <f t="shared" si="13"/>
        <v>262.81299999999999</v>
      </c>
      <c r="DM12" s="28">
        <v>59.012</v>
      </c>
      <c r="DN12" s="28">
        <v>64.427999999999997</v>
      </c>
      <c r="DO12" s="28">
        <v>85.46</v>
      </c>
      <c r="DP12" s="28">
        <v>121.858</v>
      </c>
      <c r="DQ12" s="28">
        <f t="shared" si="0"/>
        <v>330.75799999999998</v>
      </c>
      <c r="DR12" s="28">
        <v>120.179</v>
      </c>
      <c r="DS12" s="28">
        <v>108.65900000000001</v>
      </c>
      <c r="DT12" s="28">
        <v>140.07900000000001</v>
      </c>
      <c r="DU12" s="28">
        <v>144.227</v>
      </c>
      <c r="DV12" s="28">
        <f t="shared" si="14"/>
        <v>513.14400000000001</v>
      </c>
      <c r="DW12" s="28">
        <v>109.645</v>
      </c>
      <c r="DX12" s="28">
        <v>80.108000000000004</v>
      </c>
      <c r="DY12" s="28">
        <v>87.031387010000017</v>
      </c>
      <c r="DZ12" s="28">
        <v>141.14145456999998</v>
      </c>
      <c r="EA12" s="28">
        <f t="shared" si="1"/>
        <v>417.92584158</v>
      </c>
      <c r="EB12" s="28">
        <v>129.87902344</v>
      </c>
      <c r="EC12" s="28">
        <v>126.88801347</v>
      </c>
      <c r="ED12" s="28">
        <v>134.12</v>
      </c>
      <c r="EE12" s="28">
        <v>132.64404407999999</v>
      </c>
      <c r="EF12" s="28">
        <f t="shared" si="2"/>
        <v>523.53108098999996</v>
      </c>
      <c r="EG12" s="28">
        <v>130.32535364</v>
      </c>
      <c r="EH12" s="28">
        <v>121.09385142000001</v>
      </c>
      <c r="EI12" s="28">
        <v>104.99016998000002</v>
      </c>
    </row>
    <row r="13" spans="1:139" ht="15" thickTop="1" x14ac:dyDescent="0.3">
      <c r="A13" s="1" t="s">
        <v>447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27">
        <v>0</v>
      </c>
      <c r="BK13" s="27">
        <v>0</v>
      </c>
      <c r="BL13" s="27">
        <v>0</v>
      </c>
      <c r="BM13" s="27">
        <v>0</v>
      </c>
      <c r="BN13" s="27">
        <f t="shared" si="3"/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f t="shared" si="4"/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f t="shared" si="5"/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f t="shared" si="6"/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f t="shared" si="7"/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f t="shared" si="8"/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f t="shared" si="9"/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f t="shared" si="10"/>
        <v>0</v>
      </c>
      <c r="CX13" s="27">
        <v>0</v>
      </c>
      <c r="CY13" s="27">
        <v>0</v>
      </c>
      <c r="CZ13" s="27">
        <v>0</v>
      </c>
      <c r="DA13" s="27">
        <v>0</v>
      </c>
      <c r="DB13" s="27">
        <f t="shared" si="11"/>
        <v>0</v>
      </c>
      <c r="DC13" s="27">
        <v>0</v>
      </c>
      <c r="DD13" s="27">
        <v>0</v>
      </c>
      <c r="DE13" s="27">
        <v>0</v>
      </c>
      <c r="DF13" s="27">
        <v>0</v>
      </c>
      <c r="DG13" s="27">
        <f t="shared" si="12"/>
        <v>0</v>
      </c>
      <c r="DH13" s="27">
        <v>0</v>
      </c>
      <c r="DI13" s="27">
        <v>0</v>
      </c>
      <c r="DJ13" s="27">
        <v>0</v>
      </c>
      <c r="DK13" s="27">
        <v>0</v>
      </c>
      <c r="DL13" s="27">
        <f t="shared" si="13"/>
        <v>0</v>
      </c>
      <c r="DM13" s="27">
        <v>0</v>
      </c>
      <c r="DN13" s="27">
        <v>0</v>
      </c>
      <c r="DO13" s="27">
        <v>0</v>
      </c>
      <c r="DP13" s="27">
        <v>19.492999999999999</v>
      </c>
      <c r="DQ13" s="27">
        <f t="shared" si="0"/>
        <v>19.492999999999999</v>
      </c>
      <c r="DR13" s="27">
        <v>63.198</v>
      </c>
      <c r="DS13" s="27">
        <v>256.36200000000002</v>
      </c>
      <c r="DT13" s="27">
        <v>296.64100000000002</v>
      </c>
      <c r="DU13" s="27">
        <v>274.17599999999999</v>
      </c>
      <c r="DV13" s="27">
        <f t="shared" si="14"/>
        <v>890.37699999999995</v>
      </c>
      <c r="DW13" s="27">
        <v>184.58600000000001</v>
      </c>
      <c r="DX13" s="27">
        <v>211.08500000000001</v>
      </c>
      <c r="DY13" s="27">
        <v>268.27963978999998</v>
      </c>
      <c r="DZ13" s="27">
        <v>267.00751231000004</v>
      </c>
      <c r="EA13" s="27">
        <f t="shared" si="1"/>
        <v>930.95815210000001</v>
      </c>
      <c r="EB13" s="27">
        <v>183.12845016999998</v>
      </c>
      <c r="EC13" s="27">
        <v>209.28730805000004</v>
      </c>
      <c r="ED13" s="27">
        <v>279.83</v>
      </c>
      <c r="EE13" s="27">
        <v>312.45419863999996</v>
      </c>
      <c r="EF13" s="27">
        <f t="shared" si="2"/>
        <v>984.69995685999993</v>
      </c>
      <c r="EG13" s="27">
        <v>159.86925986000003</v>
      </c>
      <c r="EH13" s="27">
        <v>174.95696544999998</v>
      </c>
      <c r="EI13" s="27">
        <v>219.11644968000002</v>
      </c>
    </row>
    <row r="14" spans="1:139" ht="15" thickBot="1" x14ac:dyDescent="0.35">
      <c r="A14" s="2" t="s">
        <v>448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28">
        <v>0</v>
      </c>
      <c r="BK14" s="28">
        <v>0</v>
      </c>
      <c r="BL14" s="28">
        <v>0</v>
      </c>
      <c r="BM14" s="28">
        <v>0</v>
      </c>
      <c r="BN14" s="28">
        <f t="shared" si="3"/>
        <v>0</v>
      </c>
      <c r="BO14" s="28">
        <v>0</v>
      </c>
      <c r="BP14" s="28">
        <v>0</v>
      </c>
      <c r="BQ14" s="28">
        <v>0</v>
      </c>
      <c r="BR14" s="28">
        <v>0</v>
      </c>
      <c r="BS14" s="28">
        <f t="shared" si="4"/>
        <v>0</v>
      </c>
      <c r="BT14" s="28">
        <v>0</v>
      </c>
      <c r="BU14" s="28">
        <v>0</v>
      </c>
      <c r="BV14" s="28">
        <v>0</v>
      </c>
      <c r="BW14" s="28">
        <v>0</v>
      </c>
      <c r="BX14" s="28">
        <f t="shared" si="5"/>
        <v>0</v>
      </c>
      <c r="BY14" s="28">
        <v>0</v>
      </c>
      <c r="BZ14" s="28">
        <v>0</v>
      </c>
      <c r="CA14" s="28">
        <v>0</v>
      </c>
      <c r="CB14" s="28">
        <v>0</v>
      </c>
      <c r="CC14" s="28">
        <f t="shared" si="6"/>
        <v>0</v>
      </c>
      <c r="CD14" s="28">
        <v>0</v>
      </c>
      <c r="CE14" s="28">
        <v>0</v>
      </c>
      <c r="CF14" s="28">
        <v>0</v>
      </c>
      <c r="CG14" s="28">
        <v>0</v>
      </c>
      <c r="CH14" s="28">
        <f t="shared" si="7"/>
        <v>0</v>
      </c>
      <c r="CI14" s="28">
        <v>0</v>
      </c>
      <c r="CJ14" s="28">
        <v>0</v>
      </c>
      <c r="CK14" s="28">
        <v>0</v>
      </c>
      <c r="CL14" s="28">
        <v>0</v>
      </c>
      <c r="CM14" s="28">
        <f t="shared" si="8"/>
        <v>0</v>
      </c>
      <c r="CN14" s="28">
        <v>0</v>
      </c>
      <c r="CO14" s="28">
        <v>0</v>
      </c>
      <c r="CP14" s="28">
        <v>0</v>
      </c>
      <c r="CQ14" s="28">
        <v>0</v>
      </c>
      <c r="CR14" s="28">
        <f t="shared" si="9"/>
        <v>0</v>
      </c>
      <c r="CS14" s="28">
        <v>0</v>
      </c>
      <c r="CT14" s="28">
        <v>0</v>
      </c>
      <c r="CU14" s="28">
        <v>0</v>
      </c>
      <c r="CV14" s="28">
        <v>0</v>
      </c>
      <c r="CW14" s="28">
        <f t="shared" si="10"/>
        <v>0</v>
      </c>
      <c r="CX14" s="28">
        <v>0</v>
      </c>
      <c r="CY14" s="28">
        <v>0</v>
      </c>
      <c r="CZ14" s="28">
        <v>0</v>
      </c>
      <c r="DA14" s="28">
        <v>0</v>
      </c>
      <c r="DB14" s="28">
        <f t="shared" si="11"/>
        <v>0</v>
      </c>
      <c r="DC14" s="28">
        <v>0</v>
      </c>
      <c r="DD14" s="28">
        <v>0</v>
      </c>
      <c r="DE14" s="28">
        <v>0</v>
      </c>
      <c r="DF14" s="28">
        <v>0</v>
      </c>
      <c r="DG14" s="28">
        <f t="shared" si="12"/>
        <v>0</v>
      </c>
      <c r="DH14" s="28">
        <v>0</v>
      </c>
      <c r="DI14" s="28">
        <v>0</v>
      </c>
      <c r="DJ14" s="28">
        <v>0</v>
      </c>
      <c r="DK14" s="28">
        <v>0</v>
      </c>
      <c r="DL14" s="28">
        <f t="shared" si="13"/>
        <v>0</v>
      </c>
      <c r="DM14" s="28">
        <v>0</v>
      </c>
      <c r="DN14" s="28">
        <v>0</v>
      </c>
      <c r="DO14" s="28">
        <v>0</v>
      </c>
      <c r="DP14" s="28">
        <v>0</v>
      </c>
      <c r="DQ14" s="28">
        <f t="shared" si="0"/>
        <v>0</v>
      </c>
      <c r="DR14" s="28">
        <v>0</v>
      </c>
      <c r="DS14" s="28">
        <v>0</v>
      </c>
      <c r="DT14" s="28">
        <v>6.04</v>
      </c>
      <c r="DU14" s="28">
        <v>138.94200000000001</v>
      </c>
      <c r="DV14" s="28">
        <f t="shared" si="14"/>
        <v>144.982</v>
      </c>
      <c r="DW14" s="28">
        <v>208.66900000000001</v>
      </c>
      <c r="DX14" s="28">
        <v>354.49599999999998</v>
      </c>
      <c r="DY14" s="28">
        <v>537.69343673000014</v>
      </c>
      <c r="DZ14" s="28">
        <v>515.81149634999986</v>
      </c>
      <c r="EA14" s="28">
        <f t="shared" si="1"/>
        <v>1616.6699330799997</v>
      </c>
      <c r="EB14" s="28">
        <v>319.71951697000003</v>
      </c>
      <c r="EC14" s="28">
        <v>376.90448547000005</v>
      </c>
      <c r="ED14" s="28">
        <v>383.77199999999999</v>
      </c>
      <c r="EE14" s="28">
        <v>461.4205935</v>
      </c>
      <c r="EF14" s="28">
        <f t="shared" si="2"/>
        <v>1541.8165959400001</v>
      </c>
      <c r="EG14" s="28">
        <v>437.31448369999998</v>
      </c>
      <c r="EH14" s="28">
        <v>544.68433241000014</v>
      </c>
      <c r="EI14" s="28">
        <v>610.02162045999989</v>
      </c>
    </row>
    <row r="15" spans="1:139" ht="15" thickTop="1" x14ac:dyDescent="0.3">
      <c r="A15" s="1" t="s">
        <v>449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0</v>
      </c>
      <c r="CZ15" s="27">
        <v>0</v>
      </c>
      <c r="DA15" s="27">
        <v>0</v>
      </c>
      <c r="DB15" s="27">
        <v>0</v>
      </c>
      <c r="DC15" s="27">
        <v>0</v>
      </c>
      <c r="DD15" s="27">
        <v>0</v>
      </c>
      <c r="DE15" s="27">
        <v>0</v>
      </c>
      <c r="DF15" s="27">
        <v>0</v>
      </c>
      <c r="DG15" s="27">
        <v>0</v>
      </c>
      <c r="DH15" s="27">
        <v>0</v>
      </c>
      <c r="DI15" s="27">
        <v>0</v>
      </c>
      <c r="DJ15" s="27">
        <v>0</v>
      </c>
      <c r="DK15" s="27">
        <v>0</v>
      </c>
      <c r="DL15" s="27">
        <v>0</v>
      </c>
      <c r="DM15" s="27">
        <v>0</v>
      </c>
      <c r="DN15" s="27">
        <v>0</v>
      </c>
      <c r="DO15" s="27">
        <v>0</v>
      </c>
      <c r="DP15" s="27">
        <v>0</v>
      </c>
      <c r="DQ15" s="27">
        <v>0</v>
      </c>
      <c r="DR15" s="27">
        <v>0</v>
      </c>
      <c r="DS15" s="27">
        <v>0</v>
      </c>
      <c r="DT15" s="27">
        <v>0</v>
      </c>
      <c r="DU15" s="27">
        <v>0</v>
      </c>
      <c r="DV15" s="27">
        <v>0</v>
      </c>
      <c r="DW15" s="27">
        <v>0</v>
      </c>
      <c r="DX15" s="27">
        <v>131.441</v>
      </c>
      <c r="DY15" s="27">
        <v>257.06214362000003</v>
      </c>
      <c r="DZ15" s="27">
        <v>284.07970481999996</v>
      </c>
      <c r="EA15" s="27">
        <f t="shared" si="1"/>
        <v>672.58284844000002</v>
      </c>
      <c r="EB15" s="27">
        <v>261.82118336000002</v>
      </c>
      <c r="EC15" s="27">
        <v>312.74882699</v>
      </c>
      <c r="ED15" s="27">
        <v>282.64800000000002</v>
      </c>
      <c r="EE15" s="27">
        <v>320.98175810000004</v>
      </c>
      <c r="EF15" s="27">
        <f t="shared" si="2"/>
        <v>1178.1997684500002</v>
      </c>
      <c r="EG15" s="27">
        <v>374.70618344999997</v>
      </c>
      <c r="EH15" s="27">
        <v>380.57551044000002</v>
      </c>
      <c r="EI15" s="27">
        <v>436.3274574699999</v>
      </c>
    </row>
    <row r="16" spans="1:139" ht="15" thickBot="1" x14ac:dyDescent="0.35">
      <c r="A16" s="2" t="s">
        <v>460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>
        <v>2.7886794199999998</v>
      </c>
      <c r="EH16" s="28">
        <v>148.90461523000002</v>
      </c>
      <c r="EI16" s="28">
        <v>165.21585624999997</v>
      </c>
    </row>
    <row r="17" spans="1:139" ht="15" thickTop="1" x14ac:dyDescent="0.3">
      <c r="A17" s="1" t="s">
        <v>304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27">
        <v>0</v>
      </c>
      <c r="BK17" s="27">
        <v>0</v>
      </c>
      <c r="BL17" s="27">
        <v>0</v>
      </c>
      <c r="BM17" s="27">
        <v>0</v>
      </c>
      <c r="BN17" s="27">
        <f t="shared" si="3"/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f t="shared" si="4"/>
        <v>0</v>
      </c>
      <c r="BT17" s="27">
        <v>0</v>
      </c>
      <c r="BU17" s="27">
        <v>50.8</v>
      </c>
      <c r="BV17" s="27">
        <v>157.10000000000002</v>
      </c>
      <c r="BW17" s="27">
        <v>162.4</v>
      </c>
      <c r="BX17" s="27">
        <f t="shared" si="5"/>
        <v>370.30000000000007</v>
      </c>
      <c r="BY17" s="27">
        <v>145.30000000000004</v>
      </c>
      <c r="BZ17" s="27">
        <v>164</v>
      </c>
      <c r="CA17" s="27">
        <v>165.5</v>
      </c>
      <c r="CB17" s="27">
        <v>150.30000000000001</v>
      </c>
      <c r="CC17" s="27">
        <f t="shared" si="6"/>
        <v>625.10000000000014</v>
      </c>
      <c r="CD17" s="27">
        <v>130.30000000000001</v>
      </c>
      <c r="CE17" s="27">
        <v>127.70000000000002</v>
      </c>
      <c r="CF17" s="27">
        <v>133.19999999999999</v>
      </c>
      <c r="CG17" s="27">
        <v>117.1</v>
      </c>
      <c r="CH17" s="27">
        <f t="shared" si="7"/>
        <v>508.29999999999995</v>
      </c>
      <c r="CI17" s="27">
        <v>112</v>
      </c>
      <c r="CJ17" s="27">
        <v>94.6</v>
      </c>
      <c r="CK17" s="27">
        <v>79.700000000000017</v>
      </c>
      <c r="CL17" s="27">
        <v>66.399999999999977</v>
      </c>
      <c r="CM17" s="27">
        <f t="shared" si="8"/>
        <v>352.7</v>
      </c>
      <c r="CN17" s="27">
        <v>64.400000000000006</v>
      </c>
      <c r="CO17" s="27">
        <v>71.5</v>
      </c>
      <c r="CP17" s="27">
        <v>76.099999999999994</v>
      </c>
      <c r="CQ17" s="27">
        <v>78.5</v>
      </c>
      <c r="CR17" s="27">
        <f t="shared" si="9"/>
        <v>290.5</v>
      </c>
      <c r="CS17" s="27">
        <v>73.664000000000001</v>
      </c>
      <c r="CT17" s="27">
        <f>139.231-CS17</f>
        <v>65.566999999999993</v>
      </c>
      <c r="CU17" s="27">
        <f>202.421-SUM(CS17:CT17)</f>
        <v>63.19</v>
      </c>
      <c r="CV17" s="27">
        <f>276.9-SUM(CS17:CU17)</f>
        <v>74.478999999999985</v>
      </c>
      <c r="CW17" s="27">
        <f t="shared" si="10"/>
        <v>276.89999999999998</v>
      </c>
      <c r="CX17" s="27">
        <v>78.915000000000006</v>
      </c>
      <c r="CY17" s="27">
        <v>90.274000000000001</v>
      </c>
      <c r="CZ17" s="27">
        <v>103.166</v>
      </c>
      <c r="DA17" s="27">
        <v>83.608999999999995</v>
      </c>
      <c r="DB17" s="27">
        <f t="shared" si="11"/>
        <v>355.964</v>
      </c>
      <c r="DC17" s="27">
        <v>95.272999999999996</v>
      </c>
      <c r="DD17" s="27">
        <v>108.024</v>
      </c>
      <c r="DE17" s="27">
        <v>100.03700000000001</v>
      </c>
      <c r="DF17" s="27">
        <v>87.1</v>
      </c>
      <c r="DG17" s="27">
        <f t="shared" si="12"/>
        <v>390.43399999999997</v>
      </c>
      <c r="DH17" s="27">
        <v>86.831999999999994</v>
      </c>
      <c r="DI17" s="27">
        <v>92.507000000000005</v>
      </c>
      <c r="DJ17" s="27">
        <v>101.12</v>
      </c>
      <c r="DK17" s="27">
        <v>110.37</v>
      </c>
      <c r="DL17" s="27">
        <f t="shared" si="13"/>
        <v>390.82900000000001</v>
      </c>
      <c r="DM17" s="27">
        <v>128.92599999999999</v>
      </c>
      <c r="DN17" s="27">
        <v>130.006</v>
      </c>
      <c r="DO17" s="27">
        <v>131.291</v>
      </c>
      <c r="DP17" s="27">
        <v>128.50700000000001</v>
      </c>
      <c r="DQ17" s="27">
        <f t="shared" ref="DQ17:DQ22" si="15">SUM(DM17:DP17)</f>
        <v>518.73</v>
      </c>
      <c r="DR17" s="27">
        <v>140.09</v>
      </c>
      <c r="DS17" s="27">
        <v>139.26300000000001</v>
      </c>
      <c r="DT17" s="27">
        <v>169.73500000000001</v>
      </c>
      <c r="DU17" s="27">
        <v>173.767</v>
      </c>
      <c r="DV17" s="27">
        <f t="shared" si="14"/>
        <v>622.85500000000002</v>
      </c>
      <c r="DW17" s="27">
        <v>170.65299999999999</v>
      </c>
      <c r="DX17" s="27">
        <v>133.392</v>
      </c>
      <c r="DY17" s="27">
        <f>(86608643.74+17814807.58)/1000000</f>
        <v>104.42345132</v>
      </c>
      <c r="DZ17" s="27">
        <v>93.908749129999975</v>
      </c>
      <c r="EA17" s="27">
        <f t="shared" si="1"/>
        <v>502.37720044999998</v>
      </c>
      <c r="EB17" s="27">
        <f>(84371806.03+16222096.89)/1000000</f>
        <v>100.59390292</v>
      </c>
      <c r="EC17" s="27">
        <f>114.78473617</f>
        <v>114.78473617</v>
      </c>
      <c r="ED17" s="27">
        <v>110.858</v>
      </c>
      <c r="EE17" s="27">
        <v>121.93323277999997</v>
      </c>
      <c r="EF17" s="27">
        <f t="shared" si="2"/>
        <v>448.16987187000001</v>
      </c>
      <c r="EG17" s="27">
        <v>137.80688534999999</v>
      </c>
      <c r="EH17" s="27">
        <v>130.51516820999998</v>
      </c>
      <c r="EI17" s="27">
        <v>131.72673293000003</v>
      </c>
    </row>
    <row r="18" spans="1:139" ht="15" thickBot="1" x14ac:dyDescent="0.35">
      <c r="A18" s="2" t="s">
        <v>305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8.5370000000000008</v>
      </c>
      <c r="DD18" s="28">
        <v>5.9889999999999999</v>
      </c>
      <c r="DE18" s="28">
        <f>6.033+14.526-8.537-5.989</f>
        <v>6.0330000000000004</v>
      </c>
      <c r="DF18" s="28">
        <v>3.6960000000000002</v>
      </c>
      <c r="DG18" s="28">
        <f t="shared" si="12"/>
        <v>24.255000000000003</v>
      </c>
      <c r="DH18" s="28">
        <v>6.9480000000000004</v>
      </c>
      <c r="DI18" s="28">
        <v>12.254</v>
      </c>
      <c r="DJ18" s="28">
        <v>8.8190000000000008</v>
      </c>
      <c r="DK18" s="28">
        <v>4.3410000000000002</v>
      </c>
      <c r="DL18" s="28">
        <f t="shared" si="13"/>
        <v>32.362000000000002</v>
      </c>
      <c r="DM18" s="28">
        <v>7.3520000000000003</v>
      </c>
      <c r="DN18" s="28">
        <v>11.391</v>
      </c>
      <c r="DO18" s="28">
        <v>4.8819999999999997</v>
      </c>
      <c r="DP18" s="28">
        <v>3.4969999999999999</v>
      </c>
      <c r="DQ18" s="28">
        <f t="shared" si="15"/>
        <v>27.122</v>
      </c>
      <c r="DR18" s="28">
        <v>7.6159999999999997</v>
      </c>
      <c r="DS18" s="28">
        <v>9.532</v>
      </c>
      <c r="DT18" s="28">
        <v>8.7780000000000005</v>
      </c>
      <c r="DU18" s="28">
        <v>7.4669999999999996</v>
      </c>
      <c r="DV18" s="28">
        <f t="shared" si="14"/>
        <v>33.393000000000001</v>
      </c>
      <c r="DW18" s="28">
        <v>10.942</v>
      </c>
      <c r="DX18" s="28">
        <v>17.082000000000001</v>
      </c>
      <c r="DY18" s="28">
        <v>17.21278933</v>
      </c>
      <c r="DZ18" s="28">
        <v>15.642565560000003</v>
      </c>
      <c r="EA18" s="28">
        <f t="shared" si="1"/>
        <v>60.879354890000002</v>
      </c>
      <c r="EB18" s="28">
        <v>16.43585113</v>
      </c>
      <c r="EC18" s="28">
        <v>14.936979970000001</v>
      </c>
      <c r="ED18" s="28">
        <v>14.362</v>
      </c>
      <c r="EE18" s="28">
        <v>7.7048661099999993</v>
      </c>
      <c r="EF18" s="28">
        <f t="shared" si="2"/>
        <v>53.439697209999999</v>
      </c>
      <c r="EG18" s="28">
        <v>11.803141249999999</v>
      </c>
      <c r="EH18" s="28">
        <v>19.282995460000002</v>
      </c>
      <c r="EI18" s="28">
        <v>18.098562640000001</v>
      </c>
    </row>
    <row r="19" spans="1:139" ht="15" thickTop="1" x14ac:dyDescent="0.3">
      <c r="A19" s="1" t="s">
        <v>306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27">
        <v>25.8</v>
      </c>
      <c r="BK19" s="27">
        <v>25.9</v>
      </c>
      <c r="BL19" s="27">
        <v>26.8</v>
      </c>
      <c r="BM19" s="27">
        <v>26.5</v>
      </c>
      <c r="BN19" s="27">
        <f t="shared" si="3"/>
        <v>105</v>
      </c>
      <c r="BO19" s="27">
        <v>29.3</v>
      </c>
      <c r="BP19" s="27">
        <v>28.3</v>
      </c>
      <c r="BQ19" s="27">
        <v>32</v>
      </c>
      <c r="BR19" s="27">
        <v>29.8</v>
      </c>
      <c r="BS19" s="27">
        <f t="shared" si="4"/>
        <v>119.39999999999999</v>
      </c>
      <c r="BT19" s="27">
        <v>31.4</v>
      </c>
      <c r="BU19" s="27">
        <v>31</v>
      </c>
      <c r="BV19" s="27">
        <v>30.4</v>
      </c>
      <c r="BW19" s="27">
        <v>30.7</v>
      </c>
      <c r="BX19" s="27">
        <f t="shared" si="5"/>
        <v>123.5</v>
      </c>
      <c r="BY19" s="27">
        <v>31.5</v>
      </c>
      <c r="BZ19" s="27">
        <v>31.5</v>
      </c>
      <c r="CA19" s="27">
        <v>31.6</v>
      </c>
      <c r="CB19" s="27">
        <v>37</v>
      </c>
      <c r="CC19" s="27">
        <f t="shared" si="6"/>
        <v>131.6</v>
      </c>
      <c r="CD19" s="27">
        <v>42.4</v>
      </c>
      <c r="CE19" s="27">
        <v>55.699999999999996</v>
      </c>
      <c r="CF19" s="27">
        <v>50.8</v>
      </c>
      <c r="CG19" s="27">
        <v>52.2</v>
      </c>
      <c r="CH19" s="27">
        <f t="shared" si="7"/>
        <v>201.09999999999997</v>
      </c>
      <c r="CI19" s="27">
        <v>53.1</v>
      </c>
      <c r="CJ19" s="27">
        <v>53.9</v>
      </c>
      <c r="CK19" s="27">
        <v>59.054262929999986</v>
      </c>
      <c r="CL19" s="27">
        <v>59.8</v>
      </c>
      <c r="CM19" s="27">
        <f t="shared" si="8"/>
        <v>225.85426293</v>
      </c>
      <c r="CN19" s="27">
        <v>52</v>
      </c>
      <c r="CO19" s="27">
        <v>50.8</v>
      </c>
      <c r="CP19" s="27">
        <v>53.400000000000006</v>
      </c>
      <c r="CQ19" s="27">
        <v>28.399999999999991</v>
      </c>
      <c r="CR19" s="27">
        <f t="shared" si="9"/>
        <v>184.59999999999997</v>
      </c>
      <c r="CS19" s="27">
        <v>48.998637770000002</v>
      </c>
      <c r="CT19" s="27">
        <v>49.067873939999998</v>
      </c>
      <c r="CU19" s="27">
        <f>146.251-SUM(CS19:CT19)</f>
        <v>48.184488290000004</v>
      </c>
      <c r="CV19" s="27">
        <f>194.12-SUM(CS19:CU19)</f>
        <v>47.869</v>
      </c>
      <c r="CW19" s="27">
        <f t="shared" si="10"/>
        <v>194.12</v>
      </c>
      <c r="CX19" s="27">
        <v>47.457000000000001</v>
      </c>
      <c r="CY19" s="27">
        <v>46.911000000000001</v>
      </c>
      <c r="CZ19" s="27">
        <v>45.712000000000003</v>
      </c>
      <c r="DA19" s="27">
        <v>47.021999999999998</v>
      </c>
      <c r="DB19" s="27">
        <f t="shared" si="11"/>
        <v>187.10199999999998</v>
      </c>
      <c r="DC19" s="27">
        <v>46.72</v>
      </c>
      <c r="DD19" s="27">
        <v>46.707000000000001</v>
      </c>
      <c r="DE19" s="27">
        <v>52.860999999999997</v>
      </c>
      <c r="DF19" s="27">
        <v>55.7</v>
      </c>
      <c r="DG19" s="27">
        <f t="shared" si="12"/>
        <v>201.988</v>
      </c>
      <c r="DH19" s="27">
        <v>66.893000000000001</v>
      </c>
      <c r="DI19" s="27">
        <v>68.792000000000002</v>
      </c>
      <c r="DJ19" s="27">
        <v>68.207999999999998</v>
      </c>
      <c r="DK19" s="27">
        <v>72.069999999999993</v>
      </c>
      <c r="DL19" s="27">
        <f t="shared" si="13"/>
        <v>275.96299999999997</v>
      </c>
      <c r="DM19" s="27">
        <v>80.566999999999993</v>
      </c>
      <c r="DN19" s="27">
        <v>80.100099999999998</v>
      </c>
      <c r="DO19" s="27">
        <v>80.373999999999995</v>
      </c>
      <c r="DP19" s="27">
        <v>81.572999999999993</v>
      </c>
      <c r="DQ19" s="27">
        <f t="shared" si="15"/>
        <v>322.61410000000001</v>
      </c>
      <c r="DR19" s="27">
        <v>83.144000000000005</v>
      </c>
      <c r="DS19" s="27">
        <v>83.144999999999996</v>
      </c>
      <c r="DT19" s="27">
        <v>82.557000000000002</v>
      </c>
      <c r="DU19" s="27">
        <v>101.271</v>
      </c>
      <c r="DV19" s="27">
        <f t="shared" si="14"/>
        <v>350.11700000000002</v>
      </c>
      <c r="DW19" s="27">
        <v>95.314999999999998</v>
      </c>
      <c r="DX19" s="27">
        <v>93.99</v>
      </c>
      <c r="DY19" s="27">
        <v>102.13129925</v>
      </c>
      <c r="DZ19" s="27">
        <v>102.94412535000002</v>
      </c>
      <c r="EA19" s="27">
        <f t="shared" si="1"/>
        <v>394.38042460000003</v>
      </c>
      <c r="EB19" s="27">
        <v>114.25332475</v>
      </c>
      <c r="EC19" s="27">
        <v>117.72473008000001</v>
      </c>
      <c r="ED19" s="27">
        <v>114.297</v>
      </c>
      <c r="EE19" s="27">
        <v>116.79191075</v>
      </c>
      <c r="EF19" s="27">
        <f t="shared" si="2"/>
        <v>463.06696558000004</v>
      </c>
      <c r="EG19" s="27">
        <v>137.10496265999998</v>
      </c>
      <c r="EH19" s="27">
        <v>145.22788273999998</v>
      </c>
      <c r="EI19" s="27">
        <v>144.95091843</v>
      </c>
    </row>
    <row r="20" spans="1:139" ht="15" thickBot="1" x14ac:dyDescent="0.35">
      <c r="A20" s="2" t="s">
        <v>370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28">
        <v>5.8</v>
      </c>
      <c r="BK20" s="28">
        <v>6.8999999999999995</v>
      </c>
      <c r="BL20" s="28">
        <v>7.3000000000000007</v>
      </c>
      <c r="BM20" s="28">
        <v>5.7050899999999984</v>
      </c>
      <c r="BN20" s="28">
        <f t="shared" si="3"/>
        <v>25.705089999999998</v>
      </c>
      <c r="BO20" s="28">
        <v>62.168275848</v>
      </c>
      <c r="BP20" s="28">
        <v>68.230340190000021</v>
      </c>
      <c r="BQ20" s="28">
        <v>79.64505668999999</v>
      </c>
      <c r="BR20" s="28">
        <v>76.706268139999992</v>
      </c>
      <c r="BS20" s="28">
        <f t="shared" si="4"/>
        <v>286.74994086800001</v>
      </c>
      <c r="BT20" s="28">
        <v>0</v>
      </c>
      <c r="BU20" s="28">
        <v>0</v>
      </c>
      <c r="BV20" s="28">
        <v>0</v>
      </c>
      <c r="BW20" s="28">
        <v>0</v>
      </c>
      <c r="BX20" s="28">
        <f t="shared" si="5"/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f t="shared" si="6"/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f t="shared" si="7"/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f t="shared" si="8"/>
        <v>0</v>
      </c>
      <c r="CN20" s="28">
        <v>0</v>
      </c>
      <c r="CO20" s="28">
        <v>0</v>
      </c>
      <c r="CP20" s="28">
        <v>0</v>
      </c>
      <c r="CQ20" s="28">
        <v>0</v>
      </c>
      <c r="CR20" s="28">
        <f t="shared" si="9"/>
        <v>0</v>
      </c>
      <c r="CS20" s="28">
        <v>0</v>
      </c>
      <c r="CT20" s="28">
        <v>0</v>
      </c>
      <c r="CU20" s="28">
        <v>0</v>
      </c>
      <c r="CV20" s="28">
        <v>0</v>
      </c>
      <c r="CW20" s="28">
        <f t="shared" si="10"/>
        <v>0</v>
      </c>
      <c r="CX20" s="28">
        <v>0</v>
      </c>
      <c r="CY20" s="28">
        <v>0</v>
      </c>
      <c r="CZ20" s="28">
        <v>0</v>
      </c>
      <c r="DA20" s="28">
        <v>0</v>
      </c>
      <c r="DB20" s="28">
        <f t="shared" si="11"/>
        <v>0</v>
      </c>
      <c r="DC20" s="28">
        <v>0</v>
      </c>
      <c r="DD20" s="28">
        <v>0</v>
      </c>
      <c r="DE20" s="28">
        <v>0</v>
      </c>
      <c r="DF20" s="28">
        <v>0</v>
      </c>
      <c r="DG20" s="28">
        <f t="shared" si="12"/>
        <v>0</v>
      </c>
      <c r="DH20" s="28">
        <v>0</v>
      </c>
      <c r="DI20" s="28">
        <v>0</v>
      </c>
      <c r="DJ20" s="28">
        <v>0</v>
      </c>
      <c r="DK20" s="28">
        <v>0</v>
      </c>
      <c r="DL20" s="28">
        <f t="shared" si="13"/>
        <v>0</v>
      </c>
      <c r="DM20" s="28">
        <v>0</v>
      </c>
      <c r="DN20" s="28">
        <v>0</v>
      </c>
      <c r="DO20" s="28">
        <v>0</v>
      </c>
      <c r="DP20" s="28">
        <v>0</v>
      </c>
      <c r="DQ20" s="28">
        <f t="shared" si="15"/>
        <v>0</v>
      </c>
      <c r="DR20" s="28">
        <v>0</v>
      </c>
      <c r="DS20" s="28">
        <v>0</v>
      </c>
      <c r="DT20" s="28">
        <v>0</v>
      </c>
      <c r="DU20" s="28">
        <v>0</v>
      </c>
      <c r="DV20" s="28">
        <f t="shared" si="14"/>
        <v>0</v>
      </c>
      <c r="DW20" s="28">
        <v>0</v>
      </c>
      <c r="DX20" s="28">
        <v>0</v>
      </c>
      <c r="DY20" s="28">
        <v>0</v>
      </c>
      <c r="DZ20" s="28">
        <v>0</v>
      </c>
      <c r="EA20" s="28">
        <f t="shared" si="1"/>
        <v>0</v>
      </c>
      <c r="EB20" s="28">
        <v>0</v>
      </c>
      <c r="EC20" s="28">
        <v>0</v>
      </c>
      <c r="ED20" s="28">
        <v>0</v>
      </c>
      <c r="EE20" s="28">
        <v>0</v>
      </c>
      <c r="EF20" s="28">
        <f t="shared" si="2"/>
        <v>0</v>
      </c>
      <c r="EG20" s="28">
        <v>0</v>
      </c>
      <c r="EH20" s="28">
        <v>0</v>
      </c>
      <c r="EI20" s="28">
        <v>0</v>
      </c>
    </row>
    <row r="21" spans="1:139" ht="15" thickTop="1" x14ac:dyDescent="0.3">
      <c r="A21" s="1" t="s">
        <v>338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27">
        <v>12.8</v>
      </c>
      <c r="BK21" s="27">
        <v>10.09629172</v>
      </c>
      <c r="BL21" s="27">
        <v>11.12170828</v>
      </c>
      <c r="BM21" s="27">
        <v>12.4</v>
      </c>
      <c r="BN21" s="27">
        <f t="shared" si="3"/>
        <v>46.417999999999999</v>
      </c>
      <c r="BO21" s="27">
        <v>13.00987845</v>
      </c>
      <c r="BP21" s="27">
        <v>13.223752929999998</v>
      </c>
      <c r="BQ21" s="27">
        <v>14.54052008</v>
      </c>
      <c r="BR21" s="27">
        <v>14.659618429999995</v>
      </c>
      <c r="BS21" s="27">
        <f t="shared" si="4"/>
        <v>55.433769889999994</v>
      </c>
      <c r="BT21" s="27">
        <v>0</v>
      </c>
      <c r="BU21" s="27">
        <v>0</v>
      </c>
      <c r="BV21" s="27">
        <v>0</v>
      </c>
      <c r="BW21" s="27">
        <v>0</v>
      </c>
      <c r="BX21" s="27">
        <f t="shared" si="5"/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f t="shared" si="6"/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f t="shared" si="7"/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f t="shared" si="8"/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f t="shared" si="9"/>
        <v>0</v>
      </c>
      <c r="CS21" s="27">
        <v>6.0000000000000001E-3</v>
      </c>
      <c r="CT21" s="27">
        <f>0.013-CS21</f>
        <v>6.9999999999999993E-3</v>
      </c>
      <c r="CU21" s="27">
        <f>0.019-SUM(CS21:CT21)</f>
        <v>6.0000000000000001E-3</v>
      </c>
      <c r="CV21" s="27">
        <f>0.025-SUM(CS21:CU21)</f>
        <v>6.0000000000000019E-3</v>
      </c>
      <c r="CW21" s="27">
        <f t="shared" si="10"/>
        <v>2.5000000000000001E-2</v>
      </c>
      <c r="CX21" s="27">
        <v>0</v>
      </c>
      <c r="CY21" s="27">
        <v>0</v>
      </c>
      <c r="CZ21" s="27">
        <v>0</v>
      </c>
      <c r="DA21" s="27">
        <v>0</v>
      </c>
      <c r="DB21" s="27">
        <f t="shared" si="11"/>
        <v>0</v>
      </c>
      <c r="DC21" s="27">
        <v>7.0000000000000001E-3</v>
      </c>
      <c r="DD21" s="27">
        <v>7.0000000000000001E-3</v>
      </c>
      <c r="DE21" s="27">
        <v>7.0000000000000001E-3</v>
      </c>
      <c r="DF21" s="27">
        <v>7.0000000000000001E-3</v>
      </c>
      <c r="DG21" s="27">
        <f t="shared" si="12"/>
        <v>2.8000000000000001E-2</v>
      </c>
      <c r="DH21" s="27">
        <v>0</v>
      </c>
      <c r="DI21" s="27">
        <v>0</v>
      </c>
      <c r="DJ21" s="27">
        <v>0</v>
      </c>
      <c r="DK21" s="27">
        <v>2.1999999999999999E-2</v>
      </c>
      <c r="DL21" s="27">
        <f t="shared" si="13"/>
        <v>2.1999999999999999E-2</v>
      </c>
      <c r="DM21" s="27">
        <v>1.2E-2</v>
      </c>
      <c r="DN21" s="27">
        <v>1.2E-2</v>
      </c>
      <c r="DO21" s="27">
        <v>1.2E-2</v>
      </c>
      <c r="DP21" s="27">
        <v>1.6E-2</v>
      </c>
      <c r="DQ21" s="27">
        <f t="shared" si="15"/>
        <v>5.2000000000000005E-2</v>
      </c>
      <c r="DR21" s="27">
        <v>1.7999999999999999E-2</v>
      </c>
      <c r="DS21" s="27">
        <v>1.7000000000000001E-2</v>
      </c>
      <c r="DT21" s="27">
        <v>1.7000000000000001E-2</v>
      </c>
      <c r="DU21" s="27">
        <v>1.7000000000000001E-2</v>
      </c>
      <c r="DV21" s="27">
        <f t="shared" si="14"/>
        <v>6.9000000000000006E-2</v>
      </c>
      <c r="DW21" s="27">
        <v>1.7999999999999999E-2</v>
      </c>
      <c r="DX21" s="27">
        <v>1.7999999999999999E-2</v>
      </c>
      <c r="DY21" s="27">
        <v>1.8110370000000004E-2</v>
      </c>
      <c r="DZ21" s="27">
        <v>1.8298710000000006E-2</v>
      </c>
      <c r="EA21" s="27">
        <f t="shared" si="1"/>
        <v>7.2409080000000015E-2</v>
      </c>
      <c r="EB21" s="27">
        <f>0.24541416</f>
        <v>0.24541415999999999</v>
      </c>
      <c r="EC21" s="27">
        <v>0.16714449999999997</v>
      </c>
      <c r="ED21" s="27">
        <v>1.335</v>
      </c>
      <c r="EE21" s="27">
        <v>0.69196507999999979</v>
      </c>
      <c r="EF21" s="27">
        <f>SUM(EB21:EE21)</f>
        <v>2.4395237399999998</v>
      </c>
      <c r="EG21" s="27">
        <v>0.64352010999999998</v>
      </c>
      <c r="EH21" s="27">
        <v>0.64781606999999997</v>
      </c>
      <c r="EI21" s="27">
        <v>0.64947264000000016</v>
      </c>
    </row>
    <row r="22" spans="1:139" x14ac:dyDescent="0.3">
      <c r="A22" s="2" t="s">
        <v>308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28">
        <v>-25.8</v>
      </c>
      <c r="BK22" s="28">
        <v>-25.9</v>
      </c>
      <c r="BL22" s="28">
        <f>-26.8-0.3</f>
        <v>-27.1</v>
      </c>
      <c r="BM22" s="28">
        <v>-26.4</v>
      </c>
      <c r="BN22" s="28">
        <f t="shared" si="3"/>
        <v>-105.20000000000002</v>
      </c>
      <c r="BO22" s="28">
        <v>-29</v>
      </c>
      <c r="BP22" s="28">
        <v>-28.3</v>
      </c>
      <c r="BQ22" s="28">
        <v>-31.3</v>
      </c>
      <c r="BR22" s="28">
        <v>-29.3</v>
      </c>
      <c r="BS22" s="28">
        <f t="shared" si="4"/>
        <v>-117.89999999999999</v>
      </c>
      <c r="BT22" s="28">
        <v>-28.7</v>
      </c>
      <c r="BU22" s="28">
        <v>-29.6</v>
      </c>
      <c r="BV22" s="28">
        <v>-29</v>
      </c>
      <c r="BW22" s="28">
        <v>-29.9</v>
      </c>
      <c r="BX22" s="28">
        <f t="shared" si="5"/>
        <v>-117.19999999999999</v>
      </c>
      <c r="BY22" s="28">
        <v>-30.8</v>
      </c>
      <c r="BZ22" s="28">
        <v>-30.8</v>
      </c>
      <c r="CA22" s="28">
        <v>-30.9</v>
      </c>
      <c r="CB22" s="28">
        <v>-36.5</v>
      </c>
      <c r="CC22" s="28">
        <f t="shared" si="6"/>
        <v>-129</v>
      </c>
      <c r="CD22" s="28">
        <f>-42.2+1.041</f>
        <v>-41.159000000000006</v>
      </c>
      <c r="CE22" s="28">
        <f>-55.1+2.8</f>
        <v>-52.300000000000004</v>
      </c>
      <c r="CF22" s="28">
        <f>-50.2+2.6</f>
        <v>-47.6</v>
      </c>
      <c r="CG22" s="28">
        <f>-51.4+2.5</f>
        <v>-48.9</v>
      </c>
      <c r="CH22" s="28">
        <f t="shared" si="7"/>
        <v>-189.959</v>
      </c>
      <c r="CI22" s="28">
        <v>-49.5</v>
      </c>
      <c r="CJ22" s="28">
        <v>-50.4</v>
      </c>
      <c r="CK22" s="28">
        <v>-55.5</v>
      </c>
      <c r="CL22" s="28">
        <v>-56.599999999999994</v>
      </c>
      <c r="CM22" s="28">
        <f t="shared" si="8"/>
        <v>-212</v>
      </c>
      <c r="CN22" s="28">
        <v>-49.7</v>
      </c>
      <c r="CO22" s="28">
        <v>-49</v>
      </c>
      <c r="CP22" s="28">
        <v>-49.3</v>
      </c>
      <c r="CQ22" s="28">
        <v>-25.800000000000011</v>
      </c>
      <c r="CR22" s="28">
        <f t="shared" si="9"/>
        <v>-173.8</v>
      </c>
      <c r="CS22" s="28">
        <v>-46.466582000000002</v>
      </c>
      <c r="CT22" s="28">
        <v>-46.402043189999993</v>
      </c>
      <c r="CU22" s="28">
        <f>-138.73-SUM(CS22:CT22)</f>
        <v>-45.861374810000001</v>
      </c>
      <c r="CV22" s="28">
        <f>-183.585-SUM(CS22:CU22)</f>
        <v>-44.855000000000018</v>
      </c>
      <c r="CW22" s="28">
        <f t="shared" si="10"/>
        <v>-183.58500000000001</v>
      </c>
      <c r="CX22" s="28">
        <v>-44.674999999999997</v>
      </c>
      <c r="CY22" s="28">
        <v>-44.625999999999998</v>
      </c>
      <c r="CZ22" s="28">
        <v>-43.896000000000001</v>
      </c>
      <c r="DA22" s="28">
        <v>-45.795999999999999</v>
      </c>
      <c r="DB22" s="28">
        <f t="shared" si="11"/>
        <v>-178.99299999999999</v>
      </c>
      <c r="DC22" s="28">
        <v>-45.161999999999999</v>
      </c>
      <c r="DD22" s="28">
        <v>-44.896999999999998</v>
      </c>
      <c r="DE22" s="28">
        <v>-51.14</v>
      </c>
      <c r="DF22" s="28">
        <v>-54.000999999999998</v>
      </c>
      <c r="DG22" s="28">
        <f t="shared" si="12"/>
        <v>-195.20000000000002</v>
      </c>
      <c r="DH22" s="28">
        <v>-64.647999999999996</v>
      </c>
      <c r="DI22" s="28">
        <v>-67.296999999999997</v>
      </c>
      <c r="DJ22" s="28">
        <v>-66.685000000000002</v>
      </c>
      <c r="DK22" s="28">
        <v>-70.454999999999998</v>
      </c>
      <c r="DL22" s="28">
        <f t="shared" si="13"/>
        <v>-269.08499999999998</v>
      </c>
      <c r="DM22" s="28">
        <v>-78.36</v>
      </c>
      <c r="DN22" s="28">
        <v>-78.358999999999995</v>
      </c>
      <c r="DO22" s="28">
        <v>-78.450999999999993</v>
      </c>
      <c r="DP22" s="28">
        <v>-79.195999999999998</v>
      </c>
      <c r="DQ22" s="28">
        <f t="shared" si="15"/>
        <v>-314.36599999999999</v>
      </c>
      <c r="DR22" s="28">
        <v>-80.658000000000001</v>
      </c>
      <c r="DS22" s="28">
        <v>-80.585999999999999</v>
      </c>
      <c r="DT22" s="28">
        <v>-80.620999999999995</v>
      </c>
      <c r="DU22" s="28">
        <v>-97.284000000000006</v>
      </c>
      <c r="DV22" s="28">
        <f t="shared" si="14"/>
        <v>-339.149</v>
      </c>
      <c r="DW22" s="28">
        <v>-94.436000000000007</v>
      </c>
      <c r="DX22" s="28">
        <v>-93.713999999999999</v>
      </c>
      <c r="DY22" s="28">
        <v>-101.83794063999999</v>
      </c>
      <c r="DZ22" s="28">
        <v>-101.66898402000004</v>
      </c>
      <c r="EA22" s="28">
        <f t="shared" si="1"/>
        <v>-391.65692466000002</v>
      </c>
      <c r="EB22" s="28">
        <v>-113.96709801999999</v>
      </c>
      <c r="EC22" s="28">
        <v>-117.54317264999999</v>
      </c>
      <c r="ED22" s="28">
        <v>-114.337</v>
      </c>
      <c r="EE22" s="28">
        <v>-117.79515328999996</v>
      </c>
      <c r="EF22" s="28">
        <f t="shared" si="2"/>
        <v>-463.64242395999997</v>
      </c>
      <c r="EG22" s="28">
        <v>-137.23599231</v>
      </c>
      <c r="EH22" s="28">
        <v>-145.35580216000002</v>
      </c>
      <c r="EI22" s="28">
        <v>-145.07803521999998</v>
      </c>
    </row>
    <row r="23" spans="1:139" x14ac:dyDescent="0.3">
      <c r="A23" s="5" t="s">
        <v>311</v>
      </c>
      <c r="B23" s="29">
        <f t="shared" ref="B23:AG23" si="16">SUM(B3:B22)</f>
        <v>0</v>
      </c>
      <c r="C23" s="29">
        <f t="shared" si="16"/>
        <v>0</v>
      </c>
      <c r="D23" s="29">
        <f t="shared" si="16"/>
        <v>0</v>
      </c>
      <c r="E23" s="29">
        <f t="shared" si="16"/>
        <v>0</v>
      </c>
      <c r="F23" s="29">
        <f t="shared" si="16"/>
        <v>0</v>
      </c>
      <c r="G23" s="29">
        <f t="shared" si="16"/>
        <v>0</v>
      </c>
      <c r="H23" s="29">
        <f t="shared" si="16"/>
        <v>0</v>
      </c>
      <c r="I23" s="29">
        <f t="shared" si="16"/>
        <v>0</v>
      </c>
      <c r="J23" s="29">
        <f t="shared" si="16"/>
        <v>0</v>
      </c>
      <c r="K23" s="29">
        <f t="shared" si="16"/>
        <v>0</v>
      </c>
      <c r="L23" s="29">
        <f t="shared" si="16"/>
        <v>0</v>
      </c>
      <c r="M23" s="29">
        <f t="shared" si="16"/>
        <v>0</v>
      </c>
      <c r="N23" s="29">
        <f t="shared" si="16"/>
        <v>0</v>
      </c>
      <c r="O23" s="29">
        <f t="shared" si="16"/>
        <v>0</v>
      </c>
      <c r="P23" s="29">
        <f t="shared" si="16"/>
        <v>0</v>
      </c>
      <c r="Q23" s="29">
        <f t="shared" si="16"/>
        <v>0</v>
      </c>
      <c r="R23" s="29">
        <f t="shared" si="16"/>
        <v>0</v>
      </c>
      <c r="S23" s="29">
        <f t="shared" si="16"/>
        <v>0</v>
      </c>
      <c r="T23" s="29">
        <f t="shared" si="16"/>
        <v>0</v>
      </c>
      <c r="U23" s="29">
        <f t="shared" si="16"/>
        <v>0</v>
      </c>
      <c r="V23" s="29">
        <f t="shared" si="16"/>
        <v>0</v>
      </c>
      <c r="W23" s="29">
        <f t="shared" si="16"/>
        <v>0</v>
      </c>
      <c r="X23" s="29">
        <f t="shared" si="16"/>
        <v>0</v>
      </c>
      <c r="Y23" s="29">
        <f t="shared" si="16"/>
        <v>0</v>
      </c>
      <c r="Z23" s="29">
        <f t="shared" si="16"/>
        <v>0</v>
      </c>
      <c r="AA23" s="29">
        <f t="shared" si="16"/>
        <v>0</v>
      </c>
      <c r="AB23" s="29">
        <f t="shared" si="16"/>
        <v>0</v>
      </c>
      <c r="AC23" s="29">
        <f t="shared" si="16"/>
        <v>0</v>
      </c>
      <c r="AD23" s="29">
        <f t="shared" si="16"/>
        <v>0</v>
      </c>
      <c r="AE23" s="29">
        <f t="shared" si="16"/>
        <v>0</v>
      </c>
      <c r="AF23" s="29">
        <f t="shared" si="16"/>
        <v>0</v>
      </c>
      <c r="AG23" s="29">
        <f t="shared" si="16"/>
        <v>0</v>
      </c>
      <c r="AH23" s="29">
        <f t="shared" ref="AH23:BM23" si="17">SUM(AH3:AH22)</f>
        <v>0</v>
      </c>
      <c r="AI23" s="29">
        <f t="shared" si="17"/>
        <v>0</v>
      </c>
      <c r="AJ23" s="29">
        <f t="shared" si="17"/>
        <v>0</v>
      </c>
      <c r="AK23" s="29">
        <f t="shared" si="17"/>
        <v>0</v>
      </c>
      <c r="AL23" s="29">
        <f t="shared" si="17"/>
        <v>0</v>
      </c>
      <c r="AM23" s="29">
        <f t="shared" si="17"/>
        <v>0</v>
      </c>
      <c r="AN23" s="29">
        <f t="shared" si="17"/>
        <v>0</v>
      </c>
      <c r="AO23" s="29">
        <f t="shared" si="17"/>
        <v>0</v>
      </c>
      <c r="AP23" s="29">
        <f t="shared" si="17"/>
        <v>0</v>
      </c>
      <c r="AQ23" s="29">
        <f t="shared" si="17"/>
        <v>0</v>
      </c>
      <c r="AR23" s="29">
        <f t="shared" si="17"/>
        <v>0</v>
      </c>
      <c r="AS23" s="29">
        <f t="shared" si="17"/>
        <v>0</v>
      </c>
      <c r="AT23" s="29">
        <f t="shared" si="17"/>
        <v>0</v>
      </c>
      <c r="AU23" s="29">
        <f t="shared" si="17"/>
        <v>0</v>
      </c>
      <c r="AV23" s="29">
        <f t="shared" si="17"/>
        <v>0</v>
      </c>
      <c r="AW23" s="29">
        <f t="shared" si="17"/>
        <v>0</v>
      </c>
      <c r="AX23" s="29">
        <f t="shared" si="17"/>
        <v>0</v>
      </c>
      <c r="AY23" s="29">
        <f t="shared" si="17"/>
        <v>0</v>
      </c>
      <c r="AZ23" s="29">
        <f t="shared" si="17"/>
        <v>0</v>
      </c>
      <c r="BA23" s="29">
        <f t="shared" si="17"/>
        <v>0</v>
      </c>
      <c r="BB23" s="29">
        <f t="shared" si="17"/>
        <v>0</v>
      </c>
      <c r="BC23" s="29">
        <f t="shared" si="17"/>
        <v>0</v>
      </c>
      <c r="BD23" s="29">
        <f t="shared" si="17"/>
        <v>0</v>
      </c>
      <c r="BE23" s="29">
        <f t="shared" si="17"/>
        <v>0</v>
      </c>
      <c r="BF23" s="29">
        <f t="shared" si="17"/>
        <v>0</v>
      </c>
      <c r="BG23" s="29">
        <f t="shared" si="17"/>
        <v>0</v>
      </c>
      <c r="BH23" s="29">
        <f t="shared" si="17"/>
        <v>0</v>
      </c>
      <c r="BI23" s="29">
        <f t="shared" si="17"/>
        <v>0</v>
      </c>
      <c r="BJ23" s="29">
        <f t="shared" si="17"/>
        <v>391.00900000000001</v>
      </c>
      <c r="BK23" s="29">
        <f t="shared" si="17"/>
        <v>359.4913791699999</v>
      </c>
      <c r="BL23" s="29">
        <f t="shared" si="17"/>
        <v>380.01530997000009</v>
      </c>
      <c r="BM23" s="29">
        <f t="shared" si="17"/>
        <v>397.70508999999998</v>
      </c>
      <c r="BN23" s="29">
        <f t="shared" ref="BN23:CS23" si="18">SUM(BN3:BN22)</f>
        <v>1528.2207791399996</v>
      </c>
      <c r="BO23" s="29">
        <f t="shared" si="18"/>
        <v>457.48302019800002</v>
      </c>
      <c r="BP23" s="29">
        <f t="shared" si="18"/>
        <v>480.0420133099999</v>
      </c>
      <c r="BQ23" s="29">
        <f t="shared" si="18"/>
        <v>512.28386567000007</v>
      </c>
      <c r="BR23" s="29">
        <f t="shared" si="18"/>
        <v>535.33276937000005</v>
      </c>
      <c r="BS23" s="29">
        <f t="shared" si="18"/>
        <v>1985.1416685479999</v>
      </c>
      <c r="BT23" s="29">
        <f t="shared" si="18"/>
        <v>443.09999999999997</v>
      </c>
      <c r="BU23" s="29">
        <f t="shared" si="18"/>
        <v>483.28113765000001</v>
      </c>
      <c r="BV23" s="29">
        <f t="shared" si="18"/>
        <v>662.33655120000014</v>
      </c>
      <c r="BW23" s="29">
        <f t="shared" si="18"/>
        <v>692.46325974999991</v>
      </c>
      <c r="BX23" s="29">
        <f t="shared" si="18"/>
        <v>2281.1809486000002</v>
      </c>
      <c r="BY23" s="29">
        <f t="shared" si="18"/>
        <v>626.20000000000016</v>
      </c>
      <c r="BZ23" s="29">
        <f t="shared" si="18"/>
        <v>712.30000000000007</v>
      </c>
      <c r="CA23" s="29">
        <f t="shared" si="18"/>
        <v>761.5</v>
      </c>
      <c r="CB23" s="29">
        <f t="shared" si="18"/>
        <v>778.7</v>
      </c>
      <c r="CC23" s="29">
        <f t="shared" si="18"/>
        <v>2878.7000000000003</v>
      </c>
      <c r="CD23" s="29">
        <f t="shared" si="18"/>
        <v>721.89099999999985</v>
      </c>
      <c r="CE23" s="29">
        <f t="shared" si="18"/>
        <v>889.43814391000024</v>
      </c>
      <c r="CF23" s="29">
        <f t="shared" si="18"/>
        <v>777.80000000000007</v>
      </c>
      <c r="CG23" s="29">
        <f t="shared" si="18"/>
        <v>794.40000000000009</v>
      </c>
      <c r="CH23" s="29">
        <f t="shared" si="18"/>
        <v>3183.5291439100006</v>
      </c>
      <c r="CI23" s="29">
        <f t="shared" si="18"/>
        <v>749.1</v>
      </c>
      <c r="CJ23" s="29">
        <f t="shared" si="18"/>
        <v>723.80000000000007</v>
      </c>
      <c r="CK23" s="29">
        <f t="shared" si="18"/>
        <v>757.62613413999998</v>
      </c>
      <c r="CL23" s="29">
        <f t="shared" si="18"/>
        <v>759.08707204999973</v>
      </c>
      <c r="CM23" s="29">
        <f t="shared" si="18"/>
        <v>2989.6132061899998</v>
      </c>
      <c r="CN23" s="29">
        <f t="shared" si="18"/>
        <v>728.89999999999986</v>
      </c>
      <c r="CO23" s="29">
        <f t="shared" si="18"/>
        <v>727.3</v>
      </c>
      <c r="CP23" s="29">
        <f t="shared" si="18"/>
        <v>820.50000000000011</v>
      </c>
      <c r="CQ23" s="29">
        <f t="shared" si="18"/>
        <v>810.19999999999982</v>
      </c>
      <c r="CR23" s="29">
        <f t="shared" si="18"/>
        <v>3086.8999999999992</v>
      </c>
      <c r="CS23" s="29">
        <f t="shared" si="18"/>
        <v>820.82412513999986</v>
      </c>
      <c r="CT23" s="29">
        <f t="shared" ref="CT23:DT23" si="19">SUM(CT3:CT22)</f>
        <v>841.04854265000006</v>
      </c>
      <c r="CU23" s="29">
        <f t="shared" si="19"/>
        <v>902.90591964999999</v>
      </c>
      <c r="CV23" s="29">
        <f t="shared" si="19"/>
        <v>928.12941255999999</v>
      </c>
      <c r="CW23" s="29">
        <f t="shared" si="19"/>
        <v>3492.9080000000004</v>
      </c>
      <c r="CX23" s="29">
        <f t="shared" si="19"/>
        <v>903.48800000000006</v>
      </c>
      <c r="CY23" s="29">
        <f t="shared" si="19"/>
        <v>836.13300000000004</v>
      </c>
      <c r="CZ23" s="29">
        <f t="shared" si="19"/>
        <v>892.63699999999994</v>
      </c>
      <c r="DA23" s="29">
        <f t="shared" si="19"/>
        <v>1001.732</v>
      </c>
      <c r="DB23" s="29">
        <f t="shared" si="19"/>
        <v>3633.9900000000002</v>
      </c>
      <c r="DC23" s="29">
        <f t="shared" si="19"/>
        <v>1010.6559999999999</v>
      </c>
      <c r="DD23" s="29">
        <f t="shared" si="19"/>
        <v>1105.2450000000001</v>
      </c>
      <c r="DE23" s="29">
        <f t="shared" si="19"/>
        <v>1108.3910000000001</v>
      </c>
      <c r="DF23" s="29">
        <f t="shared" si="19"/>
        <v>1237.6189999999999</v>
      </c>
      <c r="DG23" s="29">
        <f t="shared" si="19"/>
        <v>4461.9110000000001</v>
      </c>
      <c r="DH23" s="29">
        <f t="shared" si="19"/>
        <v>1099.9330000000002</v>
      </c>
      <c r="DI23" s="29">
        <f t="shared" si="19"/>
        <v>1025.183</v>
      </c>
      <c r="DJ23" s="29">
        <f t="shared" si="19"/>
        <v>1194.1320000000001</v>
      </c>
      <c r="DK23" s="29">
        <f t="shared" si="19"/>
        <v>1205.4060000000002</v>
      </c>
      <c r="DL23" s="29">
        <f t="shared" si="19"/>
        <v>4524.6539999999995</v>
      </c>
      <c r="DM23" s="29">
        <f t="shared" si="19"/>
        <v>1160.721</v>
      </c>
      <c r="DN23" s="29">
        <f t="shared" si="19"/>
        <v>1256.4991000000002</v>
      </c>
      <c r="DO23" s="29">
        <f t="shared" si="19"/>
        <v>1424.0839999999998</v>
      </c>
      <c r="DP23" s="29">
        <f t="shared" si="19"/>
        <v>1440.1510000000001</v>
      </c>
      <c r="DQ23" s="29">
        <f t="shared" si="19"/>
        <v>5281.4550999999992</v>
      </c>
      <c r="DR23" s="29">
        <f t="shared" si="19"/>
        <v>1293.1080000000002</v>
      </c>
      <c r="DS23" s="29">
        <f t="shared" si="19"/>
        <v>1482.18</v>
      </c>
      <c r="DT23" s="29">
        <f t="shared" si="19"/>
        <v>1840.1679999999999</v>
      </c>
      <c r="DU23" s="29">
        <f t="shared" ref="DU23:ED23" si="20">SUM(DU3:DU22)</f>
        <v>2099.2220000000002</v>
      </c>
      <c r="DV23" s="29">
        <f t="shared" si="20"/>
        <v>6714.6779999999999</v>
      </c>
      <c r="DW23" s="29">
        <f t="shared" si="20"/>
        <v>1788.6620000000003</v>
      </c>
      <c r="DX23" s="29">
        <f t="shared" si="20"/>
        <v>2189.4649999999997</v>
      </c>
      <c r="DY23" s="29">
        <f t="shared" si="20"/>
        <v>2753.5427891000004</v>
      </c>
      <c r="DZ23" s="29">
        <f t="shared" si="20"/>
        <v>2839.5076766399998</v>
      </c>
      <c r="EA23" s="29">
        <f t="shared" si="20"/>
        <v>9571.1774657400019</v>
      </c>
      <c r="EB23" s="29">
        <f t="shared" si="20"/>
        <v>2300.5269450500004</v>
      </c>
      <c r="EC23" s="29">
        <f t="shared" si="20"/>
        <v>2592.60518839</v>
      </c>
      <c r="ED23" s="29">
        <f t="shared" si="20"/>
        <v>2737.8650000000002</v>
      </c>
      <c r="EE23" s="29">
        <f t="shared" ref="EE23:EG23" si="21">SUM(EE3:EE22)</f>
        <v>2990.8406385499998</v>
      </c>
      <c r="EF23" s="29">
        <f>SUM(EF3:EF22)</f>
        <v>10621.83777199</v>
      </c>
      <c r="EG23" s="29">
        <f t="shared" si="21"/>
        <v>2628.3470111399997</v>
      </c>
      <c r="EH23" s="29">
        <f t="shared" ref="EH23" si="22">SUM(EH3:EH22)</f>
        <v>2934.0098207999999</v>
      </c>
      <c r="EI23" s="29">
        <f t="shared" ref="EI23" si="23">SUM(EI3:EI22)</f>
        <v>3222.9209174100001</v>
      </c>
    </row>
    <row r="24" spans="1:139" x14ac:dyDescent="0.3"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EA24" s="33"/>
      <c r="EF24" s="33"/>
      <c r="EG24" s="33"/>
      <c r="EH24" s="33"/>
      <c r="EI24" s="33"/>
    </row>
    <row r="25" spans="1:139" x14ac:dyDescent="0.3">
      <c r="CW25" s="33"/>
    </row>
    <row r="26" spans="1:139" x14ac:dyDescent="0.3">
      <c r="A26" s="3" t="s">
        <v>309</v>
      </c>
      <c r="B26" s="6" t="s">
        <v>4</v>
      </c>
      <c r="C26" s="6" t="s">
        <v>5</v>
      </c>
      <c r="D26" s="6" t="s">
        <v>6</v>
      </c>
      <c r="E26" s="6" t="s">
        <v>7</v>
      </c>
      <c r="F26" s="6">
        <v>2018</v>
      </c>
      <c r="G26" s="6" t="s">
        <v>8</v>
      </c>
      <c r="H26" s="6" t="s">
        <v>9</v>
      </c>
      <c r="I26" s="6" t="s">
        <v>10</v>
      </c>
      <c r="J26" s="6" t="s">
        <v>11</v>
      </c>
      <c r="K26" s="6">
        <v>2019</v>
      </c>
      <c r="L26" s="6" t="s">
        <v>12</v>
      </c>
      <c r="M26" s="6" t="s">
        <v>13</v>
      </c>
      <c r="N26" s="6" t="s">
        <v>14</v>
      </c>
      <c r="O26" s="6" t="s">
        <v>15</v>
      </c>
      <c r="P26" s="6">
        <v>2000</v>
      </c>
      <c r="Q26" s="6" t="s">
        <v>16</v>
      </c>
      <c r="R26" s="6" t="s">
        <v>17</v>
      </c>
      <c r="S26" s="6" t="s">
        <v>18</v>
      </c>
      <c r="T26" s="6" t="s">
        <v>19</v>
      </c>
      <c r="U26" s="6">
        <v>2001</v>
      </c>
      <c r="V26" s="6" t="s">
        <v>20</v>
      </c>
      <c r="W26" s="6" t="s">
        <v>21</v>
      </c>
      <c r="X26" s="6" t="s">
        <v>22</v>
      </c>
      <c r="Y26" s="6" t="s">
        <v>23</v>
      </c>
      <c r="Z26" s="6">
        <v>2002</v>
      </c>
      <c r="AA26" s="6" t="s">
        <v>24</v>
      </c>
      <c r="AB26" s="6" t="s">
        <v>25</v>
      </c>
      <c r="AC26" s="6" t="s">
        <v>26</v>
      </c>
      <c r="AD26" s="6" t="s">
        <v>27</v>
      </c>
      <c r="AE26" s="6">
        <v>2003</v>
      </c>
      <c r="AF26" s="6" t="s">
        <v>28</v>
      </c>
      <c r="AG26" s="6" t="s">
        <v>29</v>
      </c>
      <c r="AH26" s="6" t="s">
        <v>30</v>
      </c>
      <c r="AI26" s="6" t="s">
        <v>31</v>
      </c>
      <c r="AJ26" s="6">
        <v>2004</v>
      </c>
      <c r="AK26" s="6" t="s">
        <v>32</v>
      </c>
      <c r="AL26" s="6" t="s">
        <v>33</v>
      </c>
      <c r="AM26" s="6" t="s">
        <v>34</v>
      </c>
      <c r="AN26" s="6" t="s">
        <v>35</v>
      </c>
      <c r="AO26" s="6">
        <v>2005</v>
      </c>
      <c r="AP26" s="6" t="s">
        <v>36</v>
      </c>
      <c r="AQ26" s="6" t="s">
        <v>37</v>
      </c>
      <c r="AR26" s="6" t="s">
        <v>38</v>
      </c>
      <c r="AS26" s="6" t="s">
        <v>39</v>
      </c>
      <c r="AT26" s="6">
        <v>2006</v>
      </c>
      <c r="AU26" s="6" t="s">
        <v>40</v>
      </c>
      <c r="AV26" s="6" t="s">
        <v>41</v>
      </c>
      <c r="AW26" s="6" t="s">
        <v>42</v>
      </c>
      <c r="AX26" s="6" t="s">
        <v>43</v>
      </c>
      <c r="AY26" s="6">
        <v>2007</v>
      </c>
      <c r="AZ26" s="6" t="s">
        <v>44</v>
      </c>
      <c r="BA26" s="6" t="s">
        <v>45</v>
      </c>
      <c r="BB26" s="6" t="s">
        <v>46</v>
      </c>
      <c r="BC26" s="6" t="s">
        <v>47</v>
      </c>
      <c r="BD26" s="6">
        <v>2008</v>
      </c>
      <c r="BE26" s="6" t="s">
        <v>48</v>
      </c>
      <c r="BF26" s="6" t="s">
        <v>49</v>
      </c>
      <c r="BG26" s="6" t="s">
        <v>50</v>
      </c>
      <c r="BH26" s="6" t="s">
        <v>51</v>
      </c>
      <c r="BI26" s="6">
        <v>2009</v>
      </c>
      <c r="BJ26" s="6" t="s">
        <v>52</v>
      </c>
      <c r="BK26" s="6" t="s">
        <v>53</v>
      </c>
      <c r="BL26" s="6" t="s">
        <v>54</v>
      </c>
      <c r="BM26" s="6" t="s">
        <v>55</v>
      </c>
      <c r="BN26" s="6">
        <v>2010</v>
      </c>
      <c r="BO26" s="6" t="s">
        <v>56</v>
      </c>
      <c r="BP26" s="6" t="s">
        <v>57</v>
      </c>
      <c r="BQ26" s="6" t="s">
        <v>58</v>
      </c>
      <c r="BR26" s="6" t="s">
        <v>59</v>
      </c>
      <c r="BS26" s="6">
        <v>2011</v>
      </c>
      <c r="BT26" s="6" t="s">
        <v>60</v>
      </c>
      <c r="BU26" s="6" t="s">
        <v>61</v>
      </c>
      <c r="BV26" s="6" t="s">
        <v>62</v>
      </c>
      <c r="BW26" s="6" t="s">
        <v>63</v>
      </c>
      <c r="BX26" s="6">
        <v>2012</v>
      </c>
      <c r="BY26" s="6" t="s">
        <v>64</v>
      </c>
      <c r="BZ26" s="6" t="s">
        <v>65</v>
      </c>
      <c r="CA26" s="6" t="s">
        <v>66</v>
      </c>
      <c r="CB26" s="6" t="s">
        <v>67</v>
      </c>
      <c r="CC26" s="6">
        <v>2013</v>
      </c>
      <c r="CD26" s="6" t="s">
        <v>68</v>
      </c>
      <c r="CE26" s="6" t="s">
        <v>69</v>
      </c>
      <c r="CF26" s="6" t="s">
        <v>70</v>
      </c>
      <c r="CG26" s="6" t="s">
        <v>71</v>
      </c>
      <c r="CH26" s="6">
        <v>2014</v>
      </c>
      <c r="CI26" s="6" t="s">
        <v>72</v>
      </c>
      <c r="CJ26" s="6" t="s">
        <v>73</v>
      </c>
      <c r="CK26" s="6" t="s">
        <v>74</v>
      </c>
      <c r="CL26" s="6" t="s">
        <v>75</v>
      </c>
      <c r="CM26" s="6">
        <v>2015</v>
      </c>
      <c r="CN26" s="6" t="s">
        <v>76</v>
      </c>
      <c r="CO26" s="6" t="s">
        <v>77</v>
      </c>
      <c r="CP26" s="6" t="s">
        <v>78</v>
      </c>
      <c r="CQ26" s="6" t="s">
        <v>79</v>
      </c>
      <c r="CR26" s="6">
        <v>2016</v>
      </c>
      <c r="CS26" s="6" t="s">
        <v>80</v>
      </c>
      <c r="CT26" s="6" t="s">
        <v>81</v>
      </c>
      <c r="CU26" s="6" t="s">
        <v>82</v>
      </c>
      <c r="CV26" s="6" t="s">
        <v>83</v>
      </c>
      <c r="CW26" s="6">
        <v>2017</v>
      </c>
      <c r="CX26" s="6" t="s">
        <v>84</v>
      </c>
      <c r="CY26" s="6" t="s">
        <v>85</v>
      </c>
      <c r="CZ26" s="6" t="s">
        <v>86</v>
      </c>
      <c r="DA26" s="6" t="s">
        <v>87</v>
      </c>
      <c r="DB26" s="6">
        <v>2018</v>
      </c>
      <c r="DC26" s="6" t="s">
        <v>88</v>
      </c>
      <c r="DD26" s="6" t="s">
        <v>89</v>
      </c>
      <c r="DE26" s="6" t="s">
        <v>90</v>
      </c>
      <c r="DF26" s="6" t="s">
        <v>91</v>
      </c>
      <c r="DG26" s="6">
        <v>2019</v>
      </c>
      <c r="DH26" s="6" t="s">
        <v>92</v>
      </c>
      <c r="DI26" s="6" t="s">
        <v>93</v>
      </c>
      <c r="DJ26" s="6" t="s">
        <v>94</v>
      </c>
      <c r="DK26" s="6" t="s">
        <v>95</v>
      </c>
      <c r="DL26" s="6">
        <v>2020</v>
      </c>
      <c r="DM26" s="6" t="s">
        <v>96</v>
      </c>
      <c r="DN26" s="6" t="s">
        <v>97</v>
      </c>
      <c r="DO26" s="6" t="s">
        <v>98</v>
      </c>
      <c r="DP26" s="6" t="s">
        <v>99</v>
      </c>
      <c r="DQ26" s="6">
        <v>2021</v>
      </c>
      <c r="DR26" s="6" t="s">
        <v>100</v>
      </c>
      <c r="DS26" s="6" t="s">
        <v>101</v>
      </c>
      <c r="DT26" s="6" t="s">
        <v>200</v>
      </c>
      <c r="DU26" s="6" t="s">
        <v>380</v>
      </c>
      <c r="DV26" s="6">
        <v>2022</v>
      </c>
      <c r="DW26" s="6" t="s">
        <v>379</v>
      </c>
      <c r="DX26" s="6" t="s">
        <v>402</v>
      </c>
      <c r="DY26" s="6" t="s">
        <v>414</v>
      </c>
      <c r="DZ26" s="6" t="s">
        <v>419</v>
      </c>
      <c r="EA26" s="6">
        <v>2023</v>
      </c>
      <c r="EB26" s="6" t="s">
        <v>424</v>
      </c>
      <c r="EC26" s="6" t="s">
        <v>429</v>
      </c>
      <c r="ED26" s="6" t="str">
        <f>ED1</f>
        <v>3T24</v>
      </c>
      <c r="EE26" s="6" t="str">
        <f>$EE$1</f>
        <v>4T24</v>
      </c>
      <c r="EF26" s="6">
        <f>$EF$1</f>
        <v>2024</v>
      </c>
      <c r="EG26" s="6" t="str">
        <f>EG$1</f>
        <v>1T25</v>
      </c>
      <c r="EH26" s="6" t="str">
        <f>EH$1</f>
        <v>2T25</v>
      </c>
      <c r="EI26" s="6" t="str">
        <f>EI$1</f>
        <v>3T25</v>
      </c>
    </row>
    <row r="27" spans="1:139" ht="15" thickBot="1" x14ac:dyDescent="0.35">
      <c r="A27" s="4" t="s">
        <v>310</v>
      </c>
      <c r="B27" s="7" t="s">
        <v>102</v>
      </c>
      <c r="C27" s="7" t="s">
        <v>103</v>
      </c>
      <c r="D27" s="7" t="s">
        <v>104</v>
      </c>
      <c r="E27" s="7" t="s">
        <v>105</v>
      </c>
      <c r="F27" s="7">
        <v>2018</v>
      </c>
      <c r="G27" s="7" t="s">
        <v>106</v>
      </c>
      <c r="H27" s="7" t="s">
        <v>107</v>
      </c>
      <c r="I27" s="7" t="s">
        <v>108</v>
      </c>
      <c r="J27" s="7" t="s">
        <v>109</v>
      </c>
      <c r="K27" s="7">
        <v>2019</v>
      </c>
      <c r="L27" s="7" t="s">
        <v>110</v>
      </c>
      <c r="M27" s="7" t="s">
        <v>111</v>
      </c>
      <c r="N27" s="7" t="s">
        <v>112</v>
      </c>
      <c r="O27" s="7" t="s">
        <v>113</v>
      </c>
      <c r="P27" s="7">
        <v>2000</v>
      </c>
      <c r="Q27" s="7" t="s">
        <v>114</v>
      </c>
      <c r="R27" s="7" t="s">
        <v>115</v>
      </c>
      <c r="S27" s="7" t="s">
        <v>116</v>
      </c>
      <c r="T27" s="7" t="s">
        <v>117</v>
      </c>
      <c r="U27" s="7">
        <v>2001</v>
      </c>
      <c r="V27" s="7" t="s">
        <v>118</v>
      </c>
      <c r="W27" s="7" t="s">
        <v>119</v>
      </c>
      <c r="X27" s="7" t="s">
        <v>120</v>
      </c>
      <c r="Y27" s="7" t="s">
        <v>121</v>
      </c>
      <c r="Z27" s="7">
        <v>2002</v>
      </c>
      <c r="AA27" s="7" t="s">
        <v>122</v>
      </c>
      <c r="AB27" s="7" t="s">
        <v>123</v>
      </c>
      <c r="AC27" s="7" t="s">
        <v>124</v>
      </c>
      <c r="AD27" s="7" t="s">
        <v>125</v>
      </c>
      <c r="AE27" s="7">
        <v>2003</v>
      </c>
      <c r="AF27" s="7" t="s">
        <v>126</v>
      </c>
      <c r="AG27" s="7" t="s">
        <v>127</v>
      </c>
      <c r="AH27" s="7" t="s">
        <v>128</v>
      </c>
      <c r="AI27" s="7" t="s">
        <v>129</v>
      </c>
      <c r="AJ27" s="7">
        <v>2004</v>
      </c>
      <c r="AK27" s="7" t="s">
        <v>130</v>
      </c>
      <c r="AL27" s="7" t="s">
        <v>131</v>
      </c>
      <c r="AM27" s="7" t="s">
        <v>132</v>
      </c>
      <c r="AN27" s="7" t="s">
        <v>133</v>
      </c>
      <c r="AO27" s="7">
        <v>2005</v>
      </c>
      <c r="AP27" s="7" t="s">
        <v>134</v>
      </c>
      <c r="AQ27" s="7" t="s">
        <v>135</v>
      </c>
      <c r="AR27" s="7" t="s">
        <v>136</v>
      </c>
      <c r="AS27" s="7" t="s">
        <v>137</v>
      </c>
      <c r="AT27" s="7">
        <v>2006</v>
      </c>
      <c r="AU27" s="7" t="s">
        <v>138</v>
      </c>
      <c r="AV27" s="7" t="s">
        <v>139</v>
      </c>
      <c r="AW27" s="7" t="s">
        <v>140</v>
      </c>
      <c r="AX27" s="7" t="s">
        <v>141</v>
      </c>
      <c r="AY27" s="7">
        <v>2007</v>
      </c>
      <c r="AZ27" s="7" t="s">
        <v>142</v>
      </c>
      <c r="BA27" s="7" t="s">
        <v>143</v>
      </c>
      <c r="BB27" s="7" t="s">
        <v>144</v>
      </c>
      <c r="BC27" s="7" t="s">
        <v>145</v>
      </c>
      <c r="BD27" s="7">
        <v>2008</v>
      </c>
      <c r="BE27" s="7" t="s">
        <v>146</v>
      </c>
      <c r="BF27" s="7" t="s">
        <v>147</v>
      </c>
      <c r="BG27" s="7" t="s">
        <v>148</v>
      </c>
      <c r="BH27" s="7" t="s">
        <v>149</v>
      </c>
      <c r="BI27" s="7">
        <v>2009</v>
      </c>
      <c r="BJ27" s="7" t="s">
        <v>150</v>
      </c>
      <c r="BK27" s="7" t="s">
        <v>151</v>
      </c>
      <c r="BL27" s="7" t="s">
        <v>152</v>
      </c>
      <c r="BM27" s="7" t="s">
        <v>153</v>
      </c>
      <c r="BN27" s="7">
        <v>2010</v>
      </c>
      <c r="BO27" s="7" t="s">
        <v>154</v>
      </c>
      <c r="BP27" s="7" t="s">
        <v>155</v>
      </c>
      <c r="BQ27" s="7" t="s">
        <v>156</v>
      </c>
      <c r="BR27" s="7" t="s">
        <v>157</v>
      </c>
      <c r="BS27" s="7">
        <v>2011</v>
      </c>
      <c r="BT27" s="7" t="s">
        <v>158</v>
      </c>
      <c r="BU27" s="7" t="s">
        <v>159</v>
      </c>
      <c r="BV27" s="7" t="s">
        <v>160</v>
      </c>
      <c r="BW27" s="7" t="s">
        <v>161</v>
      </c>
      <c r="BX27" s="7">
        <v>2012</v>
      </c>
      <c r="BY27" s="7" t="s">
        <v>162</v>
      </c>
      <c r="BZ27" s="7" t="s">
        <v>163</v>
      </c>
      <c r="CA27" s="7" t="s">
        <v>164</v>
      </c>
      <c r="CB27" s="7" t="s">
        <v>165</v>
      </c>
      <c r="CC27" s="7">
        <v>2013</v>
      </c>
      <c r="CD27" s="7" t="s">
        <v>166</v>
      </c>
      <c r="CE27" s="7" t="s">
        <v>167</v>
      </c>
      <c r="CF27" s="7" t="s">
        <v>168</v>
      </c>
      <c r="CG27" s="7" t="s">
        <v>169</v>
      </c>
      <c r="CH27" s="7">
        <v>2014</v>
      </c>
      <c r="CI27" s="7" t="s">
        <v>170</v>
      </c>
      <c r="CJ27" s="7" t="s">
        <v>171</v>
      </c>
      <c r="CK27" s="7" t="s">
        <v>172</v>
      </c>
      <c r="CL27" s="7" t="s">
        <v>173</v>
      </c>
      <c r="CM27" s="7">
        <v>2015</v>
      </c>
      <c r="CN27" s="7" t="s">
        <v>174</v>
      </c>
      <c r="CO27" s="7" t="s">
        <v>175</v>
      </c>
      <c r="CP27" s="7" t="s">
        <v>176</v>
      </c>
      <c r="CQ27" s="7" t="s">
        <v>177</v>
      </c>
      <c r="CR27" s="7">
        <v>2016</v>
      </c>
      <c r="CS27" s="7" t="s">
        <v>178</v>
      </c>
      <c r="CT27" s="7" t="s">
        <v>179</v>
      </c>
      <c r="CU27" s="7" t="s">
        <v>180</v>
      </c>
      <c r="CV27" s="7" t="s">
        <v>181</v>
      </c>
      <c r="CW27" s="7">
        <v>2017</v>
      </c>
      <c r="CX27" s="7" t="s">
        <v>182</v>
      </c>
      <c r="CY27" s="7" t="s">
        <v>183</v>
      </c>
      <c r="CZ27" s="7" t="s">
        <v>184</v>
      </c>
      <c r="DA27" s="7" t="s">
        <v>185</v>
      </c>
      <c r="DB27" s="7">
        <v>2018</v>
      </c>
      <c r="DC27" s="7" t="s">
        <v>186</v>
      </c>
      <c r="DD27" s="7" t="s">
        <v>187</v>
      </c>
      <c r="DE27" s="7" t="s">
        <v>188</v>
      </c>
      <c r="DF27" s="7" t="s">
        <v>189</v>
      </c>
      <c r="DG27" s="7">
        <v>2019</v>
      </c>
      <c r="DH27" s="7" t="s">
        <v>190</v>
      </c>
      <c r="DI27" s="7" t="s">
        <v>191</v>
      </c>
      <c r="DJ27" s="7" t="s">
        <v>192</v>
      </c>
      <c r="DK27" s="7" t="s">
        <v>193</v>
      </c>
      <c r="DL27" s="7">
        <v>2020</v>
      </c>
      <c r="DM27" s="7" t="s">
        <v>194</v>
      </c>
      <c r="DN27" s="7" t="s">
        <v>195</v>
      </c>
      <c r="DO27" s="7" t="s">
        <v>196</v>
      </c>
      <c r="DP27" s="7" t="s">
        <v>197</v>
      </c>
      <c r="DQ27" s="7">
        <v>2021</v>
      </c>
      <c r="DR27" s="7" t="s">
        <v>198</v>
      </c>
      <c r="DS27" s="7" t="s">
        <v>199</v>
      </c>
      <c r="DT27" s="7" t="s">
        <v>201</v>
      </c>
      <c r="DU27" s="7" t="s">
        <v>381</v>
      </c>
      <c r="DV27" s="7">
        <v>2022</v>
      </c>
      <c r="DW27" s="7" t="s">
        <v>382</v>
      </c>
      <c r="DX27" s="7" t="s">
        <v>403</v>
      </c>
      <c r="DY27" s="7" t="s">
        <v>415</v>
      </c>
      <c r="DZ27" s="7" t="s">
        <v>420</v>
      </c>
      <c r="EA27" s="7">
        <v>2023</v>
      </c>
      <c r="EB27" s="7" t="s">
        <v>425</v>
      </c>
      <c r="EC27" s="7" t="s">
        <v>430</v>
      </c>
      <c r="ED27" s="7" t="str">
        <f>ED2</f>
        <v>3Q24</v>
      </c>
      <c r="EE27" s="7" t="str">
        <f>$EE$2</f>
        <v>4Q24</v>
      </c>
      <c r="EF27" s="7">
        <f>$EF$2</f>
        <v>2024</v>
      </c>
      <c r="EG27" s="7" t="str">
        <f>EG$2</f>
        <v>1Q25</v>
      </c>
      <c r="EH27" s="7" t="str">
        <f>EH$2</f>
        <v>2Q25</v>
      </c>
      <c r="EI27" s="7" t="str">
        <f>EI$2</f>
        <v>3Q25</v>
      </c>
    </row>
    <row r="28" spans="1:139" ht="15" thickTop="1" x14ac:dyDescent="0.3">
      <c r="A28" s="1" t="s">
        <v>2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27">
        <v>38.825000000000003</v>
      </c>
      <c r="BK28" s="27">
        <v>33.932946700000002</v>
      </c>
      <c r="BL28" s="27">
        <v>38.342053299999989</v>
      </c>
      <c r="BM28" s="27">
        <v>36.400000000000006</v>
      </c>
      <c r="BN28" s="27">
        <f t="shared" ref="BN28:BN39" si="24">(SUM(BJ28:BM28))*1</f>
        <v>147.5</v>
      </c>
      <c r="BO28" s="27">
        <v>42.656694199999997</v>
      </c>
      <c r="BP28" s="27">
        <v>41.929503899999993</v>
      </c>
      <c r="BQ28" s="27">
        <v>41.963956299999992</v>
      </c>
      <c r="BR28" s="27">
        <v>42.380832200000015</v>
      </c>
      <c r="BS28" s="27">
        <f t="shared" ref="BS28:BS39" si="25">(SUM(BO28:BR28))*1</f>
        <v>168.93098659999998</v>
      </c>
      <c r="BT28" s="27">
        <v>52.2</v>
      </c>
      <c r="BU28" s="27">
        <v>44.981151600000004</v>
      </c>
      <c r="BV28" s="27">
        <v>51.6660629</v>
      </c>
      <c r="BW28" s="27">
        <v>46.800808599999982</v>
      </c>
      <c r="BX28" s="27">
        <f t="shared" ref="BX28:BX39" si="26">(SUM(BT28:BW28))*1</f>
        <v>195.64802309999999</v>
      </c>
      <c r="BY28" s="27">
        <v>52.1</v>
      </c>
      <c r="BZ28" s="27">
        <v>50.1</v>
      </c>
      <c r="CA28" s="27">
        <v>53.7</v>
      </c>
      <c r="CB28" s="27">
        <v>52.2</v>
      </c>
      <c r="CC28" s="27">
        <f t="shared" ref="CC28:CC39" si="27">(SUM(BY28:CB28))*1</f>
        <v>208.10000000000002</v>
      </c>
      <c r="CD28" s="27">
        <v>62</v>
      </c>
      <c r="CE28" s="27">
        <v>54.016091000000017</v>
      </c>
      <c r="CF28" s="27">
        <v>52.800000000000011</v>
      </c>
      <c r="CG28" s="27">
        <v>54.5</v>
      </c>
      <c r="CH28" s="27">
        <f t="shared" ref="CH28:CH39" si="28">(SUM(CD28:CG28))*1</f>
        <v>223.31609100000003</v>
      </c>
      <c r="CI28" s="27">
        <v>61.2</v>
      </c>
      <c r="CJ28" s="27">
        <v>56.899999999999991</v>
      </c>
      <c r="CK28" s="27">
        <v>57.900000000000006</v>
      </c>
      <c r="CL28" s="27">
        <v>57.967481399999997</v>
      </c>
      <c r="CM28" s="27">
        <f t="shared" ref="CM28:CM39" si="29">(SUM(CI28:CL28))*1</f>
        <v>233.9674814</v>
      </c>
      <c r="CN28" s="27">
        <v>74.5</v>
      </c>
      <c r="CO28" s="27">
        <v>63.599999999999994</v>
      </c>
      <c r="CP28" s="27">
        <v>59.400000000000006</v>
      </c>
      <c r="CQ28" s="27">
        <v>59.600000000000023</v>
      </c>
      <c r="CR28" s="27">
        <f t="shared" ref="CR28:CR39" si="30">(SUM(CN28:CQ28))*1</f>
        <v>257.10000000000002</v>
      </c>
      <c r="CS28" s="27">
        <v>82.201206900000003</v>
      </c>
      <c r="CT28" s="27">
        <v>71.369544500000003</v>
      </c>
      <c r="CU28" s="27">
        <v>80.529681000000025</v>
      </c>
      <c r="CV28" s="27">
        <v>69.20551719999996</v>
      </c>
      <c r="CW28" s="27">
        <f t="shared" ref="CW28:CW39" si="31">(SUM(CS28:CV28))*1</f>
        <v>303.30594960000002</v>
      </c>
      <c r="CX28" s="27">
        <v>84.525999999999996</v>
      </c>
      <c r="CY28" s="27">
        <v>68.210999999999999</v>
      </c>
      <c r="CZ28" s="27">
        <v>70.616</v>
      </c>
      <c r="DA28" s="27">
        <v>67.531999999999996</v>
      </c>
      <c r="DB28" s="27">
        <f t="shared" ref="DB28:DB39" si="32">(SUM(CX28:DA28))*1</f>
        <v>290.88499999999999</v>
      </c>
      <c r="DC28" s="27">
        <v>77.48</v>
      </c>
      <c r="DD28" s="27">
        <v>69.64</v>
      </c>
      <c r="DE28" s="27">
        <v>75.111999999999995</v>
      </c>
      <c r="DF28" s="27">
        <v>80.641000000000005</v>
      </c>
      <c r="DG28" s="27">
        <f t="shared" ref="DG28:DG39" si="33">(SUM(DC28:DF28))*1</f>
        <v>302.87299999999999</v>
      </c>
      <c r="DH28" s="27">
        <v>91.884</v>
      </c>
      <c r="DI28" s="27">
        <v>79.040000000000006</v>
      </c>
      <c r="DJ28" s="27">
        <v>82.558000000000007</v>
      </c>
      <c r="DK28" s="27">
        <v>80.256</v>
      </c>
      <c r="DL28" s="27">
        <f t="shared" ref="DL28:DL39" si="34">(SUM(DH28:DK28))*1</f>
        <v>333.73800000000006</v>
      </c>
      <c r="DM28" s="27">
        <v>85.534000000000006</v>
      </c>
      <c r="DN28" s="27">
        <v>82.004000000000005</v>
      </c>
      <c r="DO28" s="27">
        <v>85.671999999999997</v>
      </c>
      <c r="DP28" s="27">
        <v>52.478999999999999</v>
      </c>
      <c r="DQ28" s="27">
        <f t="shared" ref="DQ28:DQ39" si="35">(SUM(DM28:DP28))*1</f>
        <v>305.68900000000002</v>
      </c>
      <c r="DR28" s="27">
        <v>0</v>
      </c>
      <c r="DS28" s="27">
        <v>0</v>
      </c>
      <c r="DT28" s="27">
        <v>0</v>
      </c>
      <c r="DU28" s="27">
        <v>0</v>
      </c>
      <c r="DV28" s="27">
        <f t="shared" ref="DV28:DV39" si="36">(SUM(DR28:DU28))*1</f>
        <v>0</v>
      </c>
      <c r="DW28" s="27">
        <v>0</v>
      </c>
      <c r="DX28" s="27">
        <v>0</v>
      </c>
      <c r="DY28" s="27">
        <v>0</v>
      </c>
      <c r="DZ28" s="27">
        <v>0</v>
      </c>
      <c r="EA28" s="27">
        <f t="shared" ref="EA28:EA46" si="37">(SUM(DW28:DZ28))*1</f>
        <v>0</v>
      </c>
      <c r="EB28" s="27">
        <v>0</v>
      </c>
      <c r="EC28" s="27">
        <v>0</v>
      </c>
      <c r="ED28" s="27">
        <v>0</v>
      </c>
      <c r="EE28" s="27">
        <v>0</v>
      </c>
      <c r="EF28" s="27">
        <f>(SUM(EB28:EE28))*1</f>
        <v>0</v>
      </c>
      <c r="EG28" s="27">
        <v>0</v>
      </c>
      <c r="EH28" s="27">
        <v>0</v>
      </c>
      <c r="EI28" s="27">
        <v>0</v>
      </c>
    </row>
    <row r="29" spans="1:139" ht="15" thickBot="1" x14ac:dyDescent="0.35">
      <c r="A29" s="2" t="s">
        <v>454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28">
        <v>25.291</v>
      </c>
      <c r="BK29" s="28">
        <v>31.508002600000001</v>
      </c>
      <c r="BL29" s="28">
        <v>27.700997399999999</v>
      </c>
      <c r="BM29" s="28">
        <v>27.900000000000006</v>
      </c>
      <c r="BN29" s="28">
        <f t="shared" si="24"/>
        <v>112.4</v>
      </c>
      <c r="BO29" s="28">
        <v>32.340730800000003</v>
      </c>
      <c r="BP29" s="28">
        <v>37.818428390000008</v>
      </c>
      <c r="BQ29" s="28">
        <v>33.959875800000006</v>
      </c>
      <c r="BR29" s="28">
        <v>31.751308800000004</v>
      </c>
      <c r="BS29" s="28">
        <f t="shared" si="25"/>
        <v>135.87034379000002</v>
      </c>
      <c r="BT29" s="28">
        <v>35.1</v>
      </c>
      <c r="BU29" s="28">
        <v>41.122187000000004</v>
      </c>
      <c r="BV29" s="28">
        <v>35.121157099999991</v>
      </c>
      <c r="BW29" s="28">
        <v>36.258166200000034</v>
      </c>
      <c r="BX29" s="28">
        <f t="shared" si="26"/>
        <v>147.60151030000003</v>
      </c>
      <c r="BY29" s="28">
        <v>40.700000000000003</v>
      </c>
      <c r="BZ29" s="28">
        <v>55.8</v>
      </c>
      <c r="CA29" s="28">
        <v>49.400000000000006</v>
      </c>
      <c r="CB29" s="28">
        <v>41.699999999999989</v>
      </c>
      <c r="CC29" s="28">
        <f t="shared" si="27"/>
        <v>187.6</v>
      </c>
      <c r="CD29" s="28">
        <v>43.4</v>
      </c>
      <c r="CE29" s="28">
        <v>52.419304499999996</v>
      </c>
      <c r="CF29" s="28">
        <v>45.599999999999994</v>
      </c>
      <c r="CG29" s="28">
        <v>40.300000000000011</v>
      </c>
      <c r="CH29" s="28">
        <f t="shared" si="28"/>
        <v>181.71930449999999</v>
      </c>
      <c r="CI29" s="28">
        <v>47.5</v>
      </c>
      <c r="CJ29" s="28">
        <v>55.599999999999994</v>
      </c>
      <c r="CK29" s="28">
        <v>52.800000000000011</v>
      </c>
      <c r="CL29" s="28">
        <v>43.118721300000004</v>
      </c>
      <c r="CM29" s="28">
        <f t="shared" si="29"/>
        <v>199.01872130000001</v>
      </c>
      <c r="CN29" s="28">
        <v>60.3</v>
      </c>
      <c r="CO29" s="28">
        <v>76.600000000000009</v>
      </c>
      <c r="CP29" s="28">
        <v>64.099999999999994</v>
      </c>
      <c r="CQ29" s="28">
        <v>56.699999999999989</v>
      </c>
      <c r="CR29" s="28">
        <f t="shared" si="30"/>
        <v>257.7</v>
      </c>
      <c r="CS29" s="28">
        <v>68.73604259999999</v>
      </c>
      <c r="CT29" s="28">
        <v>80.759664200000032</v>
      </c>
      <c r="CU29" s="28">
        <v>74.015653999999984</v>
      </c>
      <c r="CV29" s="28">
        <v>67.210006499999992</v>
      </c>
      <c r="CW29" s="28">
        <f t="shared" si="31"/>
        <v>290.7213673</v>
      </c>
      <c r="CX29" s="28">
        <v>73.619</v>
      </c>
      <c r="CY29" s="28">
        <v>78.674000000000007</v>
      </c>
      <c r="CZ29" s="28">
        <v>82.978999999999999</v>
      </c>
      <c r="DA29" s="28">
        <v>76.563999999999993</v>
      </c>
      <c r="DB29" s="28">
        <f t="shared" si="32"/>
        <v>311.83600000000001</v>
      </c>
      <c r="DC29" s="28">
        <v>74.200999999999993</v>
      </c>
      <c r="DD29" s="28">
        <v>88.563999999999993</v>
      </c>
      <c r="DE29" s="28">
        <v>89.369</v>
      </c>
      <c r="DF29" s="28">
        <v>85.635999999999996</v>
      </c>
      <c r="DG29" s="28">
        <f t="shared" si="33"/>
        <v>337.77</v>
      </c>
      <c r="DH29" s="28">
        <v>76.519000000000005</v>
      </c>
      <c r="DI29" s="28">
        <v>89.04</v>
      </c>
      <c r="DJ29" s="28">
        <v>78.209999999999994</v>
      </c>
      <c r="DK29" s="28">
        <v>71.947999999999993</v>
      </c>
      <c r="DL29" s="28">
        <f t="shared" si="34"/>
        <v>315.71699999999998</v>
      </c>
      <c r="DM29" s="28">
        <v>72.2</v>
      </c>
      <c r="DN29" s="28">
        <v>100.19</v>
      </c>
      <c r="DO29" s="28">
        <v>95.17</v>
      </c>
      <c r="DP29" s="28">
        <v>87.727000000000004</v>
      </c>
      <c r="DQ29" s="28">
        <f t="shared" si="35"/>
        <v>355.28700000000003</v>
      </c>
      <c r="DR29" s="28">
        <v>81.474000000000004</v>
      </c>
      <c r="DS29" s="28">
        <v>78.900999999999996</v>
      </c>
      <c r="DT29" s="28">
        <v>83.667000000000002</v>
      </c>
      <c r="DU29" s="28">
        <v>177.73</v>
      </c>
      <c r="DV29" s="28">
        <f t="shared" si="36"/>
        <v>421.77199999999999</v>
      </c>
      <c r="DW29" s="28">
        <v>121.349</v>
      </c>
      <c r="DX29" s="28">
        <v>127.762</v>
      </c>
      <c r="DY29" s="28">
        <v>141.66895384999995</v>
      </c>
      <c r="DZ29" s="28">
        <v>135.13227714000004</v>
      </c>
      <c r="EA29" s="28">
        <f t="shared" si="37"/>
        <v>525.91223099000001</v>
      </c>
      <c r="EB29" s="28">
        <v>137.48228032</v>
      </c>
      <c r="EC29" s="28">
        <v>139.85395298000003</v>
      </c>
      <c r="ED29" s="28">
        <v>158.69</v>
      </c>
      <c r="EE29" s="28">
        <v>163.80594168000002</v>
      </c>
      <c r="EF29" s="28">
        <f t="shared" ref="EF29:EF46" si="38">(SUM(EB29:EE29))*1</f>
        <v>599.83217497999999</v>
      </c>
      <c r="EG29" s="28">
        <v>165.95025355999999</v>
      </c>
      <c r="EH29" s="28">
        <v>158.87518519</v>
      </c>
      <c r="EI29" s="28">
        <v>178.47247254000001</v>
      </c>
    </row>
    <row r="30" spans="1:139" ht="15" thickTop="1" x14ac:dyDescent="0.3">
      <c r="A30" s="1" t="s">
        <v>442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27">
        <v>152.102</v>
      </c>
      <c r="BK30" s="27">
        <v>144.91437070999999</v>
      </c>
      <c r="BL30" s="27">
        <v>163.68362929</v>
      </c>
      <c r="BM30" s="27">
        <v>174.50000000000006</v>
      </c>
      <c r="BN30" s="27">
        <f t="shared" si="24"/>
        <v>635.20000000000005</v>
      </c>
      <c r="BO30" s="27">
        <v>168.67222910000001</v>
      </c>
      <c r="BP30" s="27">
        <v>157.16425704999997</v>
      </c>
      <c r="BQ30" s="27">
        <v>177.42501049999998</v>
      </c>
      <c r="BR30" s="27">
        <v>187.71510764999999</v>
      </c>
      <c r="BS30" s="27">
        <f t="shared" si="25"/>
        <v>690.97660429999996</v>
      </c>
      <c r="BT30" s="27">
        <v>194.3</v>
      </c>
      <c r="BU30" s="27">
        <v>167.98644384999994</v>
      </c>
      <c r="BV30" s="27">
        <v>205.78391920000013</v>
      </c>
      <c r="BW30" s="27">
        <v>211.42417469999987</v>
      </c>
      <c r="BX30" s="27">
        <f t="shared" si="26"/>
        <v>779.49453774999995</v>
      </c>
      <c r="BY30" s="27">
        <v>202.9</v>
      </c>
      <c r="BZ30" s="27">
        <v>188.70000000000002</v>
      </c>
      <c r="CA30" s="27">
        <v>216.5</v>
      </c>
      <c r="CB30" s="27">
        <v>222</v>
      </c>
      <c r="CC30" s="27">
        <f t="shared" si="27"/>
        <v>830.1</v>
      </c>
      <c r="CD30" s="27">
        <v>223</v>
      </c>
      <c r="CE30" s="27">
        <v>189.34053490000002</v>
      </c>
      <c r="CF30" s="27">
        <v>215.09999999999997</v>
      </c>
      <c r="CG30" s="27">
        <v>233.70000000000005</v>
      </c>
      <c r="CH30" s="27">
        <f t="shared" si="28"/>
        <v>861.14053490000003</v>
      </c>
      <c r="CI30" s="27">
        <v>223.3</v>
      </c>
      <c r="CJ30" s="27">
        <v>206.7</v>
      </c>
      <c r="CK30" s="27">
        <v>231.5</v>
      </c>
      <c r="CL30" s="27">
        <v>248.02911889999996</v>
      </c>
      <c r="CM30" s="27">
        <f t="shared" si="29"/>
        <v>909.52911889999996</v>
      </c>
      <c r="CN30" s="27">
        <v>234.1</v>
      </c>
      <c r="CO30" s="27">
        <v>202.4</v>
      </c>
      <c r="CP30" s="27">
        <v>222</v>
      </c>
      <c r="CQ30" s="27">
        <v>245.29999999999995</v>
      </c>
      <c r="CR30" s="27">
        <f t="shared" si="30"/>
        <v>903.8</v>
      </c>
      <c r="CS30" s="27">
        <v>259.07070870000001</v>
      </c>
      <c r="CT30" s="27">
        <v>231.3717681</v>
      </c>
      <c r="CU30" s="27">
        <v>258.72319249999993</v>
      </c>
      <c r="CV30" s="27">
        <v>267.50499289999999</v>
      </c>
      <c r="CW30" s="27">
        <f t="shared" si="31"/>
        <v>1016.6706621999999</v>
      </c>
      <c r="CX30" s="27">
        <v>273.50200000000001</v>
      </c>
      <c r="CY30" s="27">
        <v>221.46600000000001</v>
      </c>
      <c r="CZ30" s="27">
        <v>236.29400000000001</v>
      </c>
      <c r="DA30" s="27">
        <v>252.345</v>
      </c>
      <c r="DB30" s="27">
        <f t="shared" si="32"/>
        <v>983.60700000000008</v>
      </c>
      <c r="DC30" s="27">
        <v>257.63400000000001</v>
      </c>
      <c r="DD30" s="27">
        <v>221.57</v>
      </c>
      <c r="DE30" s="27">
        <v>247.68899999999999</v>
      </c>
      <c r="DF30" s="27">
        <v>275.97399999999999</v>
      </c>
      <c r="DG30" s="27">
        <f t="shared" si="33"/>
        <v>1002.867</v>
      </c>
      <c r="DH30" s="27">
        <v>257.21800000000002</v>
      </c>
      <c r="DI30" s="27">
        <v>197.01499999999999</v>
      </c>
      <c r="DJ30" s="27">
        <v>257.14600000000002</v>
      </c>
      <c r="DK30" s="27">
        <v>275.79399999999998</v>
      </c>
      <c r="DL30" s="27">
        <f t="shared" si="34"/>
        <v>987.173</v>
      </c>
      <c r="DM30" s="27">
        <v>267.065</v>
      </c>
      <c r="DN30" s="27">
        <v>251.34399999999999</v>
      </c>
      <c r="DO30" s="27">
        <v>275.87099999999998</v>
      </c>
      <c r="DP30" s="27">
        <v>293.04700000000003</v>
      </c>
      <c r="DQ30" s="27">
        <f t="shared" si="35"/>
        <v>1087.327</v>
      </c>
      <c r="DR30" s="27">
        <v>306.471</v>
      </c>
      <c r="DS30" s="27">
        <v>275.29500000000002</v>
      </c>
      <c r="DT30" s="27">
        <v>324.36700000000002</v>
      </c>
      <c r="DU30" s="27">
        <v>348.97899999999998</v>
      </c>
      <c r="DV30" s="27">
        <f t="shared" si="36"/>
        <v>1255.1120000000001</v>
      </c>
      <c r="DW30" s="27">
        <v>356.46300000000002</v>
      </c>
      <c r="DX30" s="27">
        <v>339.43799999999999</v>
      </c>
      <c r="DY30" s="27">
        <v>383.88870414999997</v>
      </c>
      <c r="DZ30" s="27">
        <v>410.00550109000017</v>
      </c>
      <c r="EA30" s="27">
        <f t="shared" si="37"/>
        <v>1489.7952052400001</v>
      </c>
      <c r="EB30" s="27">
        <v>406.79885876999998</v>
      </c>
      <c r="EC30" s="27">
        <v>386.01512447000005</v>
      </c>
      <c r="ED30" s="27">
        <v>404.81299999999999</v>
      </c>
      <c r="EE30" s="27">
        <v>409.30289040000008</v>
      </c>
      <c r="EF30" s="27">
        <f t="shared" si="38"/>
        <v>1606.9298736399999</v>
      </c>
      <c r="EG30" s="27">
        <v>428.80603389999999</v>
      </c>
      <c r="EH30" s="27">
        <v>401.04465964999997</v>
      </c>
      <c r="EI30" s="27">
        <v>437.07764944000007</v>
      </c>
    </row>
    <row r="31" spans="1:139" ht="15" thickBot="1" x14ac:dyDescent="0.35">
      <c r="A31" s="2" t="s">
        <v>3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28">
        <v>43.161999999999999</v>
      </c>
      <c r="BK31" s="28">
        <v>40.171078299999998</v>
      </c>
      <c r="BL31" s="28">
        <v>44.366921700000006</v>
      </c>
      <c r="BM31" s="28">
        <v>45.399999999999991</v>
      </c>
      <c r="BN31" s="28">
        <f t="shared" si="24"/>
        <v>173.1</v>
      </c>
      <c r="BO31" s="28">
        <v>48.952296000000004</v>
      </c>
      <c r="BP31" s="28">
        <v>47.43246649999999</v>
      </c>
      <c r="BQ31" s="28">
        <v>50.780819199999982</v>
      </c>
      <c r="BR31" s="28">
        <v>52.103589600000021</v>
      </c>
      <c r="BS31" s="28">
        <f t="shared" si="25"/>
        <v>199.26917129999998</v>
      </c>
      <c r="BT31" s="28">
        <v>54.4</v>
      </c>
      <c r="BU31" s="28">
        <v>49.934647099999999</v>
      </c>
      <c r="BV31" s="28">
        <v>53.09126959999999</v>
      </c>
      <c r="BW31" s="28">
        <v>56.224183350000004</v>
      </c>
      <c r="BX31" s="28">
        <f t="shared" si="26"/>
        <v>213.65010004999999</v>
      </c>
      <c r="BY31" s="28">
        <v>59.2</v>
      </c>
      <c r="BZ31" s="28">
        <v>55.7</v>
      </c>
      <c r="CA31" s="28">
        <v>59.099999999999994</v>
      </c>
      <c r="CB31" s="28">
        <v>62</v>
      </c>
      <c r="CC31" s="28">
        <f t="shared" si="27"/>
        <v>236</v>
      </c>
      <c r="CD31" s="28">
        <v>68.7</v>
      </c>
      <c r="CE31" s="28">
        <v>64.175984499999984</v>
      </c>
      <c r="CF31" s="28">
        <v>65.400000000000006</v>
      </c>
      <c r="CG31" s="28">
        <v>67</v>
      </c>
      <c r="CH31" s="28">
        <f t="shared" si="28"/>
        <v>265.27598449999999</v>
      </c>
      <c r="CI31" s="28">
        <v>69.5</v>
      </c>
      <c r="CJ31" s="28">
        <v>63</v>
      </c>
      <c r="CK31" s="28">
        <v>64.300000000000011</v>
      </c>
      <c r="CL31" s="28">
        <v>68.354423999999995</v>
      </c>
      <c r="CM31" s="28">
        <f t="shared" si="29"/>
        <v>265.15442400000001</v>
      </c>
      <c r="CN31" s="28">
        <v>77.900000000000006</v>
      </c>
      <c r="CO31" s="28">
        <v>70.299999999999983</v>
      </c>
      <c r="CP31" s="28">
        <v>73.200000000000017</v>
      </c>
      <c r="CQ31" s="28">
        <v>74.999999999999972</v>
      </c>
      <c r="CR31" s="28">
        <f t="shared" si="30"/>
        <v>296.39999999999998</v>
      </c>
      <c r="CS31" s="28">
        <v>83.449954099999999</v>
      </c>
      <c r="CT31" s="28">
        <v>78.506538899999995</v>
      </c>
      <c r="CU31" s="28">
        <v>82.252609599999985</v>
      </c>
      <c r="CV31" s="28">
        <v>79.491234700000021</v>
      </c>
      <c r="CW31" s="28">
        <f t="shared" si="31"/>
        <v>323.7003373</v>
      </c>
      <c r="CX31" s="28">
        <v>85.34</v>
      </c>
      <c r="CY31" s="28">
        <v>73.802999999999997</v>
      </c>
      <c r="CZ31" s="28">
        <v>79.64</v>
      </c>
      <c r="DA31" s="28">
        <v>81.388000000000005</v>
      </c>
      <c r="DB31" s="28">
        <f t="shared" si="32"/>
        <v>320.17100000000005</v>
      </c>
      <c r="DC31" s="28">
        <v>87.897999999999996</v>
      </c>
      <c r="DD31" s="28">
        <v>81.741</v>
      </c>
      <c r="DE31" s="28">
        <v>86.73</v>
      </c>
      <c r="DF31" s="28">
        <v>91.581999999999994</v>
      </c>
      <c r="DG31" s="28">
        <f t="shared" si="33"/>
        <v>347.95100000000002</v>
      </c>
      <c r="DH31" s="28">
        <v>94.941999999999993</v>
      </c>
      <c r="DI31" s="28">
        <v>68.872</v>
      </c>
      <c r="DJ31" s="28">
        <v>80.866</v>
      </c>
      <c r="DK31" s="28">
        <v>91.756</v>
      </c>
      <c r="DL31" s="28">
        <f t="shared" si="34"/>
        <v>336.43600000000004</v>
      </c>
      <c r="DM31" s="28">
        <v>89.224000000000004</v>
      </c>
      <c r="DN31" s="28">
        <v>95.021000000000001</v>
      </c>
      <c r="DO31" s="28">
        <v>100.93300000000001</v>
      </c>
      <c r="DP31" s="28">
        <v>67.114999999999995</v>
      </c>
      <c r="DQ31" s="28">
        <f t="shared" si="35"/>
        <v>352.29300000000001</v>
      </c>
      <c r="DR31" s="28">
        <v>0</v>
      </c>
      <c r="DS31" s="28">
        <v>0</v>
      </c>
      <c r="DT31" s="28">
        <v>0</v>
      </c>
      <c r="DU31" s="28">
        <v>0</v>
      </c>
      <c r="DV31" s="28">
        <f t="shared" si="36"/>
        <v>0</v>
      </c>
      <c r="DW31" s="28">
        <v>0</v>
      </c>
      <c r="DX31" s="28">
        <v>0</v>
      </c>
      <c r="DY31" s="28">
        <v>0</v>
      </c>
      <c r="DZ31" s="28">
        <v>0</v>
      </c>
      <c r="EA31" s="28">
        <f t="shared" si="37"/>
        <v>0</v>
      </c>
      <c r="EB31" s="28">
        <v>0</v>
      </c>
      <c r="EC31" s="28">
        <v>0</v>
      </c>
      <c r="ED31" s="28">
        <v>0</v>
      </c>
      <c r="EE31" s="28">
        <v>0</v>
      </c>
      <c r="EF31" s="28">
        <f t="shared" si="38"/>
        <v>0</v>
      </c>
      <c r="EG31" s="28">
        <v>0</v>
      </c>
      <c r="EH31" s="28">
        <v>0</v>
      </c>
      <c r="EI31" s="28">
        <v>0</v>
      </c>
    </row>
    <row r="32" spans="1:139" ht="15" thickTop="1" x14ac:dyDescent="0.3">
      <c r="A32" s="1" t="s">
        <v>443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27">
        <v>37.488999999999997</v>
      </c>
      <c r="BK32" s="27">
        <v>38.768689139999985</v>
      </c>
      <c r="BL32" s="27">
        <v>42.8</v>
      </c>
      <c r="BM32" s="27">
        <v>46</v>
      </c>
      <c r="BN32" s="27">
        <f t="shared" si="24"/>
        <v>165.05768913999998</v>
      </c>
      <c r="BO32" s="27">
        <v>45.582915800000002</v>
      </c>
      <c r="BP32" s="27">
        <v>46.043264349999994</v>
      </c>
      <c r="BQ32" s="27">
        <v>50.568627100000029</v>
      </c>
      <c r="BR32" s="27">
        <v>52.416044549999981</v>
      </c>
      <c r="BS32" s="27">
        <f t="shared" si="25"/>
        <v>194.61085180000001</v>
      </c>
      <c r="BT32" s="27">
        <v>51.5</v>
      </c>
      <c r="BU32" s="27">
        <v>49.256708099999997</v>
      </c>
      <c r="BV32" s="27">
        <v>55.274142400000017</v>
      </c>
      <c r="BW32" s="27">
        <v>55.755926899999992</v>
      </c>
      <c r="BX32" s="27">
        <f t="shared" si="26"/>
        <v>211.78677740000001</v>
      </c>
      <c r="BY32" s="27">
        <v>54.1</v>
      </c>
      <c r="BZ32" s="27">
        <v>53.199999999999996</v>
      </c>
      <c r="CA32" s="27">
        <v>58.899999999999991</v>
      </c>
      <c r="CB32" s="27">
        <v>61.100000000000023</v>
      </c>
      <c r="CC32" s="27">
        <f t="shared" si="27"/>
        <v>227.3</v>
      </c>
      <c r="CD32" s="27">
        <v>59.2</v>
      </c>
      <c r="CE32" s="27">
        <v>56.623825749999995</v>
      </c>
      <c r="CF32" s="27">
        <v>62.000000000000014</v>
      </c>
      <c r="CG32" s="27">
        <v>66.699999999999989</v>
      </c>
      <c r="CH32" s="27">
        <f t="shared" si="28"/>
        <v>244.52382575000001</v>
      </c>
      <c r="CI32" s="27">
        <v>63</v>
      </c>
      <c r="CJ32" s="27">
        <v>60.2</v>
      </c>
      <c r="CK32" s="27">
        <v>64.8</v>
      </c>
      <c r="CL32" s="27">
        <v>66.514851949999979</v>
      </c>
      <c r="CM32" s="27">
        <f t="shared" si="29"/>
        <v>254.51485194999998</v>
      </c>
      <c r="CN32" s="27">
        <v>62.5</v>
      </c>
      <c r="CO32" s="27">
        <v>58.099999999999994</v>
      </c>
      <c r="CP32" s="27">
        <v>65.400000000000006</v>
      </c>
      <c r="CQ32" s="27">
        <v>68.800000000000011</v>
      </c>
      <c r="CR32" s="27">
        <f t="shared" si="30"/>
        <v>254.8</v>
      </c>
      <c r="CS32" s="27">
        <v>67.3321866</v>
      </c>
      <c r="CT32" s="27">
        <v>64.921907800000014</v>
      </c>
      <c r="CU32" s="27">
        <v>71.677976900000004</v>
      </c>
      <c r="CV32" s="27">
        <v>74.731952699999965</v>
      </c>
      <c r="CW32" s="27">
        <f t="shared" si="31"/>
        <v>278.66402399999998</v>
      </c>
      <c r="CX32" s="27">
        <v>72.709999999999994</v>
      </c>
      <c r="CY32" s="27">
        <v>65.784000000000006</v>
      </c>
      <c r="CZ32" s="27">
        <v>76.33</v>
      </c>
      <c r="DA32" s="27">
        <v>80.087000000000003</v>
      </c>
      <c r="DB32" s="27">
        <f t="shared" si="32"/>
        <v>294.911</v>
      </c>
      <c r="DC32" s="27">
        <v>79.536000000000001</v>
      </c>
      <c r="DD32" s="27">
        <v>75.524000000000001</v>
      </c>
      <c r="DE32" s="27">
        <v>80.968000000000004</v>
      </c>
      <c r="DF32" s="27">
        <v>85.754999999999995</v>
      </c>
      <c r="DG32" s="27">
        <f t="shared" si="33"/>
        <v>321.78300000000002</v>
      </c>
      <c r="DH32" s="27">
        <v>75.358000000000004</v>
      </c>
      <c r="DI32" s="27">
        <v>47.179000000000002</v>
      </c>
      <c r="DJ32" s="27">
        <v>71.784000000000006</v>
      </c>
      <c r="DK32" s="27">
        <v>82.578999999999994</v>
      </c>
      <c r="DL32" s="27">
        <f t="shared" si="34"/>
        <v>276.90000000000003</v>
      </c>
      <c r="DM32" s="27">
        <v>74.756</v>
      </c>
      <c r="DN32" s="27">
        <v>71.061999999999998</v>
      </c>
      <c r="DO32" s="27">
        <v>87.472999999999999</v>
      </c>
      <c r="DP32" s="27">
        <v>92.465999999999994</v>
      </c>
      <c r="DQ32" s="27">
        <f t="shared" si="35"/>
        <v>325.75700000000001</v>
      </c>
      <c r="DR32" s="27">
        <v>86.876999999999995</v>
      </c>
      <c r="DS32" s="27">
        <v>84.393000000000001</v>
      </c>
      <c r="DT32" s="27">
        <v>101.64100000000001</v>
      </c>
      <c r="DU32" s="27">
        <v>105.661</v>
      </c>
      <c r="DV32" s="27">
        <f t="shared" si="36"/>
        <v>378.572</v>
      </c>
      <c r="DW32" s="27">
        <v>102.88</v>
      </c>
      <c r="DX32" s="27">
        <v>100.541</v>
      </c>
      <c r="DY32" s="27">
        <v>121.05564624999997</v>
      </c>
      <c r="DZ32" s="27">
        <v>130.50057673000001</v>
      </c>
      <c r="EA32" s="27">
        <f t="shared" si="37"/>
        <v>454.97722297999996</v>
      </c>
      <c r="EB32" s="27">
        <v>126.83185406</v>
      </c>
      <c r="EC32" s="27">
        <v>129.75735703000001</v>
      </c>
      <c r="ED32" s="27">
        <v>142.577</v>
      </c>
      <c r="EE32" s="27">
        <v>150.29469893000001</v>
      </c>
      <c r="EF32" s="27">
        <f t="shared" si="38"/>
        <v>549.46091002000003</v>
      </c>
      <c r="EG32" s="27">
        <v>147.03364783000001</v>
      </c>
      <c r="EH32" s="27">
        <v>138.33458239000001</v>
      </c>
      <c r="EI32" s="27">
        <v>153.99745245999998</v>
      </c>
    </row>
    <row r="33" spans="1:139" ht="15" thickBot="1" x14ac:dyDescent="0.35">
      <c r="A33" s="2" t="s">
        <v>481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28">
        <v>0</v>
      </c>
      <c r="BK33" s="28">
        <v>0</v>
      </c>
      <c r="BL33" s="28">
        <v>0</v>
      </c>
      <c r="BM33" s="28">
        <v>0</v>
      </c>
      <c r="BN33" s="28">
        <f t="shared" si="24"/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f t="shared" si="25"/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f t="shared" si="26"/>
        <v>0</v>
      </c>
      <c r="BY33" s="28">
        <v>0</v>
      </c>
      <c r="BZ33" s="28">
        <v>0</v>
      </c>
      <c r="CA33" s="28">
        <v>0</v>
      </c>
      <c r="CB33" s="28">
        <v>0</v>
      </c>
      <c r="CC33" s="28">
        <f t="shared" si="27"/>
        <v>0</v>
      </c>
      <c r="CD33" s="28">
        <v>0</v>
      </c>
      <c r="CE33" s="28">
        <v>20.479586350000002</v>
      </c>
      <c r="CF33" s="28">
        <v>45.099999999999994</v>
      </c>
      <c r="CG33" s="28">
        <v>46</v>
      </c>
      <c r="CH33" s="28">
        <f t="shared" si="28"/>
        <v>111.57958635</v>
      </c>
      <c r="CI33" s="28">
        <v>44.8</v>
      </c>
      <c r="CJ33" s="28">
        <v>43.100000000000009</v>
      </c>
      <c r="CK33" s="28">
        <v>47.599999999999994</v>
      </c>
      <c r="CL33" s="28">
        <v>47.43587094999998</v>
      </c>
      <c r="CM33" s="28">
        <f t="shared" si="29"/>
        <v>182.93587094999998</v>
      </c>
      <c r="CN33" s="28">
        <v>45.3</v>
      </c>
      <c r="CO33" s="28">
        <v>41.7</v>
      </c>
      <c r="CP33" s="28">
        <v>46.199999999999989</v>
      </c>
      <c r="CQ33" s="28">
        <v>46.5</v>
      </c>
      <c r="CR33" s="28">
        <f t="shared" si="30"/>
        <v>179.7</v>
      </c>
      <c r="CS33" s="28">
        <v>46.271986800000001</v>
      </c>
      <c r="CT33" s="28">
        <v>47.375980749999989</v>
      </c>
      <c r="CU33" s="28">
        <v>51.533255099999998</v>
      </c>
      <c r="CV33" s="28">
        <v>53.941085350000016</v>
      </c>
      <c r="CW33" s="28">
        <f t="shared" si="31"/>
        <v>199.122308</v>
      </c>
      <c r="CX33" s="28">
        <v>52.881</v>
      </c>
      <c r="CY33" s="28">
        <v>46.902999999999999</v>
      </c>
      <c r="CZ33" s="28">
        <v>51.277999999999999</v>
      </c>
      <c r="DA33" s="28">
        <v>52.006999999999998</v>
      </c>
      <c r="DB33" s="28">
        <f t="shared" si="32"/>
        <v>203.06899999999999</v>
      </c>
      <c r="DC33" s="28">
        <v>51.429000000000002</v>
      </c>
      <c r="DD33" s="28">
        <v>47.752000000000002</v>
      </c>
      <c r="DE33" s="28">
        <v>48.33</v>
      </c>
      <c r="DF33" s="28">
        <v>44.646999999999998</v>
      </c>
      <c r="DG33" s="28">
        <f t="shared" si="33"/>
        <v>192.15800000000002</v>
      </c>
      <c r="DH33" s="28">
        <v>44.003</v>
      </c>
      <c r="DI33" s="28">
        <v>36.67</v>
      </c>
      <c r="DJ33" s="28">
        <v>46.63</v>
      </c>
      <c r="DK33" s="28">
        <v>50.915999999999997</v>
      </c>
      <c r="DL33" s="28">
        <f t="shared" si="34"/>
        <v>178.21899999999999</v>
      </c>
      <c r="DM33" s="28">
        <v>49.960999999999999</v>
      </c>
      <c r="DN33" s="28">
        <v>47.063000000000002</v>
      </c>
      <c r="DO33" s="28">
        <v>49.496000000000002</v>
      </c>
      <c r="DP33" s="28">
        <v>50.115000000000002</v>
      </c>
      <c r="DQ33" s="28">
        <f t="shared" si="35"/>
        <v>196.63500000000002</v>
      </c>
      <c r="DR33" s="28">
        <v>52.622</v>
      </c>
      <c r="DS33" s="28">
        <v>56.225000000000001</v>
      </c>
      <c r="DT33" s="28">
        <v>60.673999999999999</v>
      </c>
      <c r="DU33" s="28">
        <v>55.146999999999998</v>
      </c>
      <c r="DV33" s="28">
        <f t="shared" si="36"/>
        <v>224.66800000000001</v>
      </c>
      <c r="DW33" s="28">
        <v>61.33</v>
      </c>
      <c r="DX33" s="28">
        <v>58.654000000000003</v>
      </c>
      <c r="DY33" s="28">
        <v>61.031835980000004</v>
      </c>
      <c r="DZ33" s="28">
        <v>60.202977379999993</v>
      </c>
      <c r="EA33" s="28">
        <f t="shared" si="37"/>
        <v>241.21881336000001</v>
      </c>
      <c r="EB33" s="28">
        <v>59.241622810000003</v>
      </c>
      <c r="EC33" s="28">
        <v>58.11355228</v>
      </c>
      <c r="ED33" s="28">
        <v>62.524000000000001</v>
      </c>
      <c r="EE33" s="28">
        <v>63.079270389999984</v>
      </c>
      <c r="EF33" s="28">
        <f t="shared" si="38"/>
        <v>242.95844547999997</v>
      </c>
      <c r="EG33" s="28">
        <v>61.953828489999999</v>
      </c>
      <c r="EH33" s="28">
        <v>60.926791910000006</v>
      </c>
      <c r="EI33" s="28">
        <v>64.16441657999998</v>
      </c>
    </row>
    <row r="34" spans="1:139" ht="15" thickTop="1" x14ac:dyDescent="0.3">
      <c r="A34" s="1" t="s">
        <v>445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27">
        <v>0</v>
      </c>
      <c r="BK34" s="27">
        <v>0</v>
      </c>
      <c r="BL34" s="27">
        <v>0</v>
      </c>
      <c r="BM34" s="27">
        <v>0</v>
      </c>
      <c r="BN34" s="27">
        <f t="shared" si="24"/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f t="shared" si="25"/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f t="shared" si="26"/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f t="shared" si="27"/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f t="shared" si="28"/>
        <v>0</v>
      </c>
      <c r="CI34" s="27">
        <v>0</v>
      </c>
      <c r="CJ34" s="27">
        <v>8.6</v>
      </c>
      <c r="CK34" s="27">
        <v>27</v>
      </c>
      <c r="CL34" s="27">
        <v>27.466603549999995</v>
      </c>
      <c r="CM34" s="27">
        <f t="shared" si="29"/>
        <v>63.066603549999996</v>
      </c>
      <c r="CN34" s="27">
        <v>25.7</v>
      </c>
      <c r="CO34" s="27">
        <v>26.500000000000004</v>
      </c>
      <c r="CP34" s="27">
        <v>29.399999999999991</v>
      </c>
      <c r="CQ34" s="27">
        <v>30.300000000000011</v>
      </c>
      <c r="CR34" s="27">
        <f t="shared" si="30"/>
        <v>111.9</v>
      </c>
      <c r="CS34" s="27">
        <v>29.589563999999999</v>
      </c>
      <c r="CT34" s="27">
        <v>29.509382499999997</v>
      </c>
      <c r="CU34" s="27">
        <v>31.154883199999997</v>
      </c>
      <c r="CV34" s="27">
        <v>31.555022700000006</v>
      </c>
      <c r="CW34" s="27">
        <f t="shared" si="31"/>
        <v>121.80885240000001</v>
      </c>
      <c r="CX34" s="27">
        <v>29.815999999999999</v>
      </c>
      <c r="CY34" s="27">
        <v>29.498999999999999</v>
      </c>
      <c r="CZ34" s="27">
        <v>32.161999999999999</v>
      </c>
      <c r="DA34" s="27">
        <v>32.704000000000001</v>
      </c>
      <c r="DB34" s="27">
        <f t="shared" si="32"/>
        <v>124.18100000000001</v>
      </c>
      <c r="DC34" s="27">
        <v>31.216999999999999</v>
      </c>
      <c r="DD34" s="27">
        <v>30.917000000000002</v>
      </c>
      <c r="DE34" s="27">
        <v>32.018999999999998</v>
      </c>
      <c r="DF34" s="27">
        <v>32.323999999999998</v>
      </c>
      <c r="DG34" s="27">
        <f t="shared" si="33"/>
        <v>126.47699999999999</v>
      </c>
      <c r="DH34" s="27">
        <v>28.381</v>
      </c>
      <c r="DI34" s="27">
        <v>19.047000000000001</v>
      </c>
      <c r="DJ34" s="27">
        <v>28.395</v>
      </c>
      <c r="DK34" s="27">
        <v>31.63</v>
      </c>
      <c r="DL34" s="27">
        <f t="shared" si="34"/>
        <v>107.45299999999999</v>
      </c>
      <c r="DM34" s="27">
        <v>30.623999999999999</v>
      </c>
      <c r="DN34" s="27">
        <v>30.43</v>
      </c>
      <c r="DO34" s="27">
        <v>35.329000000000001</v>
      </c>
      <c r="DP34" s="27">
        <v>35.973999999999997</v>
      </c>
      <c r="DQ34" s="27">
        <f t="shared" si="35"/>
        <v>132.357</v>
      </c>
      <c r="DR34" s="27">
        <v>33.999000000000002</v>
      </c>
      <c r="DS34" s="27">
        <v>34.561</v>
      </c>
      <c r="DT34" s="27">
        <v>43.091000000000001</v>
      </c>
      <c r="DU34" s="27">
        <v>43.734000000000002</v>
      </c>
      <c r="DV34" s="27">
        <f t="shared" si="36"/>
        <v>155.38500000000002</v>
      </c>
      <c r="DW34" s="27">
        <v>42.332999999999998</v>
      </c>
      <c r="DX34" s="27">
        <v>42.908999999999999</v>
      </c>
      <c r="DY34" s="27">
        <v>44.783719129999994</v>
      </c>
      <c r="DZ34" s="27">
        <v>45.400084939999999</v>
      </c>
      <c r="EA34" s="27">
        <f t="shared" si="37"/>
        <v>175.42580406999997</v>
      </c>
      <c r="EB34" s="27">
        <v>42.845486430000001</v>
      </c>
      <c r="EC34" s="27">
        <v>44.403661229999997</v>
      </c>
      <c r="ED34" s="27">
        <v>46.018999999999998</v>
      </c>
      <c r="EE34" s="27">
        <v>46.107590949999988</v>
      </c>
      <c r="EF34" s="27">
        <f t="shared" si="38"/>
        <v>179.37573860999998</v>
      </c>
      <c r="EG34" s="27">
        <v>44.183859460000001</v>
      </c>
      <c r="EH34" s="27">
        <v>44.748193889999996</v>
      </c>
      <c r="EI34" s="27">
        <v>46.91786931</v>
      </c>
    </row>
    <row r="35" spans="1:139" ht="15" thickBot="1" x14ac:dyDescent="0.35">
      <c r="A35" s="2" t="s">
        <v>444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28">
        <f t="shared" ref="BJ35:BM39" si="39">(SUM(BF35:BI35))*1</f>
        <v>0</v>
      </c>
      <c r="BK35" s="28">
        <f t="shared" si="39"/>
        <v>0</v>
      </c>
      <c r="BL35" s="28">
        <f t="shared" si="39"/>
        <v>0</v>
      </c>
      <c r="BM35" s="28">
        <f t="shared" si="39"/>
        <v>0</v>
      </c>
      <c r="BN35" s="28">
        <f t="shared" si="24"/>
        <v>0</v>
      </c>
      <c r="BO35" s="28">
        <f t="shared" ref="BO35:BR39" si="40">(SUM(BK35:BN35))*1</f>
        <v>0</v>
      </c>
      <c r="BP35" s="28">
        <f t="shared" si="40"/>
        <v>0</v>
      </c>
      <c r="BQ35" s="28">
        <f t="shared" si="40"/>
        <v>0</v>
      </c>
      <c r="BR35" s="28">
        <f t="shared" si="40"/>
        <v>0</v>
      </c>
      <c r="BS35" s="28">
        <f t="shared" si="25"/>
        <v>0</v>
      </c>
      <c r="BT35" s="28">
        <f t="shared" ref="BT35:BW39" si="41">(SUM(BP35:BS35))*1</f>
        <v>0</v>
      </c>
      <c r="BU35" s="28">
        <f t="shared" si="41"/>
        <v>0</v>
      </c>
      <c r="BV35" s="28">
        <f t="shared" si="41"/>
        <v>0</v>
      </c>
      <c r="BW35" s="28">
        <f t="shared" si="41"/>
        <v>0</v>
      </c>
      <c r="BX35" s="28">
        <f t="shared" si="26"/>
        <v>0</v>
      </c>
      <c r="BY35" s="28">
        <f t="shared" ref="BY35:CB39" si="42">(SUM(BU35:BX35))*1</f>
        <v>0</v>
      </c>
      <c r="BZ35" s="28">
        <f t="shared" si="42"/>
        <v>0</v>
      </c>
      <c r="CA35" s="28">
        <f t="shared" si="42"/>
        <v>0</v>
      </c>
      <c r="CB35" s="28">
        <f t="shared" si="42"/>
        <v>0</v>
      </c>
      <c r="CC35" s="28">
        <f t="shared" si="27"/>
        <v>0</v>
      </c>
      <c r="CD35" s="28">
        <f t="shared" ref="CD35:CG39" si="43">(SUM(BZ35:CC35))*1</f>
        <v>0</v>
      </c>
      <c r="CE35" s="28">
        <f t="shared" si="43"/>
        <v>0</v>
      </c>
      <c r="CF35" s="28">
        <f t="shared" si="43"/>
        <v>0</v>
      </c>
      <c r="CG35" s="28">
        <f t="shared" si="43"/>
        <v>0</v>
      </c>
      <c r="CH35" s="28">
        <f t="shared" si="28"/>
        <v>0</v>
      </c>
      <c r="CI35" s="28">
        <f t="shared" ref="CI35:CL39" si="44">(SUM(CE35:CH35))*1</f>
        <v>0</v>
      </c>
      <c r="CJ35" s="28">
        <f t="shared" si="44"/>
        <v>0</v>
      </c>
      <c r="CK35" s="28">
        <f t="shared" si="44"/>
        <v>0</v>
      </c>
      <c r="CL35" s="28">
        <f t="shared" si="44"/>
        <v>0</v>
      </c>
      <c r="CM35" s="28">
        <f t="shared" si="29"/>
        <v>0</v>
      </c>
      <c r="CN35" s="28">
        <f t="shared" ref="CN35:CQ39" si="45">(SUM(CJ35:CM35))*1</f>
        <v>0</v>
      </c>
      <c r="CO35" s="28">
        <f t="shared" si="45"/>
        <v>0</v>
      </c>
      <c r="CP35" s="28">
        <f t="shared" si="45"/>
        <v>0</v>
      </c>
      <c r="CQ35" s="28">
        <f t="shared" si="45"/>
        <v>0</v>
      </c>
      <c r="CR35" s="28">
        <f t="shared" si="30"/>
        <v>0</v>
      </c>
      <c r="CS35" s="28">
        <f t="shared" ref="CS35:CV39" si="46">(SUM(CO35:CR35))*1</f>
        <v>0</v>
      </c>
      <c r="CT35" s="28">
        <f t="shared" si="46"/>
        <v>0</v>
      </c>
      <c r="CU35" s="28">
        <f t="shared" si="46"/>
        <v>0</v>
      </c>
      <c r="CV35" s="28">
        <f t="shared" si="46"/>
        <v>0</v>
      </c>
      <c r="CW35" s="28">
        <f t="shared" si="31"/>
        <v>0</v>
      </c>
      <c r="CX35" s="28">
        <f t="shared" ref="CX35:DA39" si="47">(SUM(CT35:CW35))*1</f>
        <v>0</v>
      </c>
      <c r="CY35" s="28">
        <f t="shared" si="47"/>
        <v>0</v>
      </c>
      <c r="CZ35" s="28">
        <f t="shared" si="47"/>
        <v>0</v>
      </c>
      <c r="DA35" s="28">
        <f t="shared" si="47"/>
        <v>0</v>
      </c>
      <c r="DB35" s="28">
        <f t="shared" si="32"/>
        <v>0</v>
      </c>
      <c r="DC35" s="28">
        <f>(SUM(CY35:DB35))*1</f>
        <v>0</v>
      </c>
      <c r="DD35" s="28">
        <v>18.385000000000002</v>
      </c>
      <c r="DE35" s="28">
        <v>61.798999999999999</v>
      </c>
      <c r="DF35" s="28">
        <v>57.79</v>
      </c>
      <c r="DG35" s="28">
        <f t="shared" si="33"/>
        <v>137.97399999999999</v>
      </c>
      <c r="DH35" s="28">
        <v>52.37</v>
      </c>
      <c r="DI35" s="28">
        <v>53.719000000000001</v>
      </c>
      <c r="DJ35" s="28">
        <v>62.953000000000003</v>
      </c>
      <c r="DK35" s="28">
        <v>62.209000000000003</v>
      </c>
      <c r="DL35" s="28">
        <f t="shared" si="34"/>
        <v>231.251</v>
      </c>
      <c r="DM35" s="28">
        <v>60.35</v>
      </c>
      <c r="DN35" s="28">
        <v>61.618000000000002</v>
      </c>
      <c r="DO35" s="28">
        <v>68.900999999999996</v>
      </c>
      <c r="DP35" s="28">
        <v>69.293000000000006</v>
      </c>
      <c r="DQ35" s="28">
        <f t="shared" si="35"/>
        <v>260.16200000000003</v>
      </c>
      <c r="DR35" s="28">
        <v>69.302000000000007</v>
      </c>
      <c r="DS35" s="28">
        <v>75.832999999999998</v>
      </c>
      <c r="DT35" s="28">
        <v>94.382999999999996</v>
      </c>
      <c r="DU35" s="28">
        <v>87.528000000000006</v>
      </c>
      <c r="DV35" s="28">
        <f t="shared" si="36"/>
        <v>327.04599999999999</v>
      </c>
      <c r="DW35" s="28">
        <v>87.897000000000006</v>
      </c>
      <c r="DX35" s="28">
        <v>90.638000000000005</v>
      </c>
      <c r="DY35" s="28">
        <v>100.78691259</v>
      </c>
      <c r="DZ35" s="28">
        <v>96.988366240000005</v>
      </c>
      <c r="EA35" s="28">
        <f t="shared" si="37"/>
        <v>376.31027883000002</v>
      </c>
      <c r="EB35" s="28">
        <v>92.961619630000001</v>
      </c>
      <c r="EC35" s="28">
        <v>100.67714839000001</v>
      </c>
      <c r="ED35" s="28">
        <v>105.30200000000001</v>
      </c>
      <c r="EE35" s="28">
        <v>107.25041113999998</v>
      </c>
      <c r="EF35" s="28">
        <f t="shared" si="38"/>
        <v>406.19117915999999</v>
      </c>
      <c r="EG35" s="28">
        <v>96.167551069999988</v>
      </c>
      <c r="EH35" s="28">
        <v>102.06496454000002</v>
      </c>
      <c r="EI35" s="28">
        <v>116.93967814999998</v>
      </c>
    </row>
    <row r="36" spans="1:139" ht="15" thickTop="1" x14ac:dyDescent="0.3">
      <c r="A36" s="1" t="s">
        <v>456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27">
        <f t="shared" si="39"/>
        <v>0</v>
      </c>
      <c r="BK36" s="27">
        <f t="shared" si="39"/>
        <v>0</v>
      </c>
      <c r="BL36" s="27">
        <f t="shared" si="39"/>
        <v>0</v>
      </c>
      <c r="BM36" s="27">
        <f t="shared" si="39"/>
        <v>0</v>
      </c>
      <c r="BN36" s="27">
        <f t="shared" si="24"/>
        <v>0</v>
      </c>
      <c r="BO36" s="27">
        <f t="shared" si="40"/>
        <v>0</v>
      </c>
      <c r="BP36" s="27">
        <f t="shared" si="40"/>
        <v>0</v>
      </c>
      <c r="BQ36" s="27">
        <f t="shared" si="40"/>
        <v>0</v>
      </c>
      <c r="BR36" s="27">
        <f t="shared" si="40"/>
        <v>0</v>
      </c>
      <c r="BS36" s="27">
        <f t="shared" si="25"/>
        <v>0</v>
      </c>
      <c r="BT36" s="27">
        <f t="shared" si="41"/>
        <v>0</v>
      </c>
      <c r="BU36" s="27">
        <f t="shared" si="41"/>
        <v>0</v>
      </c>
      <c r="BV36" s="27">
        <f t="shared" si="41"/>
        <v>0</v>
      </c>
      <c r="BW36" s="27">
        <f t="shared" si="41"/>
        <v>0</v>
      </c>
      <c r="BX36" s="27">
        <f t="shared" si="26"/>
        <v>0</v>
      </c>
      <c r="BY36" s="27">
        <f t="shared" si="42"/>
        <v>0</v>
      </c>
      <c r="BZ36" s="27">
        <f t="shared" si="42"/>
        <v>0</v>
      </c>
      <c r="CA36" s="27">
        <f t="shared" si="42"/>
        <v>0</v>
      </c>
      <c r="CB36" s="27">
        <f t="shared" si="42"/>
        <v>0</v>
      </c>
      <c r="CC36" s="27">
        <f t="shared" si="27"/>
        <v>0</v>
      </c>
      <c r="CD36" s="27">
        <f t="shared" si="43"/>
        <v>0</v>
      </c>
      <c r="CE36" s="27">
        <f t="shared" si="43"/>
        <v>0</v>
      </c>
      <c r="CF36" s="27">
        <f t="shared" si="43"/>
        <v>0</v>
      </c>
      <c r="CG36" s="27">
        <f t="shared" si="43"/>
        <v>0</v>
      </c>
      <c r="CH36" s="27">
        <f t="shared" si="28"/>
        <v>0</v>
      </c>
      <c r="CI36" s="27">
        <f t="shared" si="44"/>
        <v>0</v>
      </c>
      <c r="CJ36" s="27">
        <f t="shared" si="44"/>
        <v>0</v>
      </c>
      <c r="CK36" s="27">
        <f t="shared" si="44"/>
        <v>0</v>
      </c>
      <c r="CL36" s="27">
        <f t="shared" si="44"/>
        <v>0</v>
      </c>
      <c r="CM36" s="27">
        <f t="shared" si="29"/>
        <v>0</v>
      </c>
      <c r="CN36" s="27">
        <f t="shared" si="45"/>
        <v>0</v>
      </c>
      <c r="CO36" s="27">
        <f t="shared" si="45"/>
        <v>0</v>
      </c>
      <c r="CP36" s="27">
        <f t="shared" si="45"/>
        <v>0</v>
      </c>
      <c r="CQ36" s="27">
        <f t="shared" si="45"/>
        <v>0</v>
      </c>
      <c r="CR36" s="27">
        <f t="shared" si="30"/>
        <v>0</v>
      </c>
      <c r="CS36" s="27">
        <f t="shared" si="46"/>
        <v>0</v>
      </c>
      <c r="CT36" s="27">
        <f t="shared" si="46"/>
        <v>0</v>
      </c>
      <c r="CU36" s="27">
        <f t="shared" si="46"/>
        <v>0</v>
      </c>
      <c r="CV36" s="27">
        <f t="shared" si="46"/>
        <v>0</v>
      </c>
      <c r="CW36" s="27">
        <f t="shared" si="31"/>
        <v>0</v>
      </c>
      <c r="CX36" s="27">
        <f t="shared" si="47"/>
        <v>0</v>
      </c>
      <c r="CY36" s="27">
        <f t="shared" si="47"/>
        <v>0</v>
      </c>
      <c r="CZ36" s="27">
        <f t="shared" si="47"/>
        <v>0</v>
      </c>
      <c r="DA36" s="27">
        <f t="shared" si="47"/>
        <v>0</v>
      </c>
      <c r="DB36" s="27">
        <f t="shared" si="32"/>
        <v>0</v>
      </c>
      <c r="DC36" s="27">
        <f>(SUM(CY36:DB36))*1</f>
        <v>0</v>
      </c>
      <c r="DD36" s="27">
        <v>57.045999999999999</v>
      </c>
      <c r="DE36" s="27">
        <v>60.92</v>
      </c>
      <c r="DF36" s="27">
        <v>64.311000000000007</v>
      </c>
      <c r="DG36" s="27">
        <f t="shared" si="33"/>
        <v>182.27700000000002</v>
      </c>
      <c r="DH36" s="27">
        <v>58.460999999999999</v>
      </c>
      <c r="DI36" s="27">
        <v>47.668999999999997</v>
      </c>
      <c r="DJ36" s="27">
        <v>66.200999999999993</v>
      </c>
      <c r="DK36" s="27">
        <v>71.929000000000002</v>
      </c>
      <c r="DL36" s="27">
        <f t="shared" si="34"/>
        <v>244.26</v>
      </c>
      <c r="DM36" s="27">
        <v>65.233000000000004</v>
      </c>
      <c r="DN36" s="27">
        <v>66.536000000000001</v>
      </c>
      <c r="DO36" s="27">
        <v>75.781000000000006</v>
      </c>
      <c r="DP36" s="27">
        <v>79.664000000000001</v>
      </c>
      <c r="DQ36" s="27">
        <f t="shared" si="35"/>
        <v>287.214</v>
      </c>
      <c r="DR36" s="27">
        <v>76.147000000000006</v>
      </c>
      <c r="DS36" s="27">
        <v>84.257999999999996</v>
      </c>
      <c r="DT36" s="27">
        <v>87.801000000000002</v>
      </c>
      <c r="DU36" s="27">
        <v>85.453000000000003</v>
      </c>
      <c r="DV36" s="27">
        <f t="shared" si="36"/>
        <v>333.65899999999999</v>
      </c>
      <c r="DW36" s="27">
        <v>82.028000000000006</v>
      </c>
      <c r="DX36" s="27">
        <v>86.313000000000002</v>
      </c>
      <c r="DY36" s="27">
        <v>92.434992090000009</v>
      </c>
      <c r="DZ36" s="27">
        <v>93.515412860000012</v>
      </c>
      <c r="EA36" s="27">
        <f t="shared" si="37"/>
        <v>354.29140495000007</v>
      </c>
      <c r="EB36" s="27">
        <v>91.33208741</v>
      </c>
      <c r="EC36" s="27">
        <v>96.436477200000013</v>
      </c>
      <c r="ED36" s="27">
        <v>106.069</v>
      </c>
      <c r="EE36" s="27">
        <v>105.72576987000001</v>
      </c>
      <c r="EF36" s="27">
        <f t="shared" si="38"/>
        <v>399.56333448000004</v>
      </c>
      <c r="EG36" s="27">
        <v>106.88259409</v>
      </c>
      <c r="EH36" s="27">
        <v>114.72665069999999</v>
      </c>
      <c r="EI36" s="27">
        <v>121.90197219000002</v>
      </c>
    </row>
    <row r="37" spans="1:139" ht="15" thickBot="1" x14ac:dyDescent="0.35">
      <c r="A37" s="2" t="s">
        <v>446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28">
        <f t="shared" si="39"/>
        <v>0</v>
      </c>
      <c r="BK37" s="28">
        <f t="shared" si="39"/>
        <v>0</v>
      </c>
      <c r="BL37" s="28">
        <f t="shared" si="39"/>
        <v>0</v>
      </c>
      <c r="BM37" s="28">
        <f t="shared" si="39"/>
        <v>0</v>
      </c>
      <c r="BN37" s="28">
        <f t="shared" si="24"/>
        <v>0</v>
      </c>
      <c r="BO37" s="28">
        <f t="shared" si="40"/>
        <v>0</v>
      </c>
      <c r="BP37" s="28">
        <f t="shared" si="40"/>
        <v>0</v>
      </c>
      <c r="BQ37" s="28">
        <f t="shared" si="40"/>
        <v>0</v>
      </c>
      <c r="BR37" s="28">
        <f t="shared" si="40"/>
        <v>0</v>
      </c>
      <c r="BS37" s="28">
        <f t="shared" si="25"/>
        <v>0</v>
      </c>
      <c r="BT37" s="28">
        <f t="shared" si="41"/>
        <v>0</v>
      </c>
      <c r="BU37" s="28">
        <f t="shared" si="41"/>
        <v>0</v>
      </c>
      <c r="BV37" s="28">
        <f t="shared" si="41"/>
        <v>0</v>
      </c>
      <c r="BW37" s="28">
        <f t="shared" si="41"/>
        <v>0</v>
      </c>
      <c r="BX37" s="28">
        <f t="shared" si="26"/>
        <v>0</v>
      </c>
      <c r="BY37" s="28">
        <f t="shared" si="42"/>
        <v>0</v>
      </c>
      <c r="BZ37" s="28">
        <f t="shared" si="42"/>
        <v>0</v>
      </c>
      <c r="CA37" s="28">
        <f t="shared" si="42"/>
        <v>0</v>
      </c>
      <c r="CB37" s="28">
        <f t="shared" si="42"/>
        <v>0</v>
      </c>
      <c r="CC37" s="28">
        <f t="shared" si="27"/>
        <v>0</v>
      </c>
      <c r="CD37" s="28">
        <f t="shared" si="43"/>
        <v>0</v>
      </c>
      <c r="CE37" s="28">
        <f t="shared" si="43"/>
        <v>0</v>
      </c>
      <c r="CF37" s="28">
        <f t="shared" si="43"/>
        <v>0</v>
      </c>
      <c r="CG37" s="28">
        <f t="shared" si="43"/>
        <v>0</v>
      </c>
      <c r="CH37" s="28">
        <f t="shared" si="28"/>
        <v>0</v>
      </c>
      <c r="CI37" s="28">
        <f t="shared" si="44"/>
        <v>0</v>
      </c>
      <c r="CJ37" s="28">
        <f t="shared" si="44"/>
        <v>0</v>
      </c>
      <c r="CK37" s="28">
        <f t="shared" si="44"/>
        <v>0</v>
      </c>
      <c r="CL37" s="28">
        <f t="shared" si="44"/>
        <v>0</v>
      </c>
      <c r="CM37" s="28">
        <f t="shared" si="29"/>
        <v>0</v>
      </c>
      <c r="CN37" s="28">
        <f t="shared" si="45"/>
        <v>0</v>
      </c>
      <c r="CO37" s="28">
        <f t="shared" si="45"/>
        <v>0</v>
      </c>
      <c r="CP37" s="28">
        <f t="shared" si="45"/>
        <v>0</v>
      </c>
      <c r="CQ37" s="28">
        <f t="shared" si="45"/>
        <v>0</v>
      </c>
      <c r="CR37" s="28">
        <f t="shared" si="30"/>
        <v>0</v>
      </c>
      <c r="CS37" s="28">
        <f t="shared" si="46"/>
        <v>0</v>
      </c>
      <c r="CT37" s="28">
        <f t="shared" si="46"/>
        <v>0</v>
      </c>
      <c r="CU37" s="28">
        <f t="shared" si="46"/>
        <v>0</v>
      </c>
      <c r="CV37" s="28">
        <f t="shared" si="46"/>
        <v>0</v>
      </c>
      <c r="CW37" s="28">
        <f t="shared" si="31"/>
        <v>0</v>
      </c>
      <c r="CX37" s="28">
        <f t="shared" si="47"/>
        <v>0</v>
      </c>
      <c r="CY37" s="28">
        <f t="shared" si="47"/>
        <v>0</v>
      </c>
      <c r="CZ37" s="28">
        <f t="shared" si="47"/>
        <v>0</v>
      </c>
      <c r="DA37" s="28">
        <f t="shared" si="47"/>
        <v>0</v>
      </c>
      <c r="DB37" s="28">
        <f t="shared" si="32"/>
        <v>0</v>
      </c>
      <c r="DC37" s="28">
        <f>(SUM(CY37:DB37))*1</f>
        <v>0</v>
      </c>
      <c r="DD37" s="28">
        <f t="shared" ref="DD37:DF39" si="48">(SUM(CZ37:DC37))*1</f>
        <v>0</v>
      </c>
      <c r="DE37" s="28">
        <f t="shared" si="48"/>
        <v>0</v>
      </c>
      <c r="DF37" s="28">
        <f t="shared" si="48"/>
        <v>0</v>
      </c>
      <c r="DG37" s="28">
        <f t="shared" si="33"/>
        <v>0</v>
      </c>
      <c r="DH37" s="28">
        <f t="shared" ref="DH37:DJ39" si="49">(SUM(DD37:DG37))*1</f>
        <v>0</v>
      </c>
      <c r="DI37" s="28">
        <f t="shared" si="49"/>
        <v>0</v>
      </c>
      <c r="DJ37" s="28">
        <f t="shared" si="49"/>
        <v>0</v>
      </c>
      <c r="DK37" s="28">
        <v>12.708</v>
      </c>
      <c r="DL37" s="28">
        <f t="shared" si="34"/>
        <v>12.708</v>
      </c>
      <c r="DM37" s="28">
        <v>34.350999999999999</v>
      </c>
      <c r="DN37" s="28">
        <v>43.17</v>
      </c>
      <c r="DO37" s="28">
        <v>44.104999999999997</v>
      </c>
      <c r="DP37" s="28">
        <v>39.220999999999997</v>
      </c>
      <c r="DQ37" s="28">
        <f t="shared" si="35"/>
        <v>160.84700000000001</v>
      </c>
      <c r="DR37" s="28">
        <v>40.991999999999997</v>
      </c>
      <c r="DS37" s="28">
        <v>44.457999999999998</v>
      </c>
      <c r="DT37" s="28">
        <v>46.488</v>
      </c>
      <c r="DU37" s="28">
        <v>42.850999999999999</v>
      </c>
      <c r="DV37" s="28">
        <f t="shared" si="36"/>
        <v>174.78899999999999</v>
      </c>
      <c r="DW37" s="28">
        <v>45.073999999999998</v>
      </c>
      <c r="DX37" s="28">
        <v>49.031999999999996</v>
      </c>
      <c r="DY37" s="28">
        <v>54.691634650000005</v>
      </c>
      <c r="DZ37" s="28">
        <v>54.134939919999987</v>
      </c>
      <c r="EA37" s="28">
        <f t="shared" si="37"/>
        <v>202.93257456999999</v>
      </c>
      <c r="EB37" s="28">
        <v>51.210214360000002</v>
      </c>
      <c r="EC37" s="28">
        <v>53.251394459999993</v>
      </c>
      <c r="ED37" s="28">
        <v>57.042999999999999</v>
      </c>
      <c r="EE37" s="28">
        <v>54.085111680000004</v>
      </c>
      <c r="EF37" s="28">
        <f t="shared" si="38"/>
        <v>215.5897205</v>
      </c>
      <c r="EG37" s="28">
        <v>53.480258570000004</v>
      </c>
      <c r="EH37" s="28">
        <v>57.086764589999994</v>
      </c>
      <c r="EI37" s="28">
        <v>61.477808039999992</v>
      </c>
    </row>
    <row r="38" spans="1:139" ht="15" thickTop="1" x14ac:dyDescent="0.3">
      <c r="A38" s="1" t="s">
        <v>447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27">
        <f t="shared" si="39"/>
        <v>0</v>
      </c>
      <c r="BK38" s="27">
        <f t="shared" si="39"/>
        <v>0</v>
      </c>
      <c r="BL38" s="27">
        <f t="shared" si="39"/>
        <v>0</v>
      </c>
      <c r="BM38" s="27">
        <f t="shared" si="39"/>
        <v>0</v>
      </c>
      <c r="BN38" s="27">
        <f t="shared" si="24"/>
        <v>0</v>
      </c>
      <c r="BO38" s="27">
        <f t="shared" si="40"/>
        <v>0</v>
      </c>
      <c r="BP38" s="27">
        <f t="shared" si="40"/>
        <v>0</v>
      </c>
      <c r="BQ38" s="27">
        <f t="shared" si="40"/>
        <v>0</v>
      </c>
      <c r="BR38" s="27">
        <f t="shared" si="40"/>
        <v>0</v>
      </c>
      <c r="BS38" s="27">
        <f t="shared" si="25"/>
        <v>0</v>
      </c>
      <c r="BT38" s="27">
        <f t="shared" si="41"/>
        <v>0</v>
      </c>
      <c r="BU38" s="27">
        <f t="shared" si="41"/>
        <v>0</v>
      </c>
      <c r="BV38" s="27">
        <f t="shared" si="41"/>
        <v>0</v>
      </c>
      <c r="BW38" s="27">
        <f t="shared" si="41"/>
        <v>0</v>
      </c>
      <c r="BX38" s="27">
        <f t="shared" si="26"/>
        <v>0</v>
      </c>
      <c r="BY38" s="27">
        <f t="shared" si="42"/>
        <v>0</v>
      </c>
      <c r="BZ38" s="27">
        <f t="shared" si="42"/>
        <v>0</v>
      </c>
      <c r="CA38" s="27">
        <f t="shared" si="42"/>
        <v>0</v>
      </c>
      <c r="CB38" s="27">
        <f t="shared" si="42"/>
        <v>0</v>
      </c>
      <c r="CC38" s="27">
        <f t="shared" si="27"/>
        <v>0</v>
      </c>
      <c r="CD38" s="27">
        <f t="shared" si="43"/>
        <v>0</v>
      </c>
      <c r="CE38" s="27">
        <f t="shared" si="43"/>
        <v>0</v>
      </c>
      <c r="CF38" s="27">
        <f t="shared" si="43"/>
        <v>0</v>
      </c>
      <c r="CG38" s="27">
        <f t="shared" si="43"/>
        <v>0</v>
      </c>
      <c r="CH38" s="27">
        <f t="shared" si="28"/>
        <v>0</v>
      </c>
      <c r="CI38" s="27">
        <f t="shared" si="44"/>
        <v>0</v>
      </c>
      <c r="CJ38" s="27">
        <f t="shared" si="44"/>
        <v>0</v>
      </c>
      <c r="CK38" s="27">
        <f t="shared" si="44"/>
        <v>0</v>
      </c>
      <c r="CL38" s="27">
        <f t="shared" si="44"/>
        <v>0</v>
      </c>
      <c r="CM38" s="27">
        <f t="shared" si="29"/>
        <v>0</v>
      </c>
      <c r="CN38" s="27">
        <f t="shared" si="45"/>
        <v>0</v>
      </c>
      <c r="CO38" s="27">
        <f t="shared" si="45"/>
        <v>0</v>
      </c>
      <c r="CP38" s="27">
        <f t="shared" si="45"/>
        <v>0</v>
      </c>
      <c r="CQ38" s="27">
        <f t="shared" si="45"/>
        <v>0</v>
      </c>
      <c r="CR38" s="27">
        <f t="shared" si="30"/>
        <v>0</v>
      </c>
      <c r="CS38" s="27">
        <f t="shared" si="46"/>
        <v>0</v>
      </c>
      <c r="CT38" s="27">
        <f t="shared" si="46"/>
        <v>0</v>
      </c>
      <c r="CU38" s="27">
        <f t="shared" si="46"/>
        <v>0</v>
      </c>
      <c r="CV38" s="27">
        <f t="shared" si="46"/>
        <v>0</v>
      </c>
      <c r="CW38" s="27">
        <f t="shared" si="31"/>
        <v>0</v>
      </c>
      <c r="CX38" s="27">
        <f t="shared" si="47"/>
        <v>0</v>
      </c>
      <c r="CY38" s="27">
        <f t="shared" si="47"/>
        <v>0</v>
      </c>
      <c r="CZ38" s="27">
        <f t="shared" si="47"/>
        <v>0</v>
      </c>
      <c r="DA38" s="27">
        <f t="shared" si="47"/>
        <v>0</v>
      </c>
      <c r="DB38" s="27">
        <f t="shared" si="32"/>
        <v>0</v>
      </c>
      <c r="DC38" s="27">
        <f>(SUM(CY38:DB38))*1</f>
        <v>0</v>
      </c>
      <c r="DD38" s="27">
        <f t="shared" si="48"/>
        <v>0</v>
      </c>
      <c r="DE38" s="27">
        <f t="shared" si="48"/>
        <v>0</v>
      </c>
      <c r="DF38" s="27">
        <f t="shared" si="48"/>
        <v>0</v>
      </c>
      <c r="DG38" s="27">
        <f t="shared" si="33"/>
        <v>0</v>
      </c>
      <c r="DH38" s="27">
        <f t="shared" si="49"/>
        <v>0</v>
      </c>
      <c r="DI38" s="27">
        <f t="shared" si="49"/>
        <v>0</v>
      </c>
      <c r="DJ38" s="27">
        <f t="shared" si="49"/>
        <v>0</v>
      </c>
      <c r="DK38" s="27">
        <f>(SUM(DG38:DJ38))*1</f>
        <v>0</v>
      </c>
      <c r="DL38" s="27">
        <f t="shared" si="34"/>
        <v>0</v>
      </c>
      <c r="DM38" s="27">
        <v>0</v>
      </c>
      <c r="DN38" s="27">
        <v>0</v>
      </c>
      <c r="DO38" s="27">
        <v>0</v>
      </c>
      <c r="DP38" s="27">
        <v>0</v>
      </c>
      <c r="DQ38" s="27">
        <f t="shared" si="35"/>
        <v>0</v>
      </c>
      <c r="DR38" s="27">
        <v>0</v>
      </c>
      <c r="DS38" s="27">
        <v>0</v>
      </c>
      <c r="DT38" s="27">
        <v>0</v>
      </c>
      <c r="DU38" s="27">
        <v>116.71899999999999</v>
      </c>
      <c r="DV38" s="27">
        <f t="shared" si="36"/>
        <v>116.71899999999999</v>
      </c>
      <c r="DW38" s="27">
        <v>115.02200000000001</v>
      </c>
      <c r="DX38" s="27">
        <v>127.708</v>
      </c>
      <c r="DY38" s="27">
        <v>138.55249248999999</v>
      </c>
      <c r="DZ38" s="27">
        <v>139.29087803000004</v>
      </c>
      <c r="EA38" s="27">
        <f t="shared" si="37"/>
        <v>520.57337052000003</v>
      </c>
      <c r="EB38" s="27">
        <v>126.94880121</v>
      </c>
      <c r="EC38" s="27">
        <v>137.87150681999998</v>
      </c>
      <c r="ED38" s="27">
        <v>151.66800000000001</v>
      </c>
      <c r="EE38" s="27">
        <v>154.83413559000005</v>
      </c>
      <c r="EF38" s="27">
        <f t="shared" si="38"/>
        <v>571.32244362000006</v>
      </c>
      <c r="EG38" s="27">
        <v>133.56282884999999</v>
      </c>
      <c r="EH38" s="27">
        <v>143.60075434999999</v>
      </c>
      <c r="EI38" s="27">
        <v>156.06294067000002</v>
      </c>
    </row>
    <row r="39" spans="1:139" ht="15" thickBot="1" x14ac:dyDescent="0.35">
      <c r="A39" s="2" t="s">
        <v>448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28">
        <f t="shared" si="39"/>
        <v>0</v>
      </c>
      <c r="BK39" s="28">
        <f t="shared" si="39"/>
        <v>0</v>
      </c>
      <c r="BL39" s="28">
        <f t="shared" si="39"/>
        <v>0</v>
      </c>
      <c r="BM39" s="28">
        <f t="shared" si="39"/>
        <v>0</v>
      </c>
      <c r="BN39" s="28">
        <f t="shared" si="24"/>
        <v>0</v>
      </c>
      <c r="BO39" s="28">
        <f t="shared" si="40"/>
        <v>0</v>
      </c>
      <c r="BP39" s="28">
        <f t="shared" si="40"/>
        <v>0</v>
      </c>
      <c r="BQ39" s="28">
        <f t="shared" si="40"/>
        <v>0</v>
      </c>
      <c r="BR39" s="28">
        <f t="shared" si="40"/>
        <v>0</v>
      </c>
      <c r="BS39" s="28">
        <f t="shared" si="25"/>
        <v>0</v>
      </c>
      <c r="BT39" s="28">
        <f t="shared" si="41"/>
        <v>0</v>
      </c>
      <c r="BU39" s="28">
        <f t="shared" si="41"/>
        <v>0</v>
      </c>
      <c r="BV39" s="28">
        <f t="shared" si="41"/>
        <v>0</v>
      </c>
      <c r="BW39" s="28">
        <f t="shared" si="41"/>
        <v>0</v>
      </c>
      <c r="BX39" s="28">
        <f t="shared" si="26"/>
        <v>0</v>
      </c>
      <c r="BY39" s="28">
        <f t="shared" si="42"/>
        <v>0</v>
      </c>
      <c r="BZ39" s="28">
        <f t="shared" si="42"/>
        <v>0</v>
      </c>
      <c r="CA39" s="28">
        <f t="shared" si="42"/>
        <v>0</v>
      </c>
      <c r="CB39" s="28">
        <f t="shared" si="42"/>
        <v>0</v>
      </c>
      <c r="CC39" s="28">
        <f t="shared" si="27"/>
        <v>0</v>
      </c>
      <c r="CD39" s="28">
        <f t="shared" si="43"/>
        <v>0</v>
      </c>
      <c r="CE39" s="28">
        <f t="shared" si="43"/>
        <v>0</v>
      </c>
      <c r="CF39" s="28">
        <f t="shared" si="43"/>
        <v>0</v>
      </c>
      <c r="CG39" s="28">
        <f t="shared" si="43"/>
        <v>0</v>
      </c>
      <c r="CH39" s="28">
        <f t="shared" si="28"/>
        <v>0</v>
      </c>
      <c r="CI39" s="28">
        <f t="shared" si="44"/>
        <v>0</v>
      </c>
      <c r="CJ39" s="28">
        <f t="shared" si="44"/>
        <v>0</v>
      </c>
      <c r="CK39" s="28">
        <f t="shared" si="44"/>
        <v>0</v>
      </c>
      <c r="CL39" s="28">
        <f t="shared" si="44"/>
        <v>0</v>
      </c>
      <c r="CM39" s="28">
        <f t="shared" si="29"/>
        <v>0</v>
      </c>
      <c r="CN39" s="28">
        <f t="shared" si="45"/>
        <v>0</v>
      </c>
      <c r="CO39" s="28">
        <f t="shared" si="45"/>
        <v>0</v>
      </c>
      <c r="CP39" s="28">
        <f t="shared" si="45"/>
        <v>0</v>
      </c>
      <c r="CQ39" s="28">
        <f t="shared" si="45"/>
        <v>0</v>
      </c>
      <c r="CR39" s="28">
        <f t="shared" si="30"/>
        <v>0</v>
      </c>
      <c r="CS39" s="28">
        <f t="shared" si="46"/>
        <v>0</v>
      </c>
      <c r="CT39" s="28">
        <f t="shared" si="46"/>
        <v>0</v>
      </c>
      <c r="CU39" s="28">
        <f t="shared" si="46"/>
        <v>0</v>
      </c>
      <c r="CV39" s="28">
        <f t="shared" si="46"/>
        <v>0</v>
      </c>
      <c r="CW39" s="28">
        <f t="shared" si="31"/>
        <v>0</v>
      </c>
      <c r="CX39" s="28">
        <f t="shared" si="47"/>
        <v>0</v>
      </c>
      <c r="CY39" s="28">
        <f t="shared" si="47"/>
        <v>0</v>
      </c>
      <c r="CZ39" s="28">
        <f t="shared" si="47"/>
        <v>0</v>
      </c>
      <c r="DA39" s="28">
        <f t="shared" si="47"/>
        <v>0</v>
      </c>
      <c r="DB39" s="28">
        <f t="shared" si="32"/>
        <v>0</v>
      </c>
      <c r="DC39" s="28">
        <f>(SUM(CY39:DB39))*1</f>
        <v>0</v>
      </c>
      <c r="DD39" s="28">
        <f t="shared" si="48"/>
        <v>0</v>
      </c>
      <c r="DE39" s="28">
        <f t="shared" si="48"/>
        <v>0</v>
      </c>
      <c r="DF39" s="28">
        <f t="shared" si="48"/>
        <v>0</v>
      </c>
      <c r="DG39" s="28">
        <f t="shared" si="33"/>
        <v>0</v>
      </c>
      <c r="DH39" s="28">
        <f t="shared" si="49"/>
        <v>0</v>
      </c>
      <c r="DI39" s="28">
        <f t="shared" si="49"/>
        <v>0</v>
      </c>
      <c r="DJ39" s="28">
        <f t="shared" si="49"/>
        <v>0</v>
      </c>
      <c r="DK39" s="28">
        <f>(SUM(DG39:DJ39))*1</f>
        <v>0</v>
      </c>
      <c r="DL39" s="28">
        <f t="shared" si="34"/>
        <v>0</v>
      </c>
      <c r="DM39" s="28">
        <v>0</v>
      </c>
      <c r="DN39" s="28">
        <v>0</v>
      </c>
      <c r="DO39" s="28">
        <v>0</v>
      </c>
      <c r="DP39" s="28">
        <v>0</v>
      </c>
      <c r="DQ39" s="28">
        <f t="shared" si="35"/>
        <v>0</v>
      </c>
      <c r="DR39" s="28">
        <v>0</v>
      </c>
      <c r="DS39" s="28">
        <v>0</v>
      </c>
      <c r="DT39" s="28">
        <v>6.04</v>
      </c>
      <c r="DU39" s="28">
        <v>64.631</v>
      </c>
      <c r="DV39" s="28">
        <f t="shared" si="36"/>
        <v>70.671000000000006</v>
      </c>
      <c r="DW39" s="28">
        <v>90.171000000000006</v>
      </c>
      <c r="DX39" s="28">
        <v>140.93899999999999</v>
      </c>
      <c r="DY39" s="28">
        <v>150.82667984</v>
      </c>
      <c r="DZ39" s="28">
        <v>214.88597484999997</v>
      </c>
      <c r="EA39" s="28">
        <f t="shared" si="37"/>
        <v>596.82265469000004</v>
      </c>
      <c r="EB39" s="28">
        <v>240.83164363</v>
      </c>
      <c r="EC39" s="28">
        <v>247.62210969999998</v>
      </c>
      <c r="ED39" s="28">
        <v>265.82499999999999</v>
      </c>
      <c r="EE39" s="28">
        <v>269.95648015999996</v>
      </c>
      <c r="EF39" s="28">
        <f t="shared" si="38"/>
        <v>1024.2352334899999</v>
      </c>
      <c r="EG39" s="28">
        <v>257.48853250999997</v>
      </c>
      <c r="EH39" s="28">
        <v>257.88563943999998</v>
      </c>
      <c r="EI39" s="28">
        <v>274.26158230999999</v>
      </c>
    </row>
    <row r="40" spans="1:139" ht="15" thickTop="1" x14ac:dyDescent="0.3">
      <c r="A40" s="1" t="s">
        <v>449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112.402</v>
      </c>
      <c r="DY40" s="27">
        <v>186.06452856999999</v>
      </c>
      <c r="DZ40" s="27">
        <v>190.00885364000004</v>
      </c>
      <c r="EA40" s="27">
        <f t="shared" si="37"/>
        <v>488.47538221000002</v>
      </c>
      <c r="EB40" s="27">
        <v>173.09769376</v>
      </c>
      <c r="EC40" s="27">
        <v>181.65910319999998</v>
      </c>
      <c r="ED40" s="27">
        <v>203.483</v>
      </c>
      <c r="EE40" s="27">
        <v>193.46382977999997</v>
      </c>
      <c r="EF40" s="27">
        <f t="shared" si="38"/>
        <v>751.70362673999989</v>
      </c>
      <c r="EG40" s="27">
        <v>191.80270048</v>
      </c>
      <c r="EH40" s="27">
        <v>225.70246231000004</v>
      </c>
      <c r="EI40" s="27">
        <v>251.35166148999994</v>
      </c>
    </row>
    <row r="41" spans="1:139" ht="15" thickBot="1" x14ac:dyDescent="0.35">
      <c r="A41" s="2" t="s">
        <v>460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>
        <v>2.7886794199999998</v>
      </c>
      <c r="EH41" s="28">
        <v>148.85199810000003</v>
      </c>
      <c r="EI41" s="28">
        <v>154.27274224999996</v>
      </c>
    </row>
    <row r="42" spans="1:139" ht="15" thickTop="1" x14ac:dyDescent="0.3">
      <c r="A42" s="1" t="s">
        <v>304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27">
        <v>0</v>
      </c>
      <c r="BK42" s="27">
        <v>0</v>
      </c>
      <c r="BL42" s="27">
        <v>0</v>
      </c>
      <c r="BM42" s="27">
        <v>0</v>
      </c>
      <c r="BN42" s="27">
        <f>(SUM(BJ42:BM42))*1</f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f>(SUM(BO42:BR42))*1</f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f>(SUM(BT42:BW42))*1</f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f>(SUM(BY42:CB42))*1</f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f>(SUM(CD42:CG42))*1</f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f>(SUM(CI42:CL42))*1</f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f>(SUM(CN42:CQ42))*1</f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f t="shared" ref="CW42:CX45" si="50">(SUM(CS42:CV42))*1</f>
        <v>0</v>
      </c>
      <c r="CX42" s="27">
        <f t="shared" si="50"/>
        <v>0</v>
      </c>
      <c r="CY42" s="27">
        <v>0</v>
      </c>
      <c r="CZ42" s="27">
        <v>0</v>
      </c>
      <c r="DA42" s="27">
        <v>0</v>
      </c>
      <c r="DB42" s="27">
        <f>(SUM(CX42:DA42))*1</f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f>(SUM(DC42:DF42))*1</f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f>(SUM(DH42:DK42))*1</f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f>(SUM(DM42:DP42))*1</f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f>(SUM(DR42:DU42))*1</f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f t="shared" si="37"/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f t="shared" si="38"/>
        <v>0</v>
      </c>
      <c r="EG42" s="27">
        <v>0</v>
      </c>
      <c r="EH42" s="27">
        <v>0</v>
      </c>
      <c r="EI42" s="27">
        <v>0</v>
      </c>
    </row>
    <row r="43" spans="1:139" ht="15" thickBot="1" x14ac:dyDescent="0.35">
      <c r="A43" s="2" t="s">
        <v>305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28">
        <v>0</v>
      </c>
      <c r="BK43" s="28">
        <v>0</v>
      </c>
      <c r="BL43" s="28">
        <v>0</v>
      </c>
      <c r="BM43" s="28">
        <v>0</v>
      </c>
      <c r="BN43" s="28">
        <f>(SUM(BJ43:BM43))*1</f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f>(SUM(BO43:BR43))*1</f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f>(SUM(BT43:BW43))*1</f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f>(SUM(BY43:CB43))*1</f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f>(SUM(CD43:CG43))*1</f>
        <v>0</v>
      </c>
      <c r="CI43" s="28">
        <v>0</v>
      </c>
      <c r="CJ43" s="28">
        <v>0</v>
      </c>
      <c r="CK43" s="28">
        <v>0</v>
      </c>
      <c r="CL43" s="28">
        <v>0</v>
      </c>
      <c r="CM43" s="28">
        <f>(SUM(CI43:CL43))*1</f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f>(SUM(CN43:CQ43))*1</f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f t="shared" si="50"/>
        <v>0</v>
      </c>
      <c r="CX43" s="28">
        <f t="shared" si="50"/>
        <v>0</v>
      </c>
      <c r="CY43" s="28">
        <v>0</v>
      </c>
      <c r="CZ43" s="28">
        <v>0</v>
      </c>
      <c r="DA43" s="28">
        <v>0</v>
      </c>
      <c r="DB43" s="28">
        <f>(SUM(CX43:DA43))*1</f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f>(SUM(DC43:DF43))*1</f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f>(SUM(DH43:DK43))*1</f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f>(SUM(DM43:DP43))*1</f>
        <v>0</v>
      </c>
      <c r="DR43" s="28">
        <v>0</v>
      </c>
      <c r="DS43" s="28">
        <v>0</v>
      </c>
      <c r="DT43" s="28">
        <v>0</v>
      </c>
      <c r="DU43" s="28">
        <v>0</v>
      </c>
      <c r="DV43" s="28">
        <f>(SUM(DR43:DU43))*1</f>
        <v>0</v>
      </c>
      <c r="DW43" s="28">
        <v>0</v>
      </c>
      <c r="DX43" s="28">
        <v>0</v>
      </c>
      <c r="DY43" s="28">
        <v>0</v>
      </c>
      <c r="DZ43" s="28">
        <v>0</v>
      </c>
      <c r="EA43" s="28">
        <f t="shared" si="37"/>
        <v>0</v>
      </c>
      <c r="EB43" s="28">
        <v>0</v>
      </c>
      <c r="EC43" s="28">
        <v>0</v>
      </c>
      <c r="ED43" s="28">
        <v>0</v>
      </c>
      <c r="EE43" s="28">
        <v>0</v>
      </c>
      <c r="EF43" s="28">
        <f t="shared" si="38"/>
        <v>0</v>
      </c>
      <c r="EG43" s="28">
        <v>0</v>
      </c>
      <c r="EH43" s="28">
        <v>0</v>
      </c>
      <c r="EI43" s="28">
        <v>0</v>
      </c>
    </row>
    <row r="44" spans="1:139" ht="15" thickTop="1" x14ac:dyDescent="0.3">
      <c r="A44" s="1" t="s">
        <v>306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27">
        <v>0</v>
      </c>
      <c r="BK44" s="27">
        <v>0</v>
      </c>
      <c r="BL44" s="27">
        <v>0</v>
      </c>
      <c r="BM44" s="27">
        <v>0</v>
      </c>
      <c r="BN44" s="27">
        <f>(SUM(BJ44:BM44))*1</f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f>(SUM(BO44:BR44))*1</f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f>(SUM(BT44:BW44))*1</f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f>(SUM(BY44:CB44))*1</f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f>(SUM(CD44:CG44))*1</f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f>(SUM(CI44:CL44))*1</f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f>(SUM(CN44:CQ44))*1</f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f t="shared" si="50"/>
        <v>0</v>
      </c>
      <c r="CX44" s="27">
        <f t="shared" si="50"/>
        <v>0</v>
      </c>
      <c r="CY44" s="27">
        <v>0</v>
      </c>
      <c r="CZ44" s="27">
        <v>0</v>
      </c>
      <c r="DA44" s="27">
        <v>0</v>
      </c>
      <c r="DB44" s="27">
        <f>(SUM(CX44:DA44))*1</f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f>(SUM(DC44:DF44))*1</f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f>(SUM(DH44:DK44))*1</f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f>(SUM(DM44:DP44))*1</f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f>(SUM(DR44:DU44))*1</f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f t="shared" si="37"/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f t="shared" si="38"/>
        <v>0</v>
      </c>
      <c r="EG44" s="27">
        <v>0</v>
      </c>
      <c r="EH44" s="27">
        <v>0</v>
      </c>
      <c r="EI44" s="27">
        <v>0</v>
      </c>
    </row>
    <row r="45" spans="1:139" ht="15" thickBot="1" x14ac:dyDescent="0.35">
      <c r="A45" s="2" t="s">
        <v>370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28">
        <v>0</v>
      </c>
      <c r="BK45" s="28">
        <v>0</v>
      </c>
      <c r="BL45" s="28">
        <v>0</v>
      </c>
      <c r="BM45" s="28">
        <v>0</v>
      </c>
      <c r="BN45" s="28">
        <f>(SUM(BJ45:BM45))*1</f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f>(SUM(BO45:BR45))*1</f>
        <v>0</v>
      </c>
      <c r="BT45" s="28">
        <v>0</v>
      </c>
      <c r="BU45" s="28">
        <v>0</v>
      </c>
      <c r="BV45" s="28">
        <v>0</v>
      </c>
      <c r="BW45" s="28">
        <v>0</v>
      </c>
      <c r="BX45" s="28">
        <f>(SUM(BT45:BW45))*1</f>
        <v>0</v>
      </c>
      <c r="BY45" s="28">
        <v>0</v>
      </c>
      <c r="BZ45" s="28">
        <v>0</v>
      </c>
      <c r="CA45" s="28">
        <v>0</v>
      </c>
      <c r="CB45" s="28">
        <v>0</v>
      </c>
      <c r="CC45" s="28">
        <f>(SUM(BY45:CB45))*1</f>
        <v>0</v>
      </c>
      <c r="CD45" s="28">
        <v>0</v>
      </c>
      <c r="CE45" s="28">
        <v>0</v>
      </c>
      <c r="CF45" s="28">
        <v>0</v>
      </c>
      <c r="CG45" s="28">
        <v>0</v>
      </c>
      <c r="CH45" s="28">
        <f>(SUM(CD45:CG45))*1</f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f>(SUM(CI45:CL45))*1</f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f>(SUM(CN45:CQ45))*1</f>
        <v>0</v>
      </c>
      <c r="CS45" s="28">
        <v>0</v>
      </c>
      <c r="CT45" s="28">
        <v>0</v>
      </c>
      <c r="CU45" s="28">
        <v>0</v>
      </c>
      <c r="CV45" s="28">
        <v>0</v>
      </c>
      <c r="CW45" s="28">
        <f t="shared" si="50"/>
        <v>0</v>
      </c>
      <c r="CX45" s="28">
        <f t="shared" si="50"/>
        <v>0</v>
      </c>
      <c r="CY45" s="28">
        <v>0</v>
      </c>
      <c r="CZ45" s="28">
        <v>0</v>
      </c>
      <c r="DA45" s="28">
        <v>0</v>
      </c>
      <c r="DB45" s="28">
        <f>(SUM(CX45:DA45))*1</f>
        <v>0</v>
      </c>
      <c r="DC45" s="28">
        <v>0</v>
      </c>
      <c r="DD45" s="28">
        <v>0</v>
      </c>
      <c r="DE45" s="28">
        <v>0</v>
      </c>
      <c r="DF45" s="28">
        <v>0</v>
      </c>
      <c r="DG45" s="28">
        <f>(SUM(DC45:DF45))*1</f>
        <v>0</v>
      </c>
      <c r="DH45" s="28">
        <v>0</v>
      </c>
      <c r="DI45" s="28">
        <v>0</v>
      </c>
      <c r="DJ45" s="28">
        <v>0</v>
      </c>
      <c r="DK45" s="28">
        <v>0</v>
      </c>
      <c r="DL45" s="28">
        <f>(SUM(DH45:DK45))*1</f>
        <v>0</v>
      </c>
      <c r="DM45" s="28">
        <v>0</v>
      </c>
      <c r="DN45" s="28">
        <v>0</v>
      </c>
      <c r="DO45" s="28">
        <v>0</v>
      </c>
      <c r="DP45" s="28">
        <v>0</v>
      </c>
      <c r="DQ45" s="28">
        <f>(SUM(DM45:DP45))*1</f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f>(SUM(DR45:DU45))*1</f>
        <v>0</v>
      </c>
      <c r="DW45" s="28">
        <v>0</v>
      </c>
      <c r="DX45" s="28">
        <v>0</v>
      </c>
      <c r="DY45" s="28">
        <v>0</v>
      </c>
      <c r="DZ45" s="28">
        <v>0</v>
      </c>
      <c r="EA45" s="28">
        <f t="shared" si="37"/>
        <v>0</v>
      </c>
      <c r="EB45" s="28">
        <v>0</v>
      </c>
      <c r="EC45" s="28">
        <v>0</v>
      </c>
      <c r="ED45" s="28">
        <v>0</v>
      </c>
      <c r="EE45" s="28">
        <v>0</v>
      </c>
      <c r="EF45" s="28">
        <f t="shared" si="38"/>
        <v>0</v>
      </c>
      <c r="EG45" s="28">
        <v>0</v>
      </c>
      <c r="EH45" s="28">
        <v>0</v>
      </c>
      <c r="EI45" s="28">
        <v>0</v>
      </c>
    </row>
    <row r="46" spans="1:139" ht="15" thickTop="1" x14ac:dyDescent="0.3">
      <c r="A46" s="1" t="s">
        <v>422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27">
        <v>0</v>
      </c>
      <c r="BK46" s="27">
        <v>0</v>
      </c>
      <c r="BL46" s="27">
        <v>0</v>
      </c>
      <c r="BM46" s="27">
        <v>0</v>
      </c>
      <c r="BN46" s="27">
        <f>(SUM(BJ46:BM46))*1</f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f>(SUM(BO46:BR46))*1</f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f>(SUM(BT46:BW46))*1</f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f>(SUM(BY46:CB46))*1</f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f>(SUM(CD46:CG46))*1</f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f>(SUM(CI46:CL46))*1</f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f>(SUM(CN46:CQ46))*1</f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f>(SUM(CS46:CV46))*1</f>
        <v>0</v>
      </c>
      <c r="CX46" s="27">
        <v>0</v>
      </c>
      <c r="CY46" s="27">
        <v>0</v>
      </c>
      <c r="CZ46" s="27">
        <v>0</v>
      </c>
      <c r="DA46" s="27">
        <v>0</v>
      </c>
      <c r="DB46" s="27">
        <f>(SUM(CX46:DA46))*1</f>
        <v>0</v>
      </c>
      <c r="DC46" s="27">
        <v>0</v>
      </c>
      <c r="DD46" s="27">
        <v>0</v>
      </c>
      <c r="DE46" s="27">
        <v>0</v>
      </c>
      <c r="DF46" s="27">
        <v>0</v>
      </c>
      <c r="DG46" s="27">
        <f>(SUM(DC46:DF46))*1</f>
        <v>0</v>
      </c>
      <c r="DH46" s="27">
        <v>0</v>
      </c>
      <c r="DI46" s="27">
        <v>0</v>
      </c>
      <c r="DJ46" s="27">
        <v>0</v>
      </c>
      <c r="DK46" s="27">
        <v>0</v>
      </c>
      <c r="DL46" s="27">
        <f>(SUM(DH46:DK46))*1</f>
        <v>0</v>
      </c>
      <c r="DM46" s="27">
        <v>0</v>
      </c>
      <c r="DN46" s="27">
        <v>0</v>
      </c>
      <c r="DO46" s="27">
        <v>0</v>
      </c>
      <c r="DP46" s="27">
        <v>0</v>
      </c>
      <c r="DQ46" s="27">
        <f>(SUM(DM46:DP46))*1</f>
        <v>0</v>
      </c>
      <c r="DR46" s="27">
        <v>0</v>
      </c>
      <c r="DS46" s="27">
        <v>0</v>
      </c>
      <c r="DT46" s="27">
        <v>0</v>
      </c>
      <c r="DU46" s="27">
        <v>0</v>
      </c>
      <c r="DV46" s="27">
        <f>(SUM(DR46:DU46))*1</f>
        <v>0</v>
      </c>
      <c r="DW46" s="27">
        <v>0</v>
      </c>
      <c r="DX46" s="27">
        <v>0</v>
      </c>
      <c r="DY46" s="27">
        <v>0</v>
      </c>
      <c r="DZ46" s="27">
        <v>0</v>
      </c>
      <c r="EA46" s="27">
        <f t="shared" si="37"/>
        <v>0</v>
      </c>
      <c r="EB46" s="27">
        <v>0</v>
      </c>
      <c r="EC46" s="27">
        <v>0</v>
      </c>
      <c r="ED46" s="27">
        <v>0</v>
      </c>
      <c r="EE46" s="27">
        <v>0</v>
      </c>
      <c r="EF46" s="27">
        <f t="shared" si="38"/>
        <v>0</v>
      </c>
      <c r="EG46" s="27">
        <v>0</v>
      </c>
      <c r="EH46" s="27">
        <v>0</v>
      </c>
      <c r="EI46" s="27">
        <v>0</v>
      </c>
    </row>
    <row r="47" spans="1:139" x14ac:dyDescent="0.3">
      <c r="A47" s="2" t="s">
        <v>308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v>0</v>
      </c>
      <c r="DC47" s="28">
        <v>0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28">
        <v>0</v>
      </c>
      <c r="DZ47" s="28">
        <v>0</v>
      </c>
      <c r="EA47" s="28">
        <v>0</v>
      </c>
      <c r="EB47" s="28">
        <v>0</v>
      </c>
      <c r="EC47" s="28">
        <v>0</v>
      </c>
      <c r="ED47" s="28">
        <v>0</v>
      </c>
      <c r="EE47" s="28">
        <v>0</v>
      </c>
      <c r="EF47" s="28">
        <v>0</v>
      </c>
      <c r="EG47" s="28">
        <v>0</v>
      </c>
      <c r="EH47" s="28">
        <v>0</v>
      </c>
      <c r="EI47" s="28">
        <v>0</v>
      </c>
    </row>
    <row r="48" spans="1:139" x14ac:dyDescent="0.3">
      <c r="A48" s="5" t="s">
        <v>311</v>
      </c>
      <c r="B48" s="10">
        <f t="shared" ref="B48:AG48" si="51">SUM(B28:B45)</f>
        <v>0</v>
      </c>
      <c r="C48" s="10">
        <f t="shared" si="51"/>
        <v>0</v>
      </c>
      <c r="D48" s="10">
        <f t="shared" si="51"/>
        <v>0</v>
      </c>
      <c r="E48" s="10">
        <f t="shared" si="51"/>
        <v>0</v>
      </c>
      <c r="F48" s="10">
        <f t="shared" si="51"/>
        <v>0</v>
      </c>
      <c r="G48" s="10">
        <f t="shared" si="51"/>
        <v>0</v>
      </c>
      <c r="H48" s="10">
        <f t="shared" si="51"/>
        <v>0</v>
      </c>
      <c r="I48" s="10">
        <f t="shared" si="51"/>
        <v>0</v>
      </c>
      <c r="J48" s="10">
        <f t="shared" si="51"/>
        <v>0</v>
      </c>
      <c r="K48" s="10">
        <f t="shared" si="51"/>
        <v>0</v>
      </c>
      <c r="L48" s="10">
        <f t="shared" si="51"/>
        <v>0</v>
      </c>
      <c r="M48" s="10">
        <f t="shared" si="51"/>
        <v>0</v>
      </c>
      <c r="N48" s="10">
        <f t="shared" si="51"/>
        <v>0</v>
      </c>
      <c r="O48" s="10">
        <f t="shared" si="51"/>
        <v>0</v>
      </c>
      <c r="P48" s="10">
        <f t="shared" si="51"/>
        <v>0</v>
      </c>
      <c r="Q48" s="10">
        <f t="shared" si="51"/>
        <v>0</v>
      </c>
      <c r="R48" s="10">
        <f t="shared" si="51"/>
        <v>0</v>
      </c>
      <c r="S48" s="10">
        <f t="shared" si="51"/>
        <v>0</v>
      </c>
      <c r="T48" s="10">
        <f t="shared" si="51"/>
        <v>0</v>
      </c>
      <c r="U48" s="10">
        <f t="shared" si="51"/>
        <v>0</v>
      </c>
      <c r="V48" s="10">
        <f t="shared" si="51"/>
        <v>0</v>
      </c>
      <c r="W48" s="10">
        <f t="shared" si="51"/>
        <v>0</v>
      </c>
      <c r="X48" s="10">
        <f t="shared" si="51"/>
        <v>0</v>
      </c>
      <c r="Y48" s="10">
        <f t="shared" si="51"/>
        <v>0</v>
      </c>
      <c r="Z48" s="10">
        <f t="shared" si="51"/>
        <v>0</v>
      </c>
      <c r="AA48" s="10">
        <f t="shared" si="51"/>
        <v>0</v>
      </c>
      <c r="AB48" s="10">
        <f t="shared" si="51"/>
        <v>0</v>
      </c>
      <c r="AC48" s="10">
        <f t="shared" si="51"/>
        <v>0</v>
      </c>
      <c r="AD48" s="10">
        <f t="shared" si="51"/>
        <v>0</v>
      </c>
      <c r="AE48" s="10">
        <f t="shared" si="51"/>
        <v>0</v>
      </c>
      <c r="AF48" s="10">
        <f t="shared" si="51"/>
        <v>0</v>
      </c>
      <c r="AG48" s="10">
        <f t="shared" si="51"/>
        <v>0</v>
      </c>
      <c r="AH48" s="10">
        <f t="shared" ref="AH48:BI48" si="52">SUM(AH28:AH45)</f>
        <v>0</v>
      </c>
      <c r="AI48" s="10">
        <f t="shared" si="52"/>
        <v>0</v>
      </c>
      <c r="AJ48" s="10">
        <f t="shared" si="52"/>
        <v>0</v>
      </c>
      <c r="AK48" s="10">
        <f t="shared" si="52"/>
        <v>0</v>
      </c>
      <c r="AL48" s="10">
        <f t="shared" si="52"/>
        <v>0</v>
      </c>
      <c r="AM48" s="10">
        <f t="shared" si="52"/>
        <v>0</v>
      </c>
      <c r="AN48" s="10">
        <f t="shared" si="52"/>
        <v>0</v>
      </c>
      <c r="AO48" s="10">
        <f t="shared" si="52"/>
        <v>0</v>
      </c>
      <c r="AP48" s="10">
        <f t="shared" si="52"/>
        <v>0</v>
      </c>
      <c r="AQ48" s="10">
        <f t="shared" si="52"/>
        <v>0</v>
      </c>
      <c r="AR48" s="10">
        <f t="shared" si="52"/>
        <v>0</v>
      </c>
      <c r="AS48" s="10">
        <f t="shared" si="52"/>
        <v>0</v>
      </c>
      <c r="AT48" s="10">
        <f t="shared" si="52"/>
        <v>0</v>
      </c>
      <c r="AU48" s="10">
        <f t="shared" si="52"/>
        <v>0</v>
      </c>
      <c r="AV48" s="10">
        <f t="shared" si="52"/>
        <v>0</v>
      </c>
      <c r="AW48" s="10">
        <f t="shared" si="52"/>
        <v>0</v>
      </c>
      <c r="AX48" s="10">
        <f t="shared" si="52"/>
        <v>0</v>
      </c>
      <c r="AY48" s="10">
        <f t="shared" si="52"/>
        <v>0</v>
      </c>
      <c r="AZ48" s="10">
        <f t="shared" si="52"/>
        <v>0</v>
      </c>
      <c r="BA48" s="10">
        <f t="shared" si="52"/>
        <v>0</v>
      </c>
      <c r="BB48" s="10">
        <f t="shared" si="52"/>
        <v>0</v>
      </c>
      <c r="BC48" s="10">
        <f t="shared" si="52"/>
        <v>0</v>
      </c>
      <c r="BD48" s="10">
        <f t="shared" si="52"/>
        <v>0</v>
      </c>
      <c r="BE48" s="10">
        <f t="shared" si="52"/>
        <v>0</v>
      </c>
      <c r="BF48" s="10">
        <f t="shared" si="52"/>
        <v>0</v>
      </c>
      <c r="BG48" s="10">
        <f t="shared" si="52"/>
        <v>0</v>
      </c>
      <c r="BH48" s="10">
        <f t="shared" si="52"/>
        <v>0</v>
      </c>
      <c r="BI48" s="10">
        <f t="shared" si="52"/>
        <v>0</v>
      </c>
      <c r="BJ48" s="29">
        <f t="shared" ref="BJ48:CO48" si="53">(SUM(BJ28:BJ45))*1</f>
        <v>296.86899999999997</v>
      </c>
      <c r="BK48" s="29">
        <f t="shared" si="53"/>
        <v>289.29508744999998</v>
      </c>
      <c r="BL48" s="29">
        <f t="shared" si="53"/>
        <v>316.89360169000003</v>
      </c>
      <c r="BM48" s="29">
        <f t="shared" si="53"/>
        <v>330.20000000000005</v>
      </c>
      <c r="BN48" s="29">
        <f t="shared" si="53"/>
        <v>1233.2576891399999</v>
      </c>
      <c r="BO48" s="29">
        <f t="shared" si="53"/>
        <v>338.20486590000002</v>
      </c>
      <c r="BP48" s="29">
        <f t="shared" si="53"/>
        <v>330.38792018999999</v>
      </c>
      <c r="BQ48" s="29">
        <f t="shared" si="53"/>
        <v>354.69828889999997</v>
      </c>
      <c r="BR48" s="29">
        <f t="shared" si="53"/>
        <v>366.36688279999998</v>
      </c>
      <c r="BS48" s="29">
        <f t="shared" si="53"/>
        <v>1389.65795779</v>
      </c>
      <c r="BT48" s="29">
        <f t="shared" si="53"/>
        <v>387.5</v>
      </c>
      <c r="BU48" s="29">
        <f t="shared" si="53"/>
        <v>353.28113764999989</v>
      </c>
      <c r="BV48" s="29">
        <f t="shared" si="53"/>
        <v>400.93655120000011</v>
      </c>
      <c r="BW48" s="29">
        <f t="shared" si="53"/>
        <v>406.46325974999979</v>
      </c>
      <c r="BX48" s="29">
        <f t="shared" si="53"/>
        <v>1548.1809485999997</v>
      </c>
      <c r="BY48" s="29">
        <f t="shared" si="53"/>
        <v>409.00000000000006</v>
      </c>
      <c r="BZ48" s="29">
        <f t="shared" si="53"/>
        <v>403.5</v>
      </c>
      <c r="CA48" s="29">
        <f t="shared" si="53"/>
        <v>437.6</v>
      </c>
      <c r="CB48" s="29">
        <f t="shared" si="53"/>
        <v>439</v>
      </c>
      <c r="CC48" s="29">
        <f t="shared" si="53"/>
        <v>1689.1000000000001</v>
      </c>
      <c r="CD48" s="29">
        <f t="shared" si="53"/>
        <v>456.29999999999995</v>
      </c>
      <c r="CE48" s="29">
        <f t="shared" si="53"/>
        <v>437.05532699999998</v>
      </c>
      <c r="CF48" s="29">
        <f t="shared" si="53"/>
        <v>486</v>
      </c>
      <c r="CG48" s="29">
        <f t="shared" si="53"/>
        <v>508.20000000000005</v>
      </c>
      <c r="CH48" s="29">
        <f t="shared" si="53"/>
        <v>1887.5553270000003</v>
      </c>
      <c r="CI48" s="29">
        <f t="shared" si="53"/>
        <v>509.3</v>
      </c>
      <c r="CJ48" s="29">
        <f t="shared" si="53"/>
        <v>494.1</v>
      </c>
      <c r="CK48" s="29">
        <f t="shared" si="53"/>
        <v>545.90000000000009</v>
      </c>
      <c r="CL48" s="29">
        <f t="shared" si="53"/>
        <v>558.88707204999992</v>
      </c>
      <c r="CM48" s="29">
        <f t="shared" si="53"/>
        <v>2108.1870720500001</v>
      </c>
      <c r="CN48" s="29">
        <f t="shared" si="53"/>
        <v>580.29999999999995</v>
      </c>
      <c r="CO48" s="29">
        <f t="shared" si="53"/>
        <v>539.20000000000005</v>
      </c>
      <c r="CP48" s="29">
        <f t="shared" ref="CP48:DX48" si="54">(SUM(CP28:CP45))*1</f>
        <v>559.69999999999993</v>
      </c>
      <c r="CQ48" s="29">
        <f t="shared" si="54"/>
        <v>582.19999999999982</v>
      </c>
      <c r="CR48" s="29">
        <f t="shared" si="54"/>
        <v>2261.4</v>
      </c>
      <c r="CS48" s="29">
        <f t="shared" si="54"/>
        <v>636.65164970000001</v>
      </c>
      <c r="CT48" s="29">
        <f t="shared" si="54"/>
        <v>603.81478675000005</v>
      </c>
      <c r="CU48" s="29">
        <f t="shared" si="54"/>
        <v>649.88725229999989</v>
      </c>
      <c r="CV48" s="29">
        <f t="shared" si="54"/>
        <v>643.63981204999982</v>
      </c>
      <c r="CW48" s="29">
        <f t="shared" si="54"/>
        <v>2533.9935007999998</v>
      </c>
      <c r="CX48" s="29">
        <f t="shared" si="54"/>
        <v>672.39400000000001</v>
      </c>
      <c r="CY48" s="29">
        <f t="shared" si="54"/>
        <v>584.34</v>
      </c>
      <c r="CZ48" s="29">
        <f t="shared" si="54"/>
        <v>629.29900000000009</v>
      </c>
      <c r="DA48" s="29">
        <f t="shared" si="54"/>
        <v>642.62699999999995</v>
      </c>
      <c r="DB48" s="29">
        <f t="shared" si="54"/>
        <v>2528.66</v>
      </c>
      <c r="DC48" s="29">
        <f t="shared" si="54"/>
        <v>659.39499999999998</v>
      </c>
      <c r="DD48" s="29">
        <f t="shared" si="54"/>
        <v>691.13900000000001</v>
      </c>
      <c r="DE48" s="29">
        <f t="shared" si="54"/>
        <v>782.93599999999992</v>
      </c>
      <c r="DF48" s="29">
        <f t="shared" si="54"/>
        <v>818.66</v>
      </c>
      <c r="DG48" s="29">
        <f t="shared" si="54"/>
        <v>2952.13</v>
      </c>
      <c r="DH48" s="29">
        <f t="shared" si="54"/>
        <v>779.13600000000008</v>
      </c>
      <c r="DI48" s="29">
        <f t="shared" si="54"/>
        <v>638.25100000000009</v>
      </c>
      <c r="DJ48" s="29">
        <f t="shared" si="54"/>
        <v>774.74299999999994</v>
      </c>
      <c r="DK48" s="29">
        <f t="shared" si="54"/>
        <v>831.72499999999991</v>
      </c>
      <c r="DL48" s="29">
        <f t="shared" si="54"/>
        <v>3023.8550000000009</v>
      </c>
      <c r="DM48" s="29">
        <f t="shared" si="54"/>
        <v>829.29800000000012</v>
      </c>
      <c r="DN48" s="29">
        <f t="shared" si="54"/>
        <v>848.43799999999999</v>
      </c>
      <c r="DO48" s="29">
        <f t="shared" si="54"/>
        <v>918.73099999999977</v>
      </c>
      <c r="DP48" s="29">
        <f t="shared" si="54"/>
        <v>867.10100000000011</v>
      </c>
      <c r="DQ48" s="29">
        <f t="shared" si="54"/>
        <v>3463.5680000000007</v>
      </c>
      <c r="DR48" s="29">
        <f t="shared" si="54"/>
        <v>747.88400000000001</v>
      </c>
      <c r="DS48" s="29">
        <f t="shared" si="54"/>
        <v>733.92400000000009</v>
      </c>
      <c r="DT48" s="29">
        <f t="shared" si="54"/>
        <v>848.15200000000004</v>
      </c>
      <c r="DU48" s="29">
        <f t="shared" si="54"/>
        <v>1128.433</v>
      </c>
      <c r="DV48" s="29">
        <f t="shared" si="54"/>
        <v>3458.3930000000005</v>
      </c>
      <c r="DW48" s="29">
        <f t="shared" si="54"/>
        <v>1104.547</v>
      </c>
      <c r="DX48" s="29">
        <f t="shared" si="54"/>
        <v>1276.336</v>
      </c>
      <c r="DY48" s="29">
        <f>(SUM(DY28:DY47))*1</f>
        <v>1475.78609959</v>
      </c>
      <c r="DZ48" s="29">
        <f>(SUM(DZ28:DZ47))*1</f>
        <v>1570.0658428200002</v>
      </c>
      <c r="EA48" s="29">
        <f>(SUM(EA28:EA45))*1</f>
        <v>5426.7349424100003</v>
      </c>
      <c r="EB48" s="29">
        <f>(SUM(EB28:EB47))*1</f>
        <v>1549.5821623899999</v>
      </c>
      <c r="EC48" s="29">
        <f>(SUM(EC28:EC47))*1</f>
        <v>1575.66138776</v>
      </c>
      <c r="ED48" s="29">
        <f>(SUM(ED28:ED47))*1</f>
        <v>1704.0129999999999</v>
      </c>
      <c r="EE48" s="29">
        <f>(SUM(EE28:EE47))*1</f>
        <v>1717.90613057</v>
      </c>
      <c r="EF48" s="29">
        <f>(SUM(EF28:EF45))*1</f>
        <v>6547.1626807199991</v>
      </c>
      <c r="EG48" s="29">
        <f>(SUM(EG28:EG47))*1</f>
        <v>1690.1007682299999</v>
      </c>
      <c r="EH48" s="29">
        <f>(SUM(EH28:EH47))*1</f>
        <v>1853.8486470600001</v>
      </c>
      <c r="EI48" s="29">
        <f>(SUM(EI28:EI47))*1</f>
        <v>2016.8982454299999</v>
      </c>
    </row>
    <row r="51" spans="1:139" x14ac:dyDescent="0.3">
      <c r="A51" s="3" t="s">
        <v>312</v>
      </c>
      <c r="B51" s="6" t="s">
        <v>4</v>
      </c>
      <c r="C51" s="6" t="s">
        <v>5</v>
      </c>
      <c r="D51" s="6" t="s">
        <v>6</v>
      </c>
      <c r="E51" s="6" t="s">
        <v>7</v>
      </c>
      <c r="F51" s="6">
        <v>2018</v>
      </c>
      <c r="G51" s="6" t="s">
        <v>8</v>
      </c>
      <c r="H51" s="6" t="s">
        <v>9</v>
      </c>
      <c r="I51" s="6" t="s">
        <v>10</v>
      </c>
      <c r="J51" s="6" t="s">
        <v>11</v>
      </c>
      <c r="K51" s="6">
        <v>2019</v>
      </c>
      <c r="L51" s="6" t="s">
        <v>12</v>
      </c>
      <c r="M51" s="6" t="s">
        <v>13</v>
      </c>
      <c r="N51" s="6" t="s">
        <v>14</v>
      </c>
      <c r="O51" s="6" t="s">
        <v>15</v>
      </c>
      <c r="P51" s="6">
        <v>2000</v>
      </c>
      <c r="Q51" s="6" t="s">
        <v>16</v>
      </c>
      <c r="R51" s="6" t="s">
        <v>17</v>
      </c>
      <c r="S51" s="6" t="s">
        <v>18</v>
      </c>
      <c r="T51" s="6" t="s">
        <v>19</v>
      </c>
      <c r="U51" s="6">
        <v>2001</v>
      </c>
      <c r="V51" s="6" t="s">
        <v>20</v>
      </c>
      <c r="W51" s="6" t="s">
        <v>21</v>
      </c>
      <c r="X51" s="6" t="s">
        <v>22</v>
      </c>
      <c r="Y51" s="6" t="s">
        <v>23</v>
      </c>
      <c r="Z51" s="6">
        <v>2002</v>
      </c>
      <c r="AA51" s="6" t="s">
        <v>24</v>
      </c>
      <c r="AB51" s="6" t="s">
        <v>25</v>
      </c>
      <c r="AC51" s="6" t="s">
        <v>26</v>
      </c>
      <c r="AD51" s="6" t="s">
        <v>27</v>
      </c>
      <c r="AE51" s="6">
        <v>2003</v>
      </c>
      <c r="AF51" s="6" t="s">
        <v>28</v>
      </c>
      <c r="AG51" s="6" t="s">
        <v>29</v>
      </c>
      <c r="AH51" s="6" t="s">
        <v>30</v>
      </c>
      <c r="AI51" s="6" t="s">
        <v>31</v>
      </c>
      <c r="AJ51" s="6">
        <v>2004</v>
      </c>
      <c r="AK51" s="6" t="s">
        <v>32</v>
      </c>
      <c r="AL51" s="6" t="s">
        <v>33</v>
      </c>
      <c r="AM51" s="6" t="s">
        <v>34</v>
      </c>
      <c r="AN51" s="6" t="s">
        <v>35</v>
      </c>
      <c r="AO51" s="6">
        <v>2005</v>
      </c>
      <c r="AP51" s="6" t="s">
        <v>36</v>
      </c>
      <c r="AQ51" s="6" t="s">
        <v>37</v>
      </c>
      <c r="AR51" s="6" t="s">
        <v>38</v>
      </c>
      <c r="AS51" s="6" t="s">
        <v>39</v>
      </c>
      <c r="AT51" s="6">
        <v>2006</v>
      </c>
      <c r="AU51" s="6" t="s">
        <v>40</v>
      </c>
      <c r="AV51" s="6" t="s">
        <v>41</v>
      </c>
      <c r="AW51" s="6" t="s">
        <v>42</v>
      </c>
      <c r="AX51" s="6" t="s">
        <v>43</v>
      </c>
      <c r="AY51" s="6">
        <v>2007</v>
      </c>
      <c r="AZ51" s="6" t="s">
        <v>44</v>
      </c>
      <c r="BA51" s="6" t="s">
        <v>45</v>
      </c>
      <c r="BB51" s="6" t="s">
        <v>46</v>
      </c>
      <c r="BC51" s="6" t="s">
        <v>47</v>
      </c>
      <c r="BD51" s="6">
        <v>2008</v>
      </c>
      <c r="BE51" s="6" t="s">
        <v>48</v>
      </c>
      <c r="BF51" s="6" t="s">
        <v>49</v>
      </c>
      <c r="BG51" s="6" t="s">
        <v>50</v>
      </c>
      <c r="BH51" s="6" t="s">
        <v>51</v>
      </c>
      <c r="BI51" s="6">
        <v>2009</v>
      </c>
      <c r="BJ51" s="6" t="s">
        <v>52</v>
      </c>
      <c r="BK51" s="6" t="s">
        <v>53</v>
      </c>
      <c r="BL51" s="6" t="s">
        <v>54</v>
      </c>
      <c r="BM51" s="6" t="s">
        <v>55</v>
      </c>
      <c r="BN51" s="6">
        <v>2010</v>
      </c>
      <c r="BO51" s="6" t="s">
        <v>56</v>
      </c>
      <c r="BP51" s="6" t="s">
        <v>57</v>
      </c>
      <c r="BQ51" s="6" t="s">
        <v>58</v>
      </c>
      <c r="BR51" s="6" t="s">
        <v>59</v>
      </c>
      <c r="BS51" s="6">
        <v>2011</v>
      </c>
      <c r="BT51" s="6" t="s">
        <v>60</v>
      </c>
      <c r="BU51" s="6" t="s">
        <v>61</v>
      </c>
      <c r="BV51" s="6" t="s">
        <v>62</v>
      </c>
      <c r="BW51" s="6" t="s">
        <v>63</v>
      </c>
      <c r="BX51" s="6">
        <v>2012</v>
      </c>
      <c r="BY51" s="6" t="s">
        <v>64</v>
      </c>
      <c r="BZ51" s="6" t="s">
        <v>65</v>
      </c>
      <c r="CA51" s="6" t="s">
        <v>66</v>
      </c>
      <c r="CB51" s="6" t="s">
        <v>67</v>
      </c>
      <c r="CC51" s="6">
        <v>2013</v>
      </c>
      <c r="CD51" s="6" t="s">
        <v>68</v>
      </c>
      <c r="CE51" s="6" t="s">
        <v>69</v>
      </c>
      <c r="CF51" s="6" t="s">
        <v>70</v>
      </c>
      <c r="CG51" s="6" t="s">
        <v>71</v>
      </c>
      <c r="CH51" s="6">
        <v>2014</v>
      </c>
      <c r="CI51" s="6" t="s">
        <v>72</v>
      </c>
      <c r="CJ51" s="6" t="s">
        <v>73</v>
      </c>
      <c r="CK51" s="6" t="s">
        <v>74</v>
      </c>
      <c r="CL51" s="6" t="s">
        <v>75</v>
      </c>
      <c r="CM51" s="6">
        <v>2015</v>
      </c>
      <c r="CN51" s="6" t="s">
        <v>76</v>
      </c>
      <c r="CO51" s="6" t="s">
        <v>77</v>
      </c>
      <c r="CP51" s="6" t="s">
        <v>78</v>
      </c>
      <c r="CQ51" s="6" t="s">
        <v>79</v>
      </c>
      <c r="CR51" s="6">
        <v>2016</v>
      </c>
      <c r="CS51" s="6" t="s">
        <v>80</v>
      </c>
      <c r="CT51" s="6" t="s">
        <v>81</v>
      </c>
      <c r="CU51" s="6" t="s">
        <v>82</v>
      </c>
      <c r="CV51" s="6" t="s">
        <v>83</v>
      </c>
      <c r="CW51" s="6">
        <v>2017</v>
      </c>
      <c r="CX51" s="6" t="s">
        <v>84</v>
      </c>
      <c r="CY51" s="6" t="s">
        <v>85</v>
      </c>
      <c r="CZ51" s="6" t="s">
        <v>86</v>
      </c>
      <c r="DA51" s="6" t="s">
        <v>87</v>
      </c>
      <c r="DB51" s="6">
        <v>2018</v>
      </c>
      <c r="DC51" s="6" t="s">
        <v>88</v>
      </c>
      <c r="DD51" s="6" t="s">
        <v>89</v>
      </c>
      <c r="DE51" s="6" t="s">
        <v>90</v>
      </c>
      <c r="DF51" s="6" t="s">
        <v>91</v>
      </c>
      <c r="DG51" s="6">
        <v>2019</v>
      </c>
      <c r="DH51" s="6" t="s">
        <v>92</v>
      </c>
      <c r="DI51" s="6" t="s">
        <v>93</v>
      </c>
      <c r="DJ51" s="6" t="s">
        <v>94</v>
      </c>
      <c r="DK51" s="6" t="s">
        <v>95</v>
      </c>
      <c r="DL51" s="6">
        <v>2020</v>
      </c>
      <c r="DM51" s="6" t="s">
        <v>96</v>
      </c>
      <c r="DN51" s="6" t="s">
        <v>97</v>
      </c>
      <c r="DO51" s="6" t="s">
        <v>98</v>
      </c>
      <c r="DP51" s="6" t="s">
        <v>99</v>
      </c>
      <c r="DQ51" s="6">
        <v>2021</v>
      </c>
      <c r="DR51" s="6" t="s">
        <v>100</v>
      </c>
      <c r="DS51" s="6" t="s">
        <v>101</v>
      </c>
      <c r="DT51" s="6" t="s">
        <v>200</v>
      </c>
      <c r="DU51" s="6" t="s">
        <v>380</v>
      </c>
      <c r="DV51" s="6">
        <v>2022</v>
      </c>
      <c r="DW51" s="6" t="s">
        <v>379</v>
      </c>
      <c r="DX51" s="6" t="s">
        <v>402</v>
      </c>
      <c r="DY51" s="6" t="s">
        <v>414</v>
      </c>
      <c r="DZ51" s="6" t="s">
        <v>419</v>
      </c>
      <c r="EA51" s="6">
        <v>2023</v>
      </c>
      <c r="EB51" s="6" t="s">
        <v>424</v>
      </c>
      <c r="EC51" s="6" t="s">
        <v>429</v>
      </c>
      <c r="ED51" s="6" t="str">
        <f>$ED$1</f>
        <v>3T24</v>
      </c>
      <c r="EE51" s="6" t="str">
        <f>$EE$1</f>
        <v>4T24</v>
      </c>
      <c r="EF51" s="6">
        <f>$EF$1</f>
        <v>2024</v>
      </c>
      <c r="EG51" s="6" t="str">
        <f>EG$1</f>
        <v>1T25</v>
      </c>
      <c r="EH51" s="6" t="str">
        <f>EH$1</f>
        <v>2T25</v>
      </c>
      <c r="EI51" s="6" t="str">
        <f>EI$1</f>
        <v>3T25</v>
      </c>
    </row>
    <row r="52" spans="1:139" ht="15" thickBot="1" x14ac:dyDescent="0.35">
      <c r="A52" s="4" t="s">
        <v>423</v>
      </c>
      <c r="B52" s="7" t="s">
        <v>102</v>
      </c>
      <c r="C52" s="7" t="s">
        <v>103</v>
      </c>
      <c r="D52" s="7" t="s">
        <v>104</v>
      </c>
      <c r="E52" s="7" t="s">
        <v>105</v>
      </c>
      <c r="F52" s="7">
        <v>2018</v>
      </c>
      <c r="G52" s="7" t="s">
        <v>106</v>
      </c>
      <c r="H52" s="7" t="s">
        <v>107</v>
      </c>
      <c r="I52" s="7" t="s">
        <v>108</v>
      </c>
      <c r="J52" s="7" t="s">
        <v>109</v>
      </c>
      <c r="K52" s="7">
        <v>2019</v>
      </c>
      <c r="L52" s="7" t="s">
        <v>110</v>
      </c>
      <c r="M52" s="7" t="s">
        <v>111</v>
      </c>
      <c r="N52" s="7" t="s">
        <v>112</v>
      </c>
      <c r="O52" s="7" t="s">
        <v>113</v>
      </c>
      <c r="P52" s="7">
        <v>2000</v>
      </c>
      <c r="Q52" s="7" t="s">
        <v>114</v>
      </c>
      <c r="R52" s="7" t="s">
        <v>115</v>
      </c>
      <c r="S52" s="7" t="s">
        <v>116</v>
      </c>
      <c r="T52" s="7" t="s">
        <v>117</v>
      </c>
      <c r="U52" s="7">
        <v>2001</v>
      </c>
      <c r="V52" s="7" t="s">
        <v>118</v>
      </c>
      <c r="W52" s="7" t="s">
        <v>119</v>
      </c>
      <c r="X52" s="7" t="s">
        <v>120</v>
      </c>
      <c r="Y52" s="7" t="s">
        <v>121</v>
      </c>
      <c r="Z52" s="7">
        <v>2002</v>
      </c>
      <c r="AA52" s="7" t="s">
        <v>122</v>
      </c>
      <c r="AB52" s="7" t="s">
        <v>123</v>
      </c>
      <c r="AC52" s="7" t="s">
        <v>124</v>
      </c>
      <c r="AD52" s="7" t="s">
        <v>125</v>
      </c>
      <c r="AE52" s="7">
        <v>2003</v>
      </c>
      <c r="AF52" s="7" t="s">
        <v>126</v>
      </c>
      <c r="AG52" s="7" t="s">
        <v>127</v>
      </c>
      <c r="AH52" s="7" t="s">
        <v>128</v>
      </c>
      <c r="AI52" s="7" t="s">
        <v>129</v>
      </c>
      <c r="AJ52" s="7">
        <v>2004</v>
      </c>
      <c r="AK52" s="7" t="s">
        <v>130</v>
      </c>
      <c r="AL52" s="7" t="s">
        <v>131</v>
      </c>
      <c r="AM52" s="7" t="s">
        <v>132</v>
      </c>
      <c r="AN52" s="7" t="s">
        <v>133</v>
      </c>
      <c r="AO52" s="7">
        <v>2005</v>
      </c>
      <c r="AP52" s="7" t="s">
        <v>134</v>
      </c>
      <c r="AQ52" s="7" t="s">
        <v>135</v>
      </c>
      <c r="AR52" s="7" t="s">
        <v>136</v>
      </c>
      <c r="AS52" s="7" t="s">
        <v>137</v>
      </c>
      <c r="AT52" s="7">
        <v>2006</v>
      </c>
      <c r="AU52" s="7" t="s">
        <v>138</v>
      </c>
      <c r="AV52" s="7" t="s">
        <v>139</v>
      </c>
      <c r="AW52" s="7" t="s">
        <v>140</v>
      </c>
      <c r="AX52" s="7" t="s">
        <v>141</v>
      </c>
      <c r="AY52" s="7">
        <v>2007</v>
      </c>
      <c r="AZ52" s="7" t="s">
        <v>142</v>
      </c>
      <c r="BA52" s="7" t="s">
        <v>143</v>
      </c>
      <c r="BB52" s="7" t="s">
        <v>144</v>
      </c>
      <c r="BC52" s="7" t="s">
        <v>145</v>
      </c>
      <c r="BD52" s="7">
        <v>2008</v>
      </c>
      <c r="BE52" s="7" t="s">
        <v>146</v>
      </c>
      <c r="BF52" s="7" t="s">
        <v>147</v>
      </c>
      <c r="BG52" s="7" t="s">
        <v>148</v>
      </c>
      <c r="BH52" s="7" t="s">
        <v>149</v>
      </c>
      <c r="BI52" s="7">
        <v>2009</v>
      </c>
      <c r="BJ52" s="7" t="s">
        <v>150</v>
      </c>
      <c r="BK52" s="7" t="s">
        <v>151</v>
      </c>
      <c r="BL52" s="7" t="s">
        <v>152</v>
      </c>
      <c r="BM52" s="7" t="s">
        <v>153</v>
      </c>
      <c r="BN52" s="7">
        <v>2010</v>
      </c>
      <c r="BO52" s="7" t="s">
        <v>154</v>
      </c>
      <c r="BP52" s="7" t="s">
        <v>155</v>
      </c>
      <c r="BQ52" s="7" t="s">
        <v>156</v>
      </c>
      <c r="BR52" s="7" t="s">
        <v>157</v>
      </c>
      <c r="BS52" s="7">
        <v>2011</v>
      </c>
      <c r="BT52" s="7" t="s">
        <v>158</v>
      </c>
      <c r="BU52" s="7" t="s">
        <v>159</v>
      </c>
      <c r="BV52" s="7" t="s">
        <v>160</v>
      </c>
      <c r="BW52" s="7" t="s">
        <v>161</v>
      </c>
      <c r="BX52" s="7">
        <v>2012</v>
      </c>
      <c r="BY52" s="7" t="s">
        <v>162</v>
      </c>
      <c r="BZ52" s="7" t="s">
        <v>163</v>
      </c>
      <c r="CA52" s="7" t="s">
        <v>164</v>
      </c>
      <c r="CB52" s="7" t="s">
        <v>165</v>
      </c>
      <c r="CC52" s="7">
        <v>2013</v>
      </c>
      <c r="CD52" s="7" t="s">
        <v>166</v>
      </c>
      <c r="CE52" s="7" t="s">
        <v>167</v>
      </c>
      <c r="CF52" s="7" t="s">
        <v>168</v>
      </c>
      <c r="CG52" s="7" t="s">
        <v>169</v>
      </c>
      <c r="CH52" s="7">
        <v>2014</v>
      </c>
      <c r="CI52" s="7" t="s">
        <v>170</v>
      </c>
      <c r="CJ52" s="7" t="s">
        <v>171</v>
      </c>
      <c r="CK52" s="7" t="s">
        <v>172</v>
      </c>
      <c r="CL52" s="7" t="s">
        <v>173</v>
      </c>
      <c r="CM52" s="7">
        <v>2015</v>
      </c>
      <c r="CN52" s="7" t="s">
        <v>174</v>
      </c>
      <c r="CO52" s="7" t="s">
        <v>175</v>
      </c>
      <c r="CP52" s="7" t="s">
        <v>176</v>
      </c>
      <c r="CQ52" s="7" t="s">
        <v>177</v>
      </c>
      <c r="CR52" s="7">
        <v>2016</v>
      </c>
      <c r="CS52" s="7" t="s">
        <v>178</v>
      </c>
      <c r="CT52" s="7" t="s">
        <v>179</v>
      </c>
      <c r="CU52" s="7" t="s">
        <v>180</v>
      </c>
      <c r="CV52" s="7" t="s">
        <v>181</v>
      </c>
      <c r="CW52" s="7">
        <v>2017</v>
      </c>
      <c r="CX52" s="7" t="s">
        <v>182</v>
      </c>
      <c r="CY52" s="7" t="s">
        <v>183</v>
      </c>
      <c r="CZ52" s="7" t="s">
        <v>184</v>
      </c>
      <c r="DA52" s="7" t="s">
        <v>185</v>
      </c>
      <c r="DB52" s="7">
        <v>2018</v>
      </c>
      <c r="DC52" s="7" t="s">
        <v>186</v>
      </c>
      <c r="DD52" s="7" t="s">
        <v>187</v>
      </c>
      <c r="DE52" s="7" t="s">
        <v>188</v>
      </c>
      <c r="DF52" s="7" t="s">
        <v>189</v>
      </c>
      <c r="DG52" s="7">
        <v>2019</v>
      </c>
      <c r="DH52" s="7" t="s">
        <v>190</v>
      </c>
      <c r="DI52" s="7" t="s">
        <v>191</v>
      </c>
      <c r="DJ52" s="7" t="s">
        <v>192</v>
      </c>
      <c r="DK52" s="7" t="s">
        <v>193</v>
      </c>
      <c r="DL52" s="7">
        <v>2020</v>
      </c>
      <c r="DM52" s="7" t="s">
        <v>194</v>
      </c>
      <c r="DN52" s="7" t="s">
        <v>195</v>
      </c>
      <c r="DO52" s="7" t="s">
        <v>196</v>
      </c>
      <c r="DP52" s="7" t="s">
        <v>197</v>
      </c>
      <c r="DQ52" s="7">
        <v>2021</v>
      </c>
      <c r="DR52" s="7" t="s">
        <v>198</v>
      </c>
      <c r="DS52" s="7" t="s">
        <v>199</v>
      </c>
      <c r="DT52" s="7" t="s">
        <v>201</v>
      </c>
      <c r="DU52" s="7" t="s">
        <v>381</v>
      </c>
      <c r="DV52" s="7">
        <v>2022</v>
      </c>
      <c r="DW52" s="7" t="s">
        <v>382</v>
      </c>
      <c r="DX52" s="7" t="s">
        <v>403</v>
      </c>
      <c r="DY52" s="7" t="s">
        <v>415</v>
      </c>
      <c r="DZ52" s="7" t="s">
        <v>420</v>
      </c>
      <c r="EA52" s="7">
        <v>2023</v>
      </c>
      <c r="EB52" s="7" t="s">
        <v>425</v>
      </c>
      <c r="EC52" s="7" t="s">
        <v>430</v>
      </c>
      <c r="ED52" s="6" t="str">
        <f>$ED$2</f>
        <v>3Q24</v>
      </c>
      <c r="EE52" s="7" t="str">
        <f>$EE$2</f>
        <v>4Q24</v>
      </c>
      <c r="EF52" s="7">
        <f>$EF$2</f>
        <v>2024</v>
      </c>
      <c r="EG52" s="7" t="str">
        <f>EG$2</f>
        <v>1Q25</v>
      </c>
      <c r="EH52" s="7" t="str">
        <f>EH$2</f>
        <v>2Q25</v>
      </c>
      <c r="EI52" s="7" t="str">
        <f>EI$2</f>
        <v>3Q25</v>
      </c>
    </row>
    <row r="53" spans="1:139" ht="15" thickTop="1" x14ac:dyDescent="0.3">
      <c r="A53" s="1" t="s">
        <v>2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27">
        <v>0.2</v>
      </c>
      <c r="BK53" s="27">
        <v>0.2</v>
      </c>
      <c r="BL53" s="27">
        <v>0.2</v>
      </c>
      <c r="BM53" s="27">
        <v>0.4</v>
      </c>
      <c r="BN53" s="27">
        <f>SUM(BJ53:BM53)</f>
        <v>1</v>
      </c>
      <c r="BO53" s="27">
        <v>0.3</v>
      </c>
      <c r="BP53" s="27">
        <v>0.3</v>
      </c>
      <c r="BQ53" s="27">
        <v>0.6</v>
      </c>
      <c r="BR53" s="27">
        <v>0.3</v>
      </c>
      <c r="BS53" s="27">
        <f>SUM(BO53:BR53)</f>
        <v>1.5</v>
      </c>
      <c r="BT53" s="27">
        <v>0.3</v>
      </c>
      <c r="BU53" s="27">
        <v>0.3</v>
      </c>
      <c r="BV53" s="27">
        <v>0.2</v>
      </c>
      <c r="BW53" s="27">
        <v>0.3</v>
      </c>
      <c r="BX53" s="27">
        <f>SUM(BT53:BW53)</f>
        <v>1.1000000000000001</v>
      </c>
      <c r="BY53" s="27">
        <v>0.3</v>
      </c>
      <c r="BZ53" s="27">
        <v>0.3</v>
      </c>
      <c r="CA53" s="27">
        <v>0.3</v>
      </c>
      <c r="CB53" s="27">
        <v>0.3</v>
      </c>
      <c r="CC53" s="27">
        <f>SUM(BY53:CB53)</f>
        <v>1.2</v>
      </c>
      <c r="CD53" s="27">
        <v>0.4</v>
      </c>
      <c r="CE53" s="27">
        <v>0.3</v>
      </c>
      <c r="CF53" s="27">
        <v>0.6</v>
      </c>
      <c r="CG53" s="27">
        <v>0.5</v>
      </c>
      <c r="CH53" s="27">
        <f>SUM(CD53:CG53)</f>
        <v>1.7999999999999998</v>
      </c>
      <c r="CI53" s="27">
        <v>0.3</v>
      </c>
      <c r="CJ53" s="27">
        <v>0.8</v>
      </c>
      <c r="CK53" s="27">
        <v>0.44772211000000001</v>
      </c>
      <c r="CL53" s="27">
        <v>0.4</v>
      </c>
      <c r="CM53" s="27">
        <f>SUM(CI53:CL53)</f>
        <v>1.94772211</v>
      </c>
      <c r="CN53" s="27">
        <v>0.4</v>
      </c>
      <c r="CO53" s="27">
        <v>0.3</v>
      </c>
      <c r="CP53" s="27">
        <v>0.29999999999999993</v>
      </c>
      <c r="CQ53" s="27">
        <v>0.4</v>
      </c>
      <c r="CR53" s="27">
        <f>SUM(CN53:CQ53)</f>
        <v>1.4</v>
      </c>
      <c r="CS53" s="27">
        <v>0.46018408</v>
      </c>
      <c r="CT53" s="27">
        <v>0.66992594000000005</v>
      </c>
      <c r="CU53" s="27">
        <v>0.30610135000000005</v>
      </c>
      <c r="CV53" s="27">
        <v>0.29115749999999996</v>
      </c>
      <c r="CW53" s="27">
        <f>SUM(CS53:CV53)</f>
        <v>1.7273688700000001</v>
      </c>
      <c r="CX53" s="27">
        <v>0.27400000000000002</v>
      </c>
      <c r="CY53" s="27">
        <v>0.24299999999999999</v>
      </c>
      <c r="CZ53" s="27">
        <v>0.22700000000000001</v>
      </c>
      <c r="DA53" s="27">
        <v>0.255</v>
      </c>
      <c r="DB53" s="27">
        <f>SUM(CX53:DA53)</f>
        <v>0.999</v>
      </c>
      <c r="DC53" s="27">
        <v>0.24199999999999999</v>
      </c>
      <c r="DD53" s="27">
        <v>0.16900000000000001</v>
      </c>
      <c r="DE53" s="27">
        <v>8.2000000000000003E-2</v>
      </c>
      <c r="DF53" s="27">
        <v>0.113</v>
      </c>
      <c r="DG53" s="27">
        <f>SUM(DC53:DF53)</f>
        <v>0.60600000000000009</v>
      </c>
      <c r="DH53" s="27">
        <v>0.11799999999999999</v>
      </c>
      <c r="DI53" s="27">
        <v>0.104</v>
      </c>
      <c r="DJ53" s="27">
        <v>9.2999999999999999E-2</v>
      </c>
      <c r="DK53" s="27">
        <v>1.1439999999999999</v>
      </c>
      <c r="DL53" s="27">
        <f>SUM(DH53:DK53)</f>
        <v>1.4589999999999999</v>
      </c>
      <c r="DM53" s="27">
        <v>0.16200000000000001</v>
      </c>
      <c r="DN53" s="27">
        <v>0.108</v>
      </c>
      <c r="DO53" s="27">
        <v>0.1104</v>
      </c>
      <c r="DP53" s="27">
        <v>7.9000000000000001E-2</v>
      </c>
      <c r="DQ53" s="27">
        <f t="shared" ref="DQ53:DQ64" si="55">SUM(DM53:DP53)</f>
        <v>0.45940000000000003</v>
      </c>
      <c r="DR53" s="27">
        <v>0</v>
      </c>
      <c r="DS53" s="27">
        <v>0</v>
      </c>
      <c r="DT53" s="27">
        <v>0</v>
      </c>
      <c r="DU53" s="27">
        <v>0</v>
      </c>
      <c r="DV53" s="27">
        <f>SUM(DR53:DU53)</f>
        <v>0</v>
      </c>
      <c r="DW53" s="27">
        <v>0</v>
      </c>
      <c r="DX53" s="27">
        <v>0</v>
      </c>
      <c r="DY53" s="27">
        <v>0</v>
      </c>
      <c r="DZ53" s="27">
        <v>0</v>
      </c>
      <c r="EA53" s="27">
        <f t="shared" ref="EA53:EA72" si="56">SUM(DW53:DZ53)</f>
        <v>0</v>
      </c>
      <c r="EB53" s="27">
        <v>0</v>
      </c>
      <c r="EC53" s="27">
        <v>0</v>
      </c>
      <c r="ED53" s="27">
        <v>0</v>
      </c>
      <c r="EE53" s="27">
        <v>0</v>
      </c>
      <c r="EF53" s="27">
        <f t="shared" ref="EF53:EF72" si="57">SUM(EB53:EE53)</f>
        <v>0</v>
      </c>
      <c r="EG53" s="27">
        <v>0</v>
      </c>
      <c r="EH53" s="27">
        <v>0</v>
      </c>
      <c r="EI53" s="27">
        <v>0</v>
      </c>
    </row>
    <row r="54" spans="1:139" ht="15" thickBot="1" x14ac:dyDescent="0.35">
      <c r="A54" s="2" t="s">
        <v>454</v>
      </c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28">
        <v>0.04</v>
      </c>
      <c r="BK54" s="28">
        <v>0.1</v>
      </c>
      <c r="BL54" s="28">
        <v>0.1</v>
      </c>
      <c r="BM54" s="28">
        <v>0.1</v>
      </c>
      <c r="BN54" s="28">
        <f t="shared" ref="BN54:BN72" si="58">SUM(BJ54:BM54)</f>
        <v>0.34</v>
      </c>
      <c r="BO54" s="28">
        <v>0.1</v>
      </c>
      <c r="BP54" s="28">
        <v>0.2</v>
      </c>
      <c r="BQ54" s="28">
        <v>0.2</v>
      </c>
      <c r="BR54" s="28">
        <v>0.2</v>
      </c>
      <c r="BS54" s="28">
        <f t="shared" ref="BS54:BS72" si="59">SUM(BO54:BR54)</f>
        <v>0.7</v>
      </c>
      <c r="BT54" s="28">
        <v>0.2</v>
      </c>
      <c r="BU54" s="28">
        <v>0.2</v>
      </c>
      <c r="BV54" s="28">
        <v>0.4</v>
      </c>
      <c r="BW54" s="28">
        <v>0.2</v>
      </c>
      <c r="BX54" s="28">
        <f t="shared" ref="BX54:BX72" si="60">SUM(BT54:BW54)</f>
        <v>1</v>
      </c>
      <c r="BY54" s="28">
        <v>0.2</v>
      </c>
      <c r="BZ54" s="28">
        <v>0.2</v>
      </c>
      <c r="CA54" s="28">
        <v>0.2</v>
      </c>
      <c r="CB54" s="28">
        <v>0.4</v>
      </c>
      <c r="CC54" s="28">
        <f t="shared" ref="CC54:CC72" si="61">SUM(BY54:CB54)</f>
        <v>1</v>
      </c>
      <c r="CD54" s="28">
        <v>0.2</v>
      </c>
      <c r="CE54" s="28">
        <v>0.3</v>
      </c>
      <c r="CF54" s="28">
        <v>0.2</v>
      </c>
      <c r="CG54" s="28">
        <v>0.2</v>
      </c>
      <c r="CH54" s="28">
        <f t="shared" ref="CH54:CH72" si="62">SUM(CD54:CG54)</f>
        <v>0.89999999999999991</v>
      </c>
      <c r="CI54" s="28">
        <v>0.2</v>
      </c>
      <c r="CJ54" s="28">
        <v>0.1</v>
      </c>
      <c r="CK54" s="28">
        <v>0.17073118999999998</v>
      </c>
      <c r="CL54" s="28">
        <v>0.2</v>
      </c>
      <c r="CM54" s="28">
        <f t="shared" ref="CM54:CM72" si="63">SUM(CI54:CL54)</f>
        <v>0.67073119000000003</v>
      </c>
      <c r="CN54" s="28">
        <v>0.1</v>
      </c>
      <c r="CO54" s="28">
        <v>0.2</v>
      </c>
      <c r="CP54" s="28">
        <v>0.19999999999999998</v>
      </c>
      <c r="CQ54" s="28">
        <v>0.1</v>
      </c>
      <c r="CR54" s="28">
        <f t="shared" ref="CR54:CR72" si="64">SUM(CN54:CQ54)</f>
        <v>0.6</v>
      </c>
      <c r="CS54" s="28">
        <v>0.17363057999999998</v>
      </c>
      <c r="CT54" s="28">
        <v>0.17051216000000002</v>
      </c>
      <c r="CU54" s="28">
        <v>0.13443133000000002</v>
      </c>
      <c r="CV54" s="28">
        <v>0.13054779999999994</v>
      </c>
      <c r="CW54" s="28">
        <f t="shared" ref="CW54:CW72" si="65">SUM(CS54:CV54)</f>
        <v>0.60912186999999995</v>
      </c>
      <c r="CX54" s="28">
        <v>0.188</v>
      </c>
      <c r="CY54" s="28">
        <v>0.152</v>
      </c>
      <c r="CZ54" s="28">
        <v>0.14299999999999999</v>
      </c>
      <c r="DA54" s="28">
        <v>0.16800000000000001</v>
      </c>
      <c r="DB54" s="28">
        <f t="shared" ref="DB54:DB72" si="66">SUM(CX54:DA54)</f>
        <v>0.65100000000000002</v>
      </c>
      <c r="DC54" s="28">
        <v>0.155</v>
      </c>
      <c r="DD54" s="28">
        <v>0.17</v>
      </c>
      <c r="DE54" s="28">
        <v>0</v>
      </c>
      <c r="DF54" s="28">
        <v>0.11799999999999999</v>
      </c>
      <c r="DG54" s="28">
        <f t="shared" ref="DG54:DG72" si="67">SUM(DC54:DF54)</f>
        <v>0.443</v>
      </c>
      <c r="DH54" s="28">
        <v>0.13400000000000001</v>
      </c>
      <c r="DI54" s="28">
        <v>0.108</v>
      </c>
      <c r="DJ54" s="28">
        <v>0.1</v>
      </c>
      <c r="DK54" s="28">
        <v>9.9000000000000005E-2</v>
      </c>
      <c r="DL54" s="28">
        <f t="shared" ref="DL54:DL72" si="68">SUM(DH54:DK54)</f>
        <v>0.44099999999999995</v>
      </c>
      <c r="DM54" s="28">
        <v>0.11799999999999999</v>
      </c>
      <c r="DN54" s="28">
        <v>0.12</v>
      </c>
      <c r="DO54" s="28">
        <v>0.122</v>
      </c>
      <c r="DP54" s="28">
        <v>0.122</v>
      </c>
      <c r="DQ54" s="28">
        <f t="shared" si="55"/>
        <v>0.48199999999999998</v>
      </c>
      <c r="DR54" s="28">
        <v>0.14399999999999999</v>
      </c>
      <c r="DS54" s="28">
        <v>0.13800000000000001</v>
      </c>
      <c r="DT54" s="28">
        <v>0.13500000000000001</v>
      </c>
      <c r="DU54" s="28">
        <v>0.14099999999999999</v>
      </c>
      <c r="DV54" s="28">
        <f t="shared" ref="DV54:DV64" si="69">SUM(DR54:DU54)</f>
        <v>0.55800000000000005</v>
      </c>
      <c r="DW54" s="28">
        <v>0.16400000000000001</v>
      </c>
      <c r="DX54" s="28">
        <v>0.14499999999999999</v>
      </c>
      <c r="DY54" s="28">
        <v>0.14721813999999997</v>
      </c>
      <c r="DZ54" s="28">
        <v>0.14732258000000001</v>
      </c>
      <c r="EA54" s="28">
        <f t="shared" si="56"/>
        <v>0.60354071999999992</v>
      </c>
      <c r="EB54" s="28">
        <v>7.3074360000000005E-2</v>
      </c>
      <c r="EC54" s="28">
        <v>5.9693550000000005E-2</v>
      </c>
      <c r="ED54" s="28">
        <v>0.06</v>
      </c>
      <c r="EE54" s="28">
        <v>0.49959021999999997</v>
      </c>
      <c r="EF54" s="28">
        <f t="shared" si="57"/>
        <v>0.69235813000000002</v>
      </c>
      <c r="EG54" s="28">
        <v>0.12369529</v>
      </c>
      <c r="EH54" s="28">
        <v>6.7118750000000019E-2</v>
      </c>
      <c r="EI54" s="28">
        <v>0.14834504000000001</v>
      </c>
    </row>
    <row r="55" spans="1:139" ht="15" thickTop="1" x14ac:dyDescent="0.3">
      <c r="A55" s="1" t="s">
        <v>442</v>
      </c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27">
        <v>8.1</v>
      </c>
      <c r="BK55" s="27">
        <v>7.4</v>
      </c>
      <c r="BL55" s="27">
        <v>8.1999999999999993</v>
      </c>
      <c r="BM55" s="27">
        <v>8.6</v>
      </c>
      <c r="BN55" s="27">
        <f t="shared" si="58"/>
        <v>32.299999999999997</v>
      </c>
      <c r="BO55" s="27">
        <v>7.7</v>
      </c>
      <c r="BP55" s="27">
        <v>9</v>
      </c>
      <c r="BQ55" s="27">
        <v>9.1</v>
      </c>
      <c r="BR55" s="27">
        <v>9</v>
      </c>
      <c r="BS55" s="27">
        <f t="shared" si="59"/>
        <v>34.799999999999997</v>
      </c>
      <c r="BT55" s="27">
        <v>8.6</v>
      </c>
      <c r="BU55" s="27">
        <v>10.1</v>
      </c>
      <c r="BV55" s="27">
        <v>10.5</v>
      </c>
      <c r="BW55" s="27">
        <v>10</v>
      </c>
      <c r="BX55" s="27">
        <f t="shared" si="60"/>
        <v>39.200000000000003</v>
      </c>
      <c r="BY55" s="27">
        <v>8.5</v>
      </c>
      <c r="BZ55" s="27">
        <v>9.4</v>
      </c>
      <c r="CA55" s="27">
        <v>9.5</v>
      </c>
      <c r="CB55" s="27">
        <v>9.9</v>
      </c>
      <c r="CC55" s="27">
        <f t="shared" si="61"/>
        <v>37.299999999999997</v>
      </c>
      <c r="CD55" s="27">
        <v>9.3000000000000007</v>
      </c>
      <c r="CE55" s="27">
        <v>9.3000000000000007</v>
      </c>
      <c r="CF55" s="27">
        <v>10.8</v>
      </c>
      <c r="CG55" s="27">
        <v>10.199999999999999</v>
      </c>
      <c r="CH55" s="27">
        <f t="shared" si="62"/>
        <v>39.6</v>
      </c>
      <c r="CI55" s="27">
        <v>9.4</v>
      </c>
      <c r="CJ55" s="27">
        <v>10.1</v>
      </c>
      <c r="CK55" s="27">
        <v>10.331779809999999</v>
      </c>
      <c r="CL55" s="27">
        <v>9.9</v>
      </c>
      <c r="CM55" s="27">
        <f t="shared" si="63"/>
        <v>39.731779809999999</v>
      </c>
      <c r="CN55" s="27">
        <v>9.8000000000000007</v>
      </c>
      <c r="CO55" s="27">
        <v>10.5</v>
      </c>
      <c r="CP55" s="27">
        <v>10.399999999999999</v>
      </c>
      <c r="CQ55" s="27">
        <v>11.2</v>
      </c>
      <c r="CR55" s="27">
        <f t="shared" si="64"/>
        <v>41.9</v>
      </c>
      <c r="CS55" s="27">
        <v>11.064645130000001</v>
      </c>
      <c r="CT55" s="27">
        <v>12.672192409999999</v>
      </c>
      <c r="CU55" s="27">
        <v>10.791949259999999</v>
      </c>
      <c r="CV55" s="27">
        <v>11.273854059999998</v>
      </c>
      <c r="CW55" s="27">
        <f t="shared" si="65"/>
        <v>45.802640859999997</v>
      </c>
      <c r="CX55" s="27">
        <v>10.637</v>
      </c>
      <c r="CY55" s="27">
        <v>10.792999999999999</v>
      </c>
      <c r="CZ55" s="27">
        <v>10.86</v>
      </c>
      <c r="DA55" s="27">
        <v>11.584</v>
      </c>
      <c r="DB55" s="27">
        <f t="shared" si="66"/>
        <v>43.873999999999995</v>
      </c>
      <c r="DC55" s="27">
        <v>10.97</v>
      </c>
      <c r="DD55" s="27">
        <v>10.949</v>
      </c>
      <c r="DE55" s="27">
        <v>9.3800000000000008</v>
      </c>
      <c r="DF55" s="27">
        <v>11.391999999999999</v>
      </c>
      <c r="DG55" s="27">
        <f t="shared" si="67"/>
        <v>42.691000000000003</v>
      </c>
      <c r="DH55" s="27">
        <v>12.79</v>
      </c>
      <c r="DI55" s="27">
        <v>12.372999999999999</v>
      </c>
      <c r="DJ55" s="27">
        <v>12.605</v>
      </c>
      <c r="DK55" s="27">
        <v>15.366</v>
      </c>
      <c r="DL55" s="27">
        <f t="shared" si="68"/>
        <v>53.134</v>
      </c>
      <c r="DM55" s="27">
        <v>13.715</v>
      </c>
      <c r="DN55" s="27">
        <v>14.576000000000001</v>
      </c>
      <c r="DO55" s="27">
        <v>18.061</v>
      </c>
      <c r="DP55" s="27">
        <v>16.895</v>
      </c>
      <c r="DQ55" s="27">
        <f t="shared" si="55"/>
        <v>63.247</v>
      </c>
      <c r="DR55" s="27">
        <v>18.260000000000002</v>
      </c>
      <c r="DS55" s="27">
        <v>17.202000000000002</v>
      </c>
      <c r="DT55" s="27">
        <v>17.907</v>
      </c>
      <c r="DU55" s="27">
        <v>17.931999999999999</v>
      </c>
      <c r="DV55" s="27">
        <f t="shared" si="69"/>
        <v>71.301000000000002</v>
      </c>
      <c r="DW55" s="27">
        <v>19.489999999999998</v>
      </c>
      <c r="DX55" s="27">
        <v>20.006</v>
      </c>
      <c r="DY55" s="27">
        <v>18.516519699999996</v>
      </c>
      <c r="DZ55" s="27">
        <v>18.454339299999997</v>
      </c>
      <c r="EA55" s="27">
        <f t="shared" si="56"/>
        <v>76.466858999999985</v>
      </c>
      <c r="EB55" s="27">
        <v>18.502203780000002</v>
      </c>
      <c r="EC55" s="27">
        <v>17.961374979999995</v>
      </c>
      <c r="ED55" s="27">
        <v>17.789000000000001</v>
      </c>
      <c r="EE55" s="27">
        <v>16.896312460000001</v>
      </c>
      <c r="EF55" s="27">
        <f t="shared" si="57"/>
        <v>71.148891219999996</v>
      </c>
      <c r="EG55" s="27">
        <v>17.008824649999998</v>
      </c>
      <c r="EH55" s="27">
        <v>18.204603240000001</v>
      </c>
      <c r="EI55" s="27">
        <v>17.882503249999999</v>
      </c>
    </row>
    <row r="56" spans="1:139" ht="15" thickBot="1" x14ac:dyDescent="0.35">
      <c r="A56" s="2" t="s">
        <v>3</v>
      </c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28">
        <v>1.4</v>
      </c>
      <c r="BK56" s="28">
        <v>1.3</v>
      </c>
      <c r="BL56" s="28">
        <v>1.4</v>
      </c>
      <c r="BM56" s="28">
        <v>1.6</v>
      </c>
      <c r="BN56" s="28">
        <f t="shared" si="58"/>
        <v>5.6999999999999993</v>
      </c>
      <c r="BO56" s="28">
        <v>1.5</v>
      </c>
      <c r="BP56" s="28">
        <v>1.6</v>
      </c>
      <c r="BQ56" s="28">
        <v>1.6</v>
      </c>
      <c r="BR56" s="28">
        <v>1.6</v>
      </c>
      <c r="BS56" s="28">
        <f t="shared" si="59"/>
        <v>6.3000000000000007</v>
      </c>
      <c r="BT56" s="28">
        <v>1.7</v>
      </c>
      <c r="BU56" s="28">
        <v>1.7</v>
      </c>
      <c r="BV56" s="28">
        <v>1.7</v>
      </c>
      <c r="BW56" s="28">
        <v>1.7</v>
      </c>
      <c r="BX56" s="28">
        <f t="shared" si="60"/>
        <v>6.8</v>
      </c>
      <c r="BY56" s="28">
        <v>1.8</v>
      </c>
      <c r="BZ56" s="28">
        <v>1.8</v>
      </c>
      <c r="CA56" s="28">
        <v>1.8</v>
      </c>
      <c r="CB56" s="28">
        <v>1.9</v>
      </c>
      <c r="CC56" s="28">
        <f t="shared" si="61"/>
        <v>7.3000000000000007</v>
      </c>
      <c r="CD56" s="28">
        <v>1.9</v>
      </c>
      <c r="CE56" s="28">
        <v>2</v>
      </c>
      <c r="CF56" s="28">
        <v>2</v>
      </c>
      <c r="CG56" s="28">
        <v>2</v>
      </c>
      <c r="CH56" s="28">
        <f t="shared" si="62"/>
        <v>7.9</v>
      </c>
      <c r="CI56" s="28">
        <v>2</v>
      </c>
      <c r="CJ56" s="28">
        <v>2</v>
      </c>
      <c r="CK56" s="28">
        <v>2.0981843600000003</v>
      </c>
      <c r="CL56" s="28">
        <v>2.5</v>
      </c>
      <c r="CM56" s="28">
        <f t="shared" si="63"/>
        <v>8.5981843600000012</v>
      </c>
      <c r="CN56" s="28">
        <v>2.2999999999999998</v>
      </c>
      <c r="CO56" s="28">
        <v>2.2999999999999998</v>
      </c>
      <c r="CP56" s="28">
        <v>2.5</v>
      </c>
      <c r="CQ56" s="28">
        <v>2.5</v>
      </c>
      <c r="CR56" s="28">
        <f t="shared" si="64"/>
        <v>9.6</v>
      </c>
      <c r="CS56" s="28">
        <v>2.6503188999999998</v>
      </c>
      <c r="CT56" s="28">
        <v>2.5602414200000001</v>
      </c>
      <c r="CU56" s="28">
        <v>2.5848476600000003</v>
      </c>
      <c r="CV56" s="28">
        <v>2.6196525800000003</v>
      </c>
      <c r="CW56" s="28">
        <f t="shared" si="65"/>
        <v>10.415060560000001</v>
      </c>
      <c r="CX56" s="28">
        <v>2.7080000000000002</v>
      </c>
      <c r="CY56" s="28">
        <v>2.6309999999999998</v>
      </c>
      <c r="CZ56" s="28">
        <v>2.569</v>
      </c>
      <c r="DA56" s="28">
        <v>2.742</v>
      </c>
      <c r="DB56" s="28">
        <f t="shared" si="66"/>
        <v>10.65</v>
      </c>
      <c r="DC56" s="28">
        <v>2.7770000000000001</v>
      </c>
      <c r="DD56" s="28">
        <v>2.7919999999999998</v>
      </c>
      <c r="DE56" s="28">
        <v>2.746</v>
      </c>
      <c r="DF56" s="28">
        <v>2.9390000000000001</v>
      </c>
      <c r="DG56" s="28">
        <f t="shared" si="67"/>
        <v>11.254</v>
      </c>
      <c r="DH56" s="28">
        <v>2.9239999999999999</v>
      </c>
      <c r="DI56" s="28">
        <v>2.7080000000000002</v>
      </c>
      <c r="DJ56" s="28">
        <v>2.7410000000000001</v>
      </c>
      <c r="DK56" s="28">
        <v>2.8530000000000002</v>
      </c>
      <c r="DL56" s="28">
        <f t="shared" si="68"/>
        <v>11.225999999999999</v>
      </c>
      <c r="DM56" s="28">
        <v>2.9009999999999998</v>
      </c>
      <c r="DN56" s="28">
        <v>2.9820000000000002</v>
      </c>
      <c r="DO56" s="28">
        <v>2.956</v>
      </c>
      <c r="DP56" s="28">
        <v>1.869</v>
      </c>
      <c r="DQ56" s="28">
        <f t="shared" si="55"/>
        <v>10.708</v>
      </c>
      <c r="DR56" s="28">
        <v>0</v>
      </c>
      <c r="DS56" s="28">
        <v>0</v>
      </c>
      <c r="DT56" s="28">
        <v>0</v>
      </c>
      <c r="DU56" s="28">
        <v>0</v>
      </c>
      <c r="DV56" s="28">
        <f t="shared" si="69"/>
        <v>0</v>
      </c>
      <c r="DW56" s="28">
        <v>0</v>
      </c>
      <c r="DX56" s="28">
        <v>0</v>
      </c>
      <c r="DY56" s="28">
        <v>0</v>
      </c>
      <c r="DZ56" s="28">
        <v>0</v>
      </c>
      <c r="EA56" s="28">
        <f t="shared" si="56"/>
        <v>0</v>
      </c>
      <c r="EB56" s="28">
        <v>0</v>
      </c>
      <c r="EC56" s="28">
        <v>0</v>
      </c>
      <c r="ED56" s="28">
        <v>0</v>
      </c>
      <c r="EE56" s="28">
        <v>0</v>
      </c>
      <c r="EF56" s="28">
        <f t="shared" si="57"/>
        <v>0</v>
      </c>
      <c r="EG56" s="28">
        <v>0</v>
      </c>
      <c r="EH56" s="28">
        <v>0</v>
      </c>
      <c r="EI56" s="28">
        <v>0</v>
      </c>
    </row>
    <row r="57" spans="1:139" ht="15" thickTop="1" x14ac:dyDescent="0.3">
      <c r="A57" s="1" t="s">
        <v>443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27">
        <v>1.8</v>
      </c>
      <c r="BK57" s="27">
        <v>3.5</v>
      </c>
      <c r="BL57" s="27">
        <v>1.9</v>
      </c>
      <c r="BM57" s="27">
        <v>1.7</v>
      </c>
      <c r="BN57" s="27">
        <f t="shared" si="58"/>
        <v>8.8999999999999986</v>
      </c>
      <c r="BO57" s="27">
        <v>2.2000000000000002</v>
      </c>
      <c r="BP57" s="27">
        <v>2.2999999999999998</v>
      </c>
      <c r="BQ57" s="27">
        <v>2.1</v>
      </c>
      <c r="BR57" s="27">
        <v>2.4</v>
      </c>
      <c r="BS57" s="27">
        <f t="shared" si="59"/>
        <v>9</v>
      </c>
      <c r="BT57" s="27">
        <v>2.2000000000000002</v>
      </c>
      <c r="BU57" s="27">
        <v>2.1</v>
      </c>
      <c r="BV57" s="27">
        <v>2.2000000000000002</v>
      </c>
      <c r="BW57" s="27">
        <v>3.5</v>
      </c>
      <c r="BX57" s="27">
        <f t="shared" si="60"/>
        <v>10</v>
      </c>
      <c r="BY57" s="27">
        <v>2.2999999999999998</v>
      </c>
      <c r="BZ57" s="27">
        <v>2.2999999999999998</v>
      </c>
      <c r="CA57" s="27">
        <v>2.4</v>
      </c>
      <c r="CB57" s="27">
        <v>2.2999999999999998</v>
      </c>
      <c r="CC57" s="27">
        <f t="shared" si="61"/>
        <v>9.3000000000000007</v>
      </c>
      <c r="CD57" s="27">
        <v>2.5</v>
      </c>
      <c r="CE57" s="27">
        <v>2.9</v>
      </c>
      <c r="CF57" s="27">
        <v>2.8</v>
      </c>
      <c r="CG57" s="27">
        <v>3</v>
      </c>
      <c r="CH57" s="27">
        <f t="shared" si="62"/>
        <v>11.2</v>
      </c>
      <c r="CI57" s="27">
        <v>3.7</v>
      </c>
      <c r="CJ57" s="27">
        <v>3</v>
      </c>
      <c r="CK57" s="27">
        <v>3.428761259999999</v>
      </c>
      <c r="CL57" s="27">
        <v>3.5</v>
      </c>
      <c r="CM57" s="27">
        <f t="shared" si="63"/>
        <v>13.628761259999999</v>
      </c>
      <c r="CN57" s="27">
        <v>3.5</v>
      </c>
      <c r="CO57" s="27">
        <v>3.3</v>
      </c>
      <c r="CP57" s="27">
        <v>3.3</v>
      </c>
      <c r="CQ57" s="27">
        <v>3.3000000000000016</v>
      </c>
      <c r="CR57" s="27">
        <f t="shared" si="64"/>
        <v>13.400000000000002</v>
      </c>
      <c r="CS57" s="27">
        <v>3.4338086299999997</v>
      </c>
      <c r="CT57" s="27">
        <v>3.1969181200000003</v>
      </c>
      <c r="CU57" s="27">
        <v>3.2830976600000001</v>
      </c>
      <c r="CV57" s="27">
        <v>3.4139267499999999</v>
      </c>
      <c r="CW57" s="27">
        <f t="shared" si="65"/>
        <v>13.32775116</v>
      </c>
      <c r="CX57" s="27">
        <v>3.629</v>
      </c>
      <c r="CY57" s="27">
        <v>3.2949999999999999</v>
      </c>
      <c r="CZ57" s="27">
        <v>3.4009999999999998</v>
      </c>
      <c r="DA57" s="27">
        <v>3.6480000000000001</v>
      </c>
      <c r="DB57" s="27">
        <f t="shared" si="66"/>
        <v>13.972999999999999</v>
      </c>
      <c r="DC57" s="27">
        <v>3.992</v>
      </c>
      <c r="DD57" s="27">
        <v>3.577</v>
      </c>
      <c r="DE57" s="27">
        <v>3.0670000000000002</v>
      </c>
      <c r="DF57" s="27">
        <v>3.1680000000000001</v>
      </c>
      <c r="DG57" s="27">
        <f t="shared" si="67"/>
        <v>13.803999999999998</v>
      </c>
      <c r="DH57" s="27">
        <v>3.6320000000000001</v>
      </c>
      <c r="DI57" s="27">
        <v>2.0230000000000001</v>
      </c>
      <c r="DJ57" s="27">
        <v>2.4420000000000002</v>
      </c>
      <c r="DK57" s="27">
        <v>2.9809999999999999</v>
      </c>
      <c r="DL57" s="27">
        <f t="shared" si="68"/>
        <v>11.078000000000001</v>
      </c>
      <c r="DM57" s="27">
        <v>3.1709999999999998</v>
      </c>
      <c r="DN57" s="27">
        <v>2.5430000000000001</v>
      </c>
      <c r="DO57" s="27">
        <v>2.948</v>
      </c>
      <c r="DP57" s="27">
        <v>3.431</v>
      </c>
      <c r="DQ57" s="27">
        <f t="shared" si="55"/>
        <v>12.093</v>
      </c>
      <c r="DR57" s="27">
        <v>3.4049999999999998</v>
      </c>
      <c r="DS57" s="27">
        <v>3.4350000000000001</v>
      </c>
      <c r="DT57" s="27">
        <v>3.5030000000000001</v>
      </c>
      <c r="DU57" s="27">
        <v>3.9809999999999999</v>
      </c>
      <c r="DV57" s="27">
        <f t="shared" si="69"/>
        <v>14.324</v>
      </c>
      <c r="DW57" s="27">
        <v>4.2489999999999997</v>
      </c>
      <c r="DX57" s="27">
        <v>3.8079999999999998</v>
      </c>
      <c r="DY57" s="27">
        <v>3.8401337899999999</v>
      </c>
      <c r="DZ57" s="27">
        <v>13.62395955</v>
      </c>
      <c r="EA57" s="27">
        <f t="shared" si="56"/>
        <v>25.52109334</v>
      </c>
      <c r="EB57" s="27">
        <v>4.7562294400000003</v>
      </c>
      <c r="EC57" s="27">
        <v>4.2462281900000001</v>
      </c>
      <c r="ED57" s="27">
        <v>14.15</v>
      </c>
      <c r="EE57" s="27">
        <v>4.3590696200000014</v>
      </c>
      <c r="EF57" s="27">
        <f t="shared" si="57"/>
        <v>27.51152725</v>
      </c>
      <c r="EG57" s="27">
        <v>5.1062938300000003</v>
      </c>
      <c r="EH57" s="27">
        <v>4.193830039999999</v>
      </c>
      <c r="EI57" s="27">
        <v>6.823379280000001</v>
      </c>
    </row>
    <row r="58" spans="1:139" ht="15" thickBot="1" x14ac:dyDescent="0.35">
      <c r="A58" s="2" t="s">
        <v>481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28">
        <v>0</v>
      </c>
      <c r="BK58" s="28">
        <v>0</v>
      </c>
      <c r="BL58" s="28">
        <v>0</v>
      </c>
      <c r="BM58" s="28">
        <v>0</v>
      </c>
      <c r="BN58" s="28">
        <f t="shared" si="58"/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f t="shared" si="59"/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f t="shared" si="60"/>
        <v>0</v>
      </c>
      <c r="BY58" s="28">
        <v>0</v>
      </c>
      <c r="BZ58" s="28">
        <v>0</v>
      </c>
      <c r="CA58" s="28">
        <v>0</v>
      </c>
      <c r="CB58" s="28">
        <v>0</v>
      </c>
      <c r="CC58" s="28">
        <f t="shared" si="61"/>
        <v>0</v>
      </c>
      <c r="CD58" s="28">
        <v>0.1</v>
      </c>
      <c r="CE58" s="28">
        <v>0.3</v>
      </c>
      <c r="CF58" s="28">
        <v>0.4</v>
      </c>
      <c r="CG58" s="28">
        <v>0.7</v>
      </c>
      <c r="CH58" s="28">
        <f t="shared" si="62"/>
        <v>1.5</v>
      </c>
      <c r="CI58" s="28">
        <v>0.3</v>
      </c>
      <c r="CJ58" s="28">
        <v>0.2</v>
      </c>
      <c r="CK58" s="28">
        <v>0.14335868000000007</v>
      </c>
      <c r="CL58" s="28">
        <v>5.5</v>
      </c>
      <c r="CM58" s="28">
        <f t="shared" si="63"/>
        <v>6.1433586800000004</v>
      </c>
      <c r="CN58" s="28">
        <v>0.2</v>
      </c>
      <c r="CO58" s="28">
        <v>1.5</v>
      </c>
      <c r="CP58" s="28">
        <v>0.90000000000000013</v>
      </c>
      <c r="CQ58" s="28">
        <v>0.89999999999999969</v>
      </c>
      <c r="CR58" s="28">
        <f t="shared" si="64"/>
        <v>3.5</v>
      </c>
      <c r="CS58" s="28">
        <v>0.89417716000000003</v>
      </c>
      <c r="CT58" s="28">
        <v>0.62329975999999998</v>
      </c>
      <c r="CU58" s="28">
        <v>1.1652554999999998</v>
      </c>
      <c r="CV58" s="28">
        <v>0.93895316000000051</v>
      </c>
      <c r="CW58" s="28">
        <f t="shared" si="65"/>
        <v>3.6216855800000003</v>
      </c>
      <c r="CX58" s="28">
        <v>0.90900000000000003</v>
      </c>
      <c r="CY58" s="28">
        <v>0.93</v>
      </c>
      <c r="CZ58" s="28">
        <v>2.242</v>
      </c>
      <c r="DA58" s="28">
        <v>1.022</v>
      </c>
      <c r="DB58" s="28">
        <f t="shared" si="66"/>
        <v>5.1029999999999998</v>
      </c>
      <c r="DC58" s="28">
        <v>0.998</v>
      </c>
      <c r="DD58" s="28">
        <v>0.84099999999999997</v>
      </c>
      <c r="DE58" s="28">
        <v>1.1870000000000001</v>
      </c>
      <c r="DF58" s="28">
        <v>1.056</v>
      </c>
      <c r="DG58" s="28">
        <f t="shared" si="67"/>
        <v>4.0819999999999999</v>
      </c>
      <c r="DH58" s="28">
        <v>1.0489999999999999</v>
      </c>
      <c r="DI58" s="28">
        <v>1.022</v>
      </c>
      <c r="DJ58" s="28">
        <v>1.0900000000000001</v>
      </c>
      <c r="DK58" s="28">
        <v>1.089</v>
      </c>
      <c r="DL58" s="28">
        <f t="shared" si="68"/>
        <v>4.25</v>
      </c>
      <c r="DM58" s="28">
        <v>1.0920000000000001</v>
      </c>
      <c r="DN58" s="28">
        <v>1.171</v>
      </c>
      <c r="DO58" s="28">
        <v>1.224</v>
      </c>
      <c r="DP58" s="28">
        <v>1.214</v>
      </c>
      <c r="DQ58" s="28">
        <f t="shared" si="55"/>
        <v>4.7010000000000005</v>
      </c>
      <c r="DR58" s="28">
        <v>1.2070000000000001</v>
      </c>
      <c r="DS58" s="28">
        <v>1.2909999999999999</v>
      </c>
      <c r="DT58" s="28">
        <v>1.359</v>
      </c>
      <c r="DU58" s="28">
        <v>1.3759999999999999</v>
      </c>
      <c r="DV58" s="28">
        <f t="shared" si="69"/>
        <v>5.2330000000000005</v>
      </c>
      <c r="DW58" s="28">
        <v>1.367</v>
      </c>
      <c r="DX58" s="28">
        <v>1.401</v>
      </c>
      <c r="DY58" s="28">
        <v>1.4445939299999997</v>
      </c>
      <c r="DZ58" s="28">
        <v>1.4528028200000003</v>
      </c>
      <c r="EA58" s="28">
        <f t="shared" si="56"/>
        <v>5.6653967500000002</v>
      </c>
      <c r="EB58" s="28">
        <v>1.4459673200000001</v>
      </c>
      <c r="EC58" s="28">
        <v>1.5952851300000002</v>
      </c>
      <c r="ED58" s="28">
        <v>1.5209999999999999</v>
      </c>
      <c r="EE58" s="28">
        <v>1.5363756500000003</v>
      </c>
      <c r="EF58" s="28">
        <f t="shared" si="57"/>
        <v>6.0986281</v>
      </c>
      <c r="EG58" s="28">
        <v>1.5353899199999999</v>
      </c>
      <c r="EH58" s="28">
        <v>1.5898997800000003</v>
      </c>
      <c r="EI58" s="28">
        <v>1.6179415699999993</v>
      </c>
    </row>
    <row r="59" spans="1:139" ht="15" thickTop="1" x14ac:dyDescent="0.3">
      <c r="A59" s="1" t="s">
        <v>445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27">
        <v>0</v>
      </c>
      <c r="BK59" s="27">
        <v>0</v>
      </c>
      <c r="BL59" s="27">
        <v>0</v>
      </c>
      <c r="BM59" s="27">
        <v>0</v>
      </c>
      <c r="BN59" s="27">
        <f t="shared" si="58"/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f t="shared" si="59"/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f t="shared" si="60"/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f t="shared" si="61"/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f t="shared" si="62"/>
        <v>0</v>
      </c>
      <c r="CI59" s="27">
        <v>0</v>
      </c>
      <c r="CJ59" s="27">
        <v>0.1</v>
      </c>
      <c r="CK59" s="27">
        <v>0.35133380000000003</v>
      </c>
      <c r="CL59" s="27">
        <v>0.6</v>
      </c>
      <c r="CM59" s="27">
        <f t="shared" si="63"/>
        <v>1.0513338000000001</v>
      </c>
      <c r="CN59" s="27">
        <v>1</v>
      </c>
      <c r="CO59" s="27">
        <v>0.8</v>
      </c>
      <c r="CP59" s="27">
        <v>0.40000000000000013</v>
      </c>
      <c r="CQ59" s="27">
        <v>0.19999999999999973</v>
      </c>
      <c r="CR59" s="27">
        <f t="shared" si="64"/>
        <v>2.4</v>
      </c>
      <c r="CS59" s="27">
        <v>2.1690134900000002</v>
      </c>
      <c r="CT59" s="27">
        <v>1.4376412699999994</v>
      </c>
      <c r="CU59" s="27">
        <v>2.6843185400000005</v>
      </c>
      <c r="CV59" s="27">
        <v>3.12287084</v>
      </c>
      <c r="CW59" s="27">
        <f t="shared" si="65"/>
        <v>9.4138441400000001</v>
      </c>
      <c r="CX59" s="27">
        <v>4.3049999999999997</v>
      </c>
      <c r="CY59" s="27">
        <v>4.0650000000000004</v>
      </c>
      <c r="CZ59" s="27">
        <v>1.972</v>
      </c>
      <c r="DA59" s="27">
        <v>2.597</v>
      </c>
      <c r="DB59" s="27">
        <f t="shared" si="66"/>
        <v>12.939</v>
      </c>
      <c r="DC59" s="27">
        <v>1.925</v>
      </c>
      <c r="DD59" s="27">
        <v>1.722</v>
      </c>
      <c r="DE59" s="27">
        <v>1.871</v>
      </c>
      <c r="DF59" s="27">
        <v>2.0760000000000001</v>
      </c>
      <c r="DG59" s="27">
        <f t="shared" si="67"/>
        <v>7.5940000000000012</v>
      </c>
      <c r="DH59" s="27">
        <v>2.052</v>
      </c>
      <c r="DI59" s="27">
        <v>1.8660000000000001</v>
      </c>
      <c r="DJ59" s="27">
        <v>1.5409999999999999</v>
      </c>
      <c r="DK59" s="27">
        <v>2.032</v>
      </c>
      <c r="DL59" s="27">
        <f t="shared" si="68"/>
        <v>7.4909999999999997</v>
      </c>
      <c r="DM59" s="27">
        <v>2.177</v>
      </c>
      <c r="DN59" s="27">
        <v>1.7749999999999999</v>
      </c>
      <c r="DO59" s="27">
        <v>2.3439999999999999</v>
      </c>
      <c r="DP59" s="27">
        <v>2.1659999999999999</v>
      </c>
      <c r="DQ59" s="27">
        <f t="shared" si="55"/>
        <v>8.4619999999999997</v>
      </c>
      <c r="DR59" s="27">
        <v>1.978</v>
      </c>
      <c r="DS59" s="27">
        <v>1.9039999999999999</v>
      </c>
      <c r="DT59" s="27">
        <v>2.274</v>
      </c>
      <c r="DU59" s="27">
        <v>2.1890000000000001</v>
      </c>
      <c r="DV59" s="27">
        <f t="shared" si="69"/>
        <v>8.3449999999999989</v>
      </c>
      <c r="DW59" s="27">
        <v>1.845</v>
      </c>
      <c r="DX59" s="27">
        <v>1.655</v>
      </c>
      <c r="DY59" s="27">
        <v>2.4891842699999995</v>
      </c>
      <c r="DZ59" s="27">
        <v>3.8516648399999998</v>
      </c>
      <c r="EA59" s="27">
        <f t="shared" si="56"/>
        <v>9.8408491099999988</v>
      </c>
      <c r="EB59" s="27">
        <v>2.7528743499999999</v>
      </c>
      <c r="EC59" s="27">
        <v>2.4832531699999993</v>
      </c>
      <c r="ED59" s="27">
        <v>2.419</v>
      </c>
      <c r="EE59" s="27">
        <v>2.2453631600000001</v>
      </c>
      <c r="EF59" s="27">
        <f t="shared" si="57"/>
        <v>9.900490679999999</v>
      </c>
      <c r="EG59" s="27">
        <v>3.3252971900000001</v>
      </c>
      <c r="EH59" s="27">
        <v>2.7226270500000003</v>
      </c>
      <c r="EI59" s="27">
        <v>2.7429071099999995</v>
      </c>
    </row>
    <row r="60" spans="1:139" ht="15" thickBot="1" x14ac:dyDescent="0.35">
      <c r="A60" s="2" t="s">
        <v>444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8">
        <v>0</v>
      </c>
      <c r="BS60" s="28">
        <v>0</v>
      </c>
      <c r="BT60" s="28">
        <v>0</v>
      </c>
      <c r="BU60" s="28">
        <v>0</v>
      </c>
      <c r="BV60" s="28">
        <v>0</v>
      </c>
      <c r="BW60" s="28">
        <v>0</v>
      </c>
      <c r="BX60" s="28">
        <v>0</v>
      </c>
      <c r="BY60" s="28">
        <v>0</v>
      </c>
      <c r="BZ60" s="28">
        <v>0</v>
      </c>
      <c r="CA60" s="28">
        <v>0</v>
      </c>
      <c r="CB60" s="28">
        <v>0</v>
      </c>
      <c r="CC60" s="28">
        <v>0</v>
      </c>
      <c r="CD60" s="28">
        <v>0</v>
      </c>
      <c r="CE60" s="28">
        <v>0</v>
      </c>
      <c r="CF60" s="28">
        <v>0</v>
      </c>
      <c r="CG60" s="28">
        <v>0</v>
      </c>
      <c r="CH60" s="28">
        <v>0</v>
      </c>
      <c r="CI60" s="28">
        <v>0</v>
      </c>
      <c r="CJ60" s="28">
        <v>0</v>
      </c>
      <c r="CK60" s="28">
        <v>0</v>
      </c>
      <c r="CL60" s="28">
        <v>0</v>
      </c>
      <c r="CM60" s="28">
        <v>0</v>
      </c>
      <c r="CN60" s="28">
        <v>0</v>
      </c>
      <c r="CO60" s="28">
        <v>0</v>
      </c>
      <c r="CP60" s="28">
        <v>0</v>
      </c>
      <c r="CQ60" s="28">
        <v>0</v>
      </c>
      <c r="CR60" s="28">
        <v>0</v>
      </c>
      <c r="CS60" s="28">
        <v>0</v>
      </c>
      <c r="CT60" s="28">
        <v>0</v>
      </c>
      <c r="CU60" s="28">
        <v>0</v>
      </c>
      <c r="CV60" s="28">
        <v>0</v>
      </c>
      <c r="CW60" s="28">
        <v>0</v>
      </c>
      <c r="CX60" s="28">
        <v>0</v>
      </c>
      <c r="CY60" s="28">
        <v>0</v>
      </c>
      <c r="CZ60" s="28">
        <v>0</v>
      </c>
      <c r="DA60" s="28">
        <v>0</v>
      </c>
      <c r="DB60" s="28">
        <f t="shared" si="66"/>
        <v>0</v>
      </c>
      <c r="DC60" s="28">
        <v>0</v>
      </c>
      <c r="DD60" s="28">
        <v>0.01</v>
      </c>
      <c r="DE60" s="28">
        <v>4.1000000000000002E-2</v>
      </c>
      <c r="DF60" s="28">
        <v>2.7E-2</v>
      </c>
      <c r="DG60" s="28">
        <f t="shared" si="67"/>
        <v>7.8E-2</v>
      </c>
      <c r="DH60" s="28">
        <v>4.4999999999999998E-2</v>
      </c>
      <c r="DI60" s="28">
        <v>3.5999999999999997E-2</v>
      </c>
      <c r="DJ60" s="28">
        <v>3.5999999999999997E-2</v>
      </c>
      <c r="DK60" s="28">
        <v>3.7999999999999999E-2</v>
      </c>
      <c r="DL60" s="28">
        <f t="shared" si="68"/>
        <v>0.155</v>
      </c>
      <c r="DM60" s="28">
        <v>3.5999999999999997E-2</v>
      </c>
      <c r="DN60" s="28">
        <v>3.5999999999999997E-2</v>
      </c>
      <c r="DO60" s="28">
        <v>0.04</v>
      </c>
      <c r="DP60" s="28">
        <v>4.1000000000000002E-2</v>
      </c>
      <c r="DQ60" s="28">
        <f t="shared" si="55"/>
        <v>0.153</v>
      </c>
      <c r="DR60" s="28">
        <v>5.8000000000000003E-2</v>
      </c>
      <c r="DS60" s="28">
        <v>6.5000000000000002E-2</v>
      </c>
      <c r="DT60" s="28">
        <v>6.6000000000000003E-2</v>
      </c>
      <c r="DU60" s="28">
        <v>6.7000000000000004E-2</v>
      </c>
      <c r="DV60" s="28">
        <f t="shared" si="69"/>
        <v>0.25600000000000001</v>
      </c>
      <c r="DW60" s="28">
        <v>6.6000000000000003E-2</v>
      </c>
      <c r="DX60" s="28">
        <v>8.1140000000000008</v>
      </c>
      <c r="DY60" s="28">
        <v>6.0400180000000636E-2</v>
      </c>
      <c r="DZ60" s="28">
        <v>0.91519980999999961</v>
      </c>
      <c r="EA60" s="28">
        <f t="shared" si="56"/>
        <v>9.1555999900000007</v>
      </c>
      <c r="EB60" s="28">
        <v>0.28478682999999999</v>
      </c>
      <c r="EC60" s="28">
        <v>0.28514810999999995</v>
      </c>
      <c r="ED60" s="28">
        <v>0.28499999999999998</v>
      </c>
      <c r="EE60" s="28">
        <v>0.28577894999999998</v>
      </c>
      <c r="EF60" s="28">
        <f t="shared" si="57"/>
        <v>1.1407138899999998</v>
      </c>
      <c r="EG60" s="28">
        <v>0.34445171999999996</v>
      </c>
      <c r="EH60" s="28">
        <v>0.29896686</v>
      </c>
      <c r="EI60" s="28">
        <v>0.30485442000000001</v>
      </c>
    </row>
    <row r="61" spans="1:139" ht="15" thickTop="1" x14ac:dyDescent="0.3">
      <c r="A61" s="1" t="s">
        <v>456</v>
      </c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f t="shared" si="66"/>
        <v>0</v>
      </c>
      <c r="DC61" s="27">
        <v>0</v>
      </c>
      <c r="DD61" s="27">
        <v>3.6999999999999998E-2</v>
      </c>
      <c r="DE61" s="27">
        <v>-3.5999999999999997E-2</v>
      </c>
      <c r="DF61" s="27">
        <v>0</v>
      </c>
      <c r="DG61" s="27">
        <f t="shared" si="67"/>
        <v>1.0000000000000009E-3</v>
      </c>
      <c r="DH61" s="27">
        <v>0</v>
      </c>
      <c r="DI61" s="27"/>
      <c r="DJ61" s="27">
        <v>0</v>
      </c>
      <c r="DK61" s="27">
        <v>0</v>
      </c>
      <c r="DL61" s="27">
        <f t="shared" si="68"/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f t="shared" si="55"/>
        <v>0</v>
      </c>
      <c r="DR61" s="27">
        <v>0</v>
      </c>
      <c r="DS61" s="27">
        <v>0</v>
      </c>
      <c r="DT61" s="27">
        <v>0</v>
      </c>
      <c r="DU61" s="27">
        <v>0</v>
      </c>
      <c r="DV61" s="27">
        <f t="shared" si="69"/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f t="shared" si="56"/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f t="shared" si="57"/>
        <v>0</v>
      </c>
      <c r="EG61" s="27">
        <v>0</v>
      </c>
      <c r="EH61" s="27">
        <v>0</v>
      </c>
      <c r="EI61" s="27">
        <v>0</v>
      </c>
    </row>
    <row r="62" spans="1:139" ht="15" thickBot="1" x14ac:dyDescent="0.35">
      <c r="A62" s="2" t="s">
        <v>446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0</v>
      </c>
      <c r="BW62" s="28">
        <v>0</v>
      </c>
      <c r="BX62" s="28">
        <v>0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8">
        <v>0</v>
      </c>
      <c r="CE62" s="28">
        <v>0</v>
      </c>
      <c r="CF62" s="28">
        <v>0</v>
      </c>
      <c r="CG62" s="28">
        <v>0</v>
      </c>
      <c r="CH62" s="28">
        <v>0</v>
      </c>
      <c r="CI62" s="28">
        <v>0</v>
      </c>
      <c r="CJ62" s="28">
        <v>0</v>
      </c>
      <c r="CK62" s="28">
        <v>0</v>
      </c>
      <c r="CL62" s="28">
        <v>0</v>
      </c>
      <c r="CM62" s="28">
        <v>0</v>
      </c>
      <c r="CN62" s="28">
        <v>0</v>
      </c>
      <c r="CO62" s="28">
        <v>0</v>
      </c>
      <c r="CP62" s="28">
        <v>0</v>
      </c>
      <c r="CQ62" s="28">
        <v>0</v>
      </c>
      <c r="CR62" s="28">
        <v>0</v>
      </c>
      <c r="CS62" s="28">
        <v>0</v>
      </c>
      <c r="CT62" s="28">
        <v>0</v>
      </c>
      <c r="CU62" s="28">
        <v>0</v>
      </c>
      <c r="CV62" s="28">
        <v>0</v>
      </c>
      <c r="CW62" s="28">
        <v>0</v>
      </c>
      <c r="CX62" s="28">
        <v>0</v>
      </c>
      <c r="CY62" s="28">
        <v>0</v>
      </c>
      <c r="CZ62" s="28">
        <v>0</v>
      </c>
      <c r="DA62" s="28">
        <v>0</v>
      </c>
      <c r="DB62" s="28">
        <f t="shared" si="66"/>
        <v>0</v>
      </c>
      <c r="DC62" s="28">
        <v>0</v>
      </c>
      <c r="DD62" s="28">
        <v>0</v>
      </c>
      <c r="DE62" s="28">
        <v>0</v>
      </c>
      <c r="DF62" s="28">
        <v>0</v>
      </c>
      <c r="DG62" s="28">
        <f t="shared" si="67"/>
        <v>0</v>
      </c>
      <c r="DH62" s="28">
        <f t="shared" ref="DH62:DK64" si="70">SUM(DD62:DG62)</f>
        <v>0</v>
      </c>
      <c r="DI62" s="28">
        <f t="shared" si="70"/>
        <v>0</v>
      </c>
      <c r="DJ62" s="28">
        <f t="shared" si="70"/>
        <v>0</v>
      </c>
      <c r="DK62" s="28">
        <f t="shared" si="70"/>
        <v>0</v>
      </c>
      <c r="DL62" s="28">
        <f t="shared" si="68"/>
        <v>0</v>
      </c>
      <c r="DM62" s="28">
        <v>0</v>
      </c>
      <c r="DN62" s="28">
        <v>0</v>
      </c>
      <c r="DO62" s="28">
        <v>0</v>
      </c>
      <c r="DP62" s="28">
        <v>1E-3</v>
      </c>
      <c r="DQ62" s="28">
        <f t="shared" si="55"/>
        <v>1E-3</v>
      </c>
      <c r="DR62" s="28">
        <v>2E-3</v>
      </c>
      <c r="DS62" s="28">
        <v>2E-3</v>
      </c>
      <c r="DT62" s="28">
        <v>2E-3</v>
      </c>
      <c r="DU62" s="28">
        <v>2E-3</v>
      </c>
      <c r="DV62" s="28">
        <f t="shared" si="69"/>
        <v>8.0000000000000002E-3</v>
      </c>
      <c r="DW62" s="28">
        <v>3.0000000000000001E-3</v>
      </c>
      <c r="DX62" s="28">
        <v>4.0000000000000001E-3</v>
      </c>
      <c r="DY62" s="28">
        <v>3.9083199999999998E-3</v>
      </c>
      <c r="DZ62" s="28">
        <v>3.9518100000000009E-3</v>
      </c>
      <c r="EA62" s="28">
        <f t="shared" si="56"/>
        <v>1.4860129999999999E-2</v>
      </c>
      <c r="EB62" s="28">
        <v>4.02207E-3</v>
      </c>
      <c r="EC62" s="28">
        <v>3.5255999999999998E-3</v>
      </c>
      <c r="ED62" s="28">
        <v>3.0000000000000001E-3</v>
      </c>
      <c r="EE62" s="28">
        <v>1.623024E-2</v>
      </c>
      <c r="EF62" s="28">
        <f t="shared" si="57"/>
        <v>2.6777909999999999E-2</v>
      </c>
      <c r="EG62" s="28">
        <v>1.630556E-2</v>
      </c>
      <c r="EH62" s="28">
        <v>1.6320750000000002E-2</v>
      </c>
      <c r="EI62" s="28">
        <v>1.7350579999999997E-2</v>
      </c>
    </row>
    <row r="63" spans="1:139" ht="15" thickTop="1" x14ac:dyDescent="0.3">
      <c r="A63" s="1" t="s">
        <v>447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  <c r="DA63" s="27">
        <v>0</v>
      </c>
      <c r="DB63" s="27">
        <f t="shared" si="66"/>
        <v>0</v>
      </c>
      <c r="DC63" s="27">
        <v>0</v>
      </c>
      <c r="DD63" s="27">
        <v>0</v>
      </c>
      <c r="DE63" s="27">
        <v>0</v>
      </c>
      <c r="DF63" s="27">
        <v>0</v>
      </c>
      <c r="DG63" s="27">
        <f t="shared" si="67"/>
        <v>0</v>
      </c>
      <c r="DH63" s="27">
        <f t="shared" si="70"/>
        <v>0</v>
      </c>
      <c r="DI63" s="27">
        <f t="shared" si="70"/>
        <v>0</v>
      </c>
      <c r="DJ63" s="27">
        <f t="shared" si="70"/>
        <v>0</v>
      </c>
      <c r="DK63" s="27">
        <f t="shared" si="70"/>
        <v>0</v>
      </c>
      <c r="DL63" s="27">
        <f t="shared" si="68"/>
        <v>0</v>
      </c>
      <c r="DM63" s="27">
        <v>0</v>
      </c>
      <c r="DN63" s="27">
        <v>0</v>
      </c>
      <c r="DO63" s="27">
        <v>0</v>
      </c>
      <c r="DP63" s="27">
        <v>0</v>
      </c>
      <c r="DQ63" s="27">
        <f t="shared" si="55"/>
        <v>0</v>
      </c>
      <c r="DR63" s="27">
        <v>0</v>
      </c>
      <c r="DS63" s="27">
        <v>0</v>
      </c>
      <c r="DT63" s="27">
        <v>0</v>
      </c>
      <c r="DU63" s="27">
        <v>0</v>
      </c>
      <c r="DV63" s="27">
        <f t="shared" si="69"/>
        <v>0</v>
      </c>
      <c r="DW63" s="27">
        <v>0</v>
      </c>
      <c r="DX63" s="27">
        <v>4.3999999999999997E-2</v>
      </c>
      <c r="DY63" s="27">
        <v>1.2404159999999996E-2</v>
      </c>
      <c r="DZ63" s="27">
        <v>1.7964959999999999E-2</v>
      </c>
      <c r="EA63" s="27">
        <f t="shared" si="56"/>
        <v>7.4369119999999997E-2</v>
      </c>
      <c r="EB63" s="27">
        <v>2.8764959999999999E-2</v>
      </c>
      <c r="EC63" s="27">
        <v>3.5279020000000001E-2</v>
      </c>
      <c r="ED63" s="27">
        <v>6.5000000000000002E-2</v>
      </c>
      <c r="EE63" s="27">
        <v>1.313015999999999E-2</v>
      </c>
      <c r="EF63" s="27">
        <f t="shared" si="57"/>
        <v>0.14217414</v>
      </c>
      <c r="EG63" s="27">
        <v>1.313016E-2</v>
      </c>
      <c r="EH63" s="27">
        <v>1.313016E-2</v>
      </c>
      <c r="EI63" s="27">
        <v>1.9247846099999999</v>
      </c>
    </row>
    <row r="64" spans="1:139" ht="15" thickBot="1" x14ac:dyDescent="0.35">
      <c r="A64" s="2" t="s">
        <v>448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v>0</v>
      </c>
      <c r="CD64" s="28">
        <v>0</v>
      </c>
      <c r="CE64" s="28">
        <v>0</v>
      </c>
      <c r="CF64" s="28">
        <v>0</v>
      </c>
      <c r="CG64" s="28">
        <v>0</v>
      </c>
      <c r="CH64" s="28">
        <v>0</v>
      </c>
      <c r="CI64" s="28">
        <v>0</v>
      </c>
      <c r="CJ64" s="28">
        <v>0</v>
      </c>
      <c r="CK64" s="28">
        <v>0</v>
      </c>
      <c r="CL64" s="28">
        <v>0</v>
      </c>
      <c r="CM64" s="28">
        <v>0</v>
      </c>
      <c r="CN64" s="28">
        <v>0</v>
      </c>
      <c r="CO64" s="28">
        <v>0</v>
      </c>
      <c r="CP64" s="28">
        <v>0</v>
      </c>
      <c r="CQ64" s="28">
        <v>0</v>
      </c>
      <c r="CR64" s="28">
        <v>0</v>
      </c>
      <c r="CS64" s="28">
        <v>0</v>
      </c>
      <c r="CT64" s="28">
        <v>0</v>
      </c>
      <c r="CU64" s="28">
        <v>0</v>
      </c>
      <c r="CV64" s="28">
        <v>0</v>
      </c>
      <c r="CW64" s="28">
        <v>0</v>
      </c>
      <c r="CX64" s="28">
        <v>0</v>
      </c>
      <c r="CY64" s="28">
        <v>0</v>
      </c>
      <c r="CZ64" s="28">
        <v>0</v>
      </c>
      <c r="DA64" s="28">
        <v>0</v>
      </c>
      <c r="DB64" s="28">
        <f t="shared" si="66"/>
        <v>0</v>
      </c>
      <c r="DC64" s="28">
        <v>0</v>
      </c>
      <c r="DD64" s="28">
        <v>0</v>
      </c>
      <c r="DE64" s="28">
        <v>0</v>
      </c>
      <c r="DF64" s="28">
        <v>0</v>
      </c>
      <c r="DG64" s="28">
        <f t="shared" si="67"/>
        <v>0</v>
      </c>
      <c r="DH64" s="28">
        <f t="shared" si="70"/>
        <v>0</v>
      </c>
      <c r="DI64" s="28">
        <f t="shared" si="70"/>
        <v>0</v>
      </c>
      <c r="DJ64" s="28">
        <f t="shared" si="70"/>
        <v>0</v>
      </c>
      <c r="DK64" s="28">
        <f t="shared" si="70"/>
        <v>0</v>
      </c>
      <c r="DL64" s="28">
        <f t="shared" si="68"/>
        <v>0</v>
      </c>
      <c r="DM64" s="28">
        <v>0</v>
      </c>
      <c r="DN64" s="28">
        <v>0</v>
      </c>
      <c r="DO64" s="28">
        <v>0</v>
      </c>
      <c r="DP64" s="28">
        <v>0</v>
      </c>
      <c r="DQ64" s="28">
        <f t="shared" si="55"/>
        <v>0</v>
      </c>
      <c r="DR64" s="28">
        <v>0</v>
      </c>
      <c r="DS64" s="28">
        <v>0</v>
      </c>
      <c r="DT64" s="28">
        <v>0</v>
      </c>
      <c r="DU64" s="28">
        <v>0</v>
      </c>
      <c r="DV64" s="28">
        <f t="shared" si="69"/>
        <v>0</v>
      </c>
      <c r="DW64" s="28">
        <v>0</v>
      </c>
      <c r="DX64" s="28">
        <v>0</v>
      </c>
      <c r="DY64" s="28">
        <v>0.19876884</v>
      </c>
      <c r="DZ64" s="28">
        <v>0.16729158000000002</v>
      </c>
      <c r="EA64" s="28">
        <f t="shared" si="56"/>
        <v>0.36606042000000005</v>
      </c>
      <c r="EB64" s="28">
        <v>0.35620876000000001</v>
      </c>
      <c r="EC64" s="28">
        <v>0.21328242000000003</v>
      </c>
      <c r="ED64" s="28">
        <v>0.183</v>
      </c>
      <c r="EE64" s="28">
        <v>2.4076643600000001</v>
      </c>
      <c r="EF64" s="28">
        <f t="shared" si="57"/>
        <v>3.1601555399999999</v>
      </c>
      <c r="EG64" s="28">
        <v>0.50423468000000005</v>
      </c>
      <c r="EH64" s="28">
        <v>0.51342955000000001</v>
      </c>
      <c r="EI64" s="28">
        <v>0.54918659000000003</v>
      </c>
    </row>
    <row r="65" spans="1:139" ht="15" thickTop="1" x14ac:dyDescent="0.3">
      <c r="A65" s="1" t="s">
        <v>449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7">
        <v>0</v>
      </c>
      <c r="DB65" s="27">
        <v>0</v>
      </c>
      <c r="DC65" s="27">
        <v>0</v>
      </c>
      <c r="DD65" s="27">
        <v>0</v>
      </c>
      <c r="DE65" s="27">
        <v>0</v>
      </c>
      <c r="DF65" s="27">
        <v>0</v>
      </c>
      <c r="DG65" s="27">
        <v>0</v>
      </c>
      <c r="DH65" s="27">
        <v>0</v>
      </c>
      <c r="DI65" s="27">
        <v>0</v>
      </c>
      <c r="DJ65" s="27">
        <v>0</v>
      </c>
      <c r="DK65" s="27">
        <v>0</v>
      </c>
      <c r="DL65" s="27">
        <v>0</v>
      </c>
      <c r="DM65" s="27">
        <v>0</v>
      </c>
      <c r="DN65" s="27">
        <v>0</v>
      </c>
      <c r="DO65" s="27">
        <v>0</v>
      </c>
      <c r="DP65" s="27">
        <v>0</v>
      </c>
      <c r="DQ65" s="27">
        <v>0</v>
      </c>
      <c r="DR65" s="27">
        <v>0</v>
      </c>
      <c r="DS65" s="27">
        <v>0</v>
      </c>
      <c r="DT65" s="27">
        <v>0</v>
      </c>
      <c r="DU65" s="27">
        <v>0</v>
      </c>
      <c r="DV65" s="27">
        <v>0</v>
      </c>
      <c r="DW65" s="27">
        <v>0</v>
      </c>
      <c r="DX65" s="27">
        <v>2.5999999999999999E-2</v>
      </c>
      <c r="DY65" s="27">
        <v>7.9852699999999999E-2</v>
      </c>
      <c r="DZ65" s="27">
        <v>4.4926490000000006E-2</v>
      </c>
      <c r="EA65" s="27">
        <f t="shared" si="56"/>
        <v>0.15077919000000001</v>
      </c>
      <c r="EB65" s="27">
        <v>0.13202829999999999</v>
      </c>
      <c r="EC65" s="27">
        <v>9.1046050000000017E-2</v>
      </c>
      <c r="ED65" s="27">
        <v>0.17100000000000001</v>
      </c>
      <c r="EE65" s="27">
        <v>18.377722220000003</v>
      </c>
      <c r="EF65" s="27">
        <f t="shared" si="57"/>
        <v>18.771796570000003</v>
      </c>
      <c r="EG65" s="27">
        <v>2.8757379199999997</v>
      </c>
      <c r="EH65" s="27">
        <v>2.8939619299999997</v>
      </c>
      <c r="EI65" s="27">
        <v>3.0645642800000013</v>
      </c>
    </row>
    <row r="66" spans="1:139" ht="15" thickBot="1" x14ac:dyDescent="0.35">
      <c r="A66" s="2" t="s">
        <v>460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>
        <v>0</v>
      </c>
      <c r="EH66" s="28">
        <v>5.2617129999999998E-2</v>
      </c>
      <c r="EI66" s="28">
        <v>2.664176E-2</v>
      </c>
    </row>
    <row r="67" spans="1:139" ht="15" thickTop="1" x14ac:dyDescent="0.3">
      <c r="A67" s="1" t="s">
        <v>304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27">
        <v>0</v>
      </c>
      <c r="BK67" s="27">
        <v>0</v>
      </c>
      <c r="BL67" s="27">
        <v>0</v>
      </c>
      <c r="BM67" s="27">
        <v>0</v>
      </c>
      <c r="BN67" s="27">
        <f t="shared" si="58"/>
        <v>0</v>
      </c>
      <c r="BO67" s="27">
        <v>0</v>
      </c>
      <c r="BP67" s="27">
        <v>0</v>
      </c>
      <c r="BQ67" s="27">
        <v>0</v>
      </c>
      <c r="BR67" s="27"/>
      <c r="BS67" s="27">
        <f t="shared" si="59"/>
        <v>0</v>
      </c>
      <c r="BT67" s="27">
        <v>0</v>
      </c>
      <c r="BU67" s="27">
        <v>50.8</v>
      </c>
      <c r="BV67" s="27">
        <v>157.10000000000002</v>
      </c>
      <c r="BW67" s="27">
        <v>162.4</v>
      </c>
      <c r="BX67" s="27">
        <f t="shared" si="60"/>
        <v>370.30000000000007</v>
      </c>
      <c r="BY67" s="27">
        <v>145.30000000000004</v>
      </c>
      <c r="BZ67" s="27">
        <v>164</v>
      </c>
      <c r="CA67" s="27">
        <v>165.5</v>
      </c>
      <c r="CB67" s="27">
        <v>150.30000000000001</v>
      </c>
      <c r="CC67" s="27">
        <f t="shared" si="61"/>
        <v>625.10000000000014</v>
      </c>
      <c r="CD67" s="27">
        <v>130.30000000000001</v>
      </c>
      <c r="CE67" s="27">
        <v>127.70000000000002</v>
      </c>
      <c r="CF67" s="27">
        <v>133.19999999999999</v>
      </c>
      <c r="CG67" s="27">
        <v>117.1</v>
      </c>
      <c r="CH67" s="27">
        <f t="shared" si="62"/>
        <v>508.29999999999995</v>
      </c>
      <c r="CI67" s="27">
        <v>112</v>
      </c>
      <c r="CJ67" s="27">
        <v>94.6</v>
      </c>
      <c r="CK67" s="27">
        <v>79.700000000000017</v>
      </c>
      <c r="CL67" s="27">
        <v>66.399999999999977</v>
      </c>
      <c r="CM67" s="27">
        <f t="shared" si="63"/>
        <v>352.7</v>
      </c>
      <c r="CN67" s="27">
        <v>64.400000000000006</v>
      </c>
      <c r="CO67" s="27">
        <v>71.5</v>
      </c>
      <c r="CP67" s="27">
        <v>76.099999999999994</v>
      </c>
      <c r="CQ67" s="27">
        <v>78.5</v>
      </c>
      <c r="CR67" s="27">
        <f t="shared" si="64"/>
        <v>290.5</v>
      </c>
      <c r="CS67" s="27">
        <f t="shared" ref="CS67:DW67" si="71">CS17</f>
        <v>73.664000000000001</v>
      </c>
      <c r="CT67" s="27">
        <f t="shared" si="71"/>
        <v>65.566999999999993</v>
      </c>
      <c r="CU67" s="27">
        <f t="shared" si="71"/>
        <v>63.19</v>
      </c>
      <c r="CV67" s="27">
        <f t="shared" si="71"/>
        <v>74.478999999999985</v>
      </c>
      <c r="CW67" s="27">
        <f t="shared" si="71"/>
        <v>276.89999999999998</v>
      </c>
      <c r="CX67" s="27">
        <f t="shared" si="71"/>
        <v>78.915000000000006</v>
      </c>
      <c r="CY67" s="27">
        <f t="shared" si="71"/>
        <v>90.274000000000001</v>
      </c>
      <c r="CZ67" s="27">
        <f t="shared" si="71"/>
        <v>103.166</v>
      </c>
      <c r="DA67" s="27">
        <f t="shared" si="71"/>
        <v>83.608999999999995</v>
      </c>
      <c r="DB67" s="27">
        <f t="shared" si="71"/>
        <v>355.964</v>
      </c>
      <c r="DC67" s="27">
        <f t="shared" si="71"/>
        <v>95.272999999999996</v>
      </c>
      <c r="DD67" s="27">
        <f t="shared" si="71"/>
        <v>108.024</v>
      </c>
      <c r="DE67" s="27">
        <f t="shared" si="71"/>
        <v>100.03700000000001</v>
      </c>
      <c r="DF67" s="27">
        <f t="shared" si="71"/>
        <v>87.1</v>
      </c>
      <c r="DG67" s="27">
        <f t="shared" si="71"/>
        <v>390.43399999999997</v>
      </c>
      <c r="DH67" s="27">
        <f t="shared" si="71"/>
        <v>86.831999999999994</v>
      </c>
      <c r="DI67" s="27">
        <f t="shared" si="71"/>
        <v>92.507000000000005</v>
      </c>
      <c r="DJ67" s="27">
        <f t="shared" si="71"/>
        <v>101.12</v>
      </c>
      <c r="DK67" s="27">
        <f>DK17</f>
        <v>110.37</v>
      </c>
      <c r="DL67" s="27">
        <f t="shared" si="71"/>
        <v>390.82900000000001</v>
      </c>
      <c r="DM67" s="27">
        <f t="shared" si="71"/>
        <v>128.92599999999999</v>
      </c>
      <c r="DN67" s="27">
        <f t="shared" si="71"/>
        <v>130.006</v>
      </c>
      <c r="DO67" s="27">
        <f t="shared" si="71"/>
        <v>131.291</v>
      </c>
      <c r="DP67" s="27">
        <f t="shared" si="71"/>
        <v>128.50700000000001</v>
      </c>
      <c r="DQ67" s="27">
        <f t="shared" si="71"/>
        <v>518.73</v>
      </c>
      <c r="DR67" s="27">
        <f t="shared" si="71"/>
        <v>140.09</v>
      </c>
      <c r="DS67" s="27">
        <f t="shared" si="71"/>
        <v>139.26300000000001</v>
      </c>
      <c r="DT67" s="27">
        <f t="shared" si="71"/>
        <v>169.73500000000001</v>
      </c>
      <c r="DU67" s="27">
        <f t="shared" si="71"/>
        <v>173.767</v>
      </c>
      <c r="DV67" s="27">
        <f t="shared" si="71"/>
        <v>622.85500000000002</v>
      </c>
      <c r="DW67" s="27">
        <f t="shared" si="71"/>
        <v>170.65299999999999</v>
      </c>
      <c r="DX67" s="27">
        <f t="shared" ref="DX67:DZ68" si="72">DX17</f>
        <v>133.392</v>
      </c>
      <c r="DY67" s="27">
        <f t="shared" si="72"/>
        <v>104.42345132</v>
      </c>
      <c r="DZ67" s="27">
        <f t="shared" si="72"/>
        <v>93.908749129999975</v>
      </c>
      <c r="EA67" s="27">
        <f t="shared" si="56"/>
        <v>502.37720044999998</v>
      </c>
      <c r="EB67" s="27">
        <f t="shared" ref="EB67:ED68" si="73">EB17</f>
        <v>100.59390292</v>
      </c>
      <c r="EC67" s="27">
        <f t="shared" si="73"/>
        <v>114.78473617</v>
      </c>
      <c r="ED67" s="27">
        <f t="shared" si="73"/>
        <v>110.858</v>
      </c>
      <c r="EE67" s="27">
        <v>121.93323277999997</v>
      </c>
      <c r="EF67" s="27">
        <f t="shared" si="57"/>
        <v>448.16987187000001</v>
      </c>
      <c r="EG67" s="27">
        <v>137.80688534999999</v>
      </c>
      <c r="EH67" s="27">
        <v>130.51516820999998</v>
      </c>
      <c r="EI67" s="27">
        <v>131.72673293000003</v>
      </c>
    </row>
    <row r="68" spans="1:139" ht="15" thickBot="1" x14ac:dyDescent="0.35">
      <c r="A68" s="2" t="s">
        <v>305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f t="shared" ref="CS68:DW68" si="74">CS18</f>
        <v>0</v>
      </c>
      <c r="CT68" s="28">
        <f t="shared" si="74"/>
        <v>0</v>
      </c>
      <c r="CU68" s="28">
        <f t="shared" si="74"/>
        <v>0</v>
      </c>
      <c r="CV68" s="28">
        <f t="shared" si="74"/>
        <v>0</v>
      </c>
      <c r="CW68" s="28">
        <f t="shared" si="74"/>
        <v>0</v>
      </c>
      <c r="CX68" s="28">
        <f t="shared" si="74"/>
        <v>0</v>
      </c>
      <c r="CY68" s="28">
        <f t="shared" si="74"/>
        <v>0</v>
      </c>
      <c r="CZ68" s="28">
        <f t="shared" si="74"/>
        <v>0</v>
      </c>
      <c r="DA68" s="28">
        <f t="shared" si="74"/>
        <v>0</v>
      </c>
      <c r="DB68" s="28">
        <f t="shared" si="74"/>
        <v>0</v>
      </c>
      <c r="DC68" s="28">
        <f t="shared" si="74"/>
        <v>8.5370000000000008</v>
      </c>
      <c r="DD68" s="28">
        <f t="shared" si="74"/>
        <v>5.9889999999999999</v>
      </c>
      <c r="DE68" s="28">
        <f t="shared" si="74"/>
        <v>6.0330000000000004</v>
      </c>
      <c r="DF68" s="28">
        <f t="shared" si="74"/>
        <v>3.6960000000000002</v>
      </c>
      <c r="DG68" s="28">
        <f t="shared" si="74"/>
        <v>24.255000000000003</v>
      </c>
      <c r="DH68" s="28">
        <f t="shared" si="74"/>
        <v>6.9480000000000004</v>
      </c>
      <c r="DI68" s="28">
        <f t="shared" si="74"/>
        <v>12.254</v>
      </c>
      <c r="DJ68" s="28">
        <f t="shared" si="74"/>
        <v>8.8190000000000008</v>
      </c>
      <c r="DK68" s="28">
        <f t="shared" si="74"/>
        <v>4.3410000000000002</v>
      </c>
      <c r="DL68" s="28">
        <f t="shared" si="74"/>
        <v>32.362000000000002</v>
      </c>
      <c r="DM68" s="28">
        <f t="shared" si="74"/>
        <v>7.3520000000000003</v>
      </c>
      <c r="DN68" s="28">
        <f t="shared" si="74"/>
        <v>11.391</v>
      </c>
      <c r="DO68" s="28">
        <f t="shared" si="74"/>
        <v>4.8819999999999997</v>
      </c>
      <c r="DP68" s="28">
        <f t="shared" si="74"/>
        <v>3.4969999999999999</v>
      </c>
      <c r="DQ68" s="28">
        <f t="shared" si="74"/>
        <v>27.122</v>
      </c>
      <c r="DR68" s="28">
        <f t="shared" si="74"/>
        <v>7.6159999999999997</v>
      </c>
      <c r="DS68" s="28">
        <f t="shared" si="74"/>
        <v>9.532</v>
      </c>
      <c r="DT68" s="28">
        <f t="shared" si="74"/>
        <v>8.7780000000000005</v>
      </c>
      <c r="DU68" s="28">
        <f t="shared" si="74"/>
        <v>7.4669999999999996</v>
      </c>
      <c r="DV68" s="28">
        <f t="shared" si="74"/>
        <v>33.393000000000001</v>
      </c>
      <c r="DW68" s="28">
        <f t="shared" si="74"/>
        <v>10.942</v>
      </c>
      <c r="DX68" s="28">
        <f t="shared" si="72"/>
        <v>17.082000000000001</v>
      </c>
      <c r="DY68" s="28">
        <f t="shared" si="72"/>
        <v>17.21278933</v>
      </c>
      <c r="DZ68" s="28">
        <f t="shared" si="72"/>
        <v>15.642565560000003</v>
      </c>
      <c r="EA68" s="28">
        <f t="shared" si="56"/>
        <v>60.879354890000002</v>
      </c>
      <c r="EB68" s="28">
        <f t="shared" si="73"/>
        <v>16.43585113</v>
      </c>
      <c r="EC68" s="28">
        <f t="shared" si="73"/>
        <v>14.936979970000001</v>
      </c>
      <c r="ED68" s="28">
        <f t="shared" si="73"/>
        <v>14.362</v>
      </c>
      <c r="EE68" s="28">
        <v>7.7048661099999993</v>
      </c>
      <c r="EF68" s="28">
        <f t="shared" si="57"/>
        <v>53.439697209999999</v>
      </c>
      <c r="EG68" s="28">
        <v>11.803141249999999</v>
      </c>
      <c r="EH68" s="28">
        <v>19.282995460000002</v>
      </c>
      <c r="EI68" s="28">
        <v>18.098562640000001</v>
      </c>
    </row>
    <row r="69" spans="1:139" ht="15" thickTop="1" x14ac:dyDescent="0.3">
      <c r="A69" s="1" t="s">
        <v>306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27">
        <v>25.8</v>
      </c>
      <c r="BK69" s="27">
        <v>25.9</v>
      </c>
      <c r="BL69" s="27">
        <v>26.8</v>
      </c>
      <c r="BM69" s="27">
        <v>26.5</v>
      </c>
      <c r="BN69" s="27">
        <f t="shared" si="58"/>
        <v>105</v>
      </c>
      <c r="BO69" s="27">
        <v>29.3</v>
      </c>
      <c r="BP69" s="27">
        <v>28.3</v>
      </c>
      <c r="BQ69" s="27">
        <v>32</v>
      </c>
      <c r="BR69" s="27">
        <v>29.8</v>
      </c>
      <c r="BS69" s="27">
        <f t="shared" si="59"/>
        <v>119.39999999999999</v>
      </c>
      <c r="BT69" s="27">
        <v>31.4</v>
      </c>
      <c r="BU69" s="27">
        <v>31</v>
      </c>
      <c r="BV69" s="27">
        <v>30.4</v>
      </c>
      <c r="BW69" s="27">
        <v>30.7</v>
      </c>
      <c r="BX69" s="27">
        <f t="shared" si="60"/>
        <v>123.5</v>
      </c>
      <c r="BY69" s="27">
        <v>31.5</v>
      </c>
      <c r="BZ69" s="27">
        <v>31.5</v>
      </c>
      <c r="CA69" s="27">
        <v>31.6</v>
      </c>
      <c r="CB69" s="27">
        <v>37</v>
      </c>
      <c r="CC69" s="27">
        <f t="shared" si="61"/>
        <v>131.6</v>
      </c>
      <c r="CD69" s="27">
        <v>42.4</v>
      </c>
      <c r="CE69" s="27">
        <v>55.699999999999996</v>
      </c>
      <c r="CF69" s="27">
        <v>50.8</v>
      </c>
      <c r="CG69" s="27">
        <v>52.2</v>
      </c>
      <c r="CH69" s="27">
        <f t="shared" si="62"/>
        <v>201.09999999999997</v>
      </c>
      <c r="CI69" s="27">
        <v>53.1</v>
      </c>
      <c r="CJ69" s="27">
        <v>53.9</v>
      </c>
      <c r="CK69" s="27">
        <v>59.054262929999986</v>
      </c>
      <c r="CL69" s="27">
        <v>59.8</v>
      </c>
      <c r="CM69" s="27">
        <f t="shared" si="63"/>
        <v>225.85426293</v>
      </c>
      <c r="CN69" s="27">
        <v>52</v>
      </c>
      <c r="CO69" s="27">
        <v>50.8</v>
      </c>
      <c r="CP69" s="27">
        <v>53.400000000000006</v>
      </c>
      <c r="CQ69" s="27">
        <v>28.399999999999991</v>
      </c>
      <c r="CR69" s="27">
        <f t="shared" si="64"/>
        <v>184.59999999999997</v>
      </c>
      <c r="CS69" s="27">
        <v>48.998637770000002</v>
      </c>
      <c r="CT69" s="27">
        <v>49.067873939999998</v>
      </c>
      <c r="CU69" s="27">
        <v>44.578234879999982</v>
      </c>
      <c r="CV69" s="27">
        <v>45.184080110000025</v>
      </c>
      <c r="CW69" s="27">
        <f t="shared" si="65"/>
        <v>187.82882670000001</v>
      </c>
      <c r="CX69" s="27">
        <v>47.457000000000001</v>
      </c>
      <c r="CY69" s="27">
        <v>46.911000000000001</v>
      </c>
      <c r="CZ69" s="27">
        <v>45.712000000000003</v>
      </c>
      <c r="DA69" s="27">
        <v>47.021999999999998</v>
      </c>
      <c r="DB69" s="27">
        <f t="shared" si="66"/>
        <v>187.10199999999998</v>
      </c>
      <c r="DC69" s="27">
        <v>46.72</v>
      </c>
      <c r="DD69" s="27">
        <v>46.707000000000001</v>
      </c>
      <c r="DE69" s="27">
        <v>52.860999999999997</v>
      </c>
      <c r="DF69" s="27">
        <v>55.7</v>
      </c>
      <c r="DG69" s="27">
        <f t="shared" si="67"/>
        <v>201.988</v>
      </c>
      <c r="DH69" s="27">
        <v>66.893000000000001</v>
      </c>
      <c r="DI69" s="27">
        <v>68.792000000000002</v>
      </c>
      <c r="DJ69" s="27">
        <v>68.207999999999998</v>
      </c>
      <c r="DK69" s="27">
        <v>72.069999999999993</v>
      </c>
      <c r="DL69" s="27">
        <f t="shared" si="68"/>
        <v>275.96299999999997</v>
      </c>
      <c r="DM69" s="27">
        <v>80.566999999999993</v>
      </c>
      <c r="DN69" s="27">
        <v>80.100999999999999</v>
      </c>
      <c r="DO69" s="27">
        <v>80.373999999999995</v>
      </c>
      <c r="DP69" s="27">
        <v>81.572999999999993</v>
      </c>
      <c r="DQ69" s="27">
        <f>SUM(DM69:DP69)</f>
        <v>322.61500000000001</v>
      </c>
      <c r="DR69" s="27">
        <v>83.144000000000005</v>
      </c>
      <c r="DS69" s="27">
        <v>83.144999999999996</v>
      </c>
      <c r="DT69" s="27">
        <v>82.557000000000002</v>
      </c>
      <c r="DU69" s="27">
        <v>101.271</v>
      </c>
      <c r="DV69" s="27">
        <f>SUM(DR69:DU69)</f>
        <v>350.11700000000002</v>
      </c>
      <c r="DW69" s="27">
        <v>95.314999999999998</v>
      </c>
      <c r="DX69" s="27">
        <v>93.99</v>
      </c>
      <c r="DY69" s="27">
        <v>102.13129925</v>
      </c>
      <c r="DZ69" s="27">
        <v>102.94412535000002</v>
      </c>
      <c r="EA69" s="27">
        <f t="shared" si="56"/>
        <v>394.38042460000003</v>
      </c>
      <c r="EB69" s="27">
        <v>114.25332475</v>
      </c>
      <c r="EC69" s="27">
        <v>117.72473008000001</v>
      </c>
      <c r="ED69" s="27">
        <v>114.297</v>
      </c>
      <c r="EE69" s="27">
        <v>116.79191075</v>
      </c>
      <c r="EF69" s="27">
        <f t="shared" si="57"/>
        <v>463.06696558000004</v>
      </c>
      <c r="EG69" s="27">
        <v>137.10496265999998</v>
      </c>
      <c r="EH69" s="27">
        <v>145.22788273999998</v>
      </c>
      <c r="EI69" s="27">
        <v>144.95091843</v>
      </c>
    </row>
    <row r="70" spans="1:139" ht="15" thickBot="1" x14ac:dyDescent="0.35">
      <c r="A70" s="2" t="s">
        <v>370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28">
        <v>5.8</v>
      </c>
      <c r="BK70" s="28">
        <v>6.8999999999999995</v>
      </c>
      <c r="BL70" s="28">
        <v>7.3000000000000007</v>
      </c>
      <c r="BM70" s="28">
        <v>5.7050899999999984</v>
      </c>
      <c r="BN70" s="28">
        <f t="shared" si="58"/>
        <v>25.705089999999998</v>
      </c>
      <c r="BO70" s="28">
        <v>62.168275848</v>
      </c>
      <c r="BP70" s="28">
        <v>68.230340190000021</v>
      </c>
      <c r="BQ70" s="28">
        <v>79.64505668999999</v>
      </c>
      <c r="BR70" s="28">
        <v>76.706268139999992</v>
      </c>
      <c r="BS70" s="28">
        <f t="shared" si="59"/>
        <v>286.74994086800001</v>
      </c>
      <c r="BT70" s="28">
        <v>0</v>
      </c>
      <c r="BU70" s="28">
        <v>0</v>
      </c>
      <c r="BV70" s="28">
        <v>0</v>
      </c>
      <c r="BW70" s="28">
        <v>0</v>
      </c>
      <c r="BX70" s="28">
        <f t="shared" si="60"/>
        <v>0</v>
      </c>
      <c r="BY70" s="28">
        <v>0</v>
      </c>
      <c r="BZ70" s="28">
        <v>0</v>
      </c>
      <c r="CA70" s="28">
        <v>0</v>
      </c>
      <c r="CB70" s="28">
        <v>0</v>
      </c>
      <c r="CC70" s="28">
        <f t="shared" si="61"/>
        <v>0</v>
      </c>
      <c r="CD70" s="28">
        <v>0</v>
      </c>
      <c r="CE70" s="28">
        <v>0</v>
      </c>
      <c r="CF70" s="28">
        <v>0</v>
      </c>
      <c r="CG70" s="28">
        <v>0</v>
      </c>
      <c r="CH70" s="28">
        <f t="shared" si="62"/>
        <v>0</v>
      </c>
      <c r="CI70" s="28">
        <v>0</v>
      </c>
      <c r="CJ70" s="28">
        <v>0</v>
      </c>
      <c r="CK70" s="28">
        <v>0</v>
      </c>
      <c r="CL70" s="28">
        <v>0</v>
      </c>
      <c r="CM70" s="28">
        <f t="shared" si="63"/>
        <v>0</v>
      </c>
      <c r="CN70" s="28">
        <v>0</v>
      </c>
      <c r="CO70" s="28">
        <v>0</v>
      </c>
      <c r="CP70" s="28">
        <v>0</v>
      </c>
      <c r="CQ70" s="28">
        <v>0</v>
      </c>
      <c r="CR70" s="28">
        <f t="shared" si="64"/>
        <v>0</v>
      </c>
      <c r="CS70" s="28">
        <v>0</v>
      </c>
      <c r="CT70" s="28">
        <v>0</v>
      </c>
      <c r="CU70" s="28">
        <v>0</v>
      </c>
      <c r="CV70" s="28">
        <v>0</v>
      </c>
      <c r="CW70" s="28">
        <f t="shared" si="65"/>
        <v>0</v>
      </c>
      <c r="CX70" s="28">
        <v>0</v>
      </c>
      <c r="CY70" s="28">
        <v>0</v>
      </c>
      <c r="CZ70" s="28">
        <v>0</v>
      </c>
      <c r="DA70" s="28">
        <v>0</v>
      </c>
      <c r="DB70" s="28">
        <f t="shared" si="66"/>
        <v>0</v>
      </c>
      <c r="DC70" s="28">
        <v>0</v>
      </c>
      <c r="DD70" s="28">
        <v>0</v>
      </c>
      <c r="DE70" s="28">
        <v>0</v>
      </c>
      <c r="DF70" s="28">
        <v>0</v>
      </c>
      <c r="DG70" s="28">
        <f t="shared" si="67"/>
        <v>0</v>
      </c>
      <c r="DH70" s="28">
        <f>SUM(DD70:DG70)</f>
        <v>0</v>
      </c>
      <c r="DI70" s="28">
        <f>SUM(DE70:DH70)</f>
        <v>0</v>
      </c>
      <c r="DJ70" s="28">
        <f>SUM(DF70:DI70)</f>
        <v>0</v>
      </c>
      <c r="DK70" s="28">
        <f>SUM(DG70:DJ70)</f>
        <v>0</v>
      </c>
      <c r="DL70" s="28">
        <f t="shared" si="68"/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f>SUM(DM70:DP70)</f>
        <v>0</v>
      </c>
      <c r="DR70" s="28">
        <v>0</v>
      </c>
      <c r="DS70" s="28">
        <v>0</v>
      </c>
      <c r="DT70" s="28">
        <v>0</v>
      </c>
      <c r="DU70" s="28">
        <v>0</v>
      </c>
      <c r="DV70" s="28">
        <f>SUM(DR70:DU70)</f>
        <v>0</v>
      </c>
      <c r="DW70" s="28">
        <v>0</v>
      </c>
      <c r="DX70" s="28">
        <v>0</v>
      </c>
      <c r="DY70" s="28">
        <v>0</v>
      </c>
      <c r="DZ70" s="28">
        <v>0</v>
      </c>
      <c r="EA70" s="28">
        <f t="shared" si="56"/>
        <v>0</v>
      </c>
      <c r="EB70" s="28">
        <v>0</v>
      </c>
      <c r="EC70" s="28">
        <v>0</v>
      </c>
      <c r="ED70" s="28">
        <v>0</v>
      </c>
      <c r="EE70" s="28">
        <v>0</v>
      </c>
      <c r="EF70" s="28">
        <f t="shared" si="57"/>
        <v>0</v>
      </c>
      <c r="EG70" s="28">
        <v>0</v>
      </c>
      <c r="EH70" s="28">
        <v>0</v>
      </c>
      <c r="EI70" s="28">
        <v>0</v>
      </c>
    </row>
    <row r="71" spans="1:139" ht="15" thickTop="1" x14ac:dyDescent="0.3">
      <c r="A71" s="1" t="s">
        <v>338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27">
        <v>12.8</v>
      </c>
      <c r="BK71" s="27">
        <v>10.09629172</v>
      </c>
      <c r="BL71" s="27">
        <v>11.12170828</v>
      </c>
      <c r="BM71" s="27">
        <v>12.4</v>
      </c>
      <c r="BN71" s="27">
        <f t="shared" si="58"/>
        <v>46.417999999999999</v>
      </c>
      <c r="BO71" s="27">
        <v>13.00987845</v>
      </c>
      <c r="BP71" s="27">
        <v>13.223752929999998</v>
      </c>
      <c r="BQ71" s="27">
        <v>14.54052008</v>
      </c>
      <c r="BR71" s="27">
        <v>14.659618429999995</v>
      </c>
      <c r="BS71" s="27">
        <f t="shared" si="59"/>
        <v>55.433769889999994</v>
      </c>
      <c r="BT71" s="27">
        <v>0</v>
      </c>
      <c r="BU71" s="27">
        <v>0</v>
      </c>
      <c r="BV71" s="27">
        <v>0</v>
      </c>
      <c r="BW71" s="27">
        <v>0</v>
      </c>
      <c r="BX71" s="27">
        <f t="shared" si="60"/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f t="shared" si="61"/>
        <v>0</v>
      </c>
      <c r="CD71" s="27">
        <v>0</v>
      </c>
      <c r="CE71" s="27"/>
      <c r="CF71" s="27">
        <v>0</v>
      </c>
      <c r="CG71" s="27">
        <v>0</v>
      </c>
      <c r="CH71" s="27">
        <f t="shared" si="62"/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f t="shared" si="63"/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f t="shared" si="64"/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f t="shared" si="65"/>
        <v>0</v>
      </c>
      <c r="CX71" s="27">
        <v>7.0000000000000007E-2</v>
      </c>
      <c r="CY71" s="27">
        <v>0</v>
      </c>
      <c r="CZ71" s="27">
        <v>0</v>
      </c>
      <c r="DA71" s="27">
        <v>0</v>
      </c>
      <c r="DB71" s="27">
        <f t="shared" si="66"/>
        <v>7.0000000000000007E-2</v>
      </c>
      <c r="DC71" s="27">
        <v>7.0000000000000001E-3</v>
      </c>
      <c r="DD71" s="27">
        <v>7.0000000000000001E-3</v>
      </c>
      <c r="DE71" s="27">
        <v>7.0000000000000001E-3</v>
      </c>
      <c r="DF71" s="27">
        <v>0</v>
      </c>
      <c r="DG71" s="27">
        <f t="shared" si="67"/>
        <v>2.1000000000000001E-2</v>
      </c>
      <c r="DH71" s="27">
        <v>0</v>
      </c>
      <c r="DI71" s="27">
        <v>0</v>
      </c>
      <c r="DJ71" s="27">
        <v>0</v>
      </c>
      <c r="DK71" s="27">
        <v>2.1999999999999999E-2</v>
      </c>
      <c r="DL71" s="27">
        <f t="shared" si="68"/>
        <v>2.1999999999999999E-2</v>
      </c>
      <c r="DM71" s="27">
        <v>1.2E-2</v>
      </c>
      <c r="DN71" s="27">
        <v>1.2E-2</v>
      </c>
      <c r="DO71" s="27">
        <v>1.2E-2</v>
      </c>
      <c r="DP71" s="27">
        <v>1.6E-2</v>
      </c>
      <c r="DQ71" s="27">
        <f>SUM(DM71:DP71)</f>
        <v>5.2000000000000005E-2</v>
      </c>
      <c r="DR71" s="27">
        <v>1.7999999999999999E-2</v>
      </c>
      <c r="DS71" s="27">
        <v>1.7000000000000001E-2</v>
      </c>
      <c r="DT71" s="27">
        <v>1.7000000000000001E-2</v>
      </c>
      <c r="DU71" s="27">
        <v>1.7000000000000001E-2</v>
      </c>
      <c r="DV71" s="27">
        <f>SUM(DR71:DU71)</f>
        <v>6.9000000000000006E-2</v>
      </c>
      <c r="DW71" s="27">
        <v>1.7999999999999999E-2</v>
      </c>
      <c r="DX71" s="27">
        <v>1.7999999999999999E-2</v>
      </c>
      <c r="DY71" s="27">
        <v>1.8110370000000004E-2</v>
      </c>
      <c r="DZ71" s="27">
        <v>1.8298710000000006E-2</v>
      </c>
      <c r="EA71" s="27">
        <f t="shared" si="56"/>
        <v>7.2409080000000015E-2</v>
      </c>
      <c r="EB71" s="27">
        <v>0.24541415999999999</v>
      </c>
      <c r="EC71" s="27">
        <v>0.16714449999999997</v>
      </c>
      <c r="ED71" s="27">
        <v>1.335</v>
      </c>
      <c r="EE71" s="27">
        <v>0.69196507999999979</v>
      </c>
      <c r="EF71" s="27">
        <f t="shared" si="57"/>
        <v>2.4395237399999998</v>
      </c>
      <c r="EG71" s="27">
        <v>0.64352010999999998</v>
      </c>
      <c r="EH71" s="27">
        <v>0.64781606999999997</v>
      </c>
      <c r="EI71" s="27">
        <v>0.64947264000000016</v>
      </c>
    </row>
    <row r="72" spans="1:139" x14ac:dyDescent="0.3">
      <c r="A72" s="2" t="s">
        <v>308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28">
        <v>-25.8</v>
      </c>
      <c r="BK72" s="28">
        <v>-25.9</v>
      </c>
      <c r="BL72" s="28">
        <v>-26.8</v>
      </c>
      <c r="BM72" s="28">
        <v>-26.4</v>
      </c>
      <c r="BN72" s="28">
        <f t="shared" si="58"/>
        <v>-104.9</v>
      </c>
      <c r="BO72" s="28">
        <v>-29</v>
      </c>
      <c r="BP72" s="28">
        <v>-28.3</v>
      </c>
      <c r="BQ72" s="28">
        <v>-31.3</v>
      </c>
      <c r="BR72" s="28">
        <v>-29.3</v>
      </c>
      <c r="BS72" s="28">
        <f t="shared" si="59"/>
        <v>-117.89999999999999</v>
      </c>
      <c r="BT72" s="28">
        <v>-28.7</v>
      </c>
      <c r="BU72" s="28">
        <v>-29.6</v>
      </c>
      <c r="BV72" s="28">
        <v>-29</v>
      </c>
      <c r="BW72" s="28">
        <v>-29.9</v>
      </c>
      <c r="BX72" s="28">
        <f t="shared" si="60"/>
        <v>-117.19999999999999</v>
      </c>
      <c r="BY72" s="28">
        <v>-30.8</v>
      </c>
      <c r="BZ72" s="28">
        <v>-30.8</v>
      </c>
      <c r="CA72" s="28">
        <v>-30.9</v>
      </c>
      <c r="CB72" s="28">
        <v>-36.5</v>
      </c>
      <c r="CC72" s="28">
        <f t="shared" si="61"/>
        <v>-129</v>
      </c>
      <c r="CD72" s="28">
        <f>-42.2+1</f>
        <v>-41.2</v>
      </c>
      <c r="CE72" s="28">
        <f>-55.1+2.8</f>
        <v>-52.300000000000004</v>
      </c>
      <c r="CF72" s="28">
        <f>-50.2+2.6</f>
        <v>-47.6</v>
      </c>
      <c r="CG72" s="28">
        <f>-51.4+2.5</f>
        <v>-48.9</v>
      </c>
      <c r="CH72" s="28">
        <f t="shared" si="62"/>
        <v>-190</v>
      </c>
      <c r="CI72" s="28">
        <v>-49.5</v>
      </c>
      <c r="CJ72" s="28">
        <v>-50.4</v>
      </c>
      <c r="CK72" s="28">
        <v>-55.5</v>
      </c>
      <c r="CL72" s="28">
        <v>-56.599999999999994</v>
      </c>
      <c r="CM72" s="28">
        <f t="shared" si="63"/>
        <v>-212</v>
      </c>
      <c r="CN72" s="28">
        <v>-49.7</v>
      </c>
      <c r="CO72" s="28">
        <v>-49</v>
      </c>
      <c r="CP72" s="28">
        <v>-49.3</v>
      </c>
      <c r="CQ72" s="28">
        <v>-25.800000000000011</v>
      </c>
      <c r="CR72" s="28">
        <f t="shared" si="64"/>
        <v>-173.8</v>
      </c>
      <c r="CS72" s="28">
        <v>-46.456882360000002</v>
      </c>
      <c r="CT72" s="28">
        <v>-46.402043189999993</v>
      </c>
      <c r="CU72" s="28">
        <v>-45.726783959999985</v>
      </c>
      <c r="CV72" s="28">
        <f>-183.585-SUM(CS72:CU72)</f>
        <v>-44.999290490000021</v>
      </c>
      <c r="CW72" s="28">
        <f t="shared" si="65"/>
        <v>-183.58500000000001</v>
      </c>
      <c r="CX72" s="28">
        <v>-44.552999999999997</v>
      </c>
      <c r="CY72" s="28">
        <v>-44.552999999999997</v>
      </c>
      <c r="CZ72" s="28">
        <v>-43.776000000000003</v>
      </c>
      <c r="DA72" s="28">
        <v>-45.564</v>
      </c>
      <c r="DB72" s="28">
        <f t="shared" si="66"/>
        <v>-178.446</v>
      </c>
      <c r="DC72" s="28">
        <v>-44.896999999999998</v>
      </c>
      <c r="DD72" s="28">
        <v>-44.896999999999998</v>
      </c>
      <c r="DE72" s="28">
        <v>-51.14</v>
      </c>
      <c r="DF72" s="28">
        <v>-54.000999999999998</v>
      </c>
      <c r="DG72" s="28">
        <f t="shared" si="67"/>
        <v>-194.935</v>
      </c>
      <c r="DH72" s="28">
        <v>-64.647999999999996</v>
      </c>
      <c r="DI72" s="28">
        <v>-67.296999999999997</v>
      </c>
      <c r="DJ72" s="28">
        <v>-66.685000000000002</v>
      </c>
      <c r="DK72" s="28">
        <v>-70.454999999999998</v>
      </c>
      <c r="DL72" s="28">
        <f t="shared" si="68"/>
        <v>-269.08499999999998</v>
      </c>
      <c r="DM72" s="28">
        <v>-78.36</v>
      </c>
      <c r="DN72" s="28">
        <v>-78.358999999999995</v>
      </c>
      <c r="DO72" s="28">
        <v>-78.450999999999993</v>
      </c>
      <c r="DP72" s="28">
        <v>-79.195999999999998</v>
      </c>
      <c r="DQ72" s="28">
        <f>SUM(DM72:DP72)</f>
        <v>-314.36599999999999</v>
      </c>
      <c r="DR72" s="28">
        <v>-80.658000000000001</v>
      </c>
      <c r="DS72" s="28">
        <v>-80.585999999999999</v>
      </c>
      <c r="DT72" s="28">
        <v>-80.620999999999995</v>
      </c>
      <c r="DU72" s="28">
        <v>-97.284000000000006</v>
      </c>
      <c r="DV72" s="28">
        <f>SUM(DR72:DU72)</f>
        <v>-339.149</v>
      </c>
      <c r="DW72" s="28">
        <v>-94.436000000000007</v>
      </c>
      <c r="DX72" s="28">
        <v>-93.713999999999999</v>
      </c>
      <c r="DY72" s="28">
        <v>-101.83794063999999</v>
      </c>
      <c r="DZ72" s="28">
        <v>-101.66898402000004</v>
      </c>
      <c r="EA72" s="28">
        <f t="shared" si="56"/>
        <v>-391.65692466000002</v>
      </c>
      <c r="EB72" s="28">
        <v>-113.96709801999999</v>
      </c>
      <c r="EC72" s="28">
        <v>-117.54317264999999</v>
      </c>
      <c r="ED72" s="28">
        <v>-114.337</v>
      </c>
      <c r="EE72" s="28">
        <v>-117.79515328999996</v>
      </c>
      <c r="EF72" s="28">
        <f t="shared" si="57"/>
        <v>-463.64242395999997</v>
      </c>
      <c r="EG72" s="28">
        <v>-137.23599231</v>
      </c>
      <c r="EH72" s="28">
        <v>-145.35580216000002</v>
      </c>
      <c r="EI72" s="28">
        <v>-145.07803521999998</v>
      </c>
    </row>
    <row r="73" spans="1:139" x14ac:dyDescent="0.3">
      <c r="A73" s="5" t="s">
        <v>311</v>
      </c>
      <c r="B73" s="29">
        <f t="shared" ref="B73:AG73" si="75">SUM(B53:B72)</f>
        <v>0</v>
      </c>
      <c r="C73" s="29">
        <f t="shared" si="75"/>
        <v>0</v>
      </c>
      <c r="D73" s="29">
        <f t="shared" si="75"/>
        <v>0</v>
      </c>
      <c r="E73" s="29">
        <f t="shared" si="75"/>
        <v>0</v>
      </c>
      <c r="F73" s="29">
        <f t="shared" si="75"/>
        <v>0</v>
      </c>
      <c r="G73" s="29">
        <f t="shared" si="75"/>
        <v>0</v>
      </c>
      <c r="H73" s="29">
        <f t="shared" si="75"/>
        <v>0</v>
      </c>
      <c r="I73" s="29">
        <f t="shared" si="75"/>
        <v>0</v>
      </c>
      <c r="J73" s="29">
        <f t="shared" si="75"/>
        <v>0</v>
      </c>
      <c r="K73" s="29">
        <f t="shared" si="75"/>
        <v>0</v>
      </c>
      <c r="L73" s="29">
        <f t="shared" si="75"/>
        <v>0</v>
      </c>
      <c r="M73" s="29">
        <f t="shared" si="75"/>
        <v>0</v>
      </c>
      <c r="N73" s="29">
        <f t="shared" si="75"/>
        <v>0</v>
      </c>
      <c r="O73" s="29">
        <f t="shared" si="75"/>
        <v>0</v>
      </c>
      <c r="P73" s="29">
        <f t="shared" si="75"/>
        <v>0</v>
      </c>
      <c r="Q73" s="29">
        <f t="shared" si="75"/>
        <v>0</v>
      </c>
      <c r="R73" s="29">
        <f t="shared" si="75"/>
        <v>0</v>
      </c>
      <c r="S73" s="29">
        <f t="shared" si="75"/>
        <v>0</v>
      </c>
      <c r="T73" s="29">
        <f t="shared" si="75"/>
        <v>0</v>
      </c>
      <c r="U73" s="29">
        <f t="shared" si="75"/>
        <v>0</v>
      </c>
      <c r="V73" s="29">
        <f t="shared" si="75"/>
        <v>0</v>
      </c>
      <c r="W73" s="29">
        <f t="shared" si="75"/>
        <v>0</v>
      </c>
      <c r="X73" s="29">
        <f t="shared" si="75"/>
        <v>0</v>
      </c>
      <c r="Y73" s="29">
        <f t="shared" si="75"/>
        <v>0</v>
      </c>
      <c r="Z73" s="29">
        <f t="shared" si="75"/>
        <v>0</v>
      </c>
      <c r="AA73" s="29">
        <f t="shared" si="75"/>
        <v>0</v>
      </c>
      <c r="AB73" s="29">
        <f t="shared" si="75"/>
        <v>0</v>
      </c>
      <c r="AC73" s="29">
        <f t="shared" si="75"/>
        <v>0</v>
      </c>
      <c r="AD73" s="29">
        <f t="shared" si="75"/>
        <v>0</v>
      </c>
      <c r="AE73" s="29">
        <f t="shared" si="75"/>
        <v>0</v>
      </c>
      <c r="AF73" s="29">
        <f t="shared" si="75"/>
        <v>0</v>
      </c>
      <c r="AG73" s="29">
        <f t="shared" si="75"/>
        <v>0</v>
      </c>
      <c r="AH73" s="29">
        <f t="shared" ref="AH73:BM73" si="76">SUM(AH53:AH72)</f>
        <v>0</v>
      </c>
      <c r="AI73" s="29">
        <f t="shared" si="76"/>
        <v>0</v>
      </c>
      <c r="AJ73" s="29">
        <f t="shared" si="76"/>
        <v>0</v>
      </c>
      <c r="AK73" s="29">
        <f t="shared" si="76"/>
        <v>0</v>
      </c>
      <c r="AL73" s="29">
        <f t="shared" si="76"/>
        <v>0</v>
      </c>
      <c r="AM73" s="29">
        <f t="shared" si="76"/>
        <v>0</v>
      </c>
      <c r="AN73" s="29">
        <f t="shared" si="76"/>
        <v>0</v>
      </c>
      <c r="AO73" s="29">
        <f t="shared" si="76"/>
        <v>0</v>
      </c>
      <c r="AP73" s="29">
        <f t="shared" si="76"/>
        <v>0</v>
      </c>
      <c r="AQ73" s="29">
        <f t="shared" si="76"/>
        <v>0</v>
      </c>
      <c r="AR73" s="29">
        <f t="shared" si="76"/>
        <v>0</v>
      </c>
      <c r="AS73" s="29">
        <f t="shared" si="76"/>
        <v>0</v>
      </c>
      <c r="AT73" s="29">
        <f t="shared" si="76"/>
        <v>0</v>
      </c>
      <c r="AU73" s="29">
        <f t="shared" si="76"/>
        <v>0</v>
      </c>
      <c r="AV73" s="29">
        <f t="shared" si="76"/>
        <v>0</v>
      </c>
      <c r="AW73" s="29">
        <f t="shared" si="76"/>
        <v>0</v>
      </c>
      <c r="AX73" s="29">
        <f t="shared" si="76"/>
        <v>0</v>
      </c>
      <c r="AY73" s="29">
        <f t="shared" si="76"/>
        <v>0</v>
      </c>
      <c r="AZ73" s="29">
        <f t="shared" si="76"/>
        <v>0</v>
      </c>
      <c r="BA73" s="29">
        <f t="shared" si="76"/>
        <v>0</v>
      </c>
      <c r="BB73" s="29">
        <f t="shared" si="76"/>
        <v>0</v>
      </c>
      <c r="BC73" s="29">
        <f t="shared" si="76"/>
        <v>0</v>
      </c>
      <c r="BD73" s="29">
        <f t="shared" si="76"/>
        <v>0</v>
      </c>
      <c r="BE73" s="29">
        <f t="shared" si="76"/>
        <v>0</v>
      </c>
      <c r="BF73" s="29">
        <f t="shared" si="76"/>
        <v>0</v>
      </c>
      <c r="BG73" s="29">
        <f t="shared" si="76"/>
        <v>0</v>
      </c>
      <c r="BH73" s="29">
        <f t="shared" si="76"/>
        <v>0</v>
      </c>
      <c r="BI73" s="29">
        <f t="shared" si="76"/>
        <v>0</v>
      </c>
      <c r="BJ73" s="29">
        <f t="shared" si="76"/>
        <v>30.139999999999997</v>
      </c>
      <c r="BK73" s="29">
        <f t="shared" si="76"/>
        <v>29.496291719999995</v>
      </c>
      <c r="BL73" s="29">
        <f t="shared" si="76"/>
        <v>30.221708280000005</v>
      </c>
      <c r="BM73" s="29">
        <f t="shared" si="76"/>
        <v>30.605089999999997</v>
      </c>
      <c r="BN73" s="29">
        <f t="shared" ref="BN73:CS73" si="77">SUM(BN53:BN72)</f>
        <v>120.46308999999999</v>
      </c>
      <c r="BO73" s="29">
        <f t="shared" si="77"/>
        <v>87.278154298000004</v>
      </c>
      <c r="BP73" s="29">
        <f t="shared" si="77"/>
        <v>94.85409312000003</v>
      </c>
      <c r="BQ73" s="29">
        <f t="shared" si="77"/>
        <v>108.48557676999998</v>
      </c>
      <c r="BR73" s="29">
        <f t="shared" si="77"/>
        <v>105.36588657</v>
      </c>
      <c r="BS73" s="29">
        <f t="shared" si="77"/>
        <v>395.98371075800003</v>
      </c>
      <c r="BT73" s="29">
        <f t="shared" si="77"/>
        <v>15.7</v>
      </c>
      <c r="BU73" s="29">
        <f t="shared" si="77"/>
        <v>66.599999999999994</v>
      </c>
      <c r="BV73" s="29">
        <f t="shared" si="77"/>
        <v>173.50000000000003</v>
      </c>
      <c r="BW73" s="29">
        <f t="shared" si="77"/>
        <v>178.89999999999998</v>
      </c>
      <c r="BX73" s="29">
        <f t="shared" si="77"/>
        <v>434.7000000000001</v>
      </c>
      <c r="BY73" s="29">
        <f t="shared" si="77"/>
        <v>159.10000000000002</v>
      </c>
      <c r="BZ73" s="29">
        <f t="shared" si="77"/>
        <v>178.7</v>
      </c>
      <c r="CA73" s="29">
        <f t="shared" si="77"/>
        <v>180.39999999999998</v>
      </c>
      <c r="CB73" s="29">
        <f t="shared" si="77"/>
        <v>165.60000000000002</v>
      </c>
      <c r="CC73" s="29">
        <f t="shared" si="77"/>
        <v>683.80000000000018</v>
      </c>
      <c r="CD73" s="29">
        <f t="shared" si="77"/>
        <v>145.90000000000003</v>
      </c>
      <c r="CE73" s="29">
        <f t="shared" si="77"/>
        <v>146.19999999999999</v>
      </c>
      <c r="CF73" s="29">
        <f t="shared" si="77"/>
        <v>153.20000000000002</v>
      </c>
      <c r="CG73" s="29">
        <f t="shared" si="77"/>
        <v>136.99999999999997</v>
      </c>
      <c r="CH73" s="29">
        <f t="shared" si="77"/>
        <v>582.29999999999995</v>
      </c>
      <c r="CI73" s="29">
        <f t="shared" si="77"/>
        <v>131.5</v>
      </c>
      <c r="CJ73" s="29">
        <f t="shared" si="77"/>
        <v>114.39999999999998</v>
      </c>
      <c r="CK73" s="29">
        <f t="shared" si="77"/>
        <v>100.22613414</v>
      </c>
      <c r="CL73" s="29">
        <f t="shared" si="77"/>
        <v>92.19999999999996</v>
      </c>
      <c r="CM73" s="29">
        <f t="shared" si="77"/>
        <v>438.32613414000002</v>
      </c>
      <c r="CN73" s="29">
        <f t="shared" si="77"/>
        <v>83.999999999999986</v>
      </c>
      <c r="CO73" s="29">
        <f t="shared" si="77"/>
        <v>92.199999999999989</v>
      </c>
      <c r="CP73" s="29">
        <f t="shared" si="77"/>
        <v>98.2</v>
      </c>
      <c r="CQ73" s="29">
        <f t="shared" si="77"/>
        <v>99.699999999999974</v>
      </c>
      <c r="CR73" s="29">
        <f t="shared" si="77"/>
        <v>374.09999999999997</v>
      </c>
      <c r="CS73" s="29">
        <f t="shared" si="77"/>
        <v>97.051533379999995</v>
      </c>
      <c r="CT73" s="29">
        <f t="shared" ref="CT73:DT73" si="78">SUM(CT53:CT72)</f>
        <v>89.563561829999998</v>
      </c>
      <c r="CU73" s="29">
        <f t="shared" si="78"/>
        <v>82.991452219999985</v>
      </c>
      <c r="CV73" s="29">
        <f t="shared" si="78"/>
        <v>96.454752310000003</v>
      </c>
      <c r="CW73" s="29">
        <f t="shared" si="78"/>
        <v>366.06129973999998</v>
      </c>
      <c r="CX73" s="29">
        <f t="shared" si="78"/>
        <v>104.53899999999999</v>
      </c>
      <c r="CY73" s="29">
        <f t="shared" si="78"/>
        <v>114.74099999999999</v>
      </c>
      <c r="CZ73" s="29">
        <f t="shared" si="78"/>
        <v>126.51599999999999</v>
      </c>
      <c r="DA73" s="29">
        <f t="shared" si="78"/>
        <v>107.083</v>
      </c>
      <c r="DB73" s="29">
        <f t="shared" si="78"/>
        <v>452.87900000000002</v>
      </c>
      <c r="DC73" s="29">
        <f t="shared" si="78"/>
        <v>126.69900000000001</v>
      </c>
      <c r="DD73" s="29">
        <f t="shared" si="78"/>
        <v>136.09700000000001</v>
      </c>
      <c r="DE73" s="29">
        <f t="shared" si="78"/>
        <v>126.13600000000001</v>
      </c>
      <c r="DF73" s="29">
        <f t="shared" si="78"/>
        <v>113.38399999999999</v>
      </c>
      <c r="DG73" s="29">
        <f t="shared" si="78"/>
        <v>502.31599999999997</v>
      </c>
      <c r="DH73" s="29">
        <f t="shared" si="78"/>
        <v>118.76900000000001</v>
      </c>
      <c r="DI73" s="29">
        <f t="shared" si="78"/>
        <v>126.49600000000001</v>
      </c>
      <c r="DJ73" s="29">
        <f t="shared" si="78"/>
        <v>132.10999999999999</v>
      </c>
      <c r="DK73" s="29">
        <f t="shared" si="78"/>
        <v>141.94999999999999</v>
      </c>
      <c r="DL73" s="29">
        <f t="shared" si="78"/>
        <v>519.32500000000005</v>
      </c>
      <c r="DM73" s="29">
        <f t="shared" si="78"/>
        <v>161.86899999999997</v>
      </c>
      <c r="DN73" s="29">
        <f t="shared" si="78"/>
        <v>166.46199999999999</v>
      </c>
      <c r="DO73" s="29">
        <f t="shared" si="78"/>
        <v>165.9134</v>
      </c>
      <c r="DP73" s="29">
        <f t="shared" si="78"/>
        <v>160.21499999999997</v>
      </c>
      <c r="DQ73" s="29">
        <f t="shared" si="78"/>
        <v>654.45940000000007</v>
      </c>
      <c r="DR73" s="29">
        <f t="shared" si="78"/>
        <v>175.26400000000001</v>
      </c>
      <c r="DS73" s="29">
        <f t="shared" si="78"/>
        <v>175.40800000000002</v>
      </c>
      <c r="DT73" s="29">
        <f t="shared" si="78"/>
        <v>205.71200000000005</v>
      </c>
      <c r="DU73" s="29">
        <f t="shared" ref="DU73:ED73" si="79">SUM(DU53:DU72)</f>
        <v>210.92599999999999</v>
      </c>
      <c r="DV73" s="29">
        <f t="shared" si="79"/>
        <v>767.31000000000006</v>
      </c>
      <c r="DW73" s="29">
        <f t="shared" si="79"/>
        <v>209.67599999999996</v>
      </c>
      <c r="DX73" s="29">
        <f t="shared" si="79"/>
        <v>185.97099999999995</v>
      </c>
      <c r="DY73" s="29">
        <f t="shared" si="79"/>
        <v>148.74069365999998</v>
      </c>
      <c r="DZ73" s="29">
        <f t="shared" si="79"/>
        <v>149.52417846999998</v>
      </c>
      <c r="EA73" s="29">
        <f t="shared" si="79"/>
        <v>693.91187212999989</v>
      </c>
      <c r="EB73" s="29">
        <f t="shared" si="79"/>
        <v>145.89755511000004</v>
      </c>
      <c r="EC73" s="29">
        <f t="shared" si="79"/>
        <v>157.04453429000006</v>
      </c>
      <c r="ED73" s="29">
        <f t="shared" si="79"/>
        <v>163.161</v>
      </c>
      <c r="EE73" s="29">
        <f t="shared" ref="EE73:EI73" si="80">SUM(EE53:EE72)</f>
        <v>175.96405847</v>
      </c>
      <c r="EF73" s="29">
        <f t="shared" si="80"/>
        <v>642.06714786999999</v>
      </c>
      <c r="EG73" s="29">
        <f t="shared" si="80"/>
        <v>180.97587797999998</v>
      </c>
      <c r="EH73" s="29">
        <f t="shared" si="80"/>
        <v>180.88456555999991</v>
      </c>
      <c r="EI73" s="29">
        <f t="shared" si="80"/>
        <v>185.45010991000007</v>
      </c>
    </row>
    <row r="76" spans="1:139" x14ac:dyDescent="0.3">
      <c r="A76" s="3" t="s">
        <v>313</v>
      </c>
      <c r="B76" s="6" t="s">
        <v>4</v>
      </c>
      <c r="C76" s="6" t="s">
        <v>5</v>
      </c>
      <c r="D76" s="6" t="s">
        <v>6</v>
      </c>
      <c r="E76" s="6" t="s">
        <v>7</v>
      </c>
      <c r="F76" s="6">
        <v>2018</v>
      </c>
      <c r="G76" s="6" t="s">
        <v>8</v>
      </c>
      <c r="H76" s="6" t="s">
        <v>9</v>
      </c>
      <c r="I76" s="6" t="s">
        <v>10</v>
      </c>
      <c r="J76" s="6" t="s">
        <v>11</v>
      </c>
      <c r="K76" s="6">
        <v>2019</v>
      </c>
      <c r="L76" s="6" t="s">
        <v>12</v>
      </c>
      <c r="M76" s="6" t="s">
        <v>13</v>
      </c>
      <c r="N76" s="6" t="s">
        <v>14</v>
      </c>
      <c r="O76" s="6" t="s">
        <v>15</v>
      </c>
      <c r="P76" s="6">
        <v>2000</v>
      </c>
      <c r="Q76" s="6" t="s">
        <v>16</v>
      </c>
      <c r="R76" s="6" t="s">
        <v>17</v>
      </c>
      <c r="S76" s="6" t="s">
        <v>18</v>
      </c>
      <c r="T76" s="6" t="s">
        <v>19</v>
      </c>
      <c r="U76" s="6">
        <v>2001</v>
      </c>
      <c r="V76" s="6" t="s">
        <v>20</v>
      </c>
      <c r="W76" s="6" t="s">
        <v>21</v>
      </c>
      <c r="X76" s="6" t="s">
        <v>22</v>
      </c>
      <c r="Y76" s="6" t="s">
        <v>23</v>
      </c>
      <c r="Z76" s="6">
        <v>2002</v>
      </c>
      <c r="AA76" s="6" t="s">
        <v>24</v>
      </c>
      <c r="AB76" s="6" t="s">
        <v>25</v>
      </c>
      <c r="AC76" s="6" t="s">
        <v>26</v>
      </c>
      <c r="AD76" s="6" t="s">
        <v>27</v>
      </c>
      <c r="AE76" s="6">
        <v>2003</v>
      </c>
      <c r="AF76" s="6" t="s">
        <v>28</v>
      </c>
      <c r="AG76" s="6" t="s">
        <v>29</v>
      </c>
      <c r="AH76" s="6" t="s">
        <v>30</v>
      </c>
      <c r="AI76" s="6" t="s">
        <v>31</v>
      </c>
      <c r="AJ76" s="6">
        <v>2004</v>
      </c>
      <c r="AK76" s="6" t="s">
        <v>32</v>
      </c>
      <c r="AL76" s="6" t="s">
        <v>33</v>
      </c>
      <c r="AM76" s="6" t="s">
        <v>34</v>
      </c>
      <c r="AN76" s="6" t="s">
        <v>35</v>
      </c>
      <c r="AO76" s="6">
        <v>2005</v>
      </c>
      <c r="AP76" s="6" t="s">
        <v>36</v>
      </c>
      <c r="AQ76" s="6" t="s">
        <v>37</v>
      </c>
      <c r="AR76" s="6" t="s">
        <v>38</v>
      </c>
      <c r="AS76" s="6" t="s">
        <v>39</v>
      </c>
      <c r="AT76" s="6">
        <v>2006</v>
      </c>
      <c r="AU76" s="6" t="s">
        <v>40</v>
      </c>
      <c r="AV76" s="6" t="s">
        <v>41</v>
      </c>
      <c r="AW76" s="6" t="s">
        <v>42</v>
      </c>
      <c r="AX76" s="6" t="s">
        <v>43</v>
      </c>
      <c r="AY76" s="6">
        <v>2007</v>
      </c>
      <c r="AZ76" s="6" t="s">
        <v>44</v>
      </c>
      <c r="BA76" s="6" t="s">
        <v>45</v>
      </c>
      <c r="BB76" s="6" t="s">
        <v>46</v>
      </c>
      <c r="BC76" s="6" t="s">
        <v>47</v>
      </c>
      <c r="BD76" s="6">
        <v>2008</v>
      </c>
      <c r="BE76" s="6" t="s">
        <v>48</v>
      </c>
      <c r="BF76" s="6" t="s">
        <v>49</v>
      </c>
      <c r="BG76" s="6" t="s">
        <v>50</v>
      </c>
      <c r="BH76" s="6" t="s">
        <v>51</v>
      </c>
      <c r="BI76" s="6">
        <v>2009</v>
      </c>
      <c r="BJ76" s="6" t="s">
        <v>52</v>
      </c>
      <c r="BK76" s="6" t="s">
        <v>53</v>
      </c>
      <c r="BL76" s="6" t="s">
        <v>54</v>
      </c>
      <c r="BM76" s="6" t="s">
        <v>55</v>
      </c>
      <c r="BN76" s="6">
        <v>2010</v>
      </c>
      <c r="BO76" s="6" t="s">
        <v>56</v>
      </c>
      <c r="BP76" s="6" t="s">
        <v>57</v>
      </c>
      <c r="BQ76" s="6" t="s">
        <v>58</v>
      </c>
      <c r="BR76" s="6" t="s">
        <v>59</v>
      </c>
      <c r="BS76" s="6">
        <v>2011</v>
      </c>
      <c r="BT76" s="6" t="s">
        <v>60</v>
      </c>
      <c r="BU76" s="6" t="s">
        <v>61</v>
      </c>
      <c r="BV76" s="6" t="s">
        <v>62</v>
      </c>
      <c r="BW76" s="6" t="s">
        <v>63</v>
      </c>
      <c r="BX76" s="6">
        <v>2012</v>
      </c>
      <c r="BY76" s="6" t="s">
        <v>64</v>
      </c>
      <c r="BZ76" s="6" t="s">
        <v>65</v>
      </c>
      <c r="CA76" s="6" t="s">
        <v>66</v>
      </c>
      <c r="CB76" s="6" t="s">
        <v>67</v>
      </c>
      <c r="CC76" s="6">
        <v>2013</v>
      </c>
      <c r="CD76" s="6" t="s">
        <v>68</v>
      </c>
      <c r="CE76" s="6" t="s">
        <v>69</v>
      </c>
      <c r="CF76" s="6" t="s">
        <v>70</v>
      </c>
      <c r="CG76" s="6" t="s">
        <v>71</v>
      </c>
      <c r="CH76" s="6">
        <v>2014</v>
      </c>
      <c r="CI76" s="6" t="s">
        <v>72</v>
      </c>
      <c r="CJ76" s="6" t="s">
        <v>73</v>
      </c>
      <c r="CK76" s="6" t="s">
        <v>74</v>
      </c>
      <c r="CL76" s="6" t="s">
        <v>75</v>
      </c>
      <c r="CM76" s="6">
        <v>2015</v>
      </c>
      <c r="CN76" s="6" t="s">
        <v>76</v>
      </c>
      <c r="CO76" s="6" t="s">
        <v>77</v>
      </c>
      <c r="CP76" s="6" t="s">
        <v>78</v>
      </c>
      <c r="CQ76" s="6" t="s">
        <v>79</v>
      </c>
      <c r="CR76" s="6">
        <v>2016</v>
      </c>
      <c r="CS76" s="6" t="s">
        <v>80</v>
      </c>
      <c r="CT76" s="6" t="s">
        <v>81</v>
      </c>
      <c r="CU76" s="6" t="s">
        <v>82</v>
      </c>
      <c r="CV76" s="6" t="s">
        <v>83</v>
      </c>
      <c r="CW76" s="6">
        <v>2017</v>
      </c>
      <c r="CX76" s="6" t="s">
        <v>84</v>
      </c>
      <c r="CY76" s="6" t="s">
        <v>85</v>
      </c>
      <c r="CZ76" s="6" t="s">
        <v>86</v>
      </c>
      <c r="DA76" s="6" t="s">
        <v>87</v>
      </c>
      <c r="DB76" s="6">
        <v>2018</v>
      </c>
      <c r="DC76" s="6" t="s">
        <v>88</v>
      </c>
      <c r="DD76" s="6" t="s">
        <v>89</v>
      </c>
      <c r="DE76" s="6" t="s">
        <v>90</v>
      </c>
      <c r="DF76" s="6" t="s">
        <v>91</v>
      </c>
      <c r="DG76" s="6">
        <v>2019</v>
      </c>
      <c r="DH76" s="6" t="s">
        <v>92</v>
      </c>
      <c r="DI76" s="6" t="s">
        <v>93</v>
      </c>
      <c r="DJ76" s="6" t="s">
        <v>94</v>
      </c>
      <c r="DK76" s="6" t="s">
        <v>95</v>
      </c>
      <c r="DL76" s="6">
        <v>2020</v>
      </c>
      <c r="DM76" s="6" t="s">
        <v>96</v>
      </c>
      <c r="DN76" s="6" t="s">
        <v>97</v>
      </c>
      <c r="DO76" s="6" t="s">
        <v>98</v>
      </c>
      <c r="DP76" s="6" t="s">
        <v>99</v>
      </c>
      <c r="DQ76" s="6">
        <v>2021</v>
      </c>
      <c r="DR76" s="6" t="s">
        <v>100</v>
      </c>
      <c r="DS76" s="6" t="s">
        <v>101</v>
      </c>
      <c r="DT76" s="6" t="s">
        <v>200</v>
      </c>
      <c r="DU76" s="6" t="s">
        <v>380</v>
      </c>
      <c r="DV76" s="6">
        <v>2022</v>
      </c>
      <c r="DW76" s="6" t="s">
        <v>379</v>
      </c>
      <c r="DX76" s="6" t="s">
        <v>402</v>
      </c>
      <c r="DY76" s="6" t="s">
        <v>414</v>
      </c>
      <c r="DZ76" s="6" t="s">
        <v>419</v>
      </c>
      <c r="EA76" s="6">
        <v>2023</v>
      </c>
      <c r="EB76" s="6" t="s">
        <v>424</v>
      </c>
      <c r="EC76" s="6" t="s">
        <v>429</v>
      </c>
      <c r="ED76" s="6" t="str">
        <f>$ED$1</f>
        <v>3T24</v>
      </c>
      <c r="EE76" s="6" t="str">
        <f>$EE$1</f>
        <v>4T24</v>
      </c>
      <c r="EF76" s="6">
        <f>$EF$1</f>
        <v>2024</v>
      </c>
      <c r="EG76" s="6" t="str">
        <f>EG$1</f>
        <v>1T25</v>
      </c>
      <c r="EH76" s="6" t="str">
        <f>EH$1</f>
        <v>2T25</v>
      </c>
      <c r="EI76" s="6" t="str">
        <f>EI$1</f>
        <v>3T25</v>
      </c>
    </row>
    <row r="77" spans="1:139" ht="15" thickBot="1" x14ac:dyDescent="0.35">
      <c r="A77" s="4" t="s">
        <v>314</v>
      </c>
      <c r="B77" s="7" t="s">
        <v>102</v>
      </c>
      <c r="C77" s="7" t="s">
        <v>103</v>
      </c>
      <c r="D77" s="7" t="s">
        <v>104</v>
      </c>
      <c r="E77" s="7" t="s">
        <v>105</v>
      </c>
      <c r="F77" s="7">
        <v>2018</v>
      </c>
      <c r="G77" s="7" t="s">
        <v>106</v>
      </c>
      <c r="H77" s="7" t="s">
        <v>107</v>
      </c>
      <c r="I77" s="7" t="s">
        <v>108</v>
      </c>
      <c r="J77" s="7" t="s">
        <v>109</v>
      </c>
      <c r="K77" s="7">
        <v>2019</v>
      </c>
      <c r="L77" s="7" t="s">
        <v>110</v>
      </c>
      <c r="M77" s="7" t="s">
        <v>111</v>
      </c>
      <c r="N77" s="7" t="s">
        <v>112</v>
      </c>
      <c r="O77" s="7" t="s">
        <v>113</v>
      </c>
      <c r="P77" s="7">
        <v>2000</v>
      </c>
      <c r="Q77" s="7" t="s">
        <v>114</v>
      </c>
      <c r="R77" s="7" t="s">
        <v>115</v>
      </c>
      <c r="S77" s="7" t="s">
        <v>116</v>
      </c>
      <c r="T77" s="7" t="s">
        <v>117</v>
      </c>
      <c r="U77" s="7">
        <v>2001</v>
      </c>
      <c r="V77" s="7" t="s">
        <v>118</v>
      </c>
      <c r="W77" s="7" t="s">
        <v>119</v>
      </c>
      <c r="X77" s="7" t="s">
        <v>120</v>
      </c>
      <c r="Y77" s="7" t="s">
        <v>121</v>
      </c>
      <c r="Z77" s="7">
        <v>2002</v>
      </c>
      <c r="AA77" s="7" t="s">
        <v>122</v>
      </c>
      <c r="AB77" s="7" t="s">
        <v>123</v>
      </c>
      <c r="AC77" s="7" t="s">
        <v>124</v>
      </c>
      <c r="AD77" s="7" t="s">
        <v>125</v>
      </c>
      <c r="AE77" s="7">
        <v>2003</v>
      </c>
      <c r="AF77" s="7" t="s">
        <v>126</v>
      </c>
      <c r="AG77" s="7" t="s">
        <v>127</v>
      </c>
      <c r="AH77" s="7" t="s">
        <v>128</v>
      </c>
      <c r="AI77" s="7" t="s">
        <v>129</v>
      </c>
      <c r="AJ77" s="7">
        <v>2004</v>
      </c>
      <c r="AK77" s="7" t="s">
        <v>130</v>
      </c>
      <c r="AL77" s="7" t="s">
        <v>131</v>
      </c>
      <c r="AM77" s="7" t="s">
        <v>132</v>
      </c>
      <c r="AN77" s="7" t="s">
        <v>133</v>
      </c>
      <c r="AO77" s="7">
        <v>2005</v>
      </c>
      <c r="AP77" s="7" t="s">
        <v>134</v>
      </c>
      <c r="AQ77" s="7" t="s">
        <v>135</v>
      </c>
      <c r="AR77" s="7" t="s">
        <v>136</v>
      </c>
      <c r="AS77" s="7" t="s">
        <v>137</v>
      </c>
      <c r="AT77" s="7">
        <v>2006</v>
      </c>
      <c r="AU77" s="7" t="s">
        <v>138</v>
      </c>
      <c r="AV77" s="7" t="s">
        <v>139</v>
      </c>
      <c r="AW77" s="7" t="s">
        <v>140</v>
      </c>
      <c r="AX77" s="7" t="s">
        <v>141</v>
      </c>
      <c r="AY77" s="7">
        <v>2007</v>
      </c>
      <c r="AZ77" s="7" t="s">
        <v>142</v>
      </c>
      <c r="BA77" s="7" t="s">
        <v>143</v>
      </c>
      <c r="BB77" s="7" t="s">
        <v>144</v>
      </c>
      <c r="BC77" s="7" t="s">
        <v>145</v>
      </c>
      <c r="BD77" s="7">
        <v>2008</v>
      </c>
      <c r="BE77" s="7" t="s">
        <v>146</v>
      </c>
      <c r="BF77" s="7" t="s">
        <v>147</v>
      </c>
      <c r="BG77" s="7" t="s">
        <v>148</v>
      </c>
      <c r="BH77" s="7" t="s">
        <v>149</v>
      </c>
      <c r="BI77" s="7">
        <v>2009</v>
      </c>
      <c r="BJ77" s="7" t="s">
        <v>150</v>
      </c>
      <c r="BK77" s="7" t="s">
        <v>151</v>
      </c>
      <c r="BL77" s="7" t="s">
        <v>152</v>
      </c>
      <c r="BM77" s="7" t="s">
        <v>153</v>
      </c>
      <c r="BN77" s="7">
        <v>2010</v>
      </c>
      <c r="BO77" s="7" t="s">
        <v>154</v>
      </c>
      <c r="BP77" s="7" t="s">
        <v>155</v>
      </c>
      <c r="BQ77" s="7" t="s">
        <v>156</v>
      </c>
      <c r="BR77" s="7" t="s">
        <v>157</v>
      </c>
      <c r="BS77" s="7">
        <v>2011</v>
      </c>
      <c r="BT77" s="7" t="s">
        <v>158</v>
      </c>
      <c r="BU77" s="7" t="s">
        <v>159</v>
      </c>
      <c r="BV77" s="7" t="s">
        <v>160</v>
      </c>
      <c r="BW77" s="7" t="s">
        <v>161</v>
      </c>
      <c r="BX77" s="7">
        <v>2012</v>
      </c>
      <c r="BY77" s="7" t="s">
        <v>162</v>
      </c>
      <c r="BZ77" s="7" t="s">
        <v>163</v>
      </c>
      <c r="CA77" s="7" t="s">
        <v>164</v>
      </c>
      <c r="CB77" s="7" t="s">
        <v>165</v>
      </c>
      <c r="CC77" s="7">
        <v>2013</v>
      </c>
      <c r="CD77" s="7" t="s">
        <v>166</v>
      </c>
      <c r="CE77" s="7" t="s">
        <v>167</v>
      </c>
      <c r="CF77" s="7" t="s">
        <v>168</v>
      </c>
      <c r="CG77" s="7" t="s">
        <v>169</v>
      </c>
      <c r="CH77" s="7">
        <v>2014</v>
      </c>
      <c r="CI77" s="7" t="s">
        <v>170</v>
      </c>
      <c r="CJ77" s="7" t="s">
        <v>171</v>
      </c>
      <c r="CK77" s="7" t="s">
        <v>172</v>
      </c>
      <c r="CL77" s="7" t="s">
        <v>173</v>
      </c>
      <c r="CM77" s="7">
        <v>2015</v>
      </c>
      <c r="CN77" s="7" t="s">
        <v>174</v>
      </c>
      <c r="CO77" s="7" t="s">
        <v>175</v>
      </c>
      <c r="CP77" s="7" t="s">
        <v>176</v>
      </c>
      <c r="CQ77" s="7" t="s">
        <v>177</v>
      </c>
      <c r="CR77" s="7">
        <v>2016</v>
      </c>
      <c r="CS77" s="7" t="s">
        <v>178</v>
      </c>
      <c r="CT77" s="7" t="s">
        <v>179</v>
      </c>
      <c r="CU77" s="7" t="s">
        <v>180</v>
      </c>
      <c r="CV77" s="7" t="s">
        <v>181</v>
      </c>
      <c r="CW77" s="7">
        <v>2017</v>
      </c>
      <c r="CX77" s="7" t="s">
        <v>182</v>
      </c>
      <c r="CY77" s="7" t="s">
        <v>183</v>
      </c>
      <c r="CZ77" s="7" t="s">
        <v>184</v>
      </c>
      <c r="DA77" s="7" t="s">
        <v>185</v>
      </c>
      <c r="DB77" s="7">
        <v>2018</v>
      </c>
      <c r="DC77" s="7" t="s">
        <v>186</v>
      </c>
      <c r="DD77" s="7" t="s">
        <v>187</v>
      </c>
      <c r="DE77" s="7" t="s">
        <v>188</v>
      </c>
      <c r="DF77" s="7" t="s">
        <v>189</v>
      </c>
      <c r="DG77" s="7">
        <v>2019</v>
      </c>
      <c r="DH77" s="7" t="s">
        <v>190</v>
      </c>
      <c r="DI77" s="7" t="s">
        <v>191</v>
      </c>
      <c r="DJ77" s="7" t="s">
        <v>192</v>
      </c>
      <c r="DK77" s="7" t="s">
        <v>193</v>
      </c>
      <c r="DL77" s="7">
        <v>2020</v>
      </c>
      <c r="DM77" s="7" t="s">
        <v>194</v>
      </c>
      <c r="DN77" s="7" t="s">
        <v>195</v>
      </c>
      <c r="DO77" s="7" t="s">
        <v>196</v>
      </c>
      <c r="DP77" s="7" t="s">
        <v>197</v>
      </c>
      <c r="DQ77" s="7">
        <v>2021</v>
      </c>
      <c r="DR77" s="7" t="s">
        <v>198</v>
      </c>
      <c r="DS77" s="7" t="s">
        <v>199</v>
      </c>
      <c r="DT77" s="7" t="s">
        <v>201</v>
      </c>
      <c r="DU77" s="7" t="s">
        <v>381</v>
      </c>
      <c r="DV77" s="7">
        <v>2022</v>
      </c>
      <c r="DW77" s="7" t="s">
        <v>382</v>
      </c>
      <c r="DX77" s="7" t="s">
        <v>403</v>
      </c>
      <c r="DY77" s="7" t="s">
        <v>415</v>
      </c>
      <c r="DZ77" s="7" t="s">
        <v>420</v>
      </c>
      <c r="EA77" s="7">
        <v>2023</v>
      </c>
      <c r="EB77" s="7" t="s">
        <v>425</v>
      </c>
      <c r="EC77" s="7" t="s">
        <v>430</v>
      </c>
      <c r="ED77" s="6" t="str">
        <f>$ED$2</f>
        <v>3Q24</v>
      </c>
      <c r="EE77" s="7" t="str">
        <f>$EE$2</f>
        <v>4Q24</v>
      </c>
      <c r="EF77" s="7">
        <f>$EF$2</f>
        <v>2024</v>
      </c>
      <c r="EG77" s="7" t="str">
        <f>EG$2</f>
        <v>1Q25</v>
      </c>
      <c r="EH77" s="7" t="str">
        <f>EH$2</f>
        <v>2Q25</v>
      </c>
      <c r="EI77" s="7" t="str">
        <f>EI$2</f>
        <v>3Q25</v>
      </c>
    </row>
    <row r="78" spans="1:139" ht="15" thickTop="1" x14ac:dyDescent="0.3">
      <c r="A78" s="1" t="s">
        <v>2</v>
      </c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>
        <v>16.399999999999999</v>
      </c>
      <c r="BK78" s="27">
        <v>2.2999999999999998</v>
      </c>
      <c r="BL78" s="27">
        <v>2.1</v>
      </c>
      <c r="BM78" s="27">
        <v>1.4</v>
      </c>
      <c r="BN78" s="27">
        <f>SUM(BJ78:BM78)</f>
        <v>22.2</v>
      </c>
      <c r="BO78" s="27">
        <v>2.2999999999999998</v>
      </c>
      <c r="BP78" s="27">
        <v>6</v>
      </c>
      <c r="BQ78" s="27">
        <v>8.8000000000000007</v>
      </c>
      <c r="BR78" s="27">
        <v>6.5</v>
      </c>
      <c r="BS78" s="27">
        <f>SUM(BO78:BR78)</f>
        <v>23.6</v>
      </c>
      <c r="BT78" s="27">
        <v>2.5</v>
      </c>
      <c r="BU78" s="27">
        <v>7.6</v>
      </c>
      <c r="BV78" s="27">
        <v>8.8000000000000007</v>
      </c>
      <c r="BW78" s="27">
        <v>9.6999999999999993</v>
      </c>
      <c r="BX78" s="27">
        <f>SUM(BT78:BW78)</f>
        <v>28.599999999999998</v>
      </c>
      <c r="BY78" s="27">
        <v>2.4</v>
      </c>
      <c r="BZ78" s="27">
        <v>16.3</v>
      </c>
      <c r="CA78" s="27">
        <v>5.3</v>
      </c>
      <c r="CB78" s="27">
        <v>3.8</v>
      </c>
      <c r="CC78" s="27">
        <f>SUM(BY78:CB78)</f>
        <v>27.8</v>
      </c>
      <c r="CD78" s="27">
        <v>7</v>
      </c>
      <c r="CE78" s="27">
        <v>12.274789839999997</v>
      </c>
      <c r="CF78" s="27">
        <v>10.5</v>
      </c>
      <c r="CG78" s="27">
        <v>13.3</v>
      </c>
      <c r="CH78" s="27">
        <f>SUM(CD78:CG78)</f>
        <v>43.074789839999994</v>
      </c>
      <c r="CI78" s="27">
        <v>15</v>
      </c>
      <c r="CJ78" s="27">
        <v>19.100000000000001</v>
      </c>
      <c r="CK78" s="27">
        <v>14.3</v>
      </c>
      <c r="CL78" s="27">
        <v>4.7</v>
      </c>
      <c r="CM78" s="27">
        <f>SUM(CI78:CL78)</f>
        <v>53.100000000000009</v>
      </c>
      <c r="CN78" s="27">
        <v>7.7</v>
      </c>
      <c r="CO78" s="27">
        <v>1</v>
      </c>
      <c r="CP78" s="27">
        <v>1.7000000000000002</v>
      </c>
      <c r="CQ78" s="27">
        <v>1.4000000000000012</v>
      </c>
      <c r="CR78" s="27">
        <f>SUM(CN78:CQ78)</f>
        <v>11.8</v>
      </c>
      <c r="CS78" s="27">
        <v>2.0492851599999997</v>
      </c>
      <c r="CT78" s="27">
        <v>4.7288119900000005</v>
      </c>
      <c r="CU78" s="27">
        <v>7.3344831899999985</v>
      </c>
      <c r="CV78" s="27">
        <v>7.6062813800000004</v>
      </c>
      <c r="CW78" s="27">
        <f>SUM(CS78:CV78)</f>
        <v>21.71886172</v>
      </c>
      <c r="CX78" s="27">
        <v>3.0089999999999999</v>
      </c>
      <c r="CY78" s="27">
        <v>3.17</v>
      </c>
      <c r="CZ78" s="27">
        <v>5.3730000000000002</v>
      </c>
      <c r="DA78" s="27">
        <v>8.2089999999999996</v>
      </c>
      <c r="DB78" s="27">
        <f>SUM(CX78:DA78)</f>
        <v>19.760999999999999</v>
      </c>
      <c r="DC78" s="27">
        <v>0.79300000000000004</v>
      </c>
      <c r="DD78" s="27">
        <v>0.71199999999999997</v>
      </c>
      <c r="DE78" s="27">
        <v>0.378</v>
      </c>
      <c r="DF78" s="27">
        <v>0.27800000000000002</v>
      </c>
      <c r="DG78" s="27">
        <f>SUM(DC78:DF78)</f>
        <v>2.161</v>
      </c>
      <c r="DH78" s="27">
        <v>1.6459999999999999</v>
      </c>
      <c r="DI78" s="27">
        <v>0.94899999999999995</v>
      </c>
      <c r="DJ78" s="27">
        <v>1.0580000000000001</v>
      </c>
      <c r="DK78" s="27">
        <v>1.6519999999999999</v>
      </c>
      <c r="DL78" s="27">
        <f>SUM(DH78:DK78)</f>
        <v>5.3049999999999997</v>
      </c>
      <c r="DM78" s="27">
        <v>1.0880000000000001</v>
      </c>
      <c r="DN78" s="27">
        <v>3.8130000000000002</v>
      </c>
      <c r="DO78" s="27">
        <v>5.3780000000000001</v>
      </c>
      <c r="DP78" s="27">
        <v>3.9209999999999998</v>
      </c>
      <c r="DQ78" s="27">
        <f t="shared" ref="DQ78:DQ89" si="81">SUM(DM78:DP78)</f>
        <v>14.2</v>
      </c>
      <c r="DR78" s="27">
        <v>0</v>
      </c>
      <c r="DS78" s="27">
        <v>0</v>
      </c>
      <c r="DT78" s="27">
        <v>0</v>
      </c>
      <c r="DU78" s="27">
        <v>0</v>
      </c>
      <c r="DV78" s="27">
        <f>SUM(DR78:DU78)</f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f t="shared" ref="EA78:EA90" si="82">SUM(DW78:DZ78)</f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f t="shared" ref="EF78:EF90" si="83">SUM(EB78:EE78)</f>
        <v>0</v>
      </c>
      <c r="EG78" s="27">
        <v>0</v>
      </c>
      <c r="EH78" s="27">
        <v>0</v>
      </c>
      <c r="EI78" s="27">
        <v>0</v>
      </c>
    </row>
    <row r="79" spans="1:139" ht="15" thickBot="1" x14ac:dyDescent="0.35">
      <c r="A79" s="2" t="s">
        <v>454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>
        <v>4</v>
      </c>
      <c r="BK79" s="28">
        <v>4.5</v>
      </c>
      <c r="BL79" s="28">
        <v>5.3</v>
      </c>
      <c r="BM79" s="28">
        <v>4.2</v>
      </c>
      <c r="BN79" s="28">
        <f t="shared" ref="BN79:BN84" si="84">SUM(BJ79:BM79)</f>
        <v>18</v>
      </c>
      <c r="BO79" s="28">
        <v>5</v>
      </c>
      <c r="BP79" s="28">
        <v>10.9</v>
      </c>
      <c r="BQ79" s="28">
        <v>8</v>
      </c>
      <c r="BR79" s="28">
        <v>7.8</v>
      </c>
      <c r="BS79" s="28">
        <f t="shared" ref="BS79:BS84" si="85">SUM(BO79:BR79)</f>
        <v>31.7</v>
      </c>
      <c r="BT79" s="28">
        <v>4.0999999999999996</v>
      </c>
      <c r="BU79" s="28">
        <v>7.9</v>
      </c>
      <c r="BV79" s="28">
        <v>9.1999999999999993</v>
      </c>
      <c r="BW79" s="28">
        <v>8.3000000000000007</v>
      </c>
      <c r="BX79" s="28">
        <f t="shared" ref="BX79:BX84" si="86">SUM(BT79:BW79)</f>
        <v>29.5</v>
      </c>
      <c r="BY79" s="28">
        <v>3.6</v>
      </c>
      <c r="BZ79" s="28">
        <v>10.5</v>
      </c>
      <c r="CA79" s="28">
        <v>10.1</v>
      </c>
      <c r="CB79" s="28">
        <v>13.5</v>
      </c>
      <c r="CC79" s="28">
        <f t="shared" ref="CC79:CC84" si="87">SUM(BY79:CB79)</f>
        <v>37.700000000000003</v>
      </c>
      <c r="CD79" s="28">
        <v>7.8</v>
      </c>
      <c r="CE79" s="28">
        <v>7.9858964399999994</v>
      </c>
      <c r="CF79" s="28">
        <v>12.7</v>
      </c>
      <c r="CG79" s="28">
        <v>13.3</v>
      </c>
      <c r="CH79" s="28">
        <f t="shared" ref="CH79:CH84" si="88">SUM(CD79:CG79)</f>
        <v>41.785896440000002</v>
      </c>
      <c r="CI79" s="28">
        <v>5</v>
      </c>
      <c r="CJ79" s="28">
        <v>8</v>
      </c>
      <c r="CK79" s="28">
        <v>7.7</v>
      </c>
      <c r="CL79" s="28">
        <v>8.3000000000000007</v>
      </c>
      <c r="CM79" s="28">
        <f t="shared" ref="CM79:CM84" si="89">SUM(CI79:CL79)</f>
        <v>29</v>
      </c>
      <c r="CN79" s="28">
        <v>13.7</v>
      </c>
      <c r="CO79" s="28">
        <v>15.1</v>
      </c>
      <c r="CP79" s="28">
        <v>20.400000000000002</v>
      </c>
      <c r="CQ79" s="28">
        <v>11.7</v>
      </c>
      <c r="CR79" s="28">
        <f t="shared" ref="CR79:CR84" si="90">SUM(CN79:CQ79)</f>
        <v>60.900000000000006</v>
      </c>
      <c r="CS79" s="28">
        <v>8.3438728300000005</v>
      </c>
      <c r="CT79" s="28">
        <v>16.624685560000003</v>
      </c>
      <c r="CU79" s="28">
        <v>16.792056389999999</v>
      </c>
      <c r="CV79" s="28">
        <v>23.867559549999989</v>
      </c>
      <c r="CW79" s="28">
        <f t="shared" ref="CW79:CW84" si="91">SUM(CS79:CV79)</f>
        <v>65.628174329999993</v>
      </c>
      <c r="CX79" s="28">
        <v>12.246</v>
      </c>
      <c r="CY79" s="28">
        <v>22.850999999999999</v>
      </c>
      <c r="CZ79" s="28">
        <v>16.962</v>
      </c>
      <c r="DA79" s="28">
        <v>19.282</v>
      </c>
      <c r="DB79" s="28">
        <f t="shared" ref="DB79:DB89" si="92">SUM(CX79:DA79)</f>
        <v>71.340999999999994</v>
      </c>
      <c r="DC79" s="28">
        <v>14.846</v>
      </c>
      <c r="DD79" s="28">
        <v>17.207999999999998</v>
      </c>
      <c r="DE79" s="28">
        <v>14.494</v>
      </c>
      <c r="DF79" s="28">
        <v>22.943000000000001</v>
      </c>
      <c r="DG79" s="28">
        <f t="shared" ref="DG79:DG89" si="93">SUM(DC79:DF79)</f>
        <v>69.491</v>
      </c>
      <c r="DH79" s="28">
        <v>11.388</v>
      </c>
      <c r="DI79" s="28">
        <v>16.898</v>
      </c>
      <c r="DJ79" s="28">
        <v>15.930999999999999</v>
      </c>
      <c r="DK79" s="28">
        <v>31.001000000000001</v>
      </c>
      <c r="DL79" s="28">
        <f t="shared" ref="DL79:DL89" si="94">SUM(DH79:DK79)</f>
        <v>75.218000000000004</v>
      </c>
      <c r="DM79" s="28">
        <v>35.430999999999997</v>
      </c>
      <c r="DN79" s="28">
        <v>38.374000000000002</v>
      </c>
      <c r="DO79" s="28">
        <v>38.314999999999998</v>
      </c>
      <c r="DP79" s="28">
        <v>36.758000000000003</v>
      </c>
      <c r="DQ79" s="28">
        <f t="shared" si="81"/>
        <v>148.87800000000001</v>
      </c>
      <c r="DR79" s="28">
        <v>10.952</v>
      </c>
      <c r="DS79" s="28">
        <v>9.7159999999999993</v>
      </c>
      <c r="DT79" s="28">
        <v>11.553000000000001</v>
      </c>
      <c r="DU79" s="28">
        <v>13.574</v>
      </c>
      <c r="DV79" s="28">
        <f t="shared" ref="DV79:DV89" si="95">SUM(DR79:DU79)</f>
        <v>45.795000000000002</v>
      </c>
      <c r="DW79" s="28">
        <v>8.3170000000000002</v>
      </c>
      <c r="DX79" s="28">
        <v>10.903</v>
      </c>
      <c r="DY79" s="28">
        <v>9.97536734</v>
      </c>
      <c r="DZ79" s="28">
        <v>8.8393226999999985</v>
      </c>
      <c r="EA79" s="28">
        <f t="shared" si="82"/>
        <v>38.034690039999994</v>
      </c>
      <c r="EB79" s="28">
        <v>6.3021968799999994</v>
      </c>
      <c r="EC79" s="28">
        <v>9.4047297100000016</v>
      </c>
      <c r="ED79" s="28">
        <v>11.712999999999999</v>
      </c>
      <c r="EE79" s="28">
        <v>11.266255270000004</v>
      </c>
      <c r="EF79" s="28">
        <f t="shared" si="83"/>
        <v>38.686181860000005</v>
      </c>
      <c r="EG79" s="28">
        <v>13.029086439999999</v>
      </c>
      <c r="EH79" s="28">
        <v>10.584538820000002</v>
      </c>
      <c r="EI79" s="28">
        <v>11.408178980000001</v>
      </c>
    </row>
    <row r="80" spans="1:139" ht="15" thickTop="1" x14ac:dyDescent="0.3">
      <c r="A80" s="1" t="s">
        <v>442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>
        <v>4</v>
      </c>
      <c r="BK80" s="27">
        <v>9.1999999999999993</v>
      </c>
      <c r="BL80" s="27">
        <v>12.8</v>
      </c>
      <c r="BM80" s="27">
        <v>18.600000000000001</v>
      </c>
      <c r="BN80" s="27">
        <f t="shared" si="84"/>
        <v>44.6</v>
      </c>
      <c r="BO80" s="27">
        <v>10</v>
      </c>
      <c r="BP80" s="27">
        <v>15.6</v>
      </c>
      <c r="BQ80" s="27">
        <v>21.8</v>
      </c>
      <c r="BR80" s="27">
        <v>26</v>
      </c>
      <c r="BS80" s="27">
        <f t="shared" si="85"/>
        <v>73.400000000000006</v>
      </c>
      <c r="BT80" s="27">
        <v>8.1999999999999993</v>
      </c>
      <c r="BU80" s="27">
        <v>10.1</v>
      </c>
      <c r="BV80" s="27">
        <v>24.7</v>
      </c>
      <c r="BW80" s="27">
        <v>32.9</v>
      </c>
      <c r="BX80" s="27">
        <f t="shared" si="86"/>
        <v>75.900000000000006</v>
      </c>
      <c r="BY80" s="27">
        <v>20.399999999999999</v>
      </c>
      <c r="BZ80" s="27">
        <v>46.5</v>
      </c>
      <c r="CA80" s="27">
        <v>54.4</v>
      </c>
      <c r="CB80" s="27">
        <v>97.3</v>
      </c>
      <c r="CC80" s="27">
        <f t="shared" si="87"/>
        <v>218.60000000000002</v>
      </c>
      <c r="CD80" s="27">
        <v>50</v>
      </c>
      <c r="CE80" s="27">
        <v>128.55610754</v>
      </c>
      <c r="CF80" s="27">
        <v>66.3</v>
      </c>
      <c r="CG80" s="27">
        <v>60.2</v>
      </c>
      <c r="CH80" s="27">
        <f t="shared" si="88"/>
        <v>305.05610753999997</v>
      </c>
      <c r="CI80" s="27">
        <v>18.100000000000001</v>
      </c>
      <c r="CJ80" s="27">
        <v>14.2</v>
      </c>
      <c r="CK80" s="27">
        <v>14.8</v>
      </c>
      <c r="CL80" s="27">
        <v>22.4</v>
      </c>
      <c r="CM80" s="27">
        <f t="shared" si="89"/>
        <v>69.5</v>
      </c>
      <c r="CN80" s="27">
        <v>5.0999999999999996</v>
      </c>
      <c r="CO80" s="27">
        <v>16.7</v>
      </c>
      <c r="CP80" s="27">
        <v>26.400000000000006</v>
      </c>
      <c r="CQ80" s="27">
        <v>30.599999999999987</v>
      </c>
      <c r="CR80" s="27">
        <f t="shared" si="90"/>
        <v>78.799999999999983</v>
      </c>
      <c r="CS80" s="27">
        <v>4.9708220499999998</v>
      </c>
      <c r="CT80" s="27">
        <v>8.6874332699999997</v>
      </c>
      <c r="CU80" s="27">
        <v>23.071263390000002</v>
      </c>
      <c r="CV80" s="27">
        <v>19.914446259999998</v>
      </c>
      <c r="CW80" s="27">
        <f t="shared" si="91"/>
        <v>56.643964969999999</v>
      </c>
      <c r="CX80" s="27">
        <v>22.405000000000001</v>
      </c>
      <c r="CY80" s="27">
        <v>27.326000000000001</v>
      </c>
      <c r="CZ80" s="27">
        <v>36.307000000000002</v>
      </c>
      <c r="DA80" s="27">
        <v>40.747999999999998</v>
      </c>
      <c r="DB80" s="27">
        <f t="shared" si="92"/>
        <v>126.786</v>
      </c>
      <c r="DC80" s="27">
        <v>33.423000000000002</v>
      </c>
      <c r="DD80" s="27">
        <v>45.301000000000002</v>
      </c>
      <c r="DE80" s="27">
        <v>53.655999999999999</v>
      </c>
      <c r="DF80" s="27">
        <v>50.738999999999997</v>
      </c>
      <c r="DG80" s="27">
        <f t="shared" si="93"/>
        <v>183.119</v>
      </c>
      <c r="DH80" s="27">
        <v>29.452000000000002</v>
      </c>
      <c r="DI80" s="27">
        <v>21.062000000000001</v>
      </c>
      <c r="DJ80" s="27">
        <v>25.709</v>
      </c>
      <c r="DK80" s="27">
        <v>11.244999999999999</v>
      </c>
      <c r="DL80" s="27">
        <f t="shared" si="94"/>
        <v>87.468000000000004</v>
      </c>
      <c r="DM80" s="27">
        <v>6.0380000000000003</v>
      </c>
      <c r="DN80" s="27">
        <v>5.3659999999999997</v>
      </c>
      <c r="DO80" s="27">
        <v>13.404999999999999</v>
      </c>
      <c r="DP80" s="27">
        <v>14.645</v>
      </c>
      <c r="DQ80" s="27">
        <f t="shared" si="81"/>
        <v>39.453999999999994</v>
      </c>
      <c r="DR80" s="27">
        <v>25.591000000000001</v>
      </c>
      <c r="DS80" s="27">
        <v>36.353999999999999</v>
      </c>
      <c r="DT80" s="27">
        <v>66.063000000000002</v>
      </c>
      <c r="DU80" s="27">
        <v>66.373999999999995</v>
      </c>
      <c r="DV80" s="27">
        <f t="shared" si="95"/>
        <v>194.38200000000001</v>
      </c>
      <c r="DW80" s="27">
        <v>54.313000000000002</v>
      </c>
      <c r="DX80" s="27">
        <v>90.581999999999994</v>
      </c>
      <c r="DY80" s="27">
        <v>82.53082686999997</v>
      </c>
      <c r="DZ80" s="27">
        <v>72.715107930000002</v>
      </c>
      <c r="EA80" s="27">
        <f t="shared" si="82"/>
        <v>300.14093479999997</v>
      </c>
      <c r="EB80" s="27">
        <v>40.541974950000004</v>
      </c>
      <c r="EC80" s="27">
        <v>84.157760379999999</v>
      </c>
      <c r="ED80" s="27">
        <v>70.930999999999997</v>
      </c>
      <c r="EE80" s="27">
        <v>79.84964159999997</v>
      </c>
      <c r="EF80" s="27">
        <f t="shared" si="83"/>
        <v>275.48037692999998</v>
      </c>
      <c r="EG80" s="27">
        <v>48.124882970000002</v>
      </c>
      <c r="EH80" s="27">
        <v>76.825514670000004</v>
      </c>
      <c r="EI80" s="27">
        <v>89.306130640000006</v>
      </c>
    </row>
    <row r="81" spans="1:139" ht="15" thickBot="1" x14ac:dyDescent="0.35">
      <c r="A81" s="2" t="s">
        <v>3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>
        <v>0.2</v>
      </c>
      <c r="BK81" s="28">
        <v>0.1</v>
      </c>
      <c r="BL81" s="28">
        <v>0.1</v>
      </c>
      <c r="BM81" s="28">
        <v>0.5</v>
      </c>
      <c r="BN81" s="28">
        <f t="shared" si="84"/>
        <v>0.9</v>
      </c>
      <c r="BO81" s="28">
        <v>1.1000000000000001</v>
      </c>
      <c r="BP81" s="28">
        <v>1.1000000000000001</v>
      </c>
      <c r="BQ81" s="28">
        <v>0.2</v>
      </c>
      <c r="BR81" s="28">
        <v>4</v>
      </c>
      <c r="BS81" s="28">
        <f t="shared" si="85"/>
        <v>6.4</v>
      </c>
      <c r="BT81" s="28">
        <v>13.8</v>
      </c>
      <c r="BU81" s="28">
        <v>4.7</v>
      </c>
      <c r="BV81" s="28">
        <v>9.4</v>
      </c>
      <c r="BW81" s="28">
        <v>22.7</v>
      </c>
      <c r="BX81" s="28">
        <f t="shared" si="86"/>
        <v>50.599999999999994</v>
      </c>
      <c r="BY81" s="28">
        <v>8.1</v>
      </c>
      <c r="BZ81" s="28">
        <v>14.2</v>
      </c>
      <c r="CA81" s="28">
        <v>8.1</v>
      </c>
      <c r="CB81" s="28">
        <v>0.4</v>
      </c>
      <c r="CC81" s="28">
        <f t="shared" si="87"/>
        <v>30.799999999999997</v>
      </c>
      <c r="CD81" s="28">
        <v>0.05</v>
      </c>
      <c r="CE81" s="28">
        <v>0.20897182</v>
      </c>
      <c r="CF81" s="28">
        <v>1.1000000000000001</v>
      </c>
      <c r="CG81" s="28">
        <v>10</v>
      </c>
      <c r="CH81" s="28">
        <f t="shared" si="88"/>
        <v>11.358971820000001</v>
      </c>
      <c r="CI81" s="28">
        <v>1.4</v>
      </c>
      <c r="CJ81" s="28">
        <v>6.3</v>
      </c>
      <c r="CK81" s="28">
        <v>13.2</v>
      </c>
      <c r="CL81" s="28">
        <v>15.4</v>
      </c>
      <c r="CM81" s="28">
        <f t="shared" si="89"/>
        <v>36.299999999999997</v>
      </c>
      <c r="CN81" s="28">
        <v>4</v>
      </c>
      <c r="CO81" s="28">
        <v>10.1</v>
      </c>
      <c r="CP81" s="28">
        <v>13.200000000000003</v>
      </c>
      <c r="CQ81" s="28">
        <v>5.6999999999999975</v>
      </c>
      <c r="CR81" s="28">
        <f t="shared" si="90"/>
        <v>33</v>
      </c>
      <c r="CS81" s="28">
        <v>8.6141317100000006</v>
      </c>
      <c r="CT81" s="28">
        <v>6.8772333099999994</v>
      </c>
      <c r="CU81" s="28">
        <v>10.488173800000002</v>
      </c>
      <c r="CV81" s="28">
        <v>32.028965159999991</v>
      </c>
      <c r="CW81" s="28">
        <f t="shared" si="91"/>
        <v>58.008503979999993</v>
      </c>
      <c r="CX81" s="28">
        <v>14.819000000000001</v>
      </c>
      <c r="CY81" s="28">
        <v>16.93</v>
      </c>
      <c r="CZ81" s="28">
        <v>16.202999999999999</v>
      </c>
      <c r="DA81" s="28">
        <v>18.655000000000001</v>
      </c>
      <c r="DB81" s="28">
        <f t="shared" si="92"/>
        <v>66.606999999999999</v>
      </c>
      <c r="DC81" s="28">
        <v>1.976</v>
      </c>
      <c r="DD81" s="28">
        <v>2.117</v>
      </c>
      <c r="DE81" s="28">
        <v>4.6689999999999996</v>
      </c>
      <c r="DF81" s="28">
        <v>2.758</v>
      </c>
      <c r="DG81" s="28">
        <f t="shared" si="93"/>
        <v>11.52</v>
      </c>
      <c r="DH81" s="28">
        <v>1.359</v>
      </c>
      <c r="DI81" s="28">
        <v>2.3929999999999998</v>
      </c>
      <c r="DJ81" s="28">
        <v>3.2480000000000002</v>
      </c>
      <c r="DK81" s="28">
        <v>6.2750000000000004</v>
      </c>
      <c r="DL81" s="28">
        <f t="shared" si="94"/>
        <v>13.275</v>
      </c>
      <c r="DM81" s="28">
        <v>2.2229999999999999</v>
      </c>
      <c r="DN81" s="28">
        <v>5.7030000000000003</v>
      </c>
      <c r="DO81" s="28">
        <v>13.977</v>
      </c>
      <c r="DP81" s="28">
        <v>6.7610000000000001</v>
      </c>
      <c r="DQ81" s="28">
        <f t="shared" si="81"/>
        <v>28.663999999999998</v>
      </c>
      <c r="DR81" s="28">
        <v>0</v>
      </c>
      <c r="DS81" s="28">
        <v>0</v>
      </c>
      <c r="DT81" s="28">
        <v>0</v>
      </c>
      <c r="DU81" s="28">
        <v>0</v>
      </c>
      <c r="DV81" s="28">
        <f t="shared" si="95"/>
        <v>0</v>
      </c>
      <c r="DW81" s="28">
        <v>0</v>
      </c>
      <c r="DX81" s="28">
        <v>0</v>
      </c>
      <c r="DY81" s="28">
        <v>0</v>
      </c>
      <c r="DZ81" s="28">
        <v>0</v>
      </c>
      <c r="EA81" s="28">
        <f t="shared" si="82"/>
        <v>0</v>
      </c>
      <c r="EB81" s="28">
        <v>0</v>
      </c>
      <c r="EC81" s="28">
        <v>0</v>
      </c>
      <c r="ED81" s="28">
        <v>0</v>
      </c>
      <c r="EE81" s="28">
        <v>0</v>
      </c>
      <c r="EF81" s="28">
        <f t="shared" si="83"/>
        <v>0</v>
      </c>
      <c r="EG81" s="28">
        <v>0</v>
      </c>
      <c r="EH81" s="28">
        <v>0</v>
      </c>
      <c r="EI81" s="28">
        <v>0</v>
      </c>
    </row>
    <row r="82" spans="1:139" ht="15" thickTop="1" x14ac:dyDescent="0.3">
      <c r="A82" s="1" t="s">
        <v>443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>
        <v>39.4</v>
      </c>
      <c r="BK82" s="27">
        <v>24.6</v>
      </c>
      <c r="BL82" s="27">
        <v>12.9</v>
      </c>
      <c r="BM82" s="27">
        <v>12.2</v>
      </c>
      <c r="BN82" s="27">
        <f t="shared" si="84"/>
        <v>89.100000000000009</v>
      </c>
      <c r="BO82" s="27">
        <v>13.6</v>
      </c>
      <c r="BP82" s="27">
        <v>21.2</v>
      </c>
      <c r="BQ82" s="27">
        <v>10.3</v>
      </c>
      <c r="BR82" s="27">
        <v>19.3</v>
      </c>
      <c r="BS82" s="27">
        <f t="shared" si="85"/>
        <v>64.399999999999991</v>
      </c>
      <c r="BT82" s="27">
        <v>11.3</v>
      </c>
      <c r="BU82" s="27">
        <v>33.1</v>
      </c>
      <c r="BV82" s="27">
        <v>35.799999999999997</v>
      </c>
      <c r="BW82" s="27">
        <v>33.5</v>
      </c>
      <c r="BX82" s="27">
        <f t="shared" si="86"/>
        <v>113.7</v>
      </c>
      <c r="BY82" s="27">
        <v>23.6</v>
      </c>
      <c r="BZ82" s="27">
        <v>42.6</v>
      </c>
      <c r="CA82" s="27">
        <v>54.5</v>
      </c>
      <c r="CB82" s="27">
        <v>43.6</v>
      </c>
      <c r="CC82" s="27">
        <f t="shared" si="87"/>
        <v>164.3</v>
      </c>
      <c r="CD82" s="27">
        <v>23.6</v>
      </c>
      <c r="CE82" s="27">
        <v>31.825420599999998</v>
      </c>
      <c r="CF82" s="27">
        <v>30.3</v>
      </c>
      <c r="CG82" s="27">
        <v>39.299999999999997</v>
      </c>
      <c r="CH82" s="27">
        <f t="shared" si="88"/>
        <v>125.02542059999999</v>
      </c>
      <c r="CI82" s="27">
        <v>57</v>
      </c>
      <c r="CJ82" s="27">
        <v>41.2</v>
      </c>
      <c r="CK82" s="27">
        <v>26.2</v>
      </c>
      <c r="CL82" s="27">
        <v>24.1</v>
      </c>
      <c r="CM82" s="27">
        <f t="shared" si="89"/>
        <v>148.5</v>
      </c>
      <c r="CN82" s="27">
        <v>13.9</v>
      </c>
      <c r="CO82" s="27">
        <v>22</v>
      </c>
      <c r="CP82" s="27">
        <v>55.199999999999996</v>
      </c>
      <c r="CQ82" s="27">
        <v>24.800000000000011</v>
      </c>
      <c r="CR82" s="27">
        <f t="shared" si="90"/>
        <v>115.9</v>
      </c>
      <c r="CS82" s="27">
        <v>23.366790000000002</v>
      </c>
      <c r="CT82" s="27">
        <v>55.42351824</v>
      </c>
      <c r="CU82" s="27">
        <v>63.000023139999996</v>
      </c>
      <c r="CV82" s="27">
        <v>53.712692839999988</v>
      </c>
      <c r="CW82" s="27">
        <f t="shared" si="91"/>
        <v>195.50302421999999</v>
      </c>
      <c r="CX82" s="27">
        <v>27.247</v>
      </c>
      <c r="CY82" s="27">
        <v>11.472</v>
      </c>
      <c r="CZ82" s="27">
        <v>4.0659999999999998</v>
      </c>
      <c r="DA82" s="27">
        <v>10.446999999999999</v>
      </c>
      <c r="DB82" s="27">
        <f t="shared" si="92"/>
        <v>53.231999999999999</v>
      </c>
      <c r="DC82" s="27">
        <v>8.6470000000000002</v>
      </c>
      <c r="DD82" s="27">
        <v>15.832000000000001</v>
      </c>
      <c r="DE82" s="27">
        <v>7.367</v>
      </c>
      <c r="DF82" s="27">
        <v>5.3049999999999997</v>
      </c>
      <c r="DG82" s="27">
        <f t="shared" si="93"/>
        <v>37.150999999999996</v>
      </c>
      <c r="DH82" s="27">
        <v>2.5630000000000002</v>
      </c>
      <c r="DI82" s="27">
        <v>7.7380000000000004</v>
      </c>
      <c r="DJ82" s="27">
        <v>6.3529999999999998</v>
      </c>
      <c r="DK82" s="27">
        <v>17.077000000000002</v>
      </c>
      <c r="DL82" s="27">
        <f t="shared" si="94"/>
        <v>33.731000000000002</v>
      </c>
      <c r="DM82" s="27">
        <v>6.0960000000000001</v>
      </c>
      <c r="DN82" s="27">
        <v>18.169</v>
      </c>
      <c r="DO82" s="27">
        <v>20.693000000000001</v>
      </c>
      <c r="DP82" s="27">
        <v>10.701000000000001</v>
      </c>
      <c r="DQ82" s="27">
        <f t="shared" si="81"/>
        <v>55.658999999999999</v>
      </c>
      <c r="DR82" s="27">
        <v>3.8740000000000001</v>
      </c>
      <c r="DS82" s="27">
        <v>8.3059999999999992</v>
      </c>
      <c r="DT82" s="27">
        <v>28.898</v>
      </c>
      <c r="DU82" s="27">
        <v>45.59</v>
      </c>
      <c r="DV82" s="27">
        <f t="shared" si="95"/>
        <v>86.668000000000006</v>
      </c>
      <c r="DW82" s="27">
        <v>7.4109999999999996</v>
      </c>
      <c r="DX82" s="27">
        <v>17.498999999999999</v>
      </c>
      <c r="DY82" s="27">
        <v>16.183856669999997</v>
      </c>
      <c r="DZ82" s="27">
        <v>13.085202880000002</v>
      </c>
      <c r="EA82" s="27">
        <f t="shared" si="82"/>
        <v>54.179059549999998</v>
      </c>
      <c r="EB82" s="27">
        <v>21.95065404</v>
      </c>
      <c r="EC82" s="27">
        <v>24.328511070000001</v>
      </c>
      <c r="ED82" s="27">
        <v>39.844999999999999</v>
      </c>
      <c r="EE82" s="27">
        <v>50.018427140000014</v>
      </c>
      <c r="EF82" s="27">
        <f t="shared" si="83"/>
        <v>136.14259225000001</v>
      </c>
      <c r="EG82" s="27">
        <v>35.442621509999995</v>
      </c>
      <c r="EH82" s="27">
        <v>56.218091130000005</v>
      </c>
      <c r="EI82" s="27">
        <v>27.775606959999994</v>
      </c>
    </row>
    <row r="83" spans="1:139" ht="15" thickBot="1" x14ac:dyDescent="0.35">
      <c r="A83" s="2" t="s">
        <v>481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>
        <v>0</v>
      </c>
      <c r="BK83" s="28">
        <v>0</v>
      </c>
      <c r="BL83" s="28">
        <v>0</v>
      </c>
      <c r="BM83" s="28">
        <v>0</v>
      </c>
      <c r="BN83" s="28">
        <f t="shared" si="84"/>
        <v>0</v>
      </c>
      <c r="BO83" s="28">
        <v>0</v>
      </c>
      <c r="BP83" s="28">
        <v>0</v>
      </c>
      <c r="BQ83" s="28">
        <v>0</v>
      </c>
      <c r="BR83" s="28">
        <v>0</v>
      </c>
      <c r="BS83" s="28">
        <f t="shared" si="85"/>
        <v>0</v>
      </c>
      <c r="BT83" s="28">
        <v>0</v>
      </c>
      <c r="BU83" s="28">
        <v>0</v>
      </c>
      <c r="BV83" s="28">
        <v>0</v>
      </c>
      <c r="BW83" s="28">
        <v>0</v>
      </c>
      <c r="BX83" s="28">
        <f t="shared" si="86"/>
        <v>0</v>
      </c>
      <c r="BY83" s="28">
        <v>0</v>
      </c>
      <c r="BZ83" s="28">
        <v>0</v>
      </c>
      <c r="CA83" s="28">
        <v>11.1</v>
      </c>
      <c r="CB83" s="28">
        <v>15.5</v>
      </c>
      <c r="CC83" s="28">
        <f t="shared" si="87"/>
        <v>26.6</v>
      </c>
      <c r="CD83" s="28">
        <v>31.2</v>
      </c>
      <c r="CE83" s="28">
        <v>125.33163067000001</v>
      </c>
      <c r="CF83" s="28">
        <v>17.7</v>
      </c>
      <c r="CG83" s="28">
        <v>13.1</v>
      </c>
      <c r="CH83" s="28">
        <f t="shared" si="88"/>
        <v>187.33163066999998</v>
      </c>
      <c r="CI83" s="28">
        <v>11.8</v>
      </c>
      <c r="CJ83" s="28">
        <v>26.5</v>
      </c>
      <c r="CK83" s="28">
        <v>35.299999999999997</v>
      </c>
      <c r="CL83" s="28">
        <v>25.3</v>
      </c>
      <c r="CM83" s="28">
        <f t="shared" si="89"/>
        <v>98.899999999999991</v>
      </c>
      <c r="CN83" s="28">
        <v>11.9</v>
      </c>
      <c r="CO83" s="28">
        <v>17</v>
      </c>
      <c r="CP83" s="28">
        <v>30.5</v>
      </c>
      <c r="CQ83" s="28">
        <v>31.199999999999996</v>
      </c>
      <c r="CR83" s="28">
        <f t="shared" si="90"/>
        <v>90.6</v>
      </c>
      <c r="CS83" s="28">
        <v>16.127640830000001</v>
      </c>
      <c r="CT83" s="28">
        <v>23.622149789999998</v>
      </c>
      <c r="CU83" s="28">
        <v>22.856983810000003</v>
      </c>
      <c r="CV83" s="28">
        <v>30.881157899999991</v>
      </c>
      <c r="CW83" s="28">
        <f t="shared" si="91"/>
        <v>93.487932329999992</v>
      </c>
      <c r="CX83" s="28">
        <v>44.99</v>
      </c>
      <c r="CY83" s="28">
        <v>51.197000000000003</v>
      </c>
      <c r="CZ83" s="28">
        <v>41.927999999999997</v>
      </c>
      <c r="DA83" s="28">
        <v>66.326999999999998</v>
      </c>
      <c r="DB83" s="28">
        <f t="shared" si="92"/>
        <v>204.44200000000001</v>
      </c>
      <c r="DC83" s="28">
        <v>51.786000000000001</v>
      </c>
      <c r="DD83" s="28">
        <v>59.335999999999999</v>
      </c>
      <c r="DE83" s="28">
        <v>73.516000000000005</v>
      </c>
      <c r="DF83" s="28">
        <v>77.515000000000001</v>
      </c>
      <c r="DG83" s="28">
        <f t="shared" si="93"/>
        <v>262.15300000000002</v>
      </c>
      <c r="DH83" s="28">
        <v>52.445999999999998</v>
      </c>
      <c r="DI83" s="28">
        <v>39.279000000000003</v>
      </c>
      <c r="DJ83" s="28">
        <v>38.677</v>
      </c>
      <c r="DK83" s="28">
        <v>39.738</v>
      </c>
      <c r="DL83" s="28">
        <f t="shared" si="94"/>
        <v>170.14</v>
      </c>
      <c r="DM83" s="28">
        <v>44.323999999999998</v>
      </c>
      <c r="DN83" s="28">
        <v>60.003999999999998</v>
      </c>
      <c r="DO83" s="28">
        <v>76.679000000000002</v>
      </c>
      <c r="DP83" s="28">
        <v>61.238</v>
      </c>
      <c r="DQ83" s="28">
        <f t="shared" si="81"/>
        <v>242.245</v>
      </c>
      <c r="DR83" s="28">
        <v>65.796000000000006</v>
      </c>
      <c r="DS83" s="28">
        <v>77.972999999999999</v>
      </c>
      <c r="DT83" s="28">
        <v>91.753</v>
      </c>
      <c r="DU83" s="28">
        <v>48.73</v>
      </c>
      <c r="DV83" s="28">
        <f t="shared" si="95"/>
        <v>284.25200000000001</v>
      </c>
      <c r="DW83" s="28">
        <v>41.786999999999999</v>
      </c>
      <c r="DX83" s="28">
        <v>60.234999999999999</v>
      </c>
      <c r="DY83" s="28">
        <v>55.434376130000011</v>
      </c>
      <c r="DZ83" s="28">
        <v>56.458173379999998</v>
      </c>
      <c r="EA83" s="28">
        <f t="shared" si="82"/>
        <v>213.91454951</v>
      </c>
      <c r="EB83" s="28">
        <v>56.62218129</v>
      </c>
      <c r="EC83" s="28">
        <v>81.917153550000009</v>
      </c>
      <c r="ED83" s="28">
        <v>57.826000000000001</v>
      </c>
      <c r="EE83" s="28">
        <v>72.17090447999999</v>
      </c>
      <c r="EF83" s="28">
        <f t="shared" si="83"/>
        <v>268.53623931999999</v>
      </c>
      <c r="EG83" s="28">
        <v>54.317500670000001</v>
      </c>
      <c r="EH83" s="28">
        <v>46.282883959999992</v>
      </c>
      <c r="EI83" s="28">
        <v>53.640498909999998</v>
      </c>
    </row>
    <row r="84" spans="1:139" ht="15" thickTop="1" x14ac:dyDescent="0.3">
      <c r="A84" s="1" t="s">
        <v>445</v>
      </c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>
        <v>0</v>
      </c>
      <c r="BK84" s="27">
        <v>0</v>
      </c>
      <c r="BL84" s="27">
        <v>0</v>
      </c>
      <c r="BM84" s="27">
        <v>0</v>
      </c>
      <c r="BN84" s="27">
        <f t="shared" si="84"/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f t="shared" si="85"/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f t="shared" si="86"/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f t="shared" si="87"/>
        <v>0</v>
      </c>
      <c r="CD84" s="27">
        <v>0</v>
      </c>
      <c r="CE84" s="27">
        <v>0</v>
      </c>
      <c r="CF84" s="27">
        <v>0</v>
      </c>
      <c r="CG84" s="27">
        <v>0</v>
      </c>
      <c r="CH84" s="27">
        <f t="shared" si="88"/>
        <v>0</v>
      </c>
      <c r="CI84" s="27">
        <v>0</v>
      </c>
      <c r="CJ84" s="27">
        <v>0</v>
      </c>
      <c r="CK84" s="27">
        <v>0</v>
      </c>
      <c r="CL84" s="27">
        <v>7.8</v>
      </c>
      <c r="CM84" s="27">
        <f t="shared" si="89"/>
        <v>7.8</v>
      </c>
      <c r="CN84" s="27">
        <v>8.3000000000000007</v>
      </c>
      <c r="CO84" s="27">
        <v>14</v>
      </c>
      <c r="CP84" s="27">
        <v>15.2</v>
      </c>
      <c r="CQ84" s="27">
        <v>22.900000000000002</v>
      </c>
      <c r="CR84" s="27">
        <f t="shared" si="90"/>
        <v>60.400000000000006</v>
      </c>
      <c r="CS84" s="27">
        <v>23.652099120000003</v>
      </c>
      <c r="CT84" s="27">
        <v>31.69936191</v>
      </c>
      <c r="CU84" s="27">
        <v>23.006568849999987</v>
      </c>
      <c r="CV84" s="27">
        <v>17.187902060000013</v>
      </c>
      <c r="CW84" s="27">
        <f t="shared" si="91"/>
        <v>95.545931940000003</v>
      </c>
      <c r="CX84" s="27">
        <v>2.0299999999999998</v>
      </c>
      <c r="CY84" s="27">
        <v>4.1790000000000003</v>
      </c>
      <c r="CZ84" s="27">
        <v>16.102</v>
      </c>
      <c r="DA84" s="27">
        <v>35.119999999999997</v>
      </c>
      <c r="DB84" s="27">
        <f t="shared" si="92"/>
        <v>57.430999999999997</v>
      </c>
      <c r="DC84" s="27">
        <v>44.057000000000002</v>
      </c>
      <c r="DD84" s="27">
        <v>69.629000000000005</v>
      </c>
      <c r="DE84" s="27">
        <v>64.370999999999995</v>
      </c>
      <c r="DF84" s="27">
        <v>69.137</v>
      </c>
      <c r="DG84" s="27">
        <f t="shared" si="93"/>
        <v>247.19400000000002</v>
      </c>
      <c r="DH84" s="27">
        <v>47.557000000000002</v>
      </c>
      <c r="DI84" s="27">
        <v>28.363</v>
      </c>
      <c r="DJ84" s="27">
        <v>31.501999999999999</v>
      </c>
      <c r="DK84" s="27">
        <v>28.288</v>
      </c>
      <c r="DL84" s="27">
        <f t="shared" si="94"/>
        <v>135.71</v>
      </c>
      <c r="DM84" s="27">
        <v>14.532</v>
      </c>
      <c r="DN84" s="27">
        <v>7.4290000000000003</v>
      </c>
      <c r="DO84" s="27">
        <v>4.7699999999999996</v>
      </c>
      <c r="DP84" s="27">
        <v>6.7240000000000002</v>
      </c>
      <c r="DQ84" s="27">
        <f t="shared" si="81"/>
        <v>33.454999999999998</v>
      </c>
      <c r="DR84" s="27">
        <v>11.627000000000001</v>
      </c>
      <c r="DS84" s="27">
        <v>4.8620000000000001</v>
      </c>
      <c r="DT84" s="27">
        <v>2.7589999999999999</v>
      </c>
      <c r="DU84" s="27">
        <v>6.3730000000000002</v>
      </c>
      <c r="DV84" s="27">
        <f t="shared" si="95"/>
        <v>25.621000000000002</v>
      </c>
      <c r="DW84" s="27">
        <v>0.98799999999999999</v>
      </c>
      <c r="DX84" s="27">
        <v>1.9650000000000001</v>
      </c>
      <c r="DY84" s="27">
        <v>9.6070203200000002</v>
      </c>
      <c r="DZ84" s="27">
        <v>7.8214870000000003</v>
      </c>
      <c r="EA84" s="27">
        <f t="shared" si="82"/>
        <v>20.381507320000001</v>
      </c>
      <c r="EB84" s="27">
        <v>12.60917712</v>
      </c>
      <c r="EC84" s="27">
        <v>20.551853960000003</v>
      </c>
      <c r="ED84" s="27">
        <v>15.817</v>
      </c>
      <c r="EE84" s="27">
        <v>16.817511710000002</v>
      </c>
      <c r="EF84" s="27">
        <f t="shared" si="83"/>
        <v>65.795542789999999</v>
      </c>
      <c r="EG84" s="27">
        <v>8.213493269999999</v>
      </c>
      <c r="EH84" s="27">
        <v>19.741037330000001</v>
      </c>
      <c r="EI84" s="27">
        <v>9.506388369999998</v>
      </c>
    </row>
    <row r="85" spans="1:139" ht="15" thickBot="1" x14ac:dyDescent="0.35">
      <c r="A85" s="2" t="s">
        <v>444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0</v>
      </c>
      <c r="BZ85" s="28">
        <v>0</v>
      </c>
      <c r="CA85" s="28">
        <v>0</v>
      </c>
      <c r="CB85" s="28">
        <v>0</v>
      </c>
      <c r="CC85" s="28">
        <v>0</v>
      </c>
      <c r="CD85" s="28">
        <v>0</v>
      </c>
      <c r="CE85" s="28">
        <v>0</v>
      </c>
      <c r="CF85" s="28">
        <v>0</v>
      </c>
      <c r="CG85" s="28">
        <v>0</v>
      </c>
      <c r="CH85" s="28">
        <v>0</v>
      </c>
      <c r="CI85" s="28">
        <v>0</v>
      </c>
      <c r="CJ85" s="28">
        <v>0</v>
      </c>
      <c r="CK85" s="28">
        <v>0</v>
      </c>
      <c r="CL85" s="28">
        <v>0</v>
      </c>
      <c r="CM85" s="28">
        <v>0</v>
      </c>
      <c r="CN85" s="28">
        <v>0</v>
      </c>
      <c r="CO85" s="28">
        <v>0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0</v>
      </c>
      <c r="CX85" s="28">
        <v>0</v>
      </c>
      <c r="CY85" s="28">
        <v>0</v>
      </c>
      <c r="CZ85" s="28">
        <v>0</v>
      </c>
      <c r="DA85" s="28"/>
      <c r="DB85" s="28">
        <f t="shared" si="92"/>
        <v>0</v>
      </c>
      <c r="DC85" s="28">
        <v>0</v>
      </c>
      <c r="DD85" s="28">
        <v>46.265999999999998</v>
      </c>
      <c r="DE85" s="28">
        <v>-25.259</v>
      </c>
      <c r="DF85" s="28">
        <v>62.502000000000002</v>
      </c>
      <c r="DG85" s="28">
        <f t="shared" si="93"/>
        <v>83.509</v>
      </c>
      <c r="DH85" s="28">
        <v>44.957999999999998</v>
      </c>
      <c r="DI85" s="28">
        <v>30.757999999999999</v>
      </c>
      <c r="DJ85" s="28">
        <v>35.65</v>
      </c>
      <c r="DK85" s="28">
        <v>43.204000000000001</v>
      </c>
      <c r="DL85" s="28">
        <f t="shared" si="94"/>
        <v>154.57</v>
      </c>
      <c r="DM85" s="28">
        <v>27.748000000000001</v>
      </c>
      <c r="DN85" s="28">
        <v>57.963999999999999</v>
      </c>
      <c r="DO85" s="28">
        <v>77.046999999999997</v>
      </c>
      <c r="DP85" s="28">
        <v>58.234000000000002</v>
      </c>
      <c r="DQ85" s="28">
        <f t="shared" si="81"/>
        <v>220.99300000000002</v>
      </c>
      <c r="DR85" s="28">
        <v>31.751000000000001</v>
      </c>
      <c r="DS85" s="28">
        <v>27.027999999999999</v>
      </c>
      <c r="DT85" s="28">
        <v>65.801000000000002</v>
      </c>
      <c r="DU85" s="28">
        <v>94.05</v>
      </c>
      <c r="DV85" s="28">
        <f t="shared" si="95"/>
        <v>218.63</v>
      </c>
      <c r="DW85" s="28">
        <v>30.684000000000001</v>
      </c>
      <c r="DX85" s="28">
        <v>46.689</v>
      </c>
      <c r="DY85" s="28">
        <v>66.986602770000005</v>
      </c>
      <c r="DZ85" s="28">
        <v>82.840923239999981</v>
      </c>
      <c r="EA85" s="28">
        <f t="shared" si="82"/>
        <v>227.20052600999998</v>
      </c>
      <c r="EB85" s="28">
        <v>57.900796820000004</v>
      </c>
      <c r="EC85" s="28">
        <v>78.180225530000001</v>
      </c>
      <c r="ED85" s="28">
        <v>68.891999999999996</v>
      </c>
      <c r="EE85" s="28">
        <v>75.839974789999985</v>
      </c>
      <c r="EF85" s="28">
        <f t="shared" si="83"/>
        <v>280.81299713999999</v>
      </c>
      <c r="EG85" s="28">
        <v>39.788634259999995</v>
      </c>
      <c r="EH85" s="28">
        <v>40.574740069999997</v>
      </c>
      <c r="EI85" s="28">
        <v>56.124450809999985</v>
      </c>
    </row>
    <row r="86" spans="1:139" ht="15" thickTop="1" x14ac:dyDescent="0.3">
      <c r="A86" s="1" t="s">
        <v>456</v>
      </c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0</v>
      </c>
      <c r="CZ86" s="27">
        <v>0</v>
      </c>
      <c r="DA86" s="27">
        <v>53.466999999999999</v>
      </c>
      <c r="DB86" s="27">
        <f t="shared" si="92"/>
        <v>53.466999999999999</v>
      </c>
      <c r="DC86" s="27">
        <v>69.299000000000007</v>
      </c>
      <c r="DD86" s="27">
        <v>21.609000000000002</v>
      </c>
      <c r="DE86" s="27">
        <v>6.1310000000000002</v>
      </c>
      <c r="DF86" s="27">
        <v>14.388999999999999</v>
      </c>
      <c r="DG86" s="27">
        <f t="shared" si="93"/>
        <v>111.42800000000001</v>
      </c>
      <c r="DH86" s="27">
        <v>10.659000000000001</v>
      </c>
      <c r="DI86" s="27">
        <v>15.936999999999999</v>
      </c>
      <c r="DJ86" s="27">
        <v>21.513000000000002</v>
      </c>
      <c r="DK86" s="27">
        <v>7.8449999999999998</v>
      </c>
      <c r="DL86" s="27">
        <f t="shared" si="94"/>
        <v>55.954000000000001</v>
      </c>
      <c r="DM86" s="27">
        <v>7.4119999999999999</v>
      </c>
      <c r="DN86" s="27">
        <v>23.52</v>
      </c>
      <c r="DO86" s="27">
        <v>47.828000000000003</v>
      </c>
      <c r="DP86" s="27">
        <v>111.726</v>
      </c>
      <c r="DQ86" s="27">
        <f t="shared" si="81"/>
        <v>190.48599999999999</v>
      </c>
      <c r="DR86" s="27">
        <v>77.984999999999999</v>
      </c>
      <c r="DS86" s="27">
        <v>88.048000000000002</v>
      </c>
      <c r="DT86" s="27">
        <v>129.24600000000001</v>
      </c>
      <c r="DU86" s="27">
        <v>152.029</v>
      </c>
      <c r="DV86" s="27">
        <f t="shared" si="95"/>
        <v>447.30799999999999</v>
      </c>
      <c r="DW86" s="27">
        <v>78.308000000000007</v>
      </c>
      <c r="DX86" s="27">
        <v>152.31200000000001</v>
      </c>
      <c r="DY86" s="27">
        <v>268.66160817000002</v>
      </c>
      <c r="DZ86" s="27">
        <v>268.67205144999997</v>
      </c>
      <c r="EA86" s="27">
        <f t="shared" si="82"/>
        <v>767.95365962000005</v>
      </c>
      <c r="EB86" s="27">
        <v>107.18144956</v>
      </c>
      <c r="EC86" s="27">
        <v>156.27764543000001</v>
      </c>
      <c r="ED86" s="27">
        <v>203.739</v>
      </c>
      <c r="EE86" s="27">
        <v>256.66144438999999</v>
      </c>
      <c r="EF86" s="27">
        <f t="shared" si="83"/>
        <v>723.85953938000011</v>
      </c>
      <c r="EG86" s="27">
        <v>95.882593889999995</v>
      </c>
      <c r="EH86" s="27">
        <v>115.45160555999999</v>
      </c>
      <c r="EI86" s="27">
        <v>140.14901613999999</v>
      </c>
    </row>
    <row r="87" spans="1:139" ht="15" thickBot="1" x14ac:dyDescent="0.35">
      <c r="A87" s="2" t="s">
        <v>446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28">
        <v>0</v>
      </c>
      <c r="BW87" s="28">
        <v>0</v>
      </c>
      <c r="BX87" s="28">
        <v>0</v>
      </c>
      <c r="BY87" s="28">
        <v>0</v>
      </c>
      <c r="BZ87" s="28">
        <v>0</v>
      </c>
      <c r="CA87" s="28">
        <v>0</v>
      </c>
      <c r="CB87" s="28">
        <v>0</v>
      </c>
      <c r="CC87" s="28">
        <v>0</v>
      </c>
      <c r="CD87" s="28">
        <v>0</v>
      </c>
      <c r="CE87" s="28">
        <v>0</v>
      </c>
      <c r="CF87" s="28">
        <v>0</v>
      </c>
      <c r="CG87" s="28">
        <v>0</v>
      </c>
      <c r="CH87" s="28">
        <v>0</v>
      </c>
      <c r="CI87" s="28">
        <v>0</v>
      </c>
      <c r="CJ87" s="28">
        <v>0</v>
      </c>
      <c r="CK87" s="28">
        <v>0</v>
      </c>
      <c r="CL87" s="28">
        <v>0</v>
      </c>
      <c r="CM87" s="28">
        <v>0</v>
      </c>
      <c r="CN87" s="28">
        <v>0</v>
      </c>
      <c r="CO87" s="28">
        <v>0</v>
      </c>
      <c r="CP87" s="28">
        <v>0</v>
      </c>
      <c r="CQ87" s="28">
        <v>0</v>
      </c>
      <c r="CR87" s="28">
        <v>0</v>
      </c>
      <c r="CS87" s="28">
        <v>0</v>
      </c>
      <c r="CT87" s="28">
        <v>0</v>
      </c>
      <c r="CU87" s="28">
        <v>0</v>
      </c>
      <c r="CV87" s="28">
        <v>0</v>
      </c>
      <c r="CW87" s="28">
        <v>0</v>
      </c>
      <c r="CX87" s="28">
        <v>0</v>
      </c>
      <c r="CY87" s="28">
        <v>0</v>
      </c>
      <c r="CZ87" s="28">
        <v>0</v>
      </c>
      <c r="DA87" s="28"/>
      <c r="DB87" s="28">
        <f t="shared" si="92"/>
        <v>0</v>
      </c>
      <c r="DC87" s="28">
        <v>0</v>
      </c>
      <c r="DD87" s="28">
        <v>0</v>
      </c>
      <c r="DE87" s="28">
        <v>0</v>
      </c>
      <c r="DF87" s="28">
        <v>0</v>
      </c>
      <c r="DG87" s="28">
        <f t="shared" si="93"/>
        <v>0</v>
      </c>
      <c r="DH87" s="28">
        <v>0</v>
      </c>
      <c r="DI87" s="28">
        <v>97.06</v>
      </c>
      <c r="DJ87" s="28">
        <v>107.64</v>
      </c>
      <c r="DK87" s="28">
        <v>45.405000000000001</v>
      </c>
      <c r="DL87" s="28">
        <f t="shared" si="94"/>
        <v>250.10499999999999</v>
      </c>
      <c r="DM87" s="28">
        <v>24.661000000000001</v>
      </c>
      <c r="DN87" s="28">
        <v>21.257999999999999</v>
      </c>
      <c r="DO87" s="28">
        <v>41.354999999999997</v>
      </c>
      <c r="DP87" s="28">
        <v>82.635999999999996</v>
      </c>
      <c r="DQ87" s="28">
        <f t="shared" si="81"/>
        <v>169.91</v>
      </c>
      <c r="DR87" s="28">
        <v>79.185000000000002</v>
      </c>
      <c r="DS87" s="28">
        <v>64.198999999999998</v>
      </c>
      <c r="DT87" s="28">
        <v>93.588999999999999</v>
      </c>
      <c r="DU87" s="28">
        <v>101.374</v>
      </c>
      <c r="DV87" s="28">
        <f t="shared" si="95"/>
        <v>338.34699999999998</v>
      </c>
      <c r="DW87" s="28">
        <v>64.567999999999998</v>
      </c>
      <c r="DX87" s="28">
        <v>31.073</v>
      </c>
      <c r="DY87" s="28">
        <v>32.335844040000005</v>
      </c>
      <c r="DZ87" s="28">
        <v>87.002562839999982</v>
      </c>
      <c r="EA87" s="28">
        <f t="shared" si="82"/>
        <v>214.97940688</v>
      </c>
      <c r="EB87" s="28">
        <v>78.664787010000012</v>
      </c>
      <c r="EC87" s="28">
        <v>73.633093409999987</v>
      </c>
      <c r="ED87" s="28">
        <v>77.073999999999998</v>
      </c>
      <c r="EE87" s="28">
        <v>78.542702159999962</v>
      </c>
      <c r="EF87" s="28">
        <f t="shared" si="83"/>
        <v>307.91458258</v>
      </c>
      <c r="EG87" s="28">
        <v>76.828789510000007</v>
      </c>
      <c r="EH87" s="28">
        <v>63.99076608</v>
      </c>
      <c r="EI87" s="28">
        <v>43.495011359999985</v>
      </c>
    </row>
    <row r="88" spans="1:139" ht="15" thickTop="1" x14ac:dyDescent="0.3">
      <c r="A88" s="1" t="s">
        <v>447</v>
      </c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  <c r="DA88" s="27"/>
      <c r="DB88" s="27">
        <f t="shared" si="92"/>
        <v>0</v>
      </c>
      <c r="DC88" s="27">
        <v>0</v>
      </c>
      <c r="DD88" s="27">
        <v>0</v>
      </c>
      <c r="DE88" s="27">
        <v>0</v>
      </c>
      <c r="DF88" s="27">
        <v>0</v>
      </c>
      <c r="DG88" s="27">
        <f t="shared" si="93"/>
        <v>0</v>
      </c>
      <c r="DH88" s="27">
        <v>0</v>
      </c>
      <c r="DI88" s="27">
        <v>0</v>
      </c>
      <c r="DJ88" s="27">
        <v>0</v>
      </c>
      <c r="DK88" s="27"/>
      <c r="DL88" s="27">
        <f t="shared" si="94"/>
        <v>0</v>
      </c>
      <c r="DM88" s="27">
        <v>0</v>
      </c>
      <c r="DN88" s="27">
        <v>0</v>
      </c>
      <c r="DO88" s="27">
        <v>0</v>
      </c>
      <c r="DP88" s="27">
        <v>19.492999999999999</v>
      </c>
      <c r="DQ88" s="27">
        <f t="shared" si="81"/>
        <v>19.492999999999999</v>
      </c>
      <c r="DR88" s="27">
        <v>63.198</v>
      </c>
      <c r="DS88" s="27">
        <v>256.36200000000002</v>
      </c>
      <c r="DT88" s="27">
        <v>296.64100000000002</v>
      </c>
      <c r="DU88" s="27">
        <v>157.45699999999999</v>
      </c>
      <c r="DV88" s="27">
        <f t="shared" si="95"/>
        <v>773.65800000000002</v>
      </c>
      <c r="DW88" s="27">
        <v>69.563000000000002</v>
      </c>
      <c r="DX88" s="27">
        <v>83.332999999999998</v>
      </c>
      <c r="DY88" s="27">
        <v>129.71474314000002</v>
      </c>
      <c r="DZ88" s="27">
        <v>127.69866931999999</v>
      </c>
      <c r="EA88" s="27">
        <f t="shared" si="82"/>
        <v>410.30941246000009</v>
      </c>
      <c r="EB88" s="27">
        <v>56.150883999999998</v>
      </c>
      <c r="EC88" s="27">
        <v>71.380522209999995</v>
      </c>
      <c r="ED88" s="27">
        <v>128.095</v>
      </c>
      <c r="EE88" s="27">
        <v>157.60693289</v>
      </c>
      <c r="EF88" s="27">
        <f t="shared" si="83"/>
        <v>413.23333909999997</v>
      </c>
      <c r="EG88" s="27">
        <v>26.293300850000001</v>
      </c>
      <c r="EH88" s="27">
        <v>31.343080939999997</v>
      </c>
      <c r="EI88" s="27">
        <v>61.128724399999996</v>
      </c>
    </row>
    <row r="89" spans="1:139" ht="15" thickBot="1" x14ac:dyDescent="0.35">
      <c r="A89" s="2" t="s">
        <v>448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8">
        <v>0</v>
      </c>
      <c r="BS89" s="28">
        <v>0</v>
      </c>
      <c r="BT89" s="28">
        <v>0</v>
      </c>
      <c r="BU89" s="28">
        <v>0</v>
      </c>
      <c r="BV89" s="28">
        <v>0</v>
      </c>
      <c r="BW89" s="28">
        <v>0</v>
      </c>
      <c r="BX89" s="28">
        <v>0</v>
      </c>
      <c r="BY89" s="28">
        <v>0</v>
      </c>
      <c r="BZ89" s="28">
        <v>0</v>
      </c>
      <c r="CA89" s="28">
        <v>0</v>
      </c>
      <c r="CB89" s="28">
        <v>0</v>
      </c>
      <c r="CC89" s="28">
        <v>0</v>
      </c>
      <c r="CD89" s="28">
        <v>0</v>
      </c>
      <c r="CE89" s="28">
        <v>0</v>
      </c>
      <c r="CF89" s="28">
        <v>0</v>
      </c>
      <c r="CG89" s="28">
        <v>0</v>
      </c>
      <c r="CH89" s="28">
        <v>0</v>
      </c>
      <c r="CI89" s="28">
        <v>0</v>
      </c>
      <c r="CJ89" s="28">
        <v>0</v>
      </c>
      <c r="CK89" s="28">
        <v>0</v>
      </c>
      <c r="CL89" s="28">
        <v>0</v>
      </c>
      <c r="CM89" s="28">
        <v>0</v>
      </c>
      <c r="CN89" s="28">
        <v>0</v>
      </c>
      <c r="CO89" s="28">
        <v>0</v>
      </c>
      <c r="CP89" s="28">
        <v>0</v>
      </c>
      <c r="CQ89" s="28">
        <v>0</v>
      </c>
      <c r="CR89" s="28">
        <v>0</v>
      </c>
      <c r="CS89" s="28">
        <v>0</v>
      </c>
      <c r="CT89" s="28">
        <v>0</v>
      </c>
      <c r="CU89" s="28">
        <v>0</v>
      </c>
      <c r="CV89" s="28">
        <v>0</v>
      </c>
      <c r="CW89" s="28">
        <v>0</v>
      </c>
      <c r="CX89" s="28">
        <v>0</v>
      </c>
      <c r="CY89" s="28">
        <v>0</v>
      </c>
      <c r="CZ89" s="28">
        <v>0</v>
      </c>
      <c r="DA89" s="28"/>
      <c r="DB89" s="28">
        <f t="shared" si="92"/>
        <v>0</v>
      </c>
      <c r="DC89" s="28">
        <v>0</v>
      </c>
      <c r="DD89" s="28">
        <v>0</v>
      </c>
      <c r="DE89" s="28">
        <v>0</v>
      </c>
      <c r="DF89" s="28">
        <v>0</v>
      </c>
      <c r="DG89" s="28">
        <f t="shared" si="93"/>
        <v>0</v>
      </c>
      <c r="DH89" s="28">
        <v>0</v>
      </c>
      <c r="DI89" s="28">
        <v>0</v>
      </c>
      <c r="DJ89" s="28">
        <v>0</v>
      </c>
      <c r="DK89" s="28"/>
      <c r="DL89" s="28">
        <f t="shared" si="94"/>
        <v>0</v>
      </c>
      <c r="DM89" s="28">
        <v>0</v>
      </c>
      <c r="DN89" s="28">
        <v>0</v>
      </c>
      <c r="DO89" s="28">
        <v>0</v>
      </c>
      <c r="DP89" s="28">
        <v>0</v>
      </c>
      <c r="DQ89" s="28">
        <f t="shared" si="81"/>
        <v>0</v>
      </c>
      <c r="DR89" s="28">
        <v>0</v>
      </c>
      <c r="DS89" s="28">
        <v>0</v>
      </c>
      <c r="DT89" s="28">
        <v>0</v>
      </c>
      <c r="DU89" s="28">
        <v>74.311000000000007</v>
      </c>
      <c r="DV89" s="28">
        <f t="shared" si="95"/>
        <v>74.311000000000007</v>
      </c>
      <c r="DW89" s="28">
        <v>118.497</v>
      </c>
      <c r="DX89" s="28">
        <v>213.55699999999999</v>
      </c>
      <c r="DY89" s="28">
        <v>386.66798805000002</v>
      </c>
      <c r="DZ89" s="28">
        <v>300.75822991999996</v>
      </c>
      <c r="EA89" s="28">
        <f t="shared" si="82"/>
        <v>1019.4802179699999</v>
      </c>
      <c r="EB89" s="28">
        <v>78.531664579999997</v>
      </c>
      <c r="EC89" s="28">
        <v>129.06909335</v>
      </c>
      <c r="ED89" s="28">
        <v>117.764</v>
      </c>
      <c r="EE89" s="28">
        <v>189.05644897999997</v>
      </c>
      <c r="EF89" s="28">
        <f t="shared" si="83"/>
        <v>514.42120690999991</v>
      </c>
      <c r="EG89" s="28">
        <v>179.32171650999999</v>
      </c>
      <c r="EH89" s="28">
        <v>286.28526342000004</v>
      </c>
      <c r="EI89" s="28">
        <v>335.21085155999998</v>
      </c>
    </row>
    <row r="90" spans="1:139" ht="15" thickTop="1" x14ac:dyDescent="0.3">
      <c r="A90" s="1" t="s">
        <v>449</v>
      </c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27">
        <v>0</v>
      </c>
      <c r="CK90" s="27">
        <v>0</v>
      </c>
      <c r="CL90" s="27">
        <v>0</v>
      </c>
      <c r="CM90" s="27">
        <v>0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  <c r="DA90" s="27">
        <v>0</v>
      </c>
      <c r="DB90" s="27">
        <v>0</v>
      </c>
      <c r="DC90" s="27">
        <v>0</v>
      </c>
      <c r="DD90" s="27">
        <v>0</v>
      </c>
      <c r="DE90" s="27">
        <v>0</v>
      </c>
      <c r="DF90" s="27">
        <v>0</v>
      </c>
      <c r="DG90" s="27">
        <v>0</v>
      </c>
      <c r="DH90" s="27">
        <v>0</v>
      </c>
      <c r="DI90" s="27">
        <v>0</v>
      </c>
      <c r="DJ90" s="27">
        <v>0</v>
      </c>
      <c r="DK90" s="27">
        <v>0</v>
      </c>
      <c r="DL90" s="27">
        <v>0</v>
      </c>
      <c r="DM90" s="27">
        <v>0</v>
      </c>
      <c r="DN90" s="27">
        <v>0</v>
      </c>
      <c r="DO90" s="27">
        <v>0</v>
      </c>
      <c r="DP90" s="27">
        <v>0</v>
      </c>
      <c r="DQ90" s="27">
        <v>0</v>
      </c>
      <c r="DR90" s="27">
        <v>0</v>
      </c>
      <c r="DS90" s="27">
        <v>0</v>
      </c>
      <c r="DT90" s="27">
        <v>0</v>
      </c>
      <c r="DU90" s="27">
        <v>0</v>
      </c>
      <c r="DV90" s="27">
        <v>0</v>
      </c>
      <c r="DW90" s="27">
        <v>0</v>
      </c>
      <c r="DX90" s="27">
        <v>19.013000000000002</v>
      </c>
      <c r="DY90" s="27">
        <v>70.91776234999999</v>
      </c>
      <c r="DZ90" s="27">
        <v>94.025924689999997</v>
      </c>
      <c r="EA90" s="27">
        <f t="shared" si="82"/>
        <v>183.95668703999999</v>
      </c>
      <c r="EB90" s="27">
        <v>88.591461299999992</v>
      </c>
      <c r="EC90" s="27">
        <v>130.99867774000001</v>
      </c>
      <c r="ED90" s="27">
        <v>78.995000000000005</v>
      </c>
      <c r="EE90" s="27">
        <v>109.14020609999996</v>
      </c>
      <c r="EF90" s="27">
        <f t="shared" si="83"/>
        <v>407.72534513999994</v>
      </c>
      <c r="EG90" s="27">
        <v>180.02774505000002</v>
      </c>
      <c r="EH90" s="27">
        <v>151.97908619999998</v>
      </c>
      <c r="EI90" s="27">
        <v>181.9112317</v>
      </c>
    </row>
    <row r="91" spans="1:139" x14ac:dyDescent="0.3">
      <c r="A91" s="2" t="s">
        <v>460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>
        <v>0</v>
      </c>
      <c r="EH91" s="28">
        <v>0</v>
      </c>
      <c r="EI91" s="28">
        <v>10.916472240000001</v>
      </c>
    </row>
    <row r="92" spans="1:139" x14ac:dyDescent="0.3">
      <c r="A92" s="5" t="s">
        <v>311</v>
      </c>
      <c r="B92" s="29">
        <f>SUM(B78:B89)</f>
        <v>0</v>
      </c>
      <c r="C92" s="29">
        <f t="shared" ref="C92:BI92" si="96">SUM(C78:C89)</f>
        <v>0</v>
      </c>
      <c r="D92" s="29">
        <f t="shared" si="96"/>
        <v>0</v>
      </c>
      <c r="E92" s="29">
        <f t="shared" si="96"/>
        <v>0</v>
      </c>
      <c r="F92" s="29">
        <f t="shared" si="96"/>
        <v>0</v>
      </c>
      <c r="G92" s="29">
        <f t="shared" si="96"/>
        <v>0</v>
      </c>
      <c r="H92" s="29">
        <f t="shared" si="96"/>
        <v>0</v>
      </c>
      <c r="I92" s="29">
        <f t="shared" si="96"/>
        <v>0</v>
      </c>
      <c r="J92" s="29">
        <f t="shared" si="96"/>
        <v>0</v>
      </c>
      <c r="K92" s="29">
        <f t="shared" si="96"/>
        <v>0</v>
      </c>
      <c r="L92" s="29">
        <f t="shared" si="96"/>
        <v>0</v>
      </c>
      <c r="M92" s="29">
        <f t="shared" si="96"/>
        <v>0</v>
      </c>
      <c r="N92" s="29">
        <f t="shared" si="96"/>
        <v>0</v>
      </c>
      <c r="O92" s="29">
        <f t="shared" si="96"/>
        <v>0</v>
      </c>
      <c r="P92" s="29">
        <f t="shared" si="96"/>
        <v>0</v>
      </c>
      <c r="Q92" s="29">
        <f t="shared" si="96"/>
        <v>0</v>
      </c>
      <c r="R92" s="29">
        <f t="shared" si="96"/>
        <v>0</v>
      </c>
      <c r="S92" s="29">
        <f t="shared" si="96"/>
        <v>0</v>
      </c>
      <c r="T92" s="29">
        <f t="shared" si="96"/>
        <v>0</v>
      </c>
      <c r="U92" s="29">
        <f t="shared" si="96"/>
        <v>0</v>
      </c>
      <c r="V92" s="29">
        <f t="shared" si="96"/>
        <v>0</v>
      </c>
      <c r="W92" s="29">
        <f t="shared" si="96"/>
        <v>0</v>
      </c>
      <c r="X92" s="29">
        <f t="shared" si="96"/>
        <v>0</v>
      </c>
      <c r="Y92" s="29">
        <f t="shared" si="96"/>
        <v>0</v>
      </c>
      <c r="Z92" s="29">
        <f t="shared" si="96"/>
        <v>0</v>
      </c>
      <c r="AA92" s="29">
        <f t="shared" si="96"/>
        <v>0</v>
      </c>
      <c r="AB92" s="29">
        <f t="shared" si="96"/>
        <v>0</v>
      </c>
      <c r="AC92" s="29">
        <f t="shared" si="96"/>
        <v>0</v>
      </c>
      <c r="AD92" s="29">
        <f t="shared" si="96"/>
        <v>0</v>
      </c>
      <c r="AE92" s="29">
        <f t="shared" si="96"/>
        <v>0</v>
      </c>
      <c r="AF92" s="29">
        <f t="shared" si="96"/>
        <v>0</v>
      </c>
      <c r="AG92" s="29">
        <f t="shared" si="96"/>
        <v>0</v>
      </c>
      <c r="AH92" s="29">
        <f t="shared" si="96"/>
        <v>0</v>
      </c>
      <c r="AI92" s="29">
        <f t="shared" si="96"/>
        <v>0</v>
      </c>
      <c r="AJ92" s="29">
        <f t="shared" si="96"/>
        <v>0</v>
      </c>
      <c r="AK92" s="29">
        <f t="shared" si="96"/>
        <v>0</v>
      </c>
      <c r="AL92" s="29">
        <f t="shared" si="96"/>
        <v>0</v>
      </c>
      <c r="AM92" s="29">
        <f t="shared" si="96"/>
        <v>0</v>
      </c>
      <c r="AN92" s="29">
        <f t="shared" si="96"/>
        <v>0</v>
      </c>
      <c r="AO92" s="29">
        <f t="shared" si="96"/>
        <v>0</v>
      </c>
      <c r="AP92" s="29">
        <f t="shared" si="96"/>
        <v>0</v>
      </c>
      <c r="AQ92" s="29">
        <f t="shared" si="96"/>
        <v>0</v>
      </c>
      <c r="AR92" s="29">
        <f t="shared" si="96"/>
        <v>0</v>
      </c>
      <c r="AS92" s="29">
        <f t="shared" si="96"/>
        <v>0</v>
      </c>
      <c r="AT92" s="29">
        <f t="shared" si="96"/>
        <v>0</v>
      </c>
      <c r="AU92" s="29">
        <f t="shared" si="96"/>
        <v>0</v>
      </c>
      <c r="AV92" s="29">
        <f t="shared" si="96"/>
        <v>0</v>
      </c>
      <c r="AW92" s="29">
        <f t="shared" si="96"/>
        <v>0</v>
      </c>
      <c r="AX92" s="29">
        <f t="shared" si="96"/>
        <v>0</v>
      </c>
      <c r="AY92" s="29">
        <f t="shared" si="96"/>
        <v>0</v>
      </c>
      <c r="AZ92" s="29">
        <f t="shared" si="96"/>
        <v>0</v>
      </c>
      <c r="BA92" s="29">
        <f t="shared" si="96"/>
        <v>0</v>
      </c>
      <c r="BB92" s="29">
        <f t="shared" si="96"/>
        <v>0</v>
      </c>
      <c r="BC92" s="29">
        <f t="shared" si="96"/>
        <v>0</v>
      </c>
      <c r="BD92" s="29">
        <f t="shared" si="96"/>
        <v>0</v>
      </c>
      <c r="BE92" s="29">
        <f t="shared" si="96"/>
        <v>0</v>
      </c>
      <c r="BF92" s="29">
        <f t="shared" si="96"/>
        <v>0</v>
      </c>
      <c r="BG92" s="29">
        <f t="shared" si="96"/>
        <v>0</v>
      </c>
      <c r="BH92" s="29">
        <f t="shared" si="96"/>
        <v>0</v>
      </c>
      <c r="BI92" s="29">
        <f t="shared" si="96"/>
        <v>0</v>
      </c>
      <c r="BJ92" s="29">
        <f t="shared" ref="BJ92:DU92" si="97">SUM(BJ78:BJ90)</f>
        <v>64</v>
      </c>
      <c r="BK92" s="29">
        <f t="shared" si="97"/>
        <v>40.700000000000003</v>
      </c>
      <c r="BL92" s="29">
        <f t="shared" si="97"/>
        <v>33.200000000000003</v>
      </c>
      <c r="BM92" s="29">
        <f t="shared" si="97"/>
        <v>36.900000000000006</v>
      </c>
      <c r="BN92" s="29">
        <f t="shared" si="97"/>
        <v>174.8</v>
      </c>
      <c r="BO92" s="29">
        <f t="shared" si="97"/>
        <v>32</v>
      </c>
      <c r="BP92" s="29">
        <f t="shared" si="97"/>
        <v>54.8</v>
      </c>
      <c r="BQ92" s="29">
        <f t="shared" si="97"/>
        <v>49.100000000000009</v>
      </c>
      <c r="BR92" s="29">
        <f t="shared" si="97"/>
        <v>63.599999999999994</v>
      </c>
      <c r="BS92" s="29">
        <f t="shared" si="97"/>
        <v>199.5</v>
      </c>
      <c r="BT92" s="29">
        <f t="shared" si="97"/>
        <v>39.900000000000006</v>
      </c>
      <c r="BU92" s="29">
        <f t="shared" si="97"/>
        <v>63.400000000000006</v>
      </c>
      <c r="BV92" s="29">
        <f t="shared" si="97"/>
        <v>87.9</v>
      </c>
      <c r="BW92" s="29">
        <f t="shared" si="97"/>
        <v>107.1</v>
      </c>
      <c r="BX92" s="29">
        <f t="shared" si="97"/>
        <v>298.3</v>
      </c>
      <c r="BY92" s="29">
        <f t="shared" si="97"/>
        <v>58.1</v>
      </c>
      <c r="BZ92" s="29">
        <f t="shared" si="97"/>
        <v>130.1</v>
      </c>
      <c r="CA92" s="29">
        <f t="shared" si="97"/>
        <v>143.49999999999997</v>
      </c>
      <c r="CB92" s="29">
        <f t="shared" si="97"/>
        <v>174.1</v>
      </c>
      <c r="CC92" s="29">
        <f t="shared" si="97"/>
        <v>505.80000000000007</v>
      </c>
      <c r="CD92" s="29">
        <f t="shared" si="97"/>
        <v>119.64999999999999</v>
      </c>
      <c r="CE92" s="29">
        <f t="shared" si="97"/>
        <v>306.18281690999999</v>
      </c>
      <c r="CF92" s="29">
        <f t="shared" si="97"/>
        <v>138.6</v>
      </c>
      <c r="CG92" s="29">
        <f t="shared" si="97"/>
        <v>149.20000000000002</v>
      </c>
      <c r="CH92" s="29">
        <f t="shared" si="97"/>
        <v>713.63281690999997</v>
      </c>
      <c r="CI92" s="29">
        <f t="shared" si="97"/>
        <v>108.3</v>
      </c>
      <c r="CJ92" s="29">
        <f t="shared" si="97"/>
        <v>115.3</v>
      </c>
      <c r="CK92" s="29">
        <f t="shared" si="97"/>
        <v>111.5</v>
      </c>
      <c r="CL92" s="29">
        <f t="shared" si="97"/>
        <v>108</v>
      </c>
      <c r="CM92" s="29">
        <f t="shared" si="97"/>
        <v>443.1</v>
      </c>
      <c r="CN92" s="29">
        <f t="shared" si="97"/>
        <v>64.599999999999994</v>
      </c>
      <c r="CO92" s="29">
        <f t="shared" si="97"/>
        <v>95.9</v>
      </c>
      <c r="CP92" s="29">
        <f t="shared" si="97"/>
        <v>162.6</v>
      </c>
      <c r="CQ92" s="29">
        <f t="shared" si="97"/>
        <v>128.29999999999998</v>
      </c>
      <c r="CR92" s="29">
        <f t="shared" si="97"/>
        <v>451.4</v>
      </c>
      <c r="CS92" s="29">
        <f t="shared" si="97"/>
        <v>87.124641700000012</v>
      </c>
      <c r="CT92" s="29">
        <f t="shared" si="97"/>
        <v>147.66319407</v>
      </c>
      <c r="CU92" s="29">
        <f t="shared" si="97"/>
        <v>166.54955256999997</v>
      </c>
      <c r="CV92" s="29">
        <f t="shared" si="97"/>
        <v>185.19900514999995</v>
      </c>
      <c r="CW92" s="29">
        <f t="shared" si="97"/>
        <v>586.53639348999991</v>
      </c>
      <c r="CX92" s="29">
        <f t="shared" si="97"/>
        <v>126.74600000000001</v>
      </c>
      <c r="CY92" s="29">
        <f t="shared" si="97"/>
        <v>137.125</v>
      </c>
      <c r="CZ92" s="29">
        <f t="shared" si="97"/>
        <v>136.941</v>
      </c>
      <c r="DA92" s="29">
        <f t="shared" si="97"/>
        <v>252.255</v>
      </c>
      <c r="DB92" s="29">
        <f t="shared" si="97"/>
        <v>653.06700000000001</v>
      </c>
      <c r="DC92" s="29">
        <f t="shared" si="97"/>
        <v>224.82700000000003</v>
      </c>
      <c r="DD92" s="29">
        <f t="shared" si="97"/>
        <v>278.01000000000005</v>
      </c>
      <c r="DE92" s="29">
        <f t="shared" si="97"/>
        <v>199.32299999999995</v>
      </c>
      <c r="DF92" s="29">
        <f t="shared" si="97"/>
        <v>305.56600000000003</v>
      </c>
      <c r="DG92" s="29">
        <f t="shared" si="97"/>
        <v>1007.726</v>
      </c>
      <c r="DH92" s="29">
        <f t="shared" si="97"/>
        <v>202.02799999999999</v>
      </c>
      <c r="DI92" s="29">
        <f t="shared" si="97"/>
        <v>260.43700000000001</v>
      </c>
      <c r="DJ92" s="29">
        <f t="shared" si="97"/>
        <v>287.28100000000001</v>
      </c>
      <c r="DK92" s="29">
        <f t="shared" si="97"/>
        <v>231.73000000000002</v>
      </c>
      <c r="DL92" s="29">
        <f t="shared" si="97"/>
        <v>981.47599999999989</v>
      </c>
      <c r="DM92" s="29">
        <f t="shared" si="97"/>
        <v>169.553</v>
      </c>
      <c r="DN92" s="29">
        <f t="shared" si="97"/>
        <v>241.60000000000002</v>
      </c>
      <c r="DO92" s="29">
        <f t="shared" si="97"/>
        <v>339.447</v>
      </c>
      <c r="DP92" s="29">
        <f t="shared" si="97"/>
        <v>412.83699999999993</v>
      </c>
      <c r="DQ92" s="29">
        <f t="shared" si="97"/>
        <v>1163.4369999999999</v>
      </c>
      <c r="DR92" s="29">
        <f t="shared" si="97"/>
        <v>369.959</v>
      </c>
      <c r="DS92" s="29">
        <f t="shared" si="97"/>
        <v>572.84799999999996</v>
      </c>
      <c r="DT92" s="29">
        <f t="shared" si="97"/>
        <v>786.303</v>
      </c>
      <c r="DU92" s="29">
        <f t="shared" si="97"/>
        <v>759.86199999999997</v>
      </c>
      <c r="DV92" s="29">
        <f t="shared" ref="DV92:ED92" si="98">SUM(DV78:DV90)</f>
        <v>2488.9720000000002</v>
      </c>
      <c r="DW92" s="29">
        <f t="shared" si="98"/>
        <v>474.43599999999998</v>
      </c>
      <c r="DX92" s="29">
        <f t="shared" si="98"/>
        <v>727.16100000000006</v>
      </c>
      <c r="DY92" s="29">
        <f t="shared" si="98"/>
        <v>1129.0159958500001</v>
      </c>
      <c r="DZ92" s="29">
        <f t="shared" si="98"/>
        <v>1119.9176553499999</v>
      </c>
      <c r="EA92" s="29">
        <f t="shared" si="98"/>
        <v>3450.5306511999997</v>
      </c>
      <c r="EB92" s="29">
        <f t="shared" si="98"/>
        <v>605.04722755</v>
      </c>
      <c r="EC92" s="29">
        <f t="shared" si="98"/>
        <v>859.89926633999994</v>
      </c>
      <c r="ED92" s="29">
        <f t="shared" si="98"/>
        <v>870.69100000000003</v>
      </c>
      <c r="EE92" s="29">
        <f t="shared" ref="EE92:EF92" si="99">SUM(EE78:EE90)</f>
        <v>1096.9704495099998</v>
      </c>
      <c r="EF92" s="29">
        <f t="shared" si="99"/>
        <v>3432.6079433999994</v>
      </c>
      <c r="EG92" s="29">
        <f>SUM(EG78:EG91)</f>
        <v>757.27036492999991</v>
      </c>
      <c r="EH92" s="29">
        <f>SUM(EH78:EH91)</f>
        <v>899.27660818000004</v>
      </c>
      <c r="EI92" s="29">
        <f>SUM(EI78:EI91)</f>
        <v>1020.5725620699999</v>
      </c>
    </row>
    <row r="95" spans="1:139" x14ac:dyDescent="0.3">
      <c r="A95" s="3" t="s">
        <v>315</v>
      </c>
      <c r="B95" s="6" t="s">
        <v>4</v>
      </c>
      <c r="C95" s="6" t="s">
        <v>5</v>
      </c>
      <c r="D95" s="6" t="s">
        <v>6</v>
      </c>
      <c r="E95" s="6" t="s">
        <v>7</v>
      </c>
      <c r="F95" s="6">
        <v>2018</v>
      </c>
      <c r="G95" s="6" t="s">
        <v>8</v>
      </c>
      <c r="H95" s="6" t="s">
        <v>9</v>
      </c>
      <c r="I95" s="6" t="s">
        <v>10</v>
      </c>
      <c r="J95" s="6" t="s">
        <v>11</v>
      </c>
      <c r="K95" s="6">
        <v>2019</v>
      </c>
      <c r="L95" s="6" t="s">
        <v>12</v>
      </c>
      <c r="M95" s="6" t="s">
        <v>13</v>
      </c>
      <c r="N95" s="6" t="s">
        <v>14</v>
      </c>
      <c r="O95" s="6" t="s">
        <v>15</v>
      </c>
      <c r="P95" s="6">
        <v>2000</v>
      </c>
      <c r="Q95" s="6" t="s">
        <v>16</v>
      </c>
      <c r="R95" s="6" t="s">
        <v>17</v>
      </c>
      <c r="S95" s="6" t="s">
        <v>18</v>
      </c>
      <c r="T95" s="6" t="s">
        <v>19</v>
      </c>
      <c r="U95" s="6">
        <v>2001</v>
      </c>
      <c r="V95" s="6" t="s">
        <v>20</v>
      </c>
      <c r="W95" s="6" t="s">
        <v>21</v>
      </c>
      <c r="X95" s="6" t="s">
        <v>22</v>
      </c>
      <c r="Y95" s="6" t="s">
        <v>23</v>
      </c>
      <c r="Z95" s="6">
        <v>2002</v>
      </c>
      <c r="AA95" s="6" t="s">
        <v>24</v>
      </c>
      <c r="AB95" s="6" t="s">
        <v>25</v>
      </c>
      <c r="AC95" s="6" t="s">
        <v>26</v>
      </c>
      <c r="AD95" s="6" t="s">
        <v>27</v>
      </c>
      <c r="AE95" s="6">
        <v>2003</v>
      </c>
      <c r="AF95" s="6" t="s">
        <v>28</v>
      </c>
      <c r="AG95" s="6" t="s">
        <v>29</v>
      </c>
      <c r="AH95" s="6" t="s">
        <v>30</v>
      </c>
      <c r="AI95" s="6" t="s">
        <v>31</v>
      </c>
      <c r="AJ95" s="6">
        <v>2004</v>
      </c>
      <c r="AK95" s="6" t="s">
        <v>32</v>
      </c>
      <c r="AL95" s="6" t="s">
        <v>33</v>
      </c>
      <c r="AM95" s="6" t="s">
        <v>34</v>
      </c>
      <c r="AN95" s="6" t="s">
        <v>35</v>
      </c>
      <c r="AO95" s="6">
        <v>2005</v>
      </c>
      <c r="AP95" s="6" t="s">
        <v>36</v>
      </c>
      <c r="AQ95" s="6" t="s">
        <v>37</v>
      </c>
      <c r="AR95" s="6" t="s">
        <v>38</v>
      </c>
      <c r="AS95" s="6" t="s">
        <v>39</v>
      </c>
      <c r="AT95" s="6">
        <v>2006</v>
      </c>
      <c r="AU95" s="6" t="s">
        <v>40</v>
      </c>
      <c r="AV95" s="6" t="s">
        <v>41</v>
      </c>
      <c r="AW95" s="6" t="s">
        <v>42</v>
      </c>
      <c r="AX95" s="6" t="s">
        <v>43</v>
      </c>
      <c r="AY95" s="6">
        <v>2007</v>
      </c>
      <c r="AZ95" s="6" t="s">
        <v>44</v>
      </c>
      <c r="BA95" s="6" t="s">
        <v>45</v>
      </c>
      <c r="BB95" s="6" t="s">
        <v>46</v>
      </c>
      <c r="BC95" s="6" t="s">
        <v>47</v>
      </c>
      <c r="BD95" s="6">
        <v>2008</v>
      </c>
      <c r="BE95" s="6" t="s">
        <v>48</v>
      </c>
      <c r="BF95" s="6" t="s">
        <v>49</v>
      </c>
      <c r="BG95" s="6" t="s">
        <v>50</v>
      </c>
      <c r="BH95" s="6" t="s">
        <v>51</v>
      </c>
      <c r="BI95" s="6">
        <v>2009</v>
      </c>
      <c r="BJ95" s="6" t="s">
        <v>52</v>
      </c>
      <c r="BK95" s="6" t="s">
        <v>53</v>
      </c>
      <c r="BL95" s="6" t="s">
        <v>54</v>
      </c>
      <c r="BM95" s="6" t="s">
        <v>55</v>
      </c>
      <c r="BN95" s="6">
        <v>2010</v>
      </c>
      <c r="BO95" s="6" t="s">
        <v>56</v>
      </c>
      <c r="BP95" s="6" t="s">
        <v>57</v>
      </c>
      <c r="BQ95" s="6" t="s">
        <v>58</v>
      </c>
      <c r="BR95" s="6" t="s">
        <v>59</v>
      </c>
      <c r="BS95" s="6">
        <v>2011</v>
      </c>
      <c r="BT95" s="6" t="s">
        <v>60</v>
      </c>
      <c r="BU95" s="6" t="s">
        <v>61</v>
      </c>
      <c r="BV95" s="6" t="s">
        <v>62</v>
      </c>
      <c r="BW95" s="6" t="s">
        <v>63</v>
      </c>
      <c r="BX95" s="6">
        <v>2012</v>
      </c>
      <c r="BY95" s="6" t="s">
        <v>64</v>
      </c>
      <c r="BZ95" s="6" t="s">
        <v>65</v>
      </c>
      <c r="CA95" s="6" t="s">
        <v>66</v>
      </c>
      <c r="CB95" s="6" t="s">
        <v>67</v>
      </c>
      <c r="CC95" s="6">
        <v>2013</v>
      </c>
      <c r="CD95" s="6" t="s">
        <v>68</v>
      </c>
      <c r="CE95" s="6" t="s">
        <v>69</v>
      </c>
      <c r="CF95" s="6" t="s">
        <v>70</v>
      </c>
      <c r="CG95" s="6" t="s">
        <v>71</v>
      </c>
      <c r="CH95" s="6">
        <v>2014</v>
      </c>
      <c r="CI95" s="6" t="s">
        <v>72</v>
      </c>
      <c r="CJ95" s="6" t="s">
        <v>73</v>
      </c>
      <c r="CK95" s="6" t="s">
        <v>74</v>
      </c>
      <c r="CL95" s="6" t="s">
        <v>75</v>
      </c>
      <c r="CM95" s="6">
        <v>2015</v>
      </c>
      <c r="CN95" s="6" t="s">
        <v>76</v>
      </c>
      <c r="CO95" s="6" t="s">
        <v>77</v>
      </c>
      <c r="CP95" s="6" t="s">
        <v>78</v>
      </c>
      <c r="CQ95" s="6" t="s">
        <v>79</v>
      </c>
      <c r="CR95" s="6">
        <v>2016</v>
      </c>
      <c r="CS95" s="6" t="s">
        <v>80</v>
      </c>
      <c r="CT95" s="6" t="s">
        <v>81</v>
      </c>
      <c r="CU95" s="6" t="s">
        <v>82</v>
      </c>
      <c r="CV95" s="6" t="s">
        <v>83</v>
      </c>
      <c r="CW95" s="6">
        <v>2017</v>
      </c>
      <c r="CX95" s="6" t="s">
        <v>84</v>
      </c>
      <c r="CY95" s="6" t="s">
        <v>85</v>
      </c>
      <c r="CZ95" s="6" t="s">
        <v>86</v>
      </c>
      <c r="DA95" s="6" t="s">
        <v>87</v>
      </c>
      <c r="DB95" s="6">
        <v>2018</v>
      </c>
      <c r="DC95" s="6" t="s">
        <v>88</v>
      </c>
      <c r="DD95" s="6" t="s">
        <v>89</v>
      </c>
      <c r="DE95" s="6" t="s">
        <v>90</v>
      </c>
      <c r="DF95" s="6" t="s">
        <v>91</v>
      </c>
      <c r="DG95" s="6">
        <v>2019</v>
      </c>
      <c r="DH95" s="6" t="s">
        <v>92</v>
      </c>
      <c r="DI95" s="6" t="s">
        <v>93</v>
      </c>
      <c r="DJ95" s="6" t="s">
        <v>94</v>
      </c>
      <c r="DK95" s="6" t="s">
        <v>95</v>
      </c>
      <c r="DL95" s="6">
        <v>2020</v>
      </c>
      <c r="DM95" s="6" t="s">
        <v>96</v>
      </c>
      <c r="DN95" s="6" t="s">
        <v>97</v>
      </c>
      <c r="DO95" s="6" t="s">
        <v>98</v>
      </c>
      <c r="DP95" s="6" t="s">
        <v>99</v>
      </c>
      <c r="DQ95" s="6">
        <v>2021</v>
      </c>
      <c r="DR95" s="6" t="s">
        <v>100</v>
      </c>
      <c r="DS95" s="6" t="s">
        <v>101</v>
      </c>
      <c r="DT95" s="6" t="s">
        <v>200</v>
      </c>
      <c r="DU95" s="6" t="s">
        <v>380</v>
      </c>
      <c r="DV95" s="6">
        <v>2022</v>
      </c>
      <c r="DW95" s="6" t="s">
        <v>379</v>
      </c>
      <c r="DX95" s="6" t="s">
        <v>402</v>
      </c>
      <c r="DY95" s="6" t="s">
        <v>414</v>
      </c>
      <c r="DZ95" s="6" t="s">
        <v>419</v>
      </c>
      <c r="EA95" s="6">
        <v>2023</v>
      </c>
      <c r="EB95" s="6" t="s">
        <v>424</v>
      </c>
      <c r="EC95" s="6" t="s">
        <v>429</v>
      </c>
      <c r="ED95" s="6" t="str">
        <f>$ED$1</f>
        <v>3T24</v>
      </c>
      <c r="EE95" s="6" t="str">
        <f>$EE$1</f>
        <v>4T24</v>
      </c>
      <c r="EF95" s="6">
        <f>$EF$1</f>
        <v>2024</v>
      </c>
      <c r="EG95" s="6" t="str">
        <f>EG$1</f>
        <v>1T25</v>
      </c>
      <c r="EH95" s="6" t="str">
        <f>EH$1</f>
        <v>2T25</v>
      </c>
      <c r="EI95" s="6" t="str">
        <f>EI$1</f>
        <v>3T25</v>
      </c>
    </row>
    <row r="96" spans="1:139" ht="15" thickBot="1" x14ac:dyDescent="0.35">
      <c r="A96" s="4" t="s">
        <v>316</v>
      </c>
      <c r="B96" s="7" t="s">
        <v>102</v>
      </c>
      <c r="C96" s="7" t="s">
        <v>103</v>
      </c>
      <c r="D96" s="7" t="s">
        <v>104</v>
      </c>
      <c r="E96" s="7" t="s">
        <v>105</v>
      </c>
      <c r="F96" s="7">
        <v>2018</v>
      </c>
      <c r="G96" s="7" t="s">
        <v>106</v>
      </c>
      <c r="H96" s="7" t="s">
        <v>107</v>
      </c>
      <c r="I96" s="7" t="s">
        <v>108</v>
      </c>
      <c r="J96" s="7" t="s">
        <v>109</v>
      </c>
      <c r="K96" s="7">
        <v>2019</v>
      </c>
      <c r="L96" s="7" t="s">
        <v>110</v>
      </c>
      <c r="M96" s="7" t="s">
        <v>111</v>
      </c>
      <c r="N96" s="7" t="s">
        <v>112</v>
      </c>
      <c r="O96" s="7" t="s">
        <v>113</v>
      </c>
      <c r="P96" s="7">
        <v>2000</v>
      </c>
      <c r="Q96" s="7" t="s">
        <v>114</v>
      </c>
      <c r="R96" s="7" t="s">
        <v>115</v>
      </c>
      <c r="S96" s="7" t="s">
        <v>116</v>
      </c>
      <c r="T96" s="7" t="s">
        <v>117</v>
      </c>
      <c r="U96" s="7">
        <v>2001</v>
      </c>
      <c r="V96" s="7" t="s">
        <v>118</v>
      </c>
      <c r="W96" s="7" t="s">
        <v>119</v>
      </c>
      <c r="X96" s="7" t="s">
        <v>120</v>
      </c>
      <c r="Y96" s="7" t="s">
        <v>121</v>
      </c>
      <c r="Z96" s="7">
        <v>2002</v>
      </c>
      <c r="AA96" s="7" t="s">
        <v>122</v>
      </c>
      <c r="AB96" s="7" t="s">
        <v>123</v>
      </c>
      <c r="AC96" s="7" t="s">
        <v>124</v>
      </c>
      <c r="AD96" s="7" t="s">
        <v>125</v>
      </c>
      <c r="AE96" s="7">
        <v>2003</v>
      </c>
      <c r="AF96" s="7" t="s">
        <v>126</v>
      </c>
      <c r="AG96" s="7" t="s">
        <v>127</v>
      </c>
      <c r="AH96" s="7" t="s">
        <v>128</v>
      </c>
      <c r="AI96" s="7" t="s">
        <v>129</v>
      </c>
      <c r="AJ96" s="7">
        <v>2004</v>
      </c>
      <c r="AK96" s="7" t="s">
        <v>130</v>
      </c>
      <c r="AL96" s="7" t="s">
        <v>131</v>
      </c>
      <c r="AM96" s="7" t="s">
        <v>132</v>
      </c>
      <c r="AN96" s="7" t="s">
        <v>133</v>
      </c>
      <c r="AO96" s="7">
        <v>2005</v>
      </c>
      <c r="AP96" s="7" t="s">
        <v>134</v>
      </c>
      <c r="AQ96" s="7" t="s">
        <v>135</v>
      </c>
      <c r="AR96" s="7" t="s">
        <v>136</v>
      </c>
      <c r="AS96" s="7" t="s">
        <v>137</v>
      </c>
      <c r="AT96" s="7">
        <v>2006</v>
      </c>
      <c r="AU96" s="7" t="s">
        <v>138</v>
      </c>
      <c r="AV96" s="7" t="s">
        <v>139</v>
      </c>
      <c r="AW96" s="7" t="s">
        <v>140</v>
      </c>
      <c r="AX96" s="7" t="s">
        <v>141</v>
      </c>
      <c r="AY96" s="7">
        <v>2007</v>
      </c>
      <c r="AZ96" s="7" t="s">
        <v>142</v>
      </c>
      <c r="BA96" s="7" t="s">
        <v>143</v>
      </c>
      <c r="BB96" s="7" t="s">
        <v>144</v>
      </c>
      <c r="BC96" s="7" t="s">
        <v>145</v>
      </c>
      <c r="BD96" s="7">
        <v>2008</v>
      </c>
      <c r="BE96" s="7" t="s">
        <v>146</v>
      </c>
      <c r="BF96" s="7" t="s">
        <v>147</v>
      </c>
      <c r="BG96" s="7" t="s">
        <v>148</v>
      </c>
      <c r="BH96" s="7" t="s">
        <v>149</v>
      </c>
      <c r="BI96" s="7">
        <v>2009</v>
      </c>
      <c r="BJ96" s="7" t="s">
        <v>150</v>
      </c>
      <c r="BK96" s="7" t="s">
        <v>151</v>
      </c>
      <c r="BL96" s="7" t="s">
        <v>152</v>
      </c>
      <c r="BM96" s="7" t="s">
        <v>153</v>
      </c>
      <c r="BN96" s="7">
        <v>2010</v>
      </c>
      <c r="BO96" s="7" t="s">
        <v>154</v>
      </c>
      <c r="BP96" s="7" t="s">
        <v>155</v>
      </c>
      <c r="BQ96" s="7" t="s">
        <v>156</v>
      </c>
      <c r="BR96" s="7" t="s">
        <v>157</v>
      </c>
      <c r="BS96" s="7">
        <v>2011</v>
      </c>
      <c r="BT96" s="7" t="s">
        <v>158</v>
      </c>
      <c r="BU96" s="7" t="s">
        <v>159</v>
      </c>
      <c r="BV96" s="7" t="s">
        <v>160</v>
      </c>
      <c r="BW96" s="7" t="s">
        <v>161</v>
      </c>
      <c r="BX96" s="7">
        <v>2012</v>
      </c>
      <c r="BY96" s="7" t="s">
        <v>162</v>
      </c>
      <c r="BZ96" s="7" t="s">
        <v>163</v>
      </c>
      <c r="CA96" s="7" t="s">
        <v>164</v>
      </c>
      <c r="CB96" s="7" t="s">
        <v>165</v>
      </c>
      <c r="CC96" s="7">
        <v>2013</v>
      </c>
      <c r="CD96" s="7" t="s">
        <v>166</v>
      </c>
      <c r="CE96" s="7" t="s">
        <v>167</v>
      </c>
      <c r="CF96" s="7" t="s">
        <v>168</v>
      </c>
      <c r="CG96" s="7" t="s">
        <v>169</v>
      </c>
      <c r="CH96" s="7">
        <v>2014</v>
      </c>
      <c r="CI96" s="7" t="s">
        <v>170</v>
      </c>
      <c r="CJ96" s="7" t="s">
        <v>171</v>
      </c>
      <c r="CK96" s="7" t="s">
        <v>172</v>
      </c>
      <c r="CL96" s="7" t="s">
        <v>173</v>
      </c>
      <c r="CM96" s="7">
        <v>2015</v>
      </c>
      <c r="CN96" s="7" t="s">
        <v>174</v>
      </c>
      <c r="CO96" s="7" t="s">
        <v>175</v>
      </c>
      <c r="CP96" s="7" t="s">
        <v>176</v>
      </c>
      <c r="CQ96" s="7" t="s">
        <v>177</v>
      </c>
      <c r="CR96" s="7">
        <v>2016</v>
      </c>
      <c r="CS96" s="7" t="s">
        <v>178</v>
      </c>
      <c r="CT96" s="7" t="s">
        <v>179</v>
      </c>
      <c r="CU96" s="7" t="s">
        <v>180</v>
      </c>
      <c r="CV96" s="7" t="s">
        <v>181</v>
      </c>
      <c r="CW96" s="7">
        <v>2017</v>
      </c>
      <c r="CX96" s="7" t="s">
        <v>182</v>
      </c>
      <c r="CY96" s="7" t="s">
        <v>183</v>
      </c>
      <c r="CZ96" s="7" t="s">
        <v>184</v>
      </c>
      <c r="DA96" s="7" t="s">
        <v>185</v>
      </c>
      <c r="DB96" s="7">
        <v>2018</v>
      </c>
      <c r="DC96" s="7" t="s">
        <v>186</v>
      </c>
      <c r="DD96" s="7" t="s">
        <v>187</v>
      </c>
      <c r="DE96" s="7" t="s">
        <v>188</v>
      </c>
      <c r="DF96" s="7" t="s">
        <v>189</v>
      </c>
      <c r="DG96" s="7">
        <v>2019</v>
      </c>
      <c r="DH96" s="7" t="s">
        <v>190</v>
      </c>
      <c r="DI96" s="7" t="s">
        <v>191</v>
      </c>
      <c r="DJ96" s="7" t="s">
        <v>192</v>
      </c>
      <c r="DK96" s="7" t="s">
        <v>193</v>
      </c>
      <c r="DL96" s="7">
        <v>2020</v>
      </c>
      <c r="DM96" s="7" t="s">
        <v>194</v>
      </c>
      <c r="DN96" s="7" t="s">
        <v>195</v>
      </c>
      <c r="DO96" s="7" t="s">
        <v>196</v>
      </c>
      <c r="DP96" s="7" t="s">
        <v>197</v>
      </c>
      <c r="DQ96" s="7">
        <v>2021</v>
      </c>
      <c r="DR96" s="7" t="s">
        <v>198</v>
      </c>
      <c r="DS96" s="7" t="s">
        <v>199</v>
      </c>
      <c r="DT96" s="7" t="s">
        <v>201</v>
      </c>
      <c r="DU96" s="7" t="s">
        <v>381</v>
      </c>
      <c r="DV96" s="7">
        <v>2022</v>
      </c>
      <c r="DW96" s="7" t="s">
        <v>382</v>
      </c>
      <c r="DX96" s="7" t="s">
        <v>403</v>
      </c>
      <c r="DY96" s="7" t="s">
        <v>415</v>
      </c>
      <c r="DZ96" s="7" t="s">
        <v>420</v>
      </c>
      <c r="EA96" s="7">
        <v>2023</v>
      </c>
      <c r="EB96" s="7" t="s">
        <v>425</v>
      </c>
      <c r="EC96" s="7" t="s">
        <v>430</v>
      </c>
      <c r="ED96" s="6" t="str">
        <f>$ED$2</f>
        <v>3Q24</v>
      </c>
      <c r="EE96" s="7" t="str">
        <f>$EE$2</f>
        <v>4Q24</v>
      </c>
      <c r="EF96" s="7">
        <f>$EF$2</f>
        <v>2024</v>
      </c>
      <c r="EG96" s="7" t="str">
        <f>EG$2</f>
        <v>1Q25</v>
      </c>
      <c r="EH96" s="7" t="str">
        <f>EH$2</f>
        <v>2Q25</v>
      </c>
      <c r="EI96" s="7" t="str">
        <f>EI$2</f>
        <v>3Q25</v>
      </c>
    </row>
    <row r="97" spans="1:139" ht="15" thickTop="1" x14ac:dyDescent="0.3">
      <c r="A97" s="1" t="s">
        <v>2</v>
      </c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27">
        <v>-3.4</v>
      </c>
      <c r="BK97" s="27">
        <v>-3</v>
      </c>
      <c r="BL97" s="27">
        <v>-3.3</v>
      </c>
      <c r="BM97" s="27">
        <v>-3.2</v>
      </c>
      <c r="BN97" s="27">
        <f>SUM(BJ97:BM97)</f>
        <v>-12.899999999999999</v>
      </c>
      <c r="BO97" s="27">
        <v>-3.7</v>
      </c>
      <c r="BP97" s="27">
        <v>-3.6</v>
      </c>
      <c r="BQ97" s="27">
        <v>-3.7</v>
      </c>
      <c r="BR97" s="27">
        <v>-3.6830192199999985</v>
      </c>
      <c r="BS97" s="27">
        <f>SUM(BO97:BR97)</f>
        <v>-14.683019219999998</v>
      </c>
      <c r="BT97" s="27">
        <v>-4.5</v>
      </c>
      <c r="BU97" s="27">
        <v>-3.9</v>
      </c>
      <c r="BV97" s="27">
        <v>-4.5</v>
      </c>
      <c r="BW97" s="27">
        <v>-4.0999999999999996</v>
      </c>
      <c r="BX97" s="27">
        <f>SUM(BT97:BW97)</f>
        <v>-17</v>
      </c>
      <c r="BY97" s="27">
        <v>-4.5</v>
      </c>
      <c r="BZ97" s="27">
        <v>-4.4000000000000004</v>
      </c>
      <c r="CA97" s="27">
        <v>-4.7</v>
      </c>
      <c r="CB97" s="27">
        <v>-4.5999999999999996</v>
      </c>
      <c r="CC97" s="27">
        <f>SUM(BY97:CB97)</f>
        <v>-18.200000000000003</v>
      </c>
      <c r="CD97" s="27">
        <v>-5.4</v>
      </c>
      <c r="CE97" s="27">
        <v>-4.7</v>
      </c>
      <c r="CF97" s="27">
        <v>-4.5999999999999996</v>
      </c>
      <c r="CG97" s="27">
        <v>-4.7</v>
      </c>
      <c r="CH97" s="27">
        <f>SUM(CD97:CG97)</f>
        <v>-19.400000000000002</v>
      </c>
      <c r="CI97" s="27">
        <v>-5.3</v>
      </c>
      <c r="CJ97" s="27">
        <v>-5</v>
      </c>
      <c r="CK97" s="27">
        <v>-5.0371035299999987</v>
      </c>
      <c r="CL97" s="27">
        <v>-5.0385469699999987</v>
      </c>
      <c r="CM97" s="27">
        <f>SUM(CI97:CL97)</f>
        <v>-20.375650499999999</v>
      </c>
      <c r="CN97" s="27">
        <v>-6.5</v>
      </c>
      <c r="CO97" s="27">
        <v>-5.5</v>
      </c>
      <c r="CP97" s="27">
        <v>-5.1000000000000014</v>
      </c>
      <c r="CQ97" s="27">
        <v>-5.1999999999999993</v>
      </c>
      <c r="CR97" s="27">
        <f>SUM(CN97:CQ97)</f>
        <v>-22.3</v>
      </c>
      <c r="CS97" s="27">
        <v>-7.1375638700000001</v>
      </c>
      <c r="CT97" s="27">
        <v>-6.2215920200000001</v>
      </c>
      <c r="CU97" s="27">
        <v>-6.9856972100000014</v>
      </c>
      <c r="CV97" s="27">
        <v>-6.6519633099999993</v>
      </c>
      <c r="CW97" s="27">
        <f>SUM(CS97:CV97)</f>
        <v>-26.996816410000001</v>
      </c>
      <c r="CX97" s="27">
        <v>-7.3339999999999996</v>
      </c>
      <c r="CY97" s="27">
        <v>-5.9219999999999997</v>
      </c>
      <c r="CZ97" s="27">
        <v>-6.1289999999999996</v>
      </c>
      <c r="DA97" s="27">
        <v>-5.8630000000000004</v>
      </c>
      <c r="DB97" s="27">
        <f>SUM(CX97:DA97)</f>
        <v>-25.247999999999998</v>
      </c>
      <c r="DC97" s="27">
        <v>-6.7220000000000004</v>
      </c>
      <c r="DD97" s="27">
        <v>-6.0430000000000001</v>
      </c>
      <c r="DE97" s="27">
        <v>-6.5069999999999997</v>
      </c>
      <c r="DF97" s="27">
        <v>-6.984</v>
      </c>
      <c r="DG97" s="27">
        <f>SUM(DC97:DF97)</f>
        <v>-26.256</v>
      </c>
      <c r="DH97" s="27">
        <v>-7.9580000000000002</v>
      </c>
      <c r="DI97" s="27">
        <v>-6.88</v>
      </c>
      <c r="DJ97" s="27">
        <v>-7.383</v>
      </c>
      <c r="DK97" s="27">
        <v>-7.07</v>
      </c>
      <c r="DL97" s="27">
        <f>SUM(DH97:DK97)</f>
        <v>-29.291</v>
      </c>
      <c r="DM97" s="27">
        <v>-7.5129999999999999</v>
      </c>
      <c r="DN97" s="27">
        <v>-7.2809999999999997</v>
      </c>
      <c r="DO97" s="27">
        <v>-7.5110000000000001</v>
      </c>
      <c r="DP97" s="27">
        <v>-4.5720000000000001</v>
      </c>
      <c r="DQ97" s="27">
        <f t="shared" ref="DQ97:DQ108" si="100">SUM(DM97:DP97)</f>
        <v>-26.876999999999999</v>
      </c>
      <c r="DR97" s="27">
        <v>0</v>
      </c>
      <c r="DS97" s="27">
        <v>0</v>
      </c>
      <c r="DT97" s="27">
        <v>0</v>
      </c>
      <c r="DU97" s="27">
        <v>0</v>
      </c>
      <c r="DV97" s="27">
        <f>SUM(DR97:DU97)</f>
        <v>0</v>
      </c>
      <c r="DW97" s="27">
        <v>0</v>
      </c>
      <c r="DX97" s="27">
        <v>0</v>
      </c>
      <c r="DY97" s="27">
        <v>0</v>
      </c>
      <c r="DZ97" s="27">
        <v>0</v>
      </c>
      <c r="EA97" s="27">
        <f t="shared" ref="EA97:EA116" si="101">SUM(DW97:DZ97)</f>
        <v>0</v>
      </c>
      <c r="EB97" s="27">
        <v>0</v>
      </c>
      <c r="EC97" s="27">
        <v>0</v>
      </c>
      <c r="ED97" s="27">
        <v>0</v>
      </c>
      <c r="EE97" s="27">
        <v>0</v>
      </c>
      <c r="EF97" s="27">
        <f t="shared" ref="EF97:EF116" si="102">SUM(EB97:EE97)</f>
        <v>0</v>
      </c>
      <c r="EG97" s="27">
        <v>0</v>
      </c>
      <c r="EH97" s="27">
        <v>0</v>
      </c>
      <c r="EI97" s="27">
        <v>0</v>
      </c>
    </row>
    <row r="98" spans="1:139" ht="15" thickBot="1" x14ac:dyDescent="0.35">
      <c r="A98" s="2" t="s">
        <v>454</v>
      </c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28">
        <v>-2.2000000000000002</v>
      </c>
      <c r="BK98" s="28">
        <v>-2.7</v>
      </c>
      <c r="BL98" s="28">
        <v>-2.4</v>
      </c>
      <c r="BM98" s="28">
        <v>-2.4</v>
      </c>
      <c r="BN98" s="28">
        <f t="shared" ref="BN98:BN116" si="103">SUM(BJ98:BM98)</f>
        <v>-9.7000000000000011</v>
      </c>
      <c r="BO98" s="28">
        <v>-2.8</v>
      </c>
      <c r="BP98" s="28">
        <v>-3.3</v>
      </c>
      <c r="BQ98" s="28">
        <v>-2.9</v>
      </c>
      <c r="BR98" s="28">
        <v>-2.7570157999999974</v>
      </c>
      <c r="BS98" s="28">
        <f t="shared" ref="BS98:BS116" si="104">SUM(BO98:BR98)</f>
        <v>-11.757015799999998</v>
      </c>
      <c r="BT98" s="28">
        <v>-3</v>
      </c>
      <c r="BU98" s="28">
        <v>-3.6</v>
      </c>
      <c r="BV98" s="28">
        <v>-3.1</v>
      </c>
      <c r="BW98" s="28">
        <v>-3.1</v>
      </c>
      <c r="BX98" s="28">
        <f t="shared" ref="BX98:BX116" si="105">SUM(BT98:BW98)</f>
        <v>-12.799999999999999</v>
      </c>
      <c r="BY98" s="28">
        <v>-3.5</v>
      </c>
      <c r="BZ98" s="28">
        <v>-4.8</v>
      </c>
      <c r="CA98" s="28">
        <v>-4.3</v>
      </c>
      <c r="CB98" s="28">
        <v>-3.6</v>
      </c>
      <c r="CC98" s="28">
        <f t="shared" ref="CC98:CC115" si="106">SUM(BY98:CB98)</f>
        <v>-16.200000000000003</v>
      </c>
      <c r="CD98" s="28">
        <v>-3.8</v>
      </c>
      <c r="CE98" s="28">
        <v>-4.5</v>
      </c>
      <c r="CF98" s="28">
        <v>-3.9</v>
      </c>
      <c r="CG98" s="28">
        <v>-3.5</v>
      </c>
      <c r="CH98" s="28">
        <f t="shared" ref="CH98:CH115" si="107">SUM(CD98:CG98)</f>
        <v>-15.700000000000001</v>
      </c>
      <c r="CI98" s="28">
        <v>-4.2</v>
      </c>
      <c r="CJ98" s="28">
        <v>-4.8</v>
      </c>
      <c r="CK98" s="28">
        <v>-4.51071328</v>
      </c>
      <c r="CL98" s="28">
        <v>-3.7443282599999996</v>
      </c>
      <c r="CM98" s="28">
        <f t="shared" ref="CM98:CM115" si="108">SUM(CI98:CL98)</f>
        <v>-17.255041540000001</v>
      </c>
      <c r="CN98" s="28">
        <v>-5.2</v>
      </c>
      <c r="CO98" s="28">
        <v>-6.6</v>
      </c>
      <c r="CP98" s="28">
        <v>-5.5999999999999988</v>
      </c>
      <c r="CQ98" s="28">
        <v>-4.900000000000003</v>
      </c>
      <c r="CR98" s="28">
        <f t="shared" ref="CR98:CR115" si="109">SUM(CN98:CQ98)</f>
        <v>-22.3</v>
      </c>
      <c r="CS98" s="28">
        <v>-5.9548636500000001</v>
      </c>
      <c r="CT98" s="28">
        <v>-6.9971957400000004</v>
      </c>
      <c r="CU98" s="28">
        <v>-6.410695579999997</v>
      </c>
      <c r="CV98" s="28">
        <v>-7.11775248</v>
      </c>
      <c r="CW98" s="28">
        <f t="shared" ref="CW98:CW116" si="110">SUM(CS98:CV98)</f>
        <v>-26.480507449999998</v>
      </c>
      <c r="CX98" s="28">
        <v>-6.383</v>
      </c>
      <c r="CY98" s="28">
        <v>-6.8390000000000004</v>
      </c>
      <c r="CZ98" s="28">
        <v>-7.2910000000000004</v>
      </c>
      <c r="DA98" s="28">
        <v>-6.5369999999999999</v>
      </c>
      <c r="DB98" s="28">
        <f t="shared" ref="DB98:DB116" si="111">SUM(CX98:DA98)</f>
        <v>-27.05</v>
      </c>
      <c r="DC98" s="28">
        <v>-6.43</v>
      </c>
      <c r="DD98" s="28">
        <v>-7.68</v>
      </c>
      <c r="DE98" s="28">
        <v>-7.73</v>
      </c>
      <c r="DF98" s="28">
        <v>-7.4219999999999997</v>
      </c>
      <c r="DG98" s="28">
        <f t="shared" ref="DG98:DG116" si="112">SUM(DC98:DF98)</f>
        <v>-29.262</v>
      </c>
      <c r="DH98" s="28">
        <v>-6.6340000000000003</v>
      </c>
      <c r="DI98" s="28">
        <v>-7.7240000000000002</v>
      </c>
      <c r="DJ98" s="28">
        <v>-6.891</v>
      </c>
      <c r="DK98" s="28">
        <v>-6.2960000000000003</v>
      </c>
      <c r="DL98" s="28">
        <f t="shared" ref="DL98:DL116" si="113">SUM(DH98:DK98)</f>
        <v>-27.545000000000002</v>
      </c>
      <c r="DM98" s="28">
        <v>-6.28</v>
      </c>
      <c r="DN98" s="28">
        <v>-8.7509999999999994</v>
      </c>
      <c r="DO98" s="28">
        <v>-8.3000000000000007</v>
      </c>
      <c r="DP98" s="28">
        <v>-7.6340000000000003</v>
      </c>
      <c r="DQ98" s="28">
        <f t="shared" si="100"/>
        <v>-30.965</v>
      </c>
      <c r="DR98" s="28">
        <v>-7.07</v>
      </c>
      <c r="DS98" s="28">
        <v>-6.8659999999999997</v>
      </c>
      <c r="DT98" s="28">
        <v>-7.282</v>
      </c>
      <c r="DU98" s="28">
        <v>-15.435</v>
      </c>
      <c r="DV98" s="28">
        <f t="shared" ref="DV98:DV116" si="114">SUM(DR98:DU98)</f>
        <v>-36.652999999999999</v>
      </c>
      <c r="DW98" s="28">
        <v>-10.519</v>
      </c>
      <c r="DX98" s="28">
        <v>-11.13</v>
      </c>
      <c r="DY98" s="28">
        <v>-12.399895279999997</v>
      </c>
      <c r="DZ98" s="28">
        <v>-11.863223410000003</v>
      </c>
      <c r="EA98" s="28">
        <f t="shared" si="101"/>
        <v>-45.91211869</v>
      </c>
      <c r="EB98" s="28">
        <v>-10.713816060000001</v>
      </c>
      <c r="EC98" s="28">
        <v>-11.029138130000002</v>
      </c>
      <c r="ED98" s="28">
        <v>-12.462999999999999</v>
      </c>
      <c r="EE98" s="28">
        <v>-13.018138600000002</v>
      </c>
      <c r="EF98" s="28">
        <f t="shared" si="102"/>
        <v>-47.22409279</v>
      </c>
      <c r="EG98" s="28">
        <v>-13.088978839999999</v>
      </c>
      <c r="EH98" s="28">
        <v>-12.478745629999999</v>
      </c>
      <c r="EI98" s="28">
        <v>-14.203241980000005</v>
      </c>
    </row>
    <row r="99" spans="1:139" ht="15" thickTop="1" x14ac:dyDescent="0.3">
      <c r="A99" s="1" t="s">
        <v>442</v>
      </c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27">
        <v>-5.3</v>
      </c>
      <c r="BK99" s="27">
        <v>-5.4</v>
      </c>
      <c r="BL99" s="27">
        <v>-6.8</v>
      </c>
      <c r="BM99" s="27">
        <v>-7.2</v>
      </c>
      <c r="BN99" s="27">
        <f t="shared" si="103"/>
        <v>-24.7</v>
      </c>
      <c r="BO99" s="27">
        <v>-6.2</v>
      </c>
      <c r="BP99" s="27">
        <v>-6.1</v>
      </c>
      <c r="BQ99" s="27">
        <v>-7.3</v>
      </c>
      <c r="BR99" s="27">
        <v>-7.8499447499999988</v>
      </c>
      <c r="BS99" s="27">
        <f t="shared" si="104"/>
        <v>-27.44994475</v>
      </c>
      <c r="BT99" s="27">
        <v>-17.399999999999999</v>
      </c>
      <c r="BU99" s="27">
        <v>-15.3</v>
      </c>
      <c r="BV99" s="27">
        <v>-18.600000000000001</v>
      </c>
      <c r="BW99" s="27">
        <v>-5.0999999999999996</v>
      </c>
      <c r="BX99" s="27">
        <f t="shared" si="105"/>
        <v>-56.400000000000006</v>
      </c>
      <c r="BY99" s="27">
        <v>-18.100000000000001</v>
      </c>
      <c r="BZ99" s="27">
        <v>-17.100000000000001</v>
      </c>
      <c r="CA99" s="27">
        <v>-19.5</v>
      </c>
      <c r="CB99" s="27">
        <v>-20</v>
      </c>
      <c r="CC99" s="27">
        <f t="shared" si="106"/>
        <v>-74.7</v>
      </c>
      <c r="CD99" s="27">
        <v>-20</v>
      </c>
      <c r="CE99" s="27">
        <v>-17.2</v>
      </c>
      <c r="CF99" s="27">
        <v>-19.5</v>
      </c>
      <c r="CG99" s="27">
        <v>-21.1</v>
      </c>
      <c r="CH99" s="27">
        <f t="shared" si="107"/>
        <v>-77.800000000000011</v>
      </c>
      <c r="CI99" s="27">
        <v>-20.100000000000001</v>
      </c>
      <c r="CJ99" s="27">
        <v>-18.7</v>
      </c>
      <c r="CK99" s="27">
        <v>-20.8989501</v>
      </c>
      <c r="CL99" s="27">
        <v>-23.332689770000009</v>
      </c>
      <c r="CM99" s="27">
        <f t="shared" si="108"/>
        <v>-83.031639870000006</v>
      </c>
      <c r="CN99" s="27">
        <v>-21.1</v>
      </c>
      <c r="CO99" s="27">
        <v>-18.399999999999999</v>
      </c>
      <c r="CP99" s="27">
        <v>-20.100000000000001</v>
      </c>
      <c r="CQ99" s="27">
        <v>-22.1</v>
      </c>
      <c r="CR99" s="27">
        <f t="shared" si="109"/>
        <v>-81.7</v>
      </c>
      <c r="CS99" s="27">
        <v>-23.342140420000003</v>
      </c>
      <c r="CT99" s="27">
        <v>-21.076707939999995</v>
      </c>
      <c r="CU99" s="27">
        <v>-26.53634271</v>
      </c>
      <c r="CV99" s="27">
        <v>-24.687426110000004</v>
      </c>
      <c r="CW99" s="27">
        <f t="shared" si="110"/>
        <v>-95.642617180000002</v>
      </c>
      <c r="CX99" s="27">
        <v>-24.574999999999999</v>
      </c>
      <c r="CY99" s="27">
        <v>-20.026</v>
      </c>
      <c r="CZ99" s="27">
        <v>-21.379000000000001</v>
      </c>
      <c r="DA99" s="27">
        <v>-19.154</v>
      </c>
      <c r="DB99" s="27">
        <f t="shared" si="111"/>
        <v>-85.134</v>
      </c>
      <c r="DC99" s="27">
        <v>-23.167000000000002</v>
      </c>
      <c r="DD99" s="27">
        <v>-20.134</v>
      </c>
      <c r="DE99" s="27">
        <v>-22.231000000000002</v>
      </c>
      <c r="DF99" s="27">
        <v>-24.855</v>
      </c>
      <c r="DG99" s="27">
        <f t="shared" si="112"/>
        <v>-90.387000000000015</v>
      </c>
      <c r="DH99" s="27">
        <v>-23.72</v>
      </c>
      <c r="DI99" s="27">
        <v>-18.04</v>
      </c>
      <c r="DJ99" s="27">
        <v>-23.428999999999998</v>
      </c>
      <c r="DK99" s="27">
        <v>-25.236999999999998</v>
      </c>
      <c r="DL99" s="27">
        <f t="shared" si="113"/>
        <v>-90.425999999999988</v>
      </c>
      <c r="DM99" s="27">
        <v>-24.315999999999999</v>
      </c>
      <c r="DN99" s="27">
        <v>-23.094999999999999</v>
      </c>
      <c r="DO99" s="27">
        <v>-25.484999999999999</v>
      </c>
      <c r="DP99" s="27">
        <v>-26.797999999999998</v>
      </c>
      <c r="DQ99" s="27">
        <f t="shared" si="100"/>
        <v>-99.694000000000003</v>
      </c>
      <c r="DR99" s="27">
        <v>-28.114999999999998</v>
      </c>
      <c r="DS99" s="27">
        <v>-25.594000000000001</v>
      </c>
      <c r="DT99" s="27">
        <v>-29.876999999999999</v>
      </c>
      <c r="DU99" s="27">
        <v>-32.148000000000003</v>
      </c>
      <c r="DV99" s="27">
        <f t="shared" si="114"/>
        <v>-115.73400000000001</v>
      </c>
      <c r="DW99" s="27">
        <v>-32.54</v>
      </c>
      <c r="DX99" s="27">
        <v>-31.164999999999999</v>
      </c>
      <c r="DY99" s="27">
        <v>-34.922866210000002</v>
      </c>
      <c r="DZ99" s="27">
        <v>-37.276657159999999</v>
      </c>
      <c r="EA99" s="27">
        <f t="shared" si="101"/>
        <v>-135.90452336999999</v>
      </c>
      <c r="EB99" s="27">
        <v>-36.922112249999998</v>
      </c>
      <c r="EC99" s="27">
        <v>-35.267880129999995</v>
      </c>
      <c r="ED99" s="27">
        <v>-36.6</v>
      </c>
      <c r="EE99" s="27">
        <v>-37.204201710000007</v>
      </c>
      <c r="EF99" s="27">
        <f t="shared" si="102"/>
        <v>-145.99419409000001</v>
      </c>
      <c r="EG99" s="27">
        <v>-38.665491549999999</v>
      </c>
      <c r="EH99" s="27">
        <v>-36.408695939999994</v>
      </c>
      <c r="EI99" s="27">
        <v>-39.446741670000002</v>
      </c>
    </row>
    <row r="100" spans="1:139" ht="15" thickBot="1" x14ac:dyDescent="0.35">
      <c r="A100" s="2" t="s">
        <v>3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28">
        <v>-3.9</v>
      </c>
      <c r="BK100" s="28">
        <v>-3.7</v>
      </c>
      <c r="BL100" s="28">
        <v>-4</v>
      </c>
      <c r="BM100" s="28">
        <v>-4.0999999999999996</v>
      </c>
      <c r="BN100" s="28">
        <f t="shared" si="103"/>
        <v>-15.7</v>
      </c>
      <c r="BO100" s="28">
        <v>-4.4000000000000004</v>
      </c>
      <c r="BP100" s="28">
        <v>-4.2</v>
      </c>
      <c r="BQ100" s="28">
        <v>-4.5</v>
      </c>
      <c r="BR100" s="28">
        <v>-5.0076230000000033</v>
      </c>
      <c r="BS100" s="28">
        <f t="shared" si="104"/>
        <v>-18.107623000000004</v>
      </c>
      <c r="BT100" s="28">
        <v>-4.8</v>
      </c>
      <c r="BU100" s="28">
        <v>-4.4000000000000004</v>
      </c>
      <c r="BV100" s="28">
        <v>-4.7</v>
      </c>
      <c r="BW100" s="28">
        <v>-5</v>
      </c>
      <c r="BX100" s="28">
        <f t="shared" si="105"/>
        <v>-18.899999999999999</v>
      </c>
      <c r="BY100" s="28">
        <v>-5.3</v>
      </c>
      <c r="BZ100" s="28">
        <v>-5</v>
      </c>
      <c r="CA100" s="28">
        <v>-5.3</v>
      </c>
      <c r="CB100" s="28">
        <v>-5.5</v>
      </c>
      <c r="CC100" s="28">
        <f t="shared" si="106"/>
        <v>-21.1</v>
      </c>
      <c r="CD100" s="28">
        <v>-6.1</v>
      </c>
      <c r="CE100" s="28">
        <v>-5.7</v>
      </c>
      <c r="CF100" s="28">
        <v>-5.8</v>
      </c>
      <c r="CG100" s="28">
        <v>-5.9</v>
      </c>
      <c r="CH100" s="28">
        <f t="shared" si="107"/>
        <v>-23.5</v>
      </c>
      <c r="CI100" s="28">
        <v>-6.2</v>
      </c>
      <c r="CJ100" s="28">
        <v>-5.6</v>
      </c>
      <c r="CK100" s="28">
        <v>-5.7084918700000005</v>
      </c>
      <c r="CL100" s="28">
        <v>-6.0971006199999991</v>
      </c>
      <c r="CM100" s="28">
        <f t="shared" si="108"/>
        <v>-23.605592489999999</v>
      </c>
      <c r="CN100" s="28">
        <v>-6.9</v>
      </c>
      <c r="CO100" s="28">
        <v>-6.3</v>
      </c>
      <c r="CP100" s="28">
        <v>-6.4999999999999982</v>
      </c>
      <c r="CQ100" s="28">
        <v>-6.6999999999999975</v>
      </c>
      <c r="CR100" s="28">
        <f t="shared" si="109"/>
        <v>-26.399999999999991</v>
      </c>
      <c r="CS100" s="28">
        <v>-7.4151486100000001</v>
      </c>
      <c r="CT100" s="28">
        <v>-6.9845164199999994</v>
      </c>
      <c r="CU100" s="28">
        <v>-7.3095687599999994</v>
      </c>
      <c r="CV100" s="28">
        <v>-7.7098444200000031</v>
      </c>
      <c r="CW100" s="28">
        <f t="shared" si="110"/>
        <v>-29.419078210000002</v>
      </c>
      <c r="CX100" s="28">
        <v>-7.5869999999999997</v>
      </c>
      <c r="CY100" s="28">
        <v>-6.5880000000000001</v>
      </c>
      <c r="CZ100" s="28">
        <v>-7.0910000000000002</v>
      </c>
      <c r="DA100" s="28">
        <v>-7.2469999999999999</v>
      </c>
      <c r="DB100" s="28">
        <f t="shared" si="111"/>
        <v>-28.513000000000002</v>
      </c>
      <c r="DC100" s="28">
        <v>-7.8140000000000001</v>
      </c>
      <c r="DD100" s="28">
        <v>-7.3070000000000004</v>
      </c>
      <c r="DE100" s="28">
        <v>-7.7130000000000001</v>
      </c>
      <c r="DF100" s="28">
        <v>-8.1419999999999995</v>
      </c>
      <c r="DG100" s="28">
        <f t="shared" si="112"/>
        <v>-30.975999999999999</v>
      </c>
      <c r="DH100" s="28">
        <v>-8.4920000000000009</v>
      </c>
      <c r="DI100" s="28">
        <v>-6.23</v>
      </c>
      <c r="DJ100" s="28">
        <v>-7.3049999999999997</v>
      </c>
      <c r="DK100" s="28">
        <v>-8.34</v>
      </c>
      <c r="DL100" s="28">
        <f t="shared" si="113"/>
        <v>-30.367000000000001</v>
      </c>
      <c r="DM100" s="28">
        <v>-7.9550000000000001</v>
      </c>
      <c r="DN100" s="28">
        <v>-8.5060000000000002</v>
      </c>
      <c r="DO100" s="28">
        <v>-8.9749999999999996</v>
      </c>
      <c r="DP100" s="28">
        <v>-5.9569999999999999</v>
      </c>
      <c r="DQ100" s="28">
        <f t="shared" si="100"/>
        <v>-31.393000000000001</v>
      </c>
      <c r="DR100" s="28">
        <v>0</v>
      </c>
      <c r="DS100" s="28">
        <v>0</v>
      </c>
      <c r="DT100" s="28">
        <v>0</v>
      </c>
      <c r="DU100" s="28">
        <v>0</v>
      </c>
      <c r="DV100" s="28">
        <f t="shared" si="114"/>
        <v>0</v>
      </c>
      <c r="DW100" s="28">
        <v>0</v>
      </c>
      <c r="DX100" s="28">
        <v>0</v>
      </c>
      <c r="DY100" s="28">
        <v>0</v>
      </c>
      <c r="DZ100" s="28">
        <v>0</v>
      </c>
      <c r="EA100" s="28">
        <f t="shared" si="101"/>
        <v>0</v>
      </c>
      <c r="EB100" s="28">
        <v>0</v>
      </c>
      <c r="EC100" s="28">
        <v>0</v>
      </c>
      <c r="ED100" s="28">
        <v>0</v>
      </c>
      <c r="EE100" s="28">
        <v>0</v>
      </c>
      <c r="EF100" s="28">
        <f t="shared" si="102"/>
        <v>0</v>
      </c>
      <c r="EG100" s="28">
        <v>0</v>
      </c>
      <c r="EH100" s="28">
        <v>0</v>
      </c>
      <c r="EI100" s="28">
        <v>0</v>
      </c>
    </row>
    <row r="101" spans="1:139" ht="15" thickTop="1" x14ac:dyDescent="0.3">
      <c r="A101" s="1" t="s">
        <v>443</v>
      </c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27">
        <v>-3.4</v>
      </c>
      <c r="BK101" s="27">
        <v>-3.6</v>
      </c>
      <c r="BL101" s="27">
        <v>-3.8</v>
      </c>
      <c r="BM101" s="27">
        <v>-4.2</v>
      </c>
      <c r="BN101" s="27">
        <f t="shared" si="103"/>
        <v>-15</v>
      </c>
      <c r="BO101" s="27">
        <v>-4.0999999999999996</v>
      </c>
      <c r="BP101" s="27">
        <v>-4.2</v>
      </c>
      <c r="BQ101" s="27">
        <v>-4.5</v>
      </c>
      <c r="BR101" s="27">
        <v>-4.7289304400000018</v>
      </c>
      <c r="BS101" s="27">
        <f t="shared" si="104"/>
        <v>-17.528930440000003</v>
      </c>
      <c r="BT101" s="27">
        <v>-4.7</v>
      </c>
      <c r="BU101" s="27">
        <v>-4.4000000000000004</v>
      </c>
      <c r="BV101" s="27">
        <v>-5</v>
      </c>
      <c r="BW101" s="27">
        <v>-18.899999999999999</v>
      </c>
      <c r="BX101" s="27">
        <f t="shared" si="105"/>
        <v>-33</v>
      </c>
      <c r="BY101" s="27">
        <v>-4.9000000000000004</v>
      </c>
      <c r="BZ101" s="27">
        <v>-4.8</v>
      </c>
      <c r="CA101" s="27">
        <v>-5.3</v>
      </c>
      <c r="CB101" s="27">
        <v>-5.5</v>
      </c>
      <c r="CC101" s="27">
        <f t="shared" si="106"/>
        <v>-20.5</v>
      </c>
      <c r="CD101" s="27">
        <v>-5.3</v>
      </c>
      <c r="CE101" s="27">
        <v>-5.0999999999999996</v>
      </c>
      <c r="CF101" s="27">
        <v>-5.8</v>
      </c>
      <c r="CG101" s="27">
        <v>-6</v>
      </c>
      <c r="CH101" s="27">
        <f t="shared" si="107"/>
        <v>-22.2</v>
      </c>
      <c r="CI101" s="27">
        <v>-5.8</v>
      </c>
      <c r="CJ101" s="27">
        <v>-5.5</v>
      </c>
      <c r="CK101" s="27">
        <v>-5.7884270100000004</v>
      </c>
      <c r="CL101" s="27">
        <v>-6.039200189999999</v>
      </c>
      <c r="CM101" s="27">
        <f t="shared" si="108"/>
        <v>-23.127627199999999</v>
      </c>
      <c r="CN101" s="27">
        <v>-5.7</v>
      </c>
      <c r="CO101" s="27">
        <v>-5.3</v>
      </c>
      <c r="CP101" s="27">
        <v>-5.8999999999999977</v>
      </c>
      <c r="CQ101" s="27">
        <v>-6.200000000000002</v>
      </c>
      <c r="CR101" s="27">
        <f t="shared" si="109"/>
        <v>-23.1</v>
      </c>
      <c r="CS101" s="27">
        <v>-6.1048015099999997</v>
      </c>
      <c r="CT101" s="27">
        <v>-5.8754927000000006</v>
      </c>
      <c r="CU101" s="27">
        <v>-8.2054040599999993</v>
      </c>
      <c r="CV101" s="27">
        <v>-6.8227368199999994</v>
      </c>
      <c r="CW101" s="27">
        <f t="shared" si="110"/>
        <v>-27.008435089999999</v>
      </c>
      <c r="CX101" s="27">
        <v>-6.6020000000000003</v>
      </c>
      <c r="CY101" s="27">
        <v>-5.9790000000000001</v>
      </c>
      <c r="CZ101" s="27">
        <v>-6.899</v>
      </c>
      <c r="DA101" s="27">
        <v>-7.24</v>
      </c>
      <c r="DB101" s="27">
        <f t="shared" si="111"/>
        <v>-26.72</v>
      </c>
      <c r="DC101" s="27">
        <v>-7.2240000000000002</v>
      </c>
      <c r="DD101" s="27">
        <v>-6.8550000000000004</v>
      </c>
      <c r="DE101" s="27">
        <v>-7.28</v>
      </c>
      <c r="DF101" s="27">
        <v>-7.6920000000000002</v>
      </c>
      <c r="DG101" s="27">
        <f t="shared" si="112"/>
        <v>-29.051000000000002</v>
      </c>
      <c r="DH101" s="27">
        <v>-6.8380000000000001</v>
      </c>
      <c r="DI101" s="27">
        <v>-4.2640000000000002</v>
      </c>
      <c r="DJ101" s="27">
        <v>-6.4260000000000002</v>
      </c>
      <c r="DK101" s="27">
        <v>-7.4180000000000001</v>
      </c>
      <c r="DL101" s="27">
        <f t="shared" si="113"/>
        <v>-24.945999999999998</v>
      </c>
      <c r="DM101" s="27">
        <v>-6.7729999999999997</v>
      </c>
      <c r="DN101" s="27">
        <v>-6.3760000000000003</v>
      </c>
      <c r="DO101" s="27">
        <v>-7.8330000000000002</v>
      </c>
      <c r="DP101" s="27">
        <v>-8.3000000000000007</v>
      </c>
      <c r="DQ101" s="27">
        <f t="shared" si="100"/>
        <v>-29.282</v>
      </c>
      <c r="DR101" s="27">
        <v>-7.8140000000000001</v>
      </c>
      <c r="DS101" s="27">
        <v>-7.6210000000000004</v>
      </c>
      <c r="DT101" s="27">
        <v>-9.1229999999999993</v>
      </c>
      <c r="DU101" s="27">
        <v>-9.5280000000000005</v>
      </c>
      <c r="DV101" s="27">
        <f t="shared" si="114"/>
        <v>-34.085999999999999</v>
      </c>
      <c r="DW101" s="27">
        <v>-9.2880000000000003</v>
      </c>
      <c r="DX101" s="27">
        <v>-9.0559999999999992</v>
      </c>
      <c r="DY101" s="27">
        <v>-10.828259189999997</v>
      </c>
      <c r="DZ101" s="27">
        <v>-12.495538760000002</v>
      </c>
      <c r="EA101" s="27">
        <f t="shared" si="101"/>
        <v>-41.667797950000001</v>
      </c>
      <c r="EB101" s="27">
        <v>-11.43744163</v>
      </c>
      <c r="EC101" s="27">
        <v>-11.634124509999999</v>
      </c>
      <c r="ED101" s="27">
        <v>-22.655000000000001</v>
      </c>
      <c r="EE101" s="27">
        <v>-13.412956369999998</v>
      </c>
      <c r="EF101" s="27">
        <f t="shared" si="102"/>
        <v>-59.139522509999999</v>
      </c>
      <c r="EG101" s="27">
        <v>-13.16939988</v>
      </c>
      <c r="EH101" s="27">
        <v>-12.377850380000002</v>
      </c>
      <c r="EI101" s="27">
        <v>-13.926656830000002</v>
      </c>
    </row>
    <row r="102" spans="1:139" ht="15" thickBot="1" x14ac:dyDescent="0.35">
      <c r="A102" s="2" t="s">
        <v>481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28">
        <v>0</v>
      </c>
      <c r="BK102" s="28">
        <v>0</v>
      </c>
      <c r="BL102" s="28">
        <v>0</v>
      </c>
      <c r="BM102" s="28">
        <v>0</v>
      </c>
      <c r="BN102" s="28">
        <f t="shared" si="103"/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f t="shared" si="104"/>
        <v>0</v>
      </c>
      <c r="BT102" s="28">
        <v>0</v>
      </c>
      <c r="BU102" s="28">
        <v>0</v>
      </c>
      <c r="BV102" s="28">
        <v>0</v>
      </c>
      <c r="BW102" s="28">
        <v>0</v>
      </c>
      <c r="BX102" s="28">
        <f t="shared" si="105"/>
        <v>0</v>
      </c>
      <c r="BY102" s="28">
        <v>0</v>
      </c>
      <c r="BZ102" s="28">
        <v>0</v>
      </c>
      <c r="CA102" s="28">
        <v>0</v>
      </c>
      <c r="CB102" s="28">
        <v>0</v>
      </c>
      <c r="CC102" s="28">
        <f t="shared" si="106"/>
        <v>0</v>
      </c>
      <c r="CD102" s="28">
        <v>-5.0000000000000001E-3</v>
      </c>
      <c r="CE102" s="28">
        <v>-1.8</v>
      </c>
      <c r="CF102" s="28">
        <v>-4</v>
      </c>
      <c r="CG102" s="28">
        <v>-3.9</v>
      </c>
      <c r="CH102" s="28">
        <f t="shared" si="107"/>
        <v>-9.7050000000000001</v>
      </c>
      <c r="CI102" s="28">
        <v>-3.8</v>
      </c>
      <c r="CJ102" s="28">
        <v>-3.7</v>
      </c>
      <c r="CK102" s="28">
        <v>-4.0913048199999995</v>
      </c>
      <c r="CL102" s="28">
        <v>-4.2494271500000007</v>
      </c>
      <c r="CM102" s="28">
        <f t="shared" si="108"/>
        <v>-15.84073197</v>
      </c>
      <c r="CN102" s="28">
        <v>-3.9</v>
      </c>
      <c r="CO102" s="28">
        <v>-3.6</v>
      </c>
      <c r="CP102" s="28">
        <v>-4</v>
      </c>
      <c r="CQ102" s="28">
        <v>-4</v>
      </c>
      <c r="CR102" s="28">
        <f t="shared" si="109"/>
        <v>-15.5</v>
      </c>
      <c r="CS102" s="28">
        <v>-4.0457361199999999</v>
      </c>
      <c r="CT102" s="28">
        <v>-4.0694386299999996</v>
      </c>
      <c r="CU102" s="28">
        <v>-4.4419980500000005</v>
      </c>
      <c r="CV102" s="28">
        <v>-5.7375488400000023</v>
      </c>
      <c r="CW102" s="28">
        <f t="shared" si="110"/>
        <v>-18.294721640000002</v>
      </c>
      <c r="CX102" s="28">
        <v>-4.5529999999999999</v>
      </c>
      <c r="CY102" s="28">
        <v>-4.0380000000000003</v>
      </c>
      <c r="CZ102" s="28">
        <v>-4.4630000000000001</v>
      </c>
      <c r="DA102" s="28">
        <v>-4.4779999999999998</v>
      </c>
      <c r="DB102" s="28">
        <f t="shared" si="111"/>
        <v>-17.532000000000004</v>
      </c>
      <c r="DC102" s="28">
        <v>-4.431</v>
      </c>
      <c r="DD102" s="28">
        <v>-4.1310000000000002</v>
      </c>
      <c r="DE102" s="28">
        <v>-4.1769999999999996</v>
      </c>
      <c r="DF102" s="28">
        <v>-3.8540000000000001</v>
      </c>
      <c r="DG102" s="28">
        <f t="shared" si="112"/>
        <v>-16.593</v>
      </c>
      <c r="DH102" s="28">
        <v>-3.7959999999999998</v>
      </c>
      <c r="DI102" s="28">
        <v>-3.173</v>
      </c>
      <c r="DJ102" s="28">
        <v>-4.1050000000000004</v>
      </c>
      <c r="DK102" s="28">
        <v>-4.399</v>
      </c>
      <c r="DL102" s="28">
        <f t="shared" si="113"/>
        <v>-15.472999999999999</v>
      </c>
      <c r="DM102" s="28">
        <v>-4.3209999999999997</v>
      </c>
      <c r="DN102" s="28">
        <v>-4.0780000000000003</v>
      </c>
      <c r="DO102" s="28">
        <v>-4.2949999999999999</v>
      </c>
      <c r="DP102" s="28">
        <v>-4.3280000000000003</v>
      </c>
      <c r="DQ102" s="28">
        <f t="shared" si="100"/>
        <v>-17.022000000000002</v>
      </c>
      <c r="DR102" s="28">
        <v>-4.5430000000000001</v>
      </c>
      <c r="DS102" s="28">
        <v>-4.875</v>
      </c>
      <c r="DT102" s="28">
        <v>-5.2480000000000002</v>
      </c>
      <c r="DU102" s="28">
        <v>-4.7839999999999998</v>
      </c>
      <c r="DV102" s="28">
        <f t="shared" si="114"/>
        <v>-19.45</v>
      </c>
      <c r="DW102" s="28">
        <v>-5.2990000000000004</v>
      </c>
      <c r="DX102" s="28">
        <v>-5.1109999999999998</v>
      </c>
      <c r="DY102" s="28">
        <v>-5.3696346399999983</v>
      </c>
      <c r="DZ102" s="28">
        <v>-5.272434800000001</v>
      </c>
      <c r="EA102" s="28">
        <f t="shared" si="101"/>
        <v>-21.052069439999997</v>
      </c>
      <c r="EB102" s="28">
        <v>-5.1365417600000001</v>
      </c>
      <c r="EC102" s="28">
        <v>-5.0530422499999998</v>
      </c>
      <c r="ED102" s="28">
        <v>-5.4219999999999997</v>
      </c>
      <c r="EE102" s="28">
        <v>-5.4987114100000021</v>
      </c>
      <c r="EF102" s="28">
        <f t="shared" si="102"/>
        <v>-21.110295420000003</v>
      </c>
      <c r="EG102" s="28">
        <v>-5.3218485800000002</v>
      </c>
      <c r="EH102" s="28">
        <v>-5.3068376500000003</v>
      </c>
      <c r="EI102" s="28">
        <v>-5.5476714800000009</v>
      </c>
    </row>
    <row r="103" spans="1:139" ht="15" thickTop="1" x14ac:dyDescent="0.3">
      <c r="A103" s="1" t="s">
        <v>445</v>
      </c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27">
        <v>0</v>
      </c>
      <c r="BK103" s="27">
        <v>0</v>
      </c>
      <c r="BL103" s="27">
        <v>0</v>
      </c>
      <c r="BM103" s="27">
        <v>0</v>
      </c>
      <c r="BN103" s="27">
        <f t="shared" si="103"/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f t="shared" si="104"/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f t="shared" si="105"/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f t="shared" si="106"/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f t="shared" si="107"/>
        <v>0</v>
      </c>
      <c r="CI103" s="27">
        <v>0</v>
      </c>
      <c r="CJ103" s="27">
        <v>-0.7</v>
      </c>
      <c r="CK103" s="27">
        <v>-2.4132674999999999</v>
      </c>
      <c r="CL103" s="27">
        <v>-2.4205252599999998</v>
      </c>
      <c r="CM103" s="27">
        <f t="shared" si="108"/>
        <v>-5.5337927599999999</v>
      </c>
      <c r="CN103" s="27">
        <v>-2.2999999999999998</v>
      </c>
      <c r="CO103" s="27">
        <v>-2.2999999999999998</v>
      </c>
      <c r="CP103" s="27">
        <v>-2.6000000000000005</v>
      </c>
      <c r="CQ103" s="27">
        <v>-2.6000000000000005</v>
      </c>
      <c r="CR103" s="27">
        <f t="shared" si="109"/>
        <v>-9.8000000000000007</v>
      </c>
      <c r="CS103" s="27">
        <v>-2.65150744</v>
      </c>
      <c r="CT103" s="27">
        <v>-2.6097467900000004</v>
      </c>
      <c r="CU103" s="27">
        <v>-2.8029506800000004</v>
      </c>
      <c r="CV103" s="27">
        <v>-4.8562897599999992</v>
      </c>
      <c r="CW103" s="27">
        <f t="shared" si="110"/>
        <v>-12.92049467</v>
      </c>
      <c r="CX103" s="27">
        <v>-2.9510000000000001</v>
      </c>
      <c r="CY103" s="27">
        <v>-2.903</v>
      </c>
      <c r="CZ103" s="27">
        <v>-2.952</v>
      </c>
      <c r="DA103" s="27">
        <v>-3.0089999999999999</v>
      </c>
      <c r="DB103" s="27">
        <f t="shared" si="111"/>
        <v>-11.815000000000001</v>
      </c>
      <c r="DC103" s="27">
        <v>-2.9319999999999999</v>
      </c>
      <c r="DD103" s="27">
        <v>-2.8180000000000001</v>
      </c>
      <c r="DE103" s="27">
        <v>-2.9430000000000001</v>
      </c>
      <c r="DF103" s="27">
        <v>-2.9769999999999999</v>
      </c>
      <c r="DG103" s="27">
        <f t="shared" si="112"/>
        <v>-11.67</v>
      </c>
      <c r="DH103" s="27">
        <v>-2.633</v>
      </c>
      <c r="DI103" s="27">
        <v>-1.8089999999999999</v>
      </c>
      <c r="DJ103" s="27">
        <v>-2.6040000000000001</v>
      </c>
      <c r="DK103" s="27">
        <v>-2.9129999999999998</v>
      </c>
      <c r="DL103" s="27">
        <f t="shared" si="113"/>
        <v>-9.9589999999999996</v>
      </c>
      <c r="DM103" s="27">
        <v>-2.8279999999999998</v>
      </c>
      <c r="DN103" s="27">
        <v>-2.806</v>
      </c>
      <c r="DO103" s="27">
        <v>-3.262</v>
      </c>
      <c r="DP103" s="27">
        <v>-3.2959999999999998</v>
      </c>
      <c r="DQ103" s="27">
        <f t="shared" si="100"/>
        <v>-12.192</v>
      </c>
      <c r="DR103" s="27">
        <v>-3.1110000000000002</v>
      </c>
      <c r="DS103" s="27">
        <v>-3.1480000000000001</v>
      </c>
      <c r="DT103" s="27">
        <v>-3.9140000000000001</v>
      </c>
      <c r="DU103" s="27">
        <v>-3.968</v>
      </c>
      <c r="DV103" s="27">
        <f t="shared" si="114"/>
        <v>-14.141</v>
      </c>
      <c r="DW103" s="27">
        <v>-3.8250000000000002</v>
      </c>
      <c r="DX103" s="27">
        <v>-3.8679999999999999</v>
      </c>
      <c r="DY103" s="27">
        <v>-4.0865193499999997</v>
      </c>
      <c r="DZ103" s="27">
        <v>-4.2898173900000005</v>
      </c>
      <c r="EA103" s="27">
        <f t="shared" si="101"/>
        <v>-16.069336740000001</v>
      </c>
      <c r="EB103" s="27">
        <v>-3.9576635099999997</v>
      </c>
      <c r="EC103" s="27">
        <v>-4.0575106400000003</v>
      </c>
      <c r="ED103" s="27">
        <v>-4.1909999999999998</v>
      </c>
      <c r="EE103" s="27">
        <v>-4.1891443399999995</v>
      </c>
      <c r="EF103" s="27">
        <f t="shared" si="102"/>
        <v>-16.395318489999998</v>
      </c>
      <c r="EG103" s="27">
        <v>-4.2469429000000005</v>
      </c>
      <c r="EH103" s="27">
        <v>-4.0849022999999995</v>
      </c>
      <c r="EI103" s="27">
        <v>-4.2943795100000006</v>
      </c>
    </row>
    <row r="104" spans="1:139" ht="15" thickBot="1" x14ac:dyDescent="0.35">
      <c r="A104" s="2" t="s">
        <v>444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28">
        <v>0</v>
      </c>
      <c r="BW104" s="28">
        <v>0</v>
      </c>
      <c r="BX104" s="28">
        <v>0</v>
      </c>
      <c r="BY104" s="28">
        <v>0</v>
      </c>
      <c r="BZ104" s="28">
        <v>0</v>
      </c>
      <c r="CA104" s="28">
        <v>0</v>
      </c>
      <c r="CB104" s="28">
        <v>0</v>
      </c>
      <c r="CC104" s="28">
        <v>0</v>
      </c>
      <c r="CD104" s="28">
        <v>0</v>
      </c>
      <c r="CE104" s="28">
        <v>0</v>
      </c>
      <c r="CF104" s="28">
        <v>0</v>
      </c>
      <c r="CG104" s="28">
        <v>0</v>
      </c>
      <c r="CH104" s="28">
        <v>0</v>
      </c>
      <c r="CI104" s="28">
        <v>0</v>
      </c>
      <c r="CJ104" s="28">
        <v>0</v>
      </c>
      <c r="CK104" s="28">
        <v>0</v>
      </c>
      <c r="CL104" s="28">
        <v>0</v>
      </c>
      <c r="CM104" s="28">
        <v>0</v>
      </c>
      <c r="CN104" s="28">
        <v>0</v>
      </c>
      <c r="CO104" s="28">
        <v>0</v>
      </c>
      <c r="CP104" s="28">
        <v>0</v>
      </c>
      <c r="CQ104" s="28">
        <v>0</v>
      </c>
      <c r="CR104" s="28">
        <v>0</v>
      </c>
      <c r="CS104" s="28">
        <v>0</v>
      </c>
      <c r="CT104" s="28">
        <v>0</v>
      </c>
      <c r="CU104" s="28">
        <v>0</v>
      </c>
      <c r="CV104" s="28">
        <v>0</v>
      </c>
      <c r="CW104" s="28">
        <v>0</v>
      </c>
      <c r="CX104" s="28">
        <v>0</v>
      </c>
      <c r="CY104" s="28">
        <v>0</v>
      </c>
      <c r="CZ104" s="28">
        <v>0</v>
      </c>
      <c r="DA104" s="28">
        <v>0</v>
      </c>
      <c r="DB104" s="28">
        <f t="shared" si="111"/>
        <v>0</v>
      </c>
      <c r="DC104" s="28">
        <v>0</v>
      </c>
      <c r="DD104" s="28">
        <v>-1.7</v>
      </c>
      <c r="DE104" s="28">
        <v>-5.351</v>
      </c>
      <c r="DF104" s="28">
        <v>-5.0019999999999998</v>
      </c>
      <c r="DG104" s="28">
        <f t="shared" si="112"/>
        <v>-12.053000000000001</v>
      </c>
      <c r="DH104" s="28">
        <v>-4.53</v>
      </c>
      <c r="DI104" s="28">
        <f>-4.653</f>
        <v>-4.6529999999999996</v>
      </c>
      <c r="DJ104" s="28">
        <v>-5.5419999999999998</v>
      </c>
      <c r="DK104" s="28">
        <v>-5.407</v>
      </c>
      <c r="DL104" s="28">
        <f t="shared" si="113"/>
        <v>-20.131999999999998</v>
      </c>
      <c r="DM104" s="28">
        <v>-5.25</v>
      </c>
      <c r="DN104" s="28">
        <v>-5.3570000000000002</v>
      </c>
      <c r="DO104" s="28">
        <v>-5.9909999999999997</v>
      </c>
      <c r="DP104" s="28">
        <v>-6.0949999999999998</v>
      </c>
      <c r="DQ104" s="28">
        <f t="shared" si="100"/>
        <v>-22.692999999999998</v>
      </c>
      <c r="DR104" s="28">
        <v>-6.01</v>
      </c>
      <c r="DS104" s="28">
        <v>-6.593</v>
      </c>
      <c r="DT104" s="28">
        <v>-8.1869999999999994</v>
      </c>
      <c r="DU104" s="28">
        <v>-7.6289999999999996</v>
      </c>
      <c r="DV104" s="28">
        <f t="shared" si="114"/>
        <v>-28.418999999999997</v>
      </c>
      <c r="DW104" s="28">
        <v>-7.6189999999999998</v>
      </c>
      <c r="DX104" s="28">
        <v>-8.5640000000000001</v>
      </c>
      <c r="DY104" s="28">
        <v>-8.7644647899999999</v>
      </c>
      <c r="DZ104" s="28">
        <v>-8.5139236300000025</v>
      </c>
      <c r="EA104" s="28">
        <f t="shared" si="101"/>
        <v>-33.461388419999999</v>
      </c>
      <c r="EB104" s="28">
        <v>-8.1013729899999998</v>
      </c>
      <c r="EC104" s="28">
        <v>-8.7983295600000009</v>
      </c>
      <c r="ED104" s="28">
        <v>-9.1609999999999996</v>
      </c>
      <c r="EE104" s="28">
        <v>-9.3542270300000006</v>
      </c>
      <c r="EF104" s="28">
        <f t="shared" si="102"/>
        <v>-35.414929580000006</v>
      </c>
      <c r="EG104" s="28">
        <v>-8.3609257499999998</v>
      </c>
      <c r="EH104" s="28">
        <v>-8.8949717199999991</v>
      </c>
      <c r="EI104" s="28">
        <v>-10.161335990000001</v>
      </c>
    </row>
    <row r="105" spans="1:139" ht="15" thickTop="1" x14ac:dyDescent="0.3">
      <c r="A105" s="1" t="s">
        <v>456</v>
      </c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7">
        <v>0</v>
      </c>
      <c r="CM105" s="27">
        <v>0</v>
      </c>
      <c r="CN105" s="27">
        <v>0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  <c r="DA105" s="27">
        <v>0</v>
      </c>
      <c r="DB105" s="27">
        <f t="shared" si="111"/>
        <v>0</v>
      </c>
      <c r="DC105" s="27">
        <v>0</v>
      </c>
      <c r="DD105" s="27">
        <v>-4.3520000000000003</v>
      </c>
      <c r="DE105" s="27">
        <v>-4.641</v>
      </c>
      <c r="DF105" s="27">
        <v>-4.9020000000000001</v>
      </c>
      <c r="DG105" s="27">
        <f t="shared" si="112"/>
        <v>-13.895</v>
      </c>
      <c r="DH105" s="27">
        <v>-4.8090000000000002</v>
      </c>
      <c r="DI105" s="27">
        <v>-3.9820000000000002</v>
      </c>
      <c r="DJ105" s="27">
        <v>-5.6980000000000004</v>
      </c>
      <c r="DK105" s="27">
        <v>-6.0110000000000001</v>
      </c>
      <c r="DL105" s="27">
        <f t="shared" si="113"/>
        <v>-20.5</v>
      </c>
      <c r="DM105" s="27">
        <v>-5.4550000000000001</v>
      </c>
      <c r="DN105" s="27">
        <v>-5.5679999999999996</v>
      </c>
      <c r="DO105" s="27">
        <v>-6.3310000000000004</v>
      </c>
      <c r="DP105" s="27">
        <v>-6.6559999999999997</v>
      </c>
      <c r="DQ105" s="27">
        <f t="shared" si="100"/>
        <v>-24.009999999999998</v>
      </c>
      <c r="DR105" s="27">
        <v>-6.3620000000000001</v>
      </c>
      <c r="DS105" s="27">
        <v>-7.0369999999999999</v>
      </c>
      <c r="DT105" s="27">
        <v>-7.3570000000000002</v>
      </c>
      <c r="DU105" s="27">
        <v>-7.1879999999999997</v>
      </c>
      <c r="DV105" s="27">
        <f t="shared" si="114"/>
        <v>-27.943999999999999</v>
      </c>
      <c r="DW105" s="27">
        <v>-6.86</v>
      </c>
      <c r="DX105" s="27">
        <v>-7.2350000000000003</v>
      </c>
      <c r="DY105" s="27">
        <v>-7.7456172300000006</v>
      </c>
      <c r="DZ105" s="27">
        <v>-7.8573437800000008</v>
      </c>
      <c r="EA105" s="27">
        <f t="shared" si="101"/>
        <v>-29.69796101</v>
      </c>
      <c r="EB105" s="27">
        <v>-7.6525565199999992</v>
      </c>
      <c r="EC105" s="27">
        <v>-8.1412047100000002</v>
      </c>
      <c r="ED105" s="27">
        <v>-8.8829999999999991</v>
      </c>
      <c r="EE105" s="27">
        <v>-8.8755010800000012</v>
      </c>
      <c r="EF105" s="27">
        <f t="shared" si="102"/>
        <v>-33.552262309999996</v>
      </c>
      <c r="EG105" s="27">
        <v>-8.9612022299999996</v>
      </c>
      <c r="EH105" s="27">
        <v>-9.6129246499999983</v>
      </c>
      <c r="EI105" s="27">
        <v>-10.313910100000001</v>
      </c>
    </row>
    <row r="106" spans="1:139" ht="15" thickBot="1" x14ac:dyDescent="0.35">
      <c r="A106" s="2" t="s">
        <v>446</v>
      </c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28">
        <v>0</v>
      </c>
      <c r="BW106" s="28">
        <v>0</v>
      </c>
      <c r="BX106" s="28">
        <v>0</v>
      </c>
      <c r="BY106" s="28">
        <v>0</v>
      </c>
      <c r="BZ106" s="28">
        <v>0</v>
      </c>
      <c r="CA106" s="28">
        <v>0</v>
      </c>
      <c r="CB106" s="28">
        <v>0</v>
      </c>
      <c r="CC106" s="28">
        <v>0</v>
      </c>
      <c r="CD106" s="28">
        <v>0</v>
      </c>
      <c r="CE106" s="28">
        <v>0</v>
      </c>
      <c r="CF106" s="28">
        <v>0</v>
      </c>
      <c r="CG106" s="28">
        <v>0</v>
      </c>
      <c r="CH106" s="28">
        <v>0</v>
      </c>
      <c r="CI106" s="28">
        <v>0</v>
      </c>
      <c r="CJ106" s="28">
        <v>0</v>
      </c>
      <c r="CK106" s="28">
        <v>0</v>
      </c>
      <c r="CL106" s="28">
        <v>0</v>
      </c>
      <c r="CM106" s="28">
        <v>0</v>
      </c>
      <c r="CN106" s="28">
        <v>0</v>
      </c>
      <c r="CO106" s="28">
        <v>0</v>
      </c>
      <c r="CP106" s="28">
        <v>0</v>
      </c>
      <c r="CQ106" s="28">
        <v>0</v>
      </c>
      <c r="CR106" s="28">
        <v>0</v>
      </c>
      <c r="CS106" s="28">
        <v>0</v>
      </c>
      <c r="CT106" s="28">
        <v>0</v>
      </c>
      <c r="CU106" s="28">
        <v>0</v>
      </c>
      <c r="CV106" s="28">
        <v>0</v>
      </c>
      <c r="CW106" s="28">
        <v>0</v>
      </c>
      <c r="CX106" s="28">
        <v>0</v>
      </c>
      <c r="CY106" s="28">
        <v>0</v>
      </c>
      <c r="CZ106" s="28">
        <v>0</v>
      </c>
      <c r="DA106" s="28">
        <v>0</v>
      </c>
      <c r="DB106" s="28">
        <f t="shared" si="111"/>
        <v>0</v>
      </c>
      <c r="DC106" s="28">
        <v>0</v>
      </c>
      <c r="DD106" s="28">
        <v>0</v>
      </c>
      <c r="DE106" s="28">
        <v>0</v>
      </c>
      <c r="DF106" s="28">
        <v>0</v>
      </c>
      <c r="DG106" s="28">
        <f t="shared" si="112"/>
        <v>0</v>
      </c>
      <c r="DH106" s="28">
        <v>0</v>
      </c>
      <c r="DI106" s="28">
        <v>0</v>
      </c>
      <c r="DJ106" s="28">
        <v>0</v>
      </c>
      <c r="DK106" s="28">
        <v>-1.03</v>
      </c>
      <c r="DL106" s="28">
        <f t="shared" si="113"/>
        <v>-1.03</v>
      </c>
      <c r="DM106" s="28">
        <v>-2.7959999999999998</v>
      </c>
      <c r="DN106" s="28">
        <v>-3.5150000000000001</v>
      </c>
      <c r="DO106" s="28">
        <v>-3.6019999999999999</v>
      </c>
      <c r="DP106" s="28">
        <v>-3.2010000000000001</v>
      </c>
      <c r="DQ106" s="28">
        <f t="shared" si="100"/>
        <v>-13.114000000000001</v>
      </c>
      <c r="DR106" s="28">
        <v>-3.3250000000000002</v>
      </c>
      <c r="DS106" s="28">
        <v>-3.6110000000000002</v>
      </c>
      <c r="DT106" s="28">
        <v>-3.7789999999999999</v>
      </c>
      <c r="DU106" s="28">
        <v>-3.49</v>
      </c>
      <c r="DV106" s="28">
        <f t="shared" si="114"/>
        <v>-14.205</v>
      </c>
      <c r="DW106" s="28">
        <v>-3.702</v>
      </c>
      <c r="DX106" s="28">
        <v>-4.0389999999999997</v>
      </c>
      <c r="DY106" s="28">
        <v>-4.5108199700000009</v>
      </c>
      <c r="DZ106" s="28">
        <v>-4.4693961799999995</v>
      </c>
      <c r="EA106" s="28">
        <f t="shared" si="101"/>
        <v>-16.72121615</v>
      </c>
      <c r="EB106" s="28">
        <v>-4.2225088799999995</v>
      </c>
      <c r="EC106" s="28">
        <v>-4.4014501299999997</v>
      </c>
      <c r="ED106" s="28">
        <v>-4.7300000000000004</v>
      </c>
      <c r="EE106" s="28">
        <v>-4.4621140399999994</v>
      </c>
      <c r="EF106" s="28">
        <f t="shared" si="102"/>
        <v>-17.81607305</v>
      </c>
      <c r="EG106" s="28">
        <v>-4.4018266100000005</v>
      </c>
      <c r="EH106" s="28">
        <v>-4.721758069999999</v>
      </c>
      <c r="EI106" s="28">
        <v>-5.06028418</v>
      </c>
    </row>
    <row r="107" spans="1:139" ht="15" thickTop="1" x14ac:dyDescent="0.3">
      <c r="A107" s="1" t="s">
        <v>447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27">
        <v>0</v>
      </c>
      <c r="CK107" s="27">
        <v>0</v>
      </c>
      <c r="CL107" s="27">
        <v>0</v>
      </c>
      <c r="CM107" s="27">
        <v>0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</v>
      </c>
      <c r="CY107" s="27">
        <v>0</v>
      </c>
      <c r="CZ107" s="27">
        <v>0</v>
      </c>
      <c r="DA107" s="27">
        <v>0</v>
      </c>
      <c r="DB107" s="27">
        <f t="shared" si="111"/>
        <v>0</v>
      </c>
      <c r="DC107" s="27">
        <v>0</v>
      </c>
      <c r="DD107" s="27">
        <v>0</v>
      </c>
      <c r="DE107" s="27">
        <v>0</v>
      </c>
      <c r="DF107" s="27">
        <v>0</v>
      </c>
      <c r="DG107" s="27">
        <f t="shared" si="112"/>
        <v>0</v>
      </c>
      <c r="DH107" s="27">
        <v>0</v>
      </c>
      <c r="DI107" s="27">
        <v>0</v>
      </c>
      <c r="DJ107" s="27">
        <v>0</v>
      </c>
      <c r="DK107" s="27">
        <v>0</v>
      </c>
      <c r="DL107" s="27">
        <f t="shared" si="113"/>
        <v>0</v>
      </c>
      <c r="DM107" s="27">
        <v>0</v>
      </c>
      <c r="DN107" s="27">
        <v>0</v>
      </c>
      <c r="DO107" s="27">
        <v>0</v>
      </c>
      <c r="DP107" s="27">
        <v>0</v>
      </c>
      <c r="DQ107" s="27">
        <f t="shared" si="100"/>
        <v>0</v>
      </c>
      <c r="DR107" s="27">
        <v>0</v>
      </c>
      <c r="DS107" s="27">
        <v>0</v>
      </c>
      <c r="DT107" s="27">
        <v>0</v>
      </c>
      <c r="DU107" s="27">
        <v>-9.6869999999999994</v>
      </c>
      <c r="DV107" s="27">
        <f t="shared" si="114"/>
        <v>-9.6869999999999994</v>
      </c>
      <c r="DW107" s="27">
        <v>-9.4809999999999999</v>
      </c>
      <c r="DX107" s="27">
        <v>-10.521000000000001</v>
      </c>
      <c r="DY107" s="27">
        <v>-11.413215649999998</v>
      </c>
      <c r="DZ107" s="27">
        <v>-11.499962450000003</v>
      </c>
      <c r="EA107" s="27">
        <f t="shared" si="101"/>
        <v>-42.915178100000006</v>
      </c>
      <c r="EB107" s="27">
        <v>-10.469719919999999</v>
      </c>
      <c r="EC107" s="27">
        <v>-11.366247509999999</v>
      </c>
      <c r="ED107" s="27">
        <v>-12.475</v>
      </c>
      <c r="EE107" s="27">
        <v>-12.824639399999999</v>
      </c>
      <c r="EF107" s="27">
        <f t="shared" si="102"/>
        <v>-47.13560683</v>
      </c>
      <c r="EG107" s="27">
        <v>-10.97523056</v>
      </c>
      <c r="EH107" s="27">
        <v>-11.830399589999997</v>
      </c>
      <c r="EI107" s="27">
        <v>-13.023516780000001</v>
      </c>
    </row>
    <row r="108" spans="1:139" ht="15" thickBot="1" x14ac:dyDescent="0.35">
      <c r="A108" s="2" t="s">
        <v>448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28">
        <v>0</v>
      </c>
      <c r="BW108" s="28">
        <v>0</v>
      </c>
      <c r="BX108" s="28"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v>0</v>
      </c>
      <c r="CD108" s="28">
        <v>0</v>
      </c>
      <c r="CE108" s="28">
        <v>0</v>
      </c>
      <c r="CF108" s="28">
        <v>0</v>
      </c>
      <c r="CG108" s="28">
        <v>0</v>
      </c>
      <c r="CH108" s="28">
        <v>0</v>
      </c>
      <c r="CI108" s="28">
        <v>0</v>
      </c>
      <c r="CJ108" s="28">
        <v>0</v>
      </c>
      <c r="CK108" s="28">
        <v>0</v>
      </c>
      <c r="CL108" s="28">
        <v>0</v>
      </c>
      <c r="CM108" s="28">
        <v>0</v>
      </c>
      <c r="CN108" s="28">
        <v>0</v>
      </c>
      <c r="CO108" s="28">
        <v>0</v>
      </c>
      <c r="CP108" s="28">
        <v>0</v>
      </c>
      <c r="CQ108" s="28">
        <v>0</v>
      </c>
      <c r="CR108" s="28">
        <v>0</v>
      </c>
      <c r="CS108" s="28">
        <v>0</v>
      </c>
      <c r="CT108" s="28">
        <v>0</v>
      </c>
      <c r="CU108" s="28">
        <v>0</v>
      </c>
      <c r="CV108" s="28">
        <v>0</v>
      </c>
      <c r="CW108" s="28">
        <v>0</v>
      </c>
      <c r="CX108" s="28">
        <v>0</v>
      </c>
      <c r="CY108" s="28">
        <v>0</v>
      </c>
      <c r="CZ108" s="28">
        <v>0</v>
      </c>
      <c r="DA108" s="28">
        <v>0</v>
      </c>
      <c r="DB108" s="28">
        <f t="shared" si="111"/>
        <v>0</v>
      </c>
      <c r="DC108" s="28">
        <v>0</v>
      </c>
      <c r="DD108" s="28">
        <v>0</v>
      </c>
      <c r="DE108" s="28"/>
      <c r="DF108" s="28">
        <v>0</v>
      </c>
      <c r="DG108" s="28">
        <f t="shared" si="112"/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f t="shared" si="113"/>
        <v>0</v>
      </c>
      <c r="DM108" s="28">
        <v>0</v>
      </c>
      <c r="DN108" s="28">
        <v>0</v>
      </c>
      <c r="DO108" s="28">
        <v>0</v>
      </c>
      <c r="DP108" s="28">
        <v>0</v>
      </c>
      <c r="DQ108" s="28">
        <f t="shared" si="100"/>
        <v>0</v>
      </c>
      <c r="DR108" s="28">
        <v>0</v>
      </c>
      <c r="DS108" s="28">
        <v>0</v>
      </c>
      <c r="DT108" s="28">
        <v>-0.495</v>
      </c>
      <c r="DU108" s="28">
        <v>-5.32</v>
      </c>
      <c r="DV108" s="28">
        <f t="shared" si="114"/>
        <v>-5.8150000000000004</v>
      </c>
      <c r="DW108" s="28">
        <v>-7.335</v>
      </c>
      <c r="DX108" s="28">
        <v>-11.56</v>
      </c>
      <c r="DY108" s="28">
        <v>-12.482410379999999</v>
      </c>
      <c r="DZ108" s="28">
        <v>-17.74545878</v>
      </c>
      <c r="EA108" s="28">
        <f t="shared" si="101"/>
        <v>-49.12286916</v>
      </c>
      <c r="EB108" s="28">
        <v>-20.13844276</v>
      </c>
      <c r="EC108" s="28">
        <v>-20.649199139999997</v>
      </c>
      <c r="ED108" s="28">
        <v>-22.097999999999999</v>
      </c>
      <c r="EE108" s="28">
        <v>-22.878009609999992</v>
      </c>
      <c r="EF108" s="28">
        <f t="shared" si="102"/>
        <v>-85.763651509999988</v>
      </c>
      <c r="EG108" s="28">
        <v>-22.014383590000001</v>
      </c>
      <c r="EH108" s="28">
        <v>-21.657647220000001</v>
      </c>
      <c r="EI108" s="28">
        <v>-23.080723409999997</v>
      </c>
    </row>
    <row r="109" spans="1:139" ht="15" thickTop="1" x14ac:dyDescent="0.3">
      <c r="A109" s="1" t="s">
        <v>449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0</v>
      </c>
      <c r="DI109" s="27">
        <v>0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0</v>
      </c>
      <c r="DX109" s="27">
        <v>-9.7249999999999996</v>
      </c>
      <c r="DY109" s="27">
        <v>-16.112829090000002</v>
      </c>
      <c r="DZ109" s="27">
        <v>-16.465034759999998</v>
      </c>
      <c r="EA109" s="27">
        <f t="shared" si="101"/>
        <v>-42.302863849999994</v>
      </c>
      <c r="EB109" s="27">
        <v>-15.019881640000001</v>
      </c>
      <c r="EC109" s="27">
        <v>-15.740841980000001</v>
      </c>
      <c r="ED109" s="27">
        <v>-17.638000000000002</v>
      </c>
      <c r="EE109" s="27">
        <v>-18.338629079999997</v>
      </c>
      <c r="EF109" s="27">
        <f t="shared" si="102"/>
        <v>-66.737352700000002</v>
      </c>
      <c r="EG109" s="27">
        <v>-16.86729368</v>
      </c>
      <c r="EH109" s="27">
        <v>-19.817322380000004</v>
      </c>
      <c r="EI109" s="27">
        <v>-22.019373599999994</v>
      </c>
    </row>
    <row r="110" spans="1:139" ht="15" thickBot="1" x14ac:dyDescent="0.35">
      <c r="A110" s="2" t="s">
        <v>460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>
        <v>-0.24122032000000002</v>
      </c>
      <c r="EH110" s="28">
        <v>-12.862615060000001</v>
      </c>
      <c r="EI110" s="28">
        <v>-13.361019839999997</v>
      </c>
    </row>
    <row r="111" spans="1:139" ht="15" thickTop="1" x14ac:dyDescent="0.3">
      <c r="A111" s="1" t="s">
        <v>304</v>
      </c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27">
        <v>0</v>
      </c>
      <c r="BK111" s="27">
        <v>0</v>
      </c>
      <c r="BL111" s="27">
        <v>0</v>
      </c>
      <c r="BM111" s="27">
        <v>0</v>
      </c>
      <c r="BN111" s="27">
        <f t="shared" si="103"/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f t="shared" si="104"/>
        <v>0</v>
      </c>
      <c r="BT111" s="27">
        <v>0</v>
      </c>
      <c r="BU111" s="27">
        <v>-5.7</v>
      </c>
      <c r="BV111" s="27">
        <v>-17.100000000000001</v>
      </c>
      <c r="BW111" s="27">
        <v>-18.7</v>
      </c>
      <c r="BX111" s="27">
        <f t="shared" si="105"/>
        <v>-41.5</v>
      </c>
      <c r="BY111" s="27">
        <v>-18</v>
      </c>
      <c r="BZ111" s="27">
        <v>-18.8</v>
      </c>
      <c r="CA111" s="27">
        <v>-19.7</v>
      </c>
      <c r="CB111" s="27">
        <v>-18</v>
      </c>
      <c r="CC111" s="27">
        <f t="shared" si="106"/>
        <v>-74.5</v>
      </c>
      <c r="CD111" s="27">
        <v>-14.7</v>
      </c>
      <c r="CE111" s="27">
        <v>-16.3</v>
      </c>
      <c r="CF111" s="27">
        <v>-16.5</v>
      </c>
      <c r="CG111" s="27">
        <v>-8.1999999999999993</v>
      </c>
      <c r="CH111" s="27">
        <f t="shared" si="107"/>
        <v>-55.7</v>
      </c>
      <c r="CI111" s="27">
        <v>-12.2</v>
      </c>
      <c r="CJ111" s="27">
        <v>-10.6</v>
      </c>
      <c r="CK111" s="27">
        <v>-9.1083199100000023</v>
      </c>
      <c r="CL111" s="27">
        <v>-7.7374564000000028</v>
      </c>
      <c r="CM111" s="27">
        <f t="shared" si="108"/>
        <v>-39.645776310000002</v>
      </c>
      <c r="CN111" s="27">
        <v>-8.1</v>
      </c>
      <c r="CO111" s="27">
        <v>-9</v>
      </c>
      <c r="CP111" s="27">
        <v>-9.2999999999999989</v>
      </c>
      <c r="CQ111" s="27">
        <v>-9.7000000000000046</v>
      </c>
      <c r="CR111" s="27">
        <f t="shared" si="109"/>
        <v>-36.1</v>
      </c>
      <c r="CS111" s="27">
        <f>-4.10245539-4.81284561-36.926</f>
        <v>-45.841301000000001</v>
      </c>
      <c r="CT111" s="27">
        <f>-16.891-CS111-68.841</f>
        <v>-39.890698999999991</v>
      </c>
      <c r="CU111" s="27">
        <f>-24.815-SUM(CS111:CT111)-99.151</f>
        <v>-38.233999999999995</v>
      </c>
      <c r="CV111" s="27">
        <f>-33.784-SUM(CS111:CU111)-134.345</f>
        <v>-44.163000000000011</v>
      </c>
      <c r="CW111" s="27">
        <f t="shared" si="110"/>
        <v>-168.12900000000002</v>
      </c>
      <c r="CX111" s="27">
        <v>-49.915999999999997</v>
      </c>
      <c r="CY111" s="27">
        <v>-57.405000000000001</v>
      </c>
      <c r="CZ111" s="27">
        <v>-64.558999999999997</v>
      </c>
      <c r="DA111" s="27">
        <v>-49.917000000000002</v>
      </c>
      <c r="DB111" s="27">
        <f t="shared" si="111"/>
        <v>-221.797</v>
      </c>
      <c r="DC111" s="27">
        <v>-56.334000000000003</v>
      </c>
      <c r="DD111" s="27">
        <v>-60.143000000000001</v>
      </c>
      <c r="DE111" s="27">
        <v>-56.795999999999999</v>
      </c>
      <c r="DF111" s="27">
        <v>-49.68</v>
      </c>
      <c r="DG111" s="27">
        <f t="shared" si="112"/>
        <v>-222.953</v>
      </c>
      <c r="DH111" s="27">
        <v>-52.289000000000001</v>
      </c>
      <c r="DI111" s="27">
        <v>-51.63</v>
      </c>
      <c r="DJ111" s="27">
        <v>-57.725000000000001</v>
      </c>
      <c r="DK111" s="27">
        <v>-59.557000000000002</v>
      </c>
      <c r="DL111" s="27">
        <f t="shared" si="113"/>
        <v>-221.20100000000002</v>
      </c>
      <c r="DM111" s="27">
        <v>-71.662999999999997</v>
      </c>
      <c r="DN111" s="27">
        <v>-72.736000000000004</v>
      </c>
      <c r="DO111" s="27">
        <v>-70.825000000000003</v>
      </c>
      <c r="DP111" s="27">
        <v>-68.870999999999995</v>
      </c>
      <c r="DQ111" s="27">
        <f t="shared" ref="DQ111:DQ116" si="115">SUM(DM111:DP111)</f>
        <v>-284.09499999999997</v>
      </c>
      <c r="DR111" s="27">
        <v>-77.403999999999996</v>
      </c>
      <c r="DS111" s="27">
        <v>-69.831999999999994</v>
      </c>
      <c r="DT111" s="27">
        <v>-82.334000000000003</v>
      </c>
      <c r="DU111" s="27">
        <v>-76.453000000000003</v>
      </c>
      <c r="DV111" s="27">
        <f t="shared" si="114"/>
        <v>-306.02300000000002</v>
      </c>
      <c r="DW111" s="27">
        <v>-76.409000000000006</v>
      </c>
      <c r="DX111" s="27">
        <v>-55.966000000000001</v>
      </c>
      <c r="DY111" s="27">
        <f>(-37480666.62-5493094.08)/1000000</f>
        <v>-42.973760699999993</v>
      </c>
      <c r="DZ111" s="27">
        <v>-26.517290039999999</v>
      </c>
      <c r="EA111" s="27">
        <f t="shared" si="101"/>
        <v>-201.86605073999999</v>
      </c>
      <c r="EB111" s="27">
        <f>(-21497947.51+-4530400.2)/1000000</f>
        <v>-26.028347710000002</v>
      </c>
      <c r="EC111" s="27">
        <v>-28.733294870000002</v>
      </c>
      <c r="ED111" s="27">
        <v>-32.115000000000002</v>
      </c>
      <c r="EE111" s="27">
        <v>-31.146418379999993</v>
      </c>
      <c r="EF111" s="27">
        <f t="shared" si="102"/>
        <v>-118.02306096000001</v>
      </c>
      <c r="EG111" s="27">
        <v>-39.863152119999995</v>
      </c>
      <c r="EH111" s="27">
        <v>-38.940913899999998</v>
      </c>
      <c r="EI111" s="27">
        <v>-38.817712119999996</v>
      </c>
    </row>
    <row r="112" spans="1:139" ht="15" thickBot="1" x14ac:dyDescent="0.35">
      <c r="A112" s="2" t="s">
        <v>305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8">
        <v>0</v>
      </c>
      <c r="BS112" s="28">
        <v>0</v>
      </c>
      <c r="BT112" s="28">
        <v>0</v>
      </c>
      <c r="BU112" s="28">
        <v>0</v>
      </c>
      <c r="BV112" s="28">
        <v>0</v>
      </c>
      <c r="BW112" s="28">
        <v>0</v>
      </c>
      <c r="BX112" s="28">
        <v>0</v>
      </c>
      <c r="BY112" s="28">
        <v>0</v>
      </c>
      <c r="BZ112" s="28">
        <v>0</v>
      </c>
      <c r="CA112" s="28">
        <v>0</v>
      </c>
      <c r="CB112" s="28">
        <v>0</v>
      </c>
      <c r="CC112" s="28">
        <v>0</v>
      </c>
      <c r="CD112" s="28">
        <v>0</v>
      </c>
      <c r="CE112" s="28">
        <v>0</v>
      </c>
      <c r="CF112" s="28">
        <v>0</v>
      </c>
      <c r="CG112" s="28">
        <v>0</v>
      </c>
      <c r="CH112" s="28">
        <v>0</v>
      </c>
      <c r="CI112" s="28">
        <v>0</v>
      </c>
      <c r="CJ112" s="28">
        <v>0</v>
      </c>
      <c r="CK112" s="28">
        <v>0</v>
      </c>
      <c r="CL112" s="28">
        <v>0</v>
      </c>
      <c r="CM112" s="28">
        <v>0</v>
      </c>
      <c r="CN112" s="28">
        <v>0</v>
      </c>
      <c r="CO112" s="28">
        <v>0</v>
      </c>
      <c r="CP112" s="28">
        <v>0</v>
      </c>
      <c r="CQ112" s="28">
        <v>0</v>
      </c>
      <c r="CR112" s="28">
        <v>0</v>
      </c>
      <c r="CS112" s="28">
        <v>0</v>
      </c>
      <c r="CT112" s="28">
        <v>0</v>
      </c>
      <c r="CU112" s="28">
        <v>0</v>
      </c>
      <c r="CV112" s="28">
        <v>0</v>
      </c>
      <c r="CW112" s="28">
        <v>0</v>
      </c>
      <c r="CX112" s="28">
        <v>0</v>
      </c>
      <c r="CY112" s="28">
        <v>0</v>
      </c>
      <c r="CZ112" s="28">
        <v>0</v>
      </c>
      <c r="DA112" s="28">
        <v>0</v>
      </c>
      <c r="DB112" s="28">
        <v>0</v>
      </c>
      <c r="DC112" s="28">
        <v>-1.2010000000000001</v>
      </c>
      <c r="DD112" s="28">
        <v>-0.85199999999999998</v>
      </c>
      <c r="DE112" s="28">
        <f>-0.855-2.053+1.201+0.852</f>
        <v>-0.85499999999999987</v>
      </c>
      <c r="DF112" s="28">
        <v>-0.503</v>
      </c>
      <c r="DG112" s="28">
        <f t="shared" si="112"/>
        <v>-3.411</v>
      </c>
      <c r="DH112" s="28">
        <v>-0.98899999999999999</v>
      </c>
      <c r="DI112" s="28">
        <v>-1.742</v>
      </c>
      <c r="DJ112" s="28">
        <v>-1.248</v>
      </c>
      <c r="DK112" s="28">
        <v>-0.61499999999999999</v>
      </c>
      <c r="DL112" s="28">
        <f t="shared" si="113"/>
        <v>-4.5940000000000003</v>
      </c>
      <c r="DM112" s="28">
        <v>-0.995</v>
      </c>
      <c r="DN112" s="28">
        <v>-1.6319999999999999</v>
      </c>
      <c r="DO112" s="28">
        <v>-0.629</v>
      </c>
      <c r="DP112" s="28">
        <v>-0.50600000000000001</v>
      </c>
      <c r="DQ112" s="28">
        <f t="shared" si="115"/>
        <v>-3.7619999999999996</v>
      </c>
      <c r="DR112" s="28">
        <v>-1.038</v>
      </c>
      <c r="DS112" s="28">
        <v>-1.3959999999999999</v>
      </c>
      <c r="DT112" s="28">
        <v>-1.3819999999999999</v>
      </c>
      <c r="DU112" s="28">
        <v>-1.0429999999999999</v>
      </c>
      <c r="DV112" s="28">
        <f t="shared" si="114"/>
        <v>-4.859</v>
      </c>
      <c r="DW112" s="28">
        <v>-1.5329999999999999</v>
      </c>
      <c r="DX112" s="28">
        <v>-2.2839999999999998</v>
      </c>
      <c r="DY112" s="28">
        <v>-2.4379122899999999</v>
      </c>
      <c r="DZ112" s="28">
        <v>-2.2182391000000004</v>
      </c>
      <c r="EA112" s="28">
        <f t="shared" si="101"/>
        <v>-8.4731513899999999</v>
      </c>
      <c r="EB112" s="28">
        <v>-2.2821322999999998</v>
      </c>
      <c r="EC112" s="28">
        <v>-2.1311834300000005</v>
      </c>
      <c r="ED112" s="28">
        <v>-2.0270000000000001</v>
      </c>
      <c r="EE112" s="28">
        <v>-1.0778439100000001</v>
      </c>
      <c r="EF112" s="28">
        <f t="shared" si="102"/>
        <v>-7.5181596400000013</v>
      </c>
      <c r="EG112" s="28">
        <v>-1.6557848500000001</v>
      </c>
      <c r="EH112" s="28">
        <v>-2.72750402</v>
      </c>
      <c r="EI112" s="28">
        <v>-2.5491505399999999</v>
      </c>
    </row>
    <row r="113" spans="1:139" ht="15" thickTop="1" x14ac:dyDescent="0.3">
      <c r="A113" s="1" t="s">
        <v>306</v>
      </c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27">
        <v>-3</v>
      </c>
      <c r="BK113" s="27">
        <v>-3</v>
      </c>
      <c r="BL113" s="27">
        <v>-3</v>
      </c>
      <c r="BM113" s="27">
        <v>-3.7</v>
      </c>
      <c r="BN113" s="27">
        <f t="shared" si="103"/>
        <v>-12.7</v>
      </c>
      <c r="BO113" s="27">
        <v>-3.3</v>
      </c>
      <c r="BP113" s="27">
        <v>-4.2</v>
      </c>
      <c r="BQ113" s="27">
        <v>-4</v>
      </c>
      <c r="BR113" s="27">
        <v>-4</v>
      </c>
      <c r="BS113" s="27">
        <f t="shared" si="104"/>
        <v>-15.5</v>
      </c>
      <c r="BT113" s="27">
        <v>-3.5</v>
      </c>
      <c r="BU113" s="27">
        <v>-3.5</v>
      </c>
      <c r="BV113" s="27">
        <v>-3.8</v>
      </c>
      <c r="BW113" s="27">
        <v>-3.3</v>
      </c>
      <c r="BX113" s="27">
        <f t="shared" si="105"/>
        <v>-14.100000000000001</v>
      </c>
      <c r="BY113" s="27">
        <v>-3.5</v>
      </c>
      <c r="BZ113" s="27">
        <v>-3.5</v>
      </c>
      <c r="CA113" s="27">
        <v>-3.5</v>
      </c>
      <c r="CB113" s="27">
        <f>-4.2+0.3</f>
        <v>-3.9000000000000004</v>
      </c>
      <c r="CC113" s="27">
        <f t="shared" si="106"/>
        <v>-14.4</v>
      </c>
      <c r="CD113" s="27">
        <v>-4.5999999999999996</v>
      </c>
      <c r="CE113" s="27">
        <v>-6.5</v>
      </c>
      <c r="CF113" s="27">
        <v>-5.3</v>
      </c>
      <c r="CG113" s="27">
        <v>-6.1</v>
      </c>
      <c r="CH113" s="27">
        <f t="shared" si="107"/>
        <v>-22.5</v>
      </c>
      <c r="CI113" s="27">
        <v>-5.9</v>
      </c>
      <c r="CJ113" s="27">
        <v>-6</v>
      </c>
      <c r="CK113" s="27">
        <v>-6.7511868900000014</v>
      </c>
      <c r="CL113" s="27">
        <v>-6.8256943799999981</v>
      </c>
      <c r="CM113" s="27">
        <f t="shared" si="108"/>
        <v>-25.47688127</v>
      </c>
      <c r="CN113" s="27">
        <v>-5.8</v>
      </c>
      <c r="CO113" s="27">
        <v>-5.7</v>
      </c>
      <c r="CP113" s="27">
        <v>-6.0000000000000009</v>
      </c>
      <c r="CQ113" s="27">
        <v>-3.1700000000000026</v>
      </c>
      <c r="CR113" s="27">
        <f t="shared" si="109"/>
        <v>-20.67</v>
      </c>
      <c r="CS113" s="27">
        <v>-5.4715372599999998</v>
      </c>
      <c r="CT113" s="27">
        <v>-5.4771555000000003</v>
      </c>
      <c r="CU113" s="27">
        <f>-16.323-SUM(CS113:CT113)</f>
        <v>-5.3743072400000003</v>
      </c>
      <c r="CV113" s="27">
        <f>-21.655-SUM(CS113:CU113)</f>
        <v>-5.3320000000000007</v>
      </c>
      <c r="CW113" s="27">
        <f t="shared" si="110"/>
        <v>-21.655000000000001</v>
      </c>
      <c r="CX113" s="27">
        <v>-5.29</v>
      </c>
      <c r="CY113" s="27">
        <v>-5.2789999999999999</v>
      </c>
      <c r="CZ113" s="27">
        <v>-5.0979999999999999</v>
      </c>
      <c r="DA113" s="27">
        <v>-6.9180000000000001</v>
      </c>
      <c r="DB113" s="27">
        <f t="shared" si="111"/>
        <v>-22.584999999999997</v>
      </c>
      <c r="DC113" s="27">
        <v>-5.2060000000000004</v>
      </c>
      <c r="DD113" s="27">
        <v>-5.2539999999999996</v>
      </c>
      <c r="DE113" s="27">
        <v>-5.625</v>
      </c>
      <c r="DF113" s="27">
        <v>-6.4290000000000003</v>
      </c>
      <c r="DG113" s="27">
        <f t="shared" si="112"/>
        <v>-22.514000000000003</v>
      </c>
      <c r="DH113" s="27">
        <v>-7.2190000000000003</v>
      </c>
      <c r="DI113" s="27">
        <v>-7.2969999999999997</v>
      </c>
      <c r="DJ113" s="27">
        <v>-7.2750000000000004</v>
      </c>
      <c r="DK113" s="27">
        <v>-7.61</v>
      </c>
      <c r="DL113" s="27">
        <f t="shared" si="113"/>
        <v>-29.401</v>
      </c>
      <c r="DM113" s="27">
        <v>-8.7029999999999994</v>
      </c>
      <c r="DN113" s="27">
        <v>-8.6359999999999992</v>
      </c>
      <c r="DO113" s="27">
        <v>-8.625</v>
      </c>
      <c r="DP113" s="27">
        <v>-8.6310000000000002</v>
      </c>
      <c r="DQ113" s="27">
        <f t="shared" si="115"/>
        <v>-34.594999999999999</v>
      </c>
      <c r="DR113" s="27">
        <v>-8.7080000000000002</v>
      </c>
      <c r="DS113" s="27">
        <v>-8.6809999999999992</v>
      </c>
      <c r="DT113" s="27">
        <v>-8.6189999999999998</v>
      </c>
      <c r="DU113" s="27">
        <v>-10.316000000000001</v>
      </c>
      <c r="DV113" s="27">
        <f t="shared" si="114"/>
        <v>-36.323999999999998</v>
      </c>
      <c r="DW113" s="27">
        <v>-9.9090000000000007</v>
      </c>
      <c r="DX113" s="27">
        <v>-9.6869999999999994</v>
      </c>
      <c r="DY113" s="27">
        <v>-10.551711329999998</v>
      </c>
      <c r="DZ113" s="27">
        <v>-10.666845449999999</v>
      </c>
      <c r="EA113" s="27">
        <f t="shared" si="101"/>
        <v>-40.814556779999997</v>
      </c>
      <c r="EB113" s="27">
        <v>-11.684731339999999</v>
      </c>
      <c r="EC113" s="27">
        <v>-11.9110307</v>
      </c>
      <c r="ED113" s="27">
        <v>-11.93</v>
      </c>
      <c r="EE113" s="27">
        <v>-11.802717079999999</v>
      </c>
      <c r="EF113" s="27">
        <f t="shared" si="102"/>
        <v>-47.328479119999997</v>
      </c>
      <c r="EG113" s="27">
        <v>-14.32338377</v>
      </c>
      <c r="EH113" s="27">
        <v>-14.051135309999999</v>
      </c>
      <c r="EI113" s="27">
        <v>-13.731405780000001</v>
      </c>
    </row>
    <row r="114" spans="1:139" ht="15" thickBot="1" x14ac:dyDescent="0.35">
      <c r="A114" s="2" t="s">
        <v>370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28">
        <v>-0.4</v>
      </c>
      <c r="BK114" s="28">
        <v>-0.5</v>
      </c>
      <c r="BL114" s="28">
        <v>-0.4</v>
      </c>
      <c r="BM114" s="28">
        <v>-0.5</v>
      </c>
      <c r="BN114" s="28">
        <f t="shared" si="103"/>
        <v>-1.8</v>
      </c>
      <c r="BO114" s="28">
        <v>-8.5</v>
      </c>
      <c r="BP114" s="28">
        <v>-10.899999999999999</v>
      </c>
      <c r="BQ114" s="28">
        <v>-12.100000000000001</v>
      </c>
      <c r="BR114" s="28">
        <v>-12.899999999999999</v>
      </c>
      <c r="BS114" s="28">
        <f t="shared" si="104"/>
        <v>-44.4</v>
      </c>
      <c r="BT114" s="28">
        <v>0</v>
      </c>
      <c r="BU114" s="28">
        <v>0</v>
      </c>
      <c r="BV114" s="28">
        <v>0</v>
      </c>
      <c r="BW114" s="28">
        <v>0</v>
      </c>
      <c r="BX114" s="28">
        <f t="shared" si="105"/>
        <v>0</v>
      </c>
      <c r="BY114" s="28">
        <v>0</v>
      </c>
      <c r="BZ114" s="28">
        <v>0</v>
      </c>
      <c r="CA114" s="28">
        <v>0</v>
      </c>
      <c r="CB114" s="28">
        <v>0</v>
      </c>
      <c r="CC114" s="28">
        <f t="shared" si="106"/>
        <v>0</v>
      </c>
      <c r="CD114" s="28">
        <v>0</v>
      </c>
      <c r="CE114" s="28">
        <v>0</v>
      </c>
      <c r="CF114" s="28">
        <v>0</v>
      </c>
      <c r="CG114" s="28">
        <v>0</v>
      </c>
      <c r="CH114" s="28">
        <f t="shared" si="107"/>
        <v>0</v>
      </c>
      <c r="CI114" s="28">
        <v>0</v>
      </c>
      <c r="CJ114" s="28">
        <v>0</v>
      </c>
      <c r="CK114" s="28">
        <v>0</v>
      </c>
      <c r="CL114" s="28">
        <v>0</v>
      </c>
      <c r="CM114" s="28">
        <f t="shared" si="108"/>
        <v>0</v>
      </c>
      <c r="CN114" s="28">
        <v>0</v>
      </c>
      <c r="CO114" s="28">
        <v>0</v>
      </c>
      <c r="CP114" s="28">
        <v>0</v>
      </c>
      <c r="CQ114" s="28">
        <v>0</v>
      </c>
      <c r="CR114" s="28">
        <f t="shared" si="109"/>
        <v>0</v>
      </c>
      <c r="CS114" s="28">
        <v>0</v>
      </c>
      <c r="CT114" s="28">
        <v>0</v>
      </c>
      <c r="CU114" s="28">
        <v>0</v>
      </c>
      <c r="CV114" s="28">
        <v>0</v>
      </c>
      <c r="CW114" s="28">
        <f t="shared" si="110"/>
        <v>0</v>
      </c>
      <c r="CX114" s="28">
        <v>0</v>
      </c>
      <c r="CY114" s="28">
        <v>0</v>
      </c>
      <c r="CZ114" s="28">
        <v>0</v>
      </c>
      <c r="DA114" s="28">
        <v>0</v>
      </c>
      <c r="DB114" s="28">
        <f t="shared" si="111"/>
        <v>0</v>
      </c>
      <c r="DC114" s="28">
        <v>0</v>
      </c>
      <c r="DD114" s="28">
        <v>0</v>
      </c>
      <c r="DE114" s="28">
        <v>0</v>
      </c>
      <c r="DF114" s="28">
        <v>0</v>
      </c>
      <c r="DG114" s="28">
        <f t="shared" si="112"/>
        <v>0</v>
      </c>
      <c r="DH114" s="28">
        <v>0</v>
      </c>
      <c r="DI114" s="28">
        <v>0</v>
      </c>
      <c r="DJ114" s="28">
        <v>0</v>
      </c>
      <c r="DK114" s="28">
        <v>0</v>
      </c>
      <c r="DL114" s="28">
        <f t="shared" si="113"/>
        <v>0</v>
      </c>
      <c r="DM114" s="28">
        <v>0</v>
      </c>
      <c r="DN114" s="28">
        <v>0</v>
      </c>
      <c r="DO114" s="28">
        <v>0</v>
      </c>
      <c r="DP114" s="28">
        <v>0</v>
      </c>
      <c r="DQ114" s="28">
        <f t="shared" si="115"/>
        <v>0</v>
      </c>
      <c r="DR114" s="28">
        <v>0</v>
      </c>
      <c r="DS114" s="28">
        <v>0</v>
      </c>
      <c r="DT114" s="28">
        <v>0</v>
      </c>
      <c r="DU114" s="28">
        <v>0</v>
      </c>
      <c r="DV114" s="28">
        <f t="shared" si="114"/>
        <v>0</v>
      </c>
      <c r="DW114" s="28">
        <v>0</v>
      </c>
      <c r="DX114" s="28">
        <v>0</v>
      </c>
      <c r="DY114" s="28">
        <v>0</v>
      </c>
      <c r="DZ114" s="28">
        <v>0</v>
      </c>
      <c r="EA114" s="28">
        <f t="shared" si="101"/>
        <v>0</v>
      </c>
      <c r="EB114" s="28">
        <v>0</v>
      </c>
      <c r="EC114" s="28">
        <v>0</v>
      </c>
      <c r="ED114" s="28">
        <v>0</v>
      </c>
      <c r="EE114" s="28">
        <v>0</v>
      </c>
      <c r="EF114" s="28">
        <f t="shared" si="102"/>
        <v>0</v>
      </c>
      <c r="EG114" s="28">
        <v>0</v>
      </c>
      <c r="EH114" s="28">
        <v>0</v>
      </c>
      <c r="EI114" s="28">
        <v>0</v>
      </c>
    </row>
    <row r="115" spans="1:139" ht="15" thickTop="1" x14ac:dyDescent="0.3">
      <c r="A115" s="1" t="s">
        <v>338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27">
        <v>-1</v>
      </c>
      <c r="BK115" s="27">
        <v>-0.9</v>
      </c>
      <c r="BL115" s="27">
        <v>-1</v>
      </c>
      <c r="BM115" s="27">
        <v>-5.2</v>
      </c>
      <c r="BN115" s="27">
        <f t="shared" si="103"/>
        <v>-8.1</v>
      </c>
      <c r="BO115" s="27">
        <v>-2.2000000000000002</v>
      </c>
      <c r="BP115" s="27">
        <v>-2.1</v>
      </c>
      <c r="BQ115" s="27">
        <v>-2.2000000000000002</v>
      </c>
      <c r="BR115" s="27">
        <v>-1.8</v>
      </c>
      <c r="BS115" s="27">
        <f t="shared" si="104"/>
        <v>-8.3000000000000007</v>
      </c>
      <c r="BT115" s="27">
        <v>0</v>
      </c>
      <c r="BU115" s="27">
        <v>0</v>
      </c>
      <c r="BV115" s="27">
        <v>0</v>
      </c>
      <c r="BW115" s="27">
        <v>0</v>
      </c>
      <c r="BX115" s="27">
        <f t="shared" si="105"/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f t="shared" si="106"/>
        <v>0</v>
      </c>
      <c r="CD115" s="27">
        <v>0</v>
      </c>
      <c r="CE115" s="27">
        <v>0</v>
      </c>
      <c r="CF115" s="27">
        <v>0</v>
      </c>
      <c r="CG115" s="27">
        <v>0</v>
      </c>
      <c r="CH115" s="27">
        <f t="shared" si="107"/>
        <v>0</v>
      </c>
      <c r="CI115" s="27">
        <v>0</v>
      </c>
      <c r="CJ115" s="27">
        <v>0</v>
      </c>
      <c r="CK115" s="27">
        <v>0</v>
      </c>
      <c r="CL115" s="27">
        <v>0</v>
      </c>
      <c r="CM115" s="27">
        <f t="shared" si="108"/>
        <v>0</v>
      </c>
      <c r="CN115" s="27">
        <v>0</v>
      </c>
      <c r="CO115" s="27">
        <v>0</v>
      </c>
      <c r="CP115" s="27">
        <v>0</v>
      </c>
      <c r="CQ115" s="27">
        <v>0</v>
      </c>
      <c r="CR115" s="27">
        <f t="shared" si="109"/>
        <v>0</v>
      </c>
      <c r="CS115" s="27">
        <v>0</v>
      </c>
      <c r="CT115" s="27">
        <v>0</v>
      </c>
      <c r="CU115" s="27">
        <v>0</v>
      </c>
      <c r="CV115" s="27">
        <v>0</v>
      </c>
      <c r="CW115" s="27">
        <f t="shared" si="110"/>
        <v>0</v>
      </c>
      <c r="CX115" s="27">
        <v>1E-3</v>
      </c>
      <c r="CY115" s="27">
        <v>1E-3</v>
      </c>
      <c r="CZ115" s="27">
        <v>1E-3</v>
      </c>
      <c r="DA115" s="27">
        <v>0</v>
      </c>
      <c r="DB115" s="27">
        <f t="shared" si="111"/>
        <v>3.0000000000000001E-3</v>
      </c>
      <c r="DC115" s="27">
        <v>0</v>
      </c>
      <c r="DD115" s="27">
        <v>-1E-3</v>
      </c>
      <c r="DE115" s="27">
        <v>-1E-3</v>
      </c>
      <c r="DF115" s="27">
        <v>1E-3</v>
      </c>
      <c r="DG115" s="27">
        <f t="shared" si="112"/>
        <v>-1E-3</v>
      </c>
      <c r="DH115" s="27">
        <v>0</v>
      </c>
      <c r="DI115" s="27">
        <v>0</v>
      </c>
      <c r="DJ115" s="27">
        <v>0</v>
      </c>
      <c r="DK115" s="27">
        <v>-2E-3</v>
      </c>
      <c r="DL115" s="27">
        <f t="shared" si="113"/>
        <v>-2E-3</v>
      </c>
      <c r="DM115" s="27">
        <v>-1E-3</v>
      </c>
      <c r="DN115" s="27">
        <v>-1E-3</v>
      </c>
      <c r="DO115" s="27">
        <v>-1E-3</v>
      </c>
      <c r="DP115" s="27">
        <v>-2E-3</v>
      </c>
      <c r="DQ115" s="27">
        <f t="shared" si="115"/>
        <v>-5.0000000000000001E-3</v>
      </c>
      <c r="DR115" s="27">
        <v>-2E-3</v>
      </c>
      <c r="DS115" s="27">
        <v>-2E-3</v>
      </c>
      <c r="DT115" s="27">
        <v>-2E-3</v>
      </c>
      <c r="DU115" s="27">
        <v>-2E-3</v>
      </c>
      <c r="DV115" s="27">
        <f t="shared" si="114"/>
        <v>-8.0000000000000002E-3</v>
      </c>
      <c r="DW115" s="27">
        <v>-2E-3</v>
      </c>
      <c r="DX115" s="27">
        <v>-2E-3</v>
      </c>
      <c r="DY115" s="27">
        <v>-1.6752299999999996E-3</v>
      </c>
      <c r="DZ115" s="27">
        <v>-8.8282499999999993E-3</v>
      </c>
      <c r="EA115" s="27">
        <f t="shared" si="101"/>
        <v>-1.4503479999999999E-2</v>
      </c>
      <c r="EB115" s="27">
        <v>-4.4107629999999995E-2</v>
      </c>
      <c r="EC115" s="27">
        <v>-3.6867670000000005E-2</v>
      </c>
      <c r="ED115" s="27">
        <v>-0.14599999999999999</v>
      </c>
      <c r="EE115" s="27">
        <v>-8.6203059999999998E-2</v>
      </c>
      <c r="EF115" s="27">
        <f t="shared" si="102"/>
        <v>-0.31317835999999999</v>
      </c>
      <c r="EG115" s="27">
        <v>-7.0944409999999999E-2</v>
      </c>
      <c r="EH115" s="27">
        <v>-9.8714949999999982E-2</v>
      </c>
      <c r="EI115" s="27">
        <v>-5.3659620000000026E-2</v>
      </c>
    </row>
    <row r="116" spans="1:139" x14ac:dyDescent="0.3">
      <c r="A116" s="2" t="s">
        <v>308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28"/>
      <c r="BK116" s="28"/>
      <c r="BL116" s="28"/>
      <c r="BM116" s="28"/>
      <c r="BN116" s="28">
        <f t="shared" si="103"/>
        <v>0</v>
      </c>
      <c r="BO116" s="28"/>
      <c r="BP116" s="28"/>
      <c r="BQ116" s="28"/>
      <c r="BR116" s="28"/>
      <c r="BS116" s="28">
        <f t="shared" si="104"/>
        <v>0</v>
      </c>
      <c r="BT116" s="28"/>
      <c r="BU116" s="28"/>
      <c r="BV116" s="28"/>
      <c r="BW116" s="28"/>
      <c r="BX116" s="28">
        <f t="shared" si="105"/>
        <v>0</v>
      </c>
      <c r="BY116" s="28">
        <v>0</v>
      </c>
      <c r="BZ116" s="28">
        <v>0</v>
      </c>
      <c r="CA116" s="28">
        <v>0</v>
      </c>
      <c r="CB116" s="28">
        <v>0</v>
      </c>
      <c r="CC116" s="28">
        <v>0</v>
      </c>
      <c r="CD116" s="28">
        <v>0</v>
      </c>
      <c r="CE116" s="28">
        <v>0</v>
      </c>
      <c r="CF116" s="28">
        <v>0</v>
      </c>
      <c r="CG116" s="28">
        <v>0</v>
      </c>
      <c r="CH116" s="28">
        <v>0</v>
      </c>
      <c r="CI116" s="28">
        <v>0</v>
      </c>
      <c r="CJ116" s="28">
        <v>0</v>
      </c>
      <c r="CK116" s="28">
        <v>0</v>
      </c>
      <c r="CL116" s="28">
        <v>0</v>
      </c>
      <c r="CM116" s="28">
        <v>0</v>
      </c>
      <c r="CN116" s="28">
        <v>0</v>
      </c>
      <c r="CO116" s="28">
        <v>0</v>
      </c>
      <c r="CP116" s="28">
        <v>0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f t="shared" si="110"/>
        <v>0</v>
      </c>
      <c r="CX116" s="28">
        <v>0</v>
      </c>
      <c r="CY116" s="28">
        <v>0</v>
      </c>
      <c r="CZ116" s="28">
        <v>0</v>
      </c>
      <c r="DA116" s="28">
        <v>1.6779999999999999</v>
      </c>
      <c r="DB116" s="28">
        <f t="shared" si="111"/>
        <v>1.6779999999999999</v>
      </c>
      <c r="DC116" s="28">
        <v>0</v>
      </c>
      <c r="DD116" s="28">
        <v>0</v>
      </c>
      <c r="DE116" s="28">
        <v>0</v>
      </c>
      <c r="DF116" s="28">
        <v>0</v>
      </c>
      <c r="DG116" s="28">
        <f t="shared" si="112"/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f t="shared" si="113"/>
        <v>0</v>
      </c>
      <c r="DM116" s="28">
        <v>0</v>
      </c>
      <c r="DN116" s="28">
        <v>0</v>
      </c>
      <c r="DO116" s="28">
        <v>0</v>
      </c>
      <c r="DP116" s="28">
        <v>0</v>
      </c>
      <c r="DQ116" s="28">
        <f t="shared" si="115"/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f t="shared" si="114"/>
        <v>0</v>
      </c>
      <c r="DW116" s="28">
        <v>0</v>
      </c>
      <c r="DX116" s="28">
        <v>0</v>
      </c>
      <c r="DY116" s="28">
        <v>0</v>
      </c>
      <c r="DZ116" s="28">
        <v>0</v>
      </c>
      <c r="EA116" s="28">
        <f t="shared" si="101"/>
        <v>0</v>
      </c>
      <c r="EB116" s="28">
        <v>0</v>
      </c>
      <c r="EC116" s="28">
        <v>0</v>
      </c>
      <c r="ED116" s="28">
        <v>0</v>
      </c>
      <c r="EE116" s="28">
        <v>0</v>
      </c>
      <c r="EF116" s="28">
        <f t="shared" si="102"/>
        <v>0</v>
      </c>
      <c r="EG116" s="28">
        <v>0</v>
      </c>
      <c r="EH116" s="28">
        <v>0</v>
      </c>
      <c r="EI116" s="28">
        <v>0</v>
      </c>
    </row>
    <row r="117" spans="1:139" x14ac:dyDescent="0.3">
      <c r="A117" s="5" t="s">
        <v>311</v>
      </c>
      <c r="B117" s="29">
        <f t="shared" ref="B117:AG117" si="116">SUM(B97:B116)</f>
        <v>0</v>
      </c>
      <c r="C117" s="29">
        <f t="shared" si="116"/>
        <v>0</v>
      </c>
      <c r="D117" s="29">
        <f t="shared" si="116"/>
        <v>0</v>
      </c>
      <c r="E117" s="29">
        <f t="shared" si="116"/>
        <v>0</v>
      </c>
      <c r="F117" s="29">
        <f t="shared" si="116"/>
        <v>0</v>
      </c>
      <c r="G117" s="29">
        <f t="shared" si="116"/>
        <v>0</v>
      </c>
      <c r="H117" s="29">
        <f t="shared" si="116"/>
        <v>0</v>
      </c>
      <c r="I117" s="29">
        <f t="shared" si="116"/>
        <v>0</v>
      </c>
      <c r="J117" s="29">
        <f t="shared" si="116"/>
        <v>0</v>
      </c>
      <c r="K117" s="29">
        <f t="shared" si="116"/>
        <v>0</v>
      </c>
      <c r="L117" s="29">
        <f t="shared" si="116"/>
        <v>0</v>
      </c>
      <c r="M117" s="29">
        <f t="shared" si="116"/>
        <v>0</v>
      </c>
      <c r="N117" s="29">
        <f t="shared" si="116"/>
        <v>0</v>
      </c>
      <c r="O117" s="29">
        <f t="shared" si="116"/>
        <v>0</v>
      </c>
      <c r="P117" s="29">
        <f t="shared" si="116"/>
        <v>0</v>
      </c>
      <c r="Q117" s="29">
        <f t="shared" si="116"/>
        <v>0</v>
      </c>
      <c r="R117" s="29">
        <f t="shared" si="116"/>
        <v>0</v>
      </c>
      <c r="S117" s="29">
        <f t="shared" si="116"/>
        <v>0</v>
      </c>
      <c r="T117" s="29">
        <f t="shared" si="116"/>
        <v>0</v>
      </c>
      <c r="U117" s="29">
        <f t="shared" si="116"/>
        <v>0</v>
      </c>
      <c r="V117" s="29">
        <f t="shared" si="116"/>
        <v>0</v>
      </c>
      <c r="W117" s="29">
        <f t="shared" si="116"/>
        <v>0</v>
      </c>
      <c r="X117" s="29">
        <f t="shared" si="116"/>
        <v>0</v>
      </c>
      <c r="Y117" s="29">
        <f t="shared" si="116"/>
        <v>0</v>
      </c>
      <c r="Z117" s="29">
        <f t="shared" si="116"/>
        <v>0</v>
      </c>
      <c r="AA117" s="29">
        <f t="shared" si="116"/>
        <v>0</v>
      </c>
      <c r="AB117" s="29">
        <f t="shared" si="116"/>
        <v>0</v>
      </c>
      <c r="AC117" s="29">
        <f t="shared" si="116"/>
        <v>0</v>
      </c>
      <c r="AD117" s="29">
        <f t="shared" si="116"/>
        <v>0</v>
      </c>
      <c r="AE117" s="29">
        <f t="shared" si="116"/>
        <v>0</v>
      </c>
      <c r="AF117" s="29">
        <f t="shared" si="116"/>
        <v>0</v>
      </c>
      <c r="AG117" s="29">
        <f t="shared" si="116"/>
        <v>0</v>
      </c>
      <c r="AH117" s="29">
        <f t="shared" ref="AH117:BM117" si="117">SUM(AH97:AH116)</f>
        <v>0</v>
      </c>
      <c r="AI117" s="29">
        <f t="shared" si="117"/>
        <v>0</v>
      </c>
      <c r="AJ117" s="29">
        <f t="shared" si="117"/>
        <v>0</v>
      </c>
      <c r="AK117" s="29">
        <f t="shared" si="117"/>
        <v>0</v>
      </c>
      <c r="AL117" s="29">
        <f t="shared" si="117"/>
        <v>0</v>
      </c>
      <c r="AM117" s="29">
        <f t="shared" si="117"/>
        <v>0</v>
      </c>
      <c r="AN117" s="29">
        <f t="shared" si="117"/>
        <v>0</v>
      </c>
      <c r="AO117" s="29">
        <f t="shared" si="117"/>
        <v>0</v>
      </c>
      <c r="AP117" s="29">
        <f t="shared" si="117"/>
        <v>0</v>
      </c>
      <c r="AQ117" s="29">
        <f t="shared" si="117"/>
        <v>0</v>
      </c>
      <c r="AR117" s="29">
        <f t="shared" si="117"/>
        <v>0</v>
      </c>
      <c r="AS117" s="29">
        <f t="shared" si="117"/>
        <v>0</v>
      </c>
      <c r="AT117" s="29">
        <f t="shared" si="117"/>
        <v>0</v>
      </c>
      <c r="AU117" s="29">
        <f t="shared" si="117"/>
        <v>0</v>
      </c>
      <c r="AV117" s="29">
        <f t="shared" si="117"/>
        <v>0</v>
      </c>
      <c r="AW117" s="29">
        <f t="shared" si="117"/>
        <v>0</v>
      </c>
      <c r="AX117" s="29">
        <f t="shared" si="117"/>
        <v>0</v>
      </c>
      <c r="AY117" s="29">
        <f t="shared" si="117"/>
        <v>0</v>
      </c>
      <c r="AZ117" s="29">
        <f t="shared" si="117"/>
        <v>0</v>
      </c>
      <c r="BA117" s="29">
        <f t="shared" si="117"/>
        <v>0</v>
      </c>
      <c r="BB117" s="29">
        <f t="shared" si="117"/>
        <v>0</v>
      </c>
      <c r="BC117" s="29">
        <f t="shared" si="117"/>
        <v>0</v>
      </c>
      <c r="BD117" s="29">
        <f t="shared" si="117"/>
        <v>0</v>
      </c>
      <c r="BE117" s="29">
        <f t="shared" si="117"/>
        <v>0</v>
      </c>
      <c r="BF117" s="29">
        <f t="shared" si="117"/>
        <v>0</v>
      </c>
      <c r="BG117" s="29">
        <f t="shared" si="117"/>
        <v>0</v>
      </c>
      <c r="BH117" s="29">
        <f t="shared" si="117"/>
        <v>0</v>
      </c>
      <c r="BI117" s="29">
        <f t="shared" si="117"/>
        <v>0</v>
      </c>
      <c r="BJ117" s="29">
        <f t="shared" si="117"/>
        <v>-22.599999999999998</v>
      </c>
      <c r="BK117" s="29">
        <f t="shared" si="117"/>
        <v>-22.8</v>
      </c>
      <c r="BL117" s="29">
        <f t="shared" si="117"/>
        <v>-24.7</v>
      </c>
      <c r="BM117" s="29">
        <f t="shared" si="117"/>
        <v>-30.499999999999996</v>
      </c>
      <c r="BN117" s="29">
        <f t="shared" ref="BN117:CS117" si="118">SUM(BN97:BN116)</f>
        <v>-100.6</v>
      </c>
      <c r="BO117" s="29">
        <f t="shared" si="118"/>
        <v>-35.200000000000003</v>
      </c>
      <c r="BP117" s="29">
        <f t="shared" si="118"/>
        <v>-38.6</v>
      </c>
      <c r="BQ117" s="29">
        <f t="shared" si="118"/>
        <v>-41.2</v>
      </c>
      <c r="BR117" s="29">
        <f t="shared" si="118"/>
        <v>-42.726533209999999</v>
      </c>
      <c r="BS117" s="29">
        <f t="shared" si="118"/>
        <v>-157.72653321000001</v>
      </c>
      <c r="BT117" s="29">
        <f t="shared" si="118"/>
        <v>-37.9</v>
      </c>
      <c r="BU117" s="29">
        <f t="shared" si="118"/>
        <v>-40.800000000000004</v>
      </c>
      <c r="BV117" s="29">
        <f t="shared" si="118"/>
        <v>-56.800000000000004</v>
      </c>
      <c r="BW117" s="29">
        <f t="shared" si="118"/>
        <v>-58.199999999999989</v>
      </c>
      <c r="BX117" s="29">
        <f t="shared" si="118"/>
        <v>-193.7</v>
      </c>
      <c r="BY117" s="29">
        <f t="shared" si="118"/>
        <v>-57.800000000000004</v>
      </c>
      <c r="BZ117" s="29">
        <f t="shared" si="118"/>
        <v>-58.400000000000006</v>
      </c>
      <c r="CA117" s="29">
        <f t="shared" si="118"/>
        <v>-62.3</v>
      </c>
      <c r="CB117" s="29">
        <f t="shared" si="118"/>
        <v>-61.1</v>
      </c>
      <c r="CC117" s="29">
        <f t="shared" si="118"/>
        <v>-239.60000000000002</v>
      </c>
      <c r="CD117" s="29">
        <f t="shared" si="118"/>
        <v>-59.904999999999994</v>
      </c>
      <c r="CE117" s="29">
        <f t="shared" si="118"/>
        <v>-61.8</v>
      </c>
      <c r="CF117" s="29">
        <f t="shared" si="118"/>
        <v>-65.399999999999991</v>
      </c>
      <c r="CG117" s="29">
        <f t="shared" si="118"/>
        <v>-59.4</v>
      </c>
      <c r="CH117" s="29">
        <f t="shared" si="118"/>
        <v>-246.505</v>
      </c>
      <c r="CI117" s="29">
        <f t="shared" si="118"/>
        <v>-63.499999999999993</v>
      </c>
      <c r="CJ117" s="29">
        <f t="shared" si="118"/>
        <v>-60.600000000000009</v>
      </c>
      <c r="CK117" s="29">
        <f t="shared" si="118"/>
        <v>-64.307764910000003</v>
      </c>
      <c r="CL117" s="29">
        <f t="shared" si="118"/>
        <v>-65.484969000000007</v>
      </c>
      <c r="CM117" s="29">
        <f t="shared" si="118"/>
        <v>-253.89273391000003</v>
      </c>
      <c r="CN117" s="29">
        <f t="shared" si="118"/>
        <v>-65.5</v>
      </c>
      <c r="CO117" s="29">
        <f t="shared" si="118"/>
        <v>-62.699999999999996</v>
      </c>
      <c r="CP117" s="29">
        <f t="shared" si="118"/>
        <v>-65.099999999999994</v>
      </c>
      <c r="CQ117" s="29">
        <f t="shared" si="118"/>
        <v>-64.570000000000007</v>
      </c>
      <c r="CR117" s="29">
        <f t="shared" si="118"/>
        <v>-257.87</v>
      </c>
      <c r="CS117" s="29">
        <f t="shared" si="118"/>
        <v>-107.96459988000002</v>
      </c>
      <c r="CT117" s="29">
        <f t="shared" ref="CT117:DT117" si="119">SUM(CT97:CT116)</f>
        <v>-99.202544739999993</v>
      </c>
      <c r="CU117" s="29">
        <f t="shared" si="119"/>
        <v>-106.30096429</v>
      </c>
      <c r="CV117" s="29">
        <f t="shared" si="119"/>
        <v>-113.07856174000003</v>
      </c>
      <c r="CW117" s="29">
        <f t="shared" si="119"/>
        <v>-426.54667065000001</v>
      </c>
      <c r="CX117" s="29">
        <f t="shared" si="119"/>
        <v>-115.19000000000001</v>
      </c>
      <c r="CY117" s="29">
        <f t="shared" si="119"/>
        <v>-114.97799999999998</v>
      </c>
      <c r="CZ117" s="29">
        <f t="shared" si="119"/>
        <v>-125.86</v>
      </c>
      <c r="DA117" s="29">
        <f t="shared" si="119"/>
        <v>-108.68500000000002</v>
      </c>
      <c r="DB117" s="29">
        <f t="shared" si="119"/>
        <v>-464.71300000000002</v>
      </c>
      <c r="DC117" s="29">
        <f t="shared" si="119"/>
        <v>-121.461</v>
      </c>
      <c r="DD117" s="29">
        <f t="shared" si="119"/>
        <v>-127.27000000000002</v>
      </c>
      <c r="DE117" s="29">
        <f t="shared" si="119"/>
        <v>-131.85</v>
      </c>
      <c r="DF117" s="29">
        <f t="shared" si="119"/>
        <v>-128.44099999999997</v>
      </c>
      <c r="DG117" s="29">
        <f t="shared" si="119"/>
        <v>-509.02199999999999</v>
      </c>
      <c r="DH117" s="29">
        <f t="shared" si="119"/>
        <v>-129.90700000000001</v>
      </c>
      <c r="DI117" s="29">
        <f t="shared" si="119"/>
        <v>-117.42399999999999</v>
      </c>
      <c r="DJ117" s="29">
        <f t="shared" si="119"/>
        <v>-135.631</v>
      </c>
      <c r="DK117" s="29">
        <f t="shared" si="119"/>
        <v>-141.90500000000003</v>
      </c>
      <c r="DL117" s="29">
        <f t="shared" si="119"/>
        <v>-524.86699999999996</v>
      </c>
      <c r="DM117" s="29">
        <f t="shared" si="119"/>
        <v>-154.84899999999999</v>
      </c>
      <c r="DN117" s="29">
        <f t="shared" si="119"/>
        <v>-158.33800000000002</v>
      </c>
      <c r="DO117" s="29">
        <f t="shared" si="119"/>
        <v>-161.66500000000002</v>
      </c>
      <c r="DP117" s="29">
        <f t="shared" si="119"/>
        <v>-154.84700000000001</v>
      </c>
      <c r="DQ117" s="29">
        <f t="shared" si="119"/>
        <v>-629.69899999999996</v>
      </c>
      <c r="DR117" s="29">
        <f t="shared" si="119"/>
        <v>-153.50200000000001</v>
      </c>
      <c r="DS117" s="29">
        <f t="shared" si="119"/>
        <v>-145.256</v>
      </c>
      <c r="DT117" s="29">
        <f t="shared" si="119"/>
        <v>-167.59900000000002</v>
      </c>
      <c r="DU117" s="29">
        <f t="shared" ref="DU117:ED117" si="120">SUM(DU97:DU116)</f>
        <v>-186.99100000000001</v>
      </c>
      <c r="DV117" s="29">
        <f t="shared" si="120"/>
        <v>-653.34800000000007</v>
      </c>
      <c r="DW117" s="29">
        <f t="shared" si="120"/>
        <v>-184.321</v>
      </c>
      <c r="DX117" s="29">
        <f t="shared" si="120"/>
        <v>-179.91300000000001</v>
      </c>
      <c r="DY117" s="29">
        <f t="shared" si="120"/>
        <v>-184.60159132999996</v>
      </c>
      <c r="DZ117" s="29">
        <f t="shared" si="120"/>
        <v>-177.15999394000002</v>
      </c>
      <c r="EA117" s="29">
        <f t="shared" si="120"/>
        <v>-725.99558526999988</v>
      </c>
      <c r="EB117" s="29">
        <f t="shared" si="120"/>
        <v>-173.8113769</v>
      </c>
      <c r="EC117" s="29">
        <f t="shared" si="120"/>
        <v>-178.95134535999998</v>
      </c>
      <c r="ED117" s="29">
        <f t="shared" si="120"/>
        <v>-202.53399999999999</v>
      </c>
      <c r="EE117" s="29">
        <f>SUM(EE97:EE116)</f>
        <v>-194.16945510000005</v>
      </c>
      <c r="EF117" s="29">
        <f t="shared" ref="EF117" si="121">SUM(EF97:EF116)</f>
        <v>-749.46617736000007</v>
      </c>
      <c r="EG117" s="29">
        <f>SUM(EG97:EG116)</f>
        <v>-202.22800963999998</v>
      </c>
      <c r="EH117" s="29">
        <f>SUM(EH97:EH116)</f>
        <v>-215.87293876999996</v>
      </c>
      <c r="EI117" s="29">
        <f>SUM(EI97:EI116)</f>
        <v>-229.59078342999999</v>
      </c>
    </row>
    <row r="120" spans="1:139" x14ac:dyDescent="0.3">
      <c r="A120" s="3" t="s">
        <v>317</v>
      </c>
      <c r="B120" s="6" t="s">
        <v>4</v>
      </c>
      <c r="C120" s="6" t="s">
        <v>5</v>
      </c>
      <c r="D120" s="6" t="s">
        <v>6</v>
      </c>
      <c r="E120" s="6" t="s">
        <v>7</v>
      </c>
      <c r="F120" s="6">
        <v>2018</v>
      </c>
      <c r="G120" s="6" t="s">
        <v>8</v>
      </c>
      <c r="H120" s="6" t="s">
        <v>9</v>
      </c>
      <c r="I120" s="6" t="s">
        <v>10</v>
      </c>
      <c r="J120" s="6" t="s">
        <v>11</v>
      </c>
      <c r="K120" s="6">
        <v>2019</v>
      </c>
      <c r="L120" s="6" t="s">
        <v>12</v>
      </c>
      <c r="M120" s="6" t="s">
        <v>13</v>
      </c>
      <c r="N120" s="6" t="s">
        <v>14</v>
      </c>
      <c r="O120" s="6" t="s">
        <v>15</v>
      </c>
      <c r="P120" s="6">
        <v>2000</v>
      </c>
      <c r="Q120" s="6" t="s">
        <v>16</v>
      </c>
      <c r="R120" s="6" t="s">
        <v>17</v>
      </c>
      <c r="S120" s="6" t="s">
        <v>18</v>
      </c>
      <c r="T120" s="6" t="s">
        <v>19</v>
      </c>
      <c r="U120" s="6">
        <v>2001</v>
      </c>
      <c r="V120" s="6" t="s">
        <v>20</v>
      </c>
      <c r="W120" s="6" t="s">
        <v>21</v>
      </c>
      <c r="X120" s="6" t="s">
        <v>22</v>
      </c>
      <c r="Y120" s="6" t="s">
        <v>23</v>
      </c>
      <c r="Z120" s="6">
        <v>2002</v>
      </c>
      <c r="AA120" s="6" t="s">
        <v>24</v>
      </c>
      <c r="AB120" s="6" t="s">
        <v>25</v>
      </c>
      <c r="AC120" s="6" t="s">
        <v>26</v>
      </c>
      <c r="AD120" s="6" t="s">
        <v>27</v>
      </c>
      <c r="AE120" s="6">
        <v>2003</v>
      </c>
      <c r="AF120" s="6" t="s">
        <v>28</v>
      </c>
      <c r="AG120" s="6" t="s">
        <v>29</v>
      </c>
      <c r="AH120" s="6" t="s">
        <v>30</v>
      </c>
      <c r="AI120" s="6" t="s">
        <v>31</v>
      </c>
      <c r="AJ120" s="6">
        <v>2004</v>
      </c>
      <c r="AK120" s="6" t="s">
        <v>32</v>
      </c>
      <c r="AL120" s="6" t="s">
        <v>33</v>
      </c>
      <c r="AM120" s="6" t="s">
        <v>34</v>
      </c>
      <c r="AN120" s="6" t="s">
        <v>35</v>
      </c>
      <c r="AO120" s="6">
        <v>2005</v>
      </c>
      <c r="AP120" s="6" t="s">
        <v>36</v>
      </c>
      <c r="AQ120" s="6" t="s">
        <v>37</v>
      </c>
      <c r="AR120" s="6" t="s">
        <v>38</v>
      </c>
      <c r="AS120" s="6" t="s">
        <v>39</v>
      </c>
      <c r="AT120" s="6">
        <v>2006</v>
      </c>
      <c r="AU120" s="6" t="s">
        <v>40</v>
      </c>
      <c r="AV120" s="6" t="s">
        <v>41</v>
      </c>
      <c r="AW120" s="6" t="s">
        <v>42</v>
      </c>
      <c r="AX120" s="6" t="s">
        <v>43</v>
      </c>
      <c r="AY120" s="6">
        <v>2007</v>
      </c>
      <c r="AZ120" s="6" t="s">
        <v>44</v>
      </c>
      <c r="BA120" s="6" t="s">
        <v>45</v>
      </c>
      <c r="BB120" s="6" t="s">
        <v>46</v>
      </c>
      <c r="BC120" s="6" t="s">
        <v>47</v>
      </c>
      <c r="BD120" s="6">
        <v>2008</v>
      </c>
      <c r="BE120" s="6" t="s">
        <v>48</v>
      </c>
      <c r="BF120" s="6" t="s">
        <v>49</v>
      </c>
      <c r="BG120" s="6" t="s">
        <v>50</v>
      </c>
      <c r="BH120" s="6" t="s">
        <v>51</v>
      </c>
      <c r="BI120" s="6">
        <v>2009</v>
      </c>
      <c r="BJ120" s="6" t="s">
        <v>52</v>
      </c>
      <c r="BK120" s="6" t="s">
        <v>53</v>
      </c>
      <c r="BL120" s="6" t="s">
        <v>54</v>
      </c>
      <c r="BM120" s="6" t="s">
        <v>55</v>
      </c>
      <c r="BN120" s="6">
        <v>2010</v>
      </c>
      <c r="BO120" s="6" t="s">
        <v>56</v>
      </c>
      <c r="BP120" s="6" t="s">
        <v>57</v>
      </c>
      <c r="BQ120" s="6" t="s">
        <v>58</v>
      </c>
      <c r="BR120" s="6" t="s">
        <v>59</v>
      </c>
      <c r="BS120" s="6">
        <v>2011</v>
      </c>
      <c r="BT120" s="6" t="s">
        <v>60</v>
      </c>
      <c r="BU120" s="6" t="s">
        <v>61</v>
      </c>
      <c r="BV120" s="6" t="s">
        <v>62</v>
      </c>
      <c r="BW120" s="6" t="s">
        <v>63</v>
      </c>
      <c r="BX120" s="6">
        <v>2012</v>
      </c>
      <c r="BY120" s="6" t="s">
        <v>64</v>
      </c>
      <c r="BZ120" s="6" t="s">
        <v>65</v>
      </c>
      <c r="CA120" s="6" t="s">
        <v>66</v>
      </c>
      <c r="CB120" s="6" t="s">
        <v>67</v>
      </c>
      <c r="CC120" s="6">
        <v>2013</v>
      </c>
      <c r="CD120" s="6" t="s">
        <v>68</v>
      </c>
      <c r="CE120" s="6" t="s">
        <v>69</v>
      </c>
      <c r="CF120" s="6" t="s">
        <v>70</v>
      </c>
      <c r="CG120" s="6" t="s">
        <v>71</v>
      </c>
      <c r="CH120" s="6">
        <v>2014</v>
      </c>
      <c r="CI120" s="6" t="s">
        <v>72</v>
      </c>
      <c r="CJ120" s="6" t="s">
        <v>73</v>
      </c>
      <c r="CK120" s="6" t="s">
        <v>74</v>
      </c>
      <c r="CL120" s="6" t="s">
        <v>75</v>
      </c>
      <c r="CM120" s="6">
        <v>2015</v>
      </c>
      <c r="CN120" s="6" t="s">
        <v>76</v>
      </c>
      <c r="CO120" s="6" t="s">
        <v>77</v>
      </c>
      <c r="CP120" s="6" t="s">
        <v>78</v>
      </c>
      <c r="CQ120" s="6" t="s">
        <v>79</v>
      </c>
      <c r="CR120" s="6">
        <v>2016</v>
      </c>
      <c r="CS120" s="6" t="s">
        <v>80</v>
      </c>
      <c r="CT120" s="6" t="s">
        <v>81</v>
      </c>
      <c r="CU120" s="6" t="s">
        <v>82</v>
      </c>
      <c r="CV120" s="6" t="s">
        <v>83</v>
      </c>
      <c r="CW120" s="6">
        <v>2017</v>
      </c>
      <c r="CX120" s="6" t="s">
        <v>84</v>
      </c>
      <c r="CY120" s="6" t="s">
        <v>85</v>
      </c>
      <c r="CZ120" s="6" t="s">
        <v>86</v>
      </c>
      <c r="DA120" s="6" t="s">
        <v>87</v>
      </c>
      <c r="DB120" s="6">
        <v>2018</v>
      </c>
      <c r="DC120" s="6" t="s">
        <v>88</v>
      </c>
      <c r="DD120" s="6" t="s">
        <v>89</v>
      </c>
      <c r="DE120" s="6" t="s">
        <v>90</v>
      </c>
      <c r="DF120" s="6" t="s">
        <v>91</v>
      </c>
      <c r="DG120" s="6">
        <v>2019</v>
      </c>
      <c r="DH120" s="6" t="s">
        <v>92</v>
      </c>
      <c r="DI120" s="6" t="s">
        <v>93</v>
      </c>
      <c r="DJ120" s="6" t="s">
        <v>94</v>
      </c>
      <c r="DK120" s="6" t="s">
        <v>95</v>
      </c>
      <c r="DL120" s="6">
        <v>2020</v>
      </c>
      <c r="DM120" s="6" t="s">
        <v>96</v>
      </c>
      <c r="DN120" s="6" t="s">
        <v>97</v>
      </c>
      <c r="DO120" s="6" t="s">
        <v>98</v>
      </c>
      <c r="DP120" s="6" t="s">
        <v>99</v>
      </c>
      <c r="DQ120" s="6">
        <v>2021</v>
      </c>
      <c r="DR120" s="6" t="s">
        <v>100</v>
      </c>
      <c r="DS120" s="6" t="s">
        <v>101</v>
      </c>
      <c r="DT120" s="6" t="s">
        <v>200</v>
      </c>
      <c r="DU120" s="6" t="s">
        <v>380</v>
      </c>
      <c r="DV120" s="6">
        <v>2022</v>
      </c>
      <c r="DW120" s="6" t="s">
        <v>379</v>
      </c>
      <c r="DX120" s="6" t="s">
        <v>402</v>
      </c>
      <c r="DY120" s="6" t="s">
        <v>414</v>
      </c>
      <c r="DZ120" s="6" t="s">
        <v>419</v>
      </c>
      <c r="EA120" s="6">
        <v>2023</v>
      </c>
      <c r="EB120" s="6" t="s">
        <v>424</v>
      </c>
      <c r="EC120" s="6" t="s">
        <v>429</v>
      </c>
      <c r="ED120" s="6" t="str">
        <f>$ED$1</f>
        <v>3T24</v>
      </c>
      <c r="EE120" s="6" t="str">
        <f>$EE$1</f>
        <v>4T24</v>
      </c>
      <c r="EF120" s="6">
        <f>$EF$1</f>
        <v>2024</v>
      </c>
      <c r="EG120" s="6" t="str">
        <f>EG$1</f>
        <v>1T25</v>
      </c>
      <c r="EH120" s="6" t="str">
        <f>EH$1</f>
        <v>2T25</v>
      </c>
      <c r="EI120" s="6" t="str">
        <f>EI$1</f>
        <v>3T25</v>
      </c>
    </row>
    <row r="121" spans="1:139" ht="15" thickBot="1" x14ac:dyDescent="0.35">
      <c r="A121" s="4" t="s">
        <v>318</v>
      </c>
      <c r="B121" s="7" t="s">
        <v>102</v>
      </c>
      <c r="C121" s="7" t="s">
        <v>103</v>
      </c>
      <c r="D121" s="7" t="s">
        <v>104</v>
      </c>
      <c r="E121" s="7" t="s">
        <v>105</v>
      </c>
      <c r="F121" s="7">
        <v>2018</v>
      </c>
      <c r="G121" s="7" t="s">
        <v>106</v>
      </c>
      <c r="H121" s="7" t="s">
        <v>107</v>
      </c>
      <c r="I121" s="7" t="s">
        <v>108</v>
      </c>
      <c r="J121" s="7" t="s">
        <v>109</v>
      </c>
      <c r="K121" s="7">
        <v>2019</v>
      </c>
      <c r="L121" s="7" t="s">
        <v>110</v>
      </c>
      <c r="M121" s="7" t="s">
        <v>111</v>
      </c>
      <c r="N121" s="7" t="s">
        <v>112</v>
      </c>
      <c r="O121" s="7" t="s">
        <v>113</v>
      </c>
      <c r="P121" s="7">
        <v>2000</v>
      </c>
      <c r="Q121" s="7" t="s">
        <v>114</v>
      </c>
      <c r="R121" s="7" t="s">
        <v>115</v>
      </c>
      <c r="S121" s="7" t="s">
        <v>116</v>
      </c>
      <c r="T121" s="7" t="s">
        <v>117</v>
      </c>
      <c r="U121" s="7">
        <v>2001</v>
      </c>
      <c r="V121" s="7" t="s">
        <v>118</v>
      </c>
      <c r="W121" s="7" t="s">
        <v>119</v>
      </c>
      <c r="X121" s="7" t="s">
        <v>120</v>
      </c>
      <c r="Y121" s="7" t="s">
        <v>121</v>
      </c>
      <c r="Z121" s="7">
        <v>2002</v>
      </c>
      <c r="AA121" s="7" t="s">
        <v>122</v>
      </c>
      <c r="AB121" s="7" t="s">
        <v>123</v>
      </c>
      <c r="AC121" s="7" t="s">
        <v>124</v>
      </c>
      <c r="AD121" s="7" t="s">
        <v>125</v>
      </c>
      <c r="AE121" s="7">
        <v>2003</v>
      </c>
      <c r="AF121" s="7" t="s">
        <v>126</v>
      </c>
      <c r="AG121" s="7" t="s">
        <v>127</v>
      </c>
      <c r="AH121" s="7" t="s">
        <v>128</v>
      </c>
      <c r="AI121" s="7" t="s">
        <v>129</v>
      </c>
      <c r="AJ121" s="7">
        <v>2004</v>
      </c>
      <c r="AK121" s="7" t="s">
        <v>130</v>
      </c>
      <c r="AL121" s="7" t="s">
        <v>131</v>
      </c>
      <c r="AM121" s="7" t="s">
        <v>132</v>
      </c>
      <c r="AN121" s="7" t="s">
        <v>133</v>
      </c>
      <c r="AO121" s="7">
        <v>2005</v>
      </c>
      <c r="AP121" s="7" t="s">
        <v>134</v>
      </c>
      <c r="AQ121" s="7" t="s">
        <v>135</v>
      </c>
      <c r="AR121" s="7" t="s">
        <v>136</v>
      </c>
      <c r="AS121" s="7" t="s">
        <v>137</v>
      </c>
      <c r="AT121" s="7">
        <v>2006</v>
      </c>
      <c r="AU121" s="7" t="s">
        <v>138</v>
      </c>
      <c r="AV121" s="7" t="s">
        <v>139</v>
      </c>
      <c r="AW121" s="7" t="s">
        <v>140</v>
      </c>
      <c r="AX121" s="7" t="s">
        <v>141</v>
      </c>
      <c r="AY121" s="7">
        <v>2007</v>
      </c>
      <c r="AZ121" s="7" t="s">
        <v>142</v>
      </c>
      <c r="BA121" s="7" t="s">
        <v>143</v>
      </c>
      <c r="BB121" s="7" t="s">
        <v>144</v>
      </c>
      <c r="BC121" s="7" t="s">
        <v>145</v>
      </c>
      <c r="BD121" s="7">
        <v>2008</v>
      </c>
      <c r="BE121" s="7" t="s">
        <v>146</v>
      </c>
      <c r="BF121" s="7" t="s">
        <v>147</v>
      </c>
      <c r="BG121" s="7" t="s">
        <v>148</v>
      </c>
      <c r="BH121" s="7" t="s">
        <v>149</v>
      </c>
      <c r="BI121" s="7">
        <v>2009</v>
      </c>
      <c r="BJ121" s="7" t="s">
        <v>150</v>
      </c>
      <c r="BK121" s="7" t="s">
        <v>151</v>
      </c>
      <c r="BL121" s="7" t="s">
        <v>152</v>
      </c>
      <c r="BM121" s="7" t="s">
        <v>153</v>
      </c>
      <c r="BN121" s="7">
        <v>2010</v>
      </c>
      <c r="BO121" s="7" t="s">
        <v>154</v>
      </c>
      <c r="BP121" s="7" t="s">
        <v>155</v>
      </c>
      <c r="BQ121" s="7" t="s">
        <v>156</v>
      </c>
      <c r="BR121" s="7" t="s">
        <v>157</v>
      </c>
      <c r="BS121" s="7">
        <v>2011</v>
      </c>
      <c r="BT121" s="7" t="s">
        <v>158</v>
      </c>
      <c r="BU121" s="7" t="s">
        <v>159</v>
      </c>
      <c r="BV121" s="7" t="s">
        <v>160</v>
      </c>
      <c r="BW121" s="7" t="s">
        <v>161</v>
      </c>
      <c r="BX121" s="7">
        <v>2012</v>
      </c>
      <c r="BY121" s="7" t="s">
        <v>162</v>
      </c>
      <c r="BZ121" s="7" t="s">
        <v>163</v>
      </c>
      <c r="CA121" s="7" t="s">
        <v>164</v>
      </c>
      <c r="CB121" s="7" t="s">
        <v>165</v>
      </c>
      <c r="CC121" s="7">
        <v>2013</v>
      </c>
      <c r="CD121" s="7" t="s">
        <v>166</v>
      </c>
      <c r="CE121" s="7" t="s">
        <v>167</v>
      </c>
      <c r="CF121" s="7" t="s">
        <v>168</v>
      </c>
      <c r="CG121" s="7" t="s">
        <v>169</v>
      </c>
      <c r="CH121" s="7">
        <v>2014</v>
      </c>
      <c r="CI121" s="7" t="s">
        <v>170</v>
      </c>
      <c r="CJ121" s="7" t="s">
        <v>171</v>
      </c>
      <c r="CK121" s="7" t="s">
        <v>172</v>
      </c>
      <c r="CL121" s="7" t="s">
        <v>173</v>
      </c>
      <c r="CM121" s="7">
        <v>2015</v>
      </c>
      <c r="CN121" s="7" t="s">
        <v>174</v>
      </c>
      <c r="CO121" s="7" t="s">
        <v>175</v>
      </c>
      <c r="CP121" s="7" t="s">
        <v>176</v>
      </c>
      <c r="CQ121" s="7" t="s">
        <v>177</v>
      </c>
      <c r="CR121" s="7">
        <v>2016</v>
      </c>
      <c r="CS121" s="7" t="s">
        <v>178</v>
      </c>
      <c r="CT121" s="7" t="s">
        <v>179</v>
      </c>
      <c r="CU121" s="7" t="s">
        <v>180</v>
      </c>
      <c r="CV121" s="7" t="s">
        <v>181</v>
      </c>
      <c r="CW121" s="7">
        <v>2017</v>
      </c>
      <c r="CX121" s="7" t="s">
        <v>182</v>
      </c>
      <c r="CY121" s="7" t="s">
        <v>183</v>
      </c>
      <c r="CZ121" s="7" t="s">
        <v>184</v>
      </c>
      <c r="DA121" s="7" t="s">
        <v>185</v>
      </c>
      <c r="DB121" s="7">
        <v>2018</v>
      </c>
      <c r="DC121" s="7" t="s">
        <v>186</v>
      </c>
      <c r="DD121" s="7" t="s">
        <v>187</v>
      </c>
      <c r="DE121" s="7" t="s">
        <v>188</v>
      </c>
      <c r="DF121" s="7" t="s">
        <v>189</v>
      </c>
      <c r="DG121" s="7">
        <v>2019</v>
      </c>
      <c r="DH121" s="7" t="s">
        <v>190</v>
      </c>
      <c r="DI121" s="7" t="s">
        <v>191</v>
      </c>
      <c r="DJ121" s="7" t="s">
        <v>192</v>
      </c>
      <c r="DK121" s="7" t="s">
        <v>193</v>
      </c>
      <c r="DL121" s="7">
        <v>2020</v>
      </c>
      <c r="DM121" s="7" t="s">
        <v>194</v>
      </c>
      <c r="DN121" s="7" t="s">
        <v>195</v>
      </c>
      <c r="DO121" s="7" t="s">
        <v>196</v>
      </c>
      <c r="DP121" s="7" t="s">
        <v>197</v>
      </c>
      <c r="DQ121" s="7">
        <v>2021</v>
      </c>
      <c r="DR121" s="7" t="s">
        <v>198</v>
      </c>
      <c r="DS121" s="7" t="s">
        <v>199</v>
      </c>
      <c r="DT121" s="7" t="s">
        <v>201</v>
      </c>
      <c r="DU121" s="7" t="s">
        <v>381</v>
      </c>
      <c r="DV121" s="7">
        <v>2022</v>
      </c>
      <c r="DW121" s="7" t="s">
        <v>382</v>
      </c>
      <c r="DX121" s="7" t="s">
        <v>403</v>
      </c>
      <c r="DY121" s="7" t="s">
        <v>415</v>
      </c>
      <c r="DZ121" s="7" t="s">
        <v>420</v>
      </c>
      <c r="EA121" s="7">
        <v>2023</v>
      </c>
      <c r="EB121" s="7" t="s">
        <v>425</v>
      </c>
      <c r="EC121" s="7" t="s">
        <v>430</v>
      </c>
      <c r="ED121" s="6" t="str">
        <f>$ED$2</f>
        <v>3Q24</v>
      </c>
      <c r="EE121" s="7" t="str">
        <f>$EE$2</f>
        <v>4Q24</v>
      </c>
      <c r="EF121" s="7">
        <f>$EF$2</f>
        <v>2024</v>
      </c>
      <c r="EG121" s="7" t="str">
        <f>EG$2</f>
        <v>1Q25</v>
      </c>
      <c r="EH121" s="7" t="str">
        <f>EH$2</f>
        <v>2Q25</v>
      </c>
      <c r="EI121" s="7" t="str">
        <f>EI$2</f>
        <v>3Q25</v>
      </c>
    </row>
    <row r="122" spans="1:139" ht="15" thickTop="1" x14ac:dyDescent="0.3">
      <c r="A122" s="1" t="s">
        <v>2</v>
      </c>
      <c r="B122" s="30">
        <f t="shared" ref="B122:AG122" si="122">B3+B97</f>
        <v>0</v>
      </c>
      <c r="C122" s="30">
        <f t="shared" si="122"/>
        <v>0</v>
      </c>
      <c r="D122" s="30">
        <f t="shared" si="122"/>
        <v>0</v>
      </c>
      <c r="E122" s="30">
        <f t="shared" si="122"/>
        <v>0</v>
      </c>
      <c r="F122" s="30">
        <f t="shared" si="122"/>
        <v>0</v>
      </c>
      <c r="G122" s="30">
        <f t="shared" si="122"/>
        <v>0</v>
      </c>
      <c r="H122" s="30">
        <f t="shared" si="122"/>
        <v>0</v>
      </c>
      <c r="I122" s="30">
        <f t="shared" si="122"/>
        <v>0</v>
      </c>
      <c r="J122" s="30">
        <f t="shared" si="122"/>
        <v>0</v>
      </c>
      <c r="K122" s="30">
        <f t="shared" si="122"/>
        <v>0</v>
      </c>
      <c r="L122" s="30">
        <f t="shared" si="122"/>
        <v>0</v>
      </c>
      <c r="M122" s="30">
        <f t="shared" si="122"/>
        <v>0</v>
      </c>
      <c r="N122" s="30">
        <f t="shared" si="122"/>
        <v>0</v>
      </c>
      <c r="O122" s="30">
        <f t="shared" si="122"/>
        <v>0</v>
      </c>
      <c r="P122" s="30">
        <f t="shared" si="122"/>
        <v>0</v>
      </c>
      <c r="Q122" s="30">
        <f t="shared" si="122"/>
        <v>0</v>
      </c>
      <c r="R122" s="30">
        <f t="shared" si="122"/>
        <v>0</v>
      </c>
      <c r="S122" s="30">
        <f t="shared" si="122"/>
        <v>0</v>
      </c>
      <c r="T122" s="30">
        <f t="shared" si="122"/>
        <v>0</v>
      </c>
      <c r="U122" s="30">
        <f t="shared" si="122"/>
        <v>0</v>
      </c>
      <c r="V122" s="30">
        <f t="shared" si="122"/>
        <v>0</v>
      </c>
      <c r="W122" s="30">
        <f t="shared" si="122"/>
        <v>0</v>
      </c>
      <c r="X122" s="30">
        <f t="shared" si="122"/>
        <v>0</v>
      </c>
      <c r="Y122" s="30">
        <f t="shared" si="122"/>
        <v>0</v>
      </c>
      <c r="Z122" s="30">
        <f t="shared" si="122"/>
        <v>0</v>
      </c>
      <c r="AA122" s="30">
        <f t="shared" si="122"/>
        <v>0</v>
      </c>
      <c r="AB122" s="30">
        <f t="shared" si="122"/>
        <v>0</v>
      </c>
      <c r="AC122" s="30">
        <f t="shared" si="122"/>
        <v>0</v>
      </c>
      <c r="AD122" s="30">
        <f t="shared" si="122"/>
        <v>0</v>
      </c>
      <c r="AE122" s="30">
        <f t="shared" si="122"/>
        <v>0</v>
      </c>
      <c r="AF122" s="30">
        <f t="shared" si="122"/>
        <v>0</v>
      </c>
      <c r="AG122" s="30">
        <f t="shared" si="122"/>
        <v>0</v>
      </c>
      <c r="AH122" s="30">
        <f t="shared" ref="AH122:BM122" si="123">AH3+AH97</f>
        <v>0</v>
      </c>
      <c r="AI122" s="30">
        <f t="shared" si="123"/>
        <v>0</v>
      </c>
      <c r="AJ122" s="30">
        <f t="shared" si="123"/>
        <v>0</v>
      </c>
      <c r="AK122" s="30">
        <f t="shared" si="123"/>
        <v>0</v>
      </c>
      <c r="AL122" s="30">
        <f t="shared" si="123"/>
        <v>0</v>
      </c>
      <c r="AM122" s="30">
        <f t="shared" si="123"/>
        <v>0</v>
      </c>
      <c r="AN122" s="30">
        <f t="shared" si="123"/>
        <v>0</v>
      </c>
      <c r="AO122" s="30">
        <f t="shared" si="123"/>
        <v>0</v>
      </c>
      <c r="AP122" s="30">
        <f t="shared" si="123"/>
        <v>0</v>
      </c>
      <c r="AQ122" s="30">
        <f t="shared" si="123"/>
        <v>0</v>
      </c>
      <c r="AR122" s="30">
        <f t="shared" si="123"/>
        <v>0</v>
      </c>
      <c r="AS122" s="30">
        <f t="shared" si="123"/>
        <v>0</v>
      </c>
      <c r="AT122" s="30">
        <f t="shared" si="123"/>
        <v>0</v>
      </c>
      <c r="AU122" s="30">
        <f t="shared" si="123"/>
        <v>0</v>
      </c>
      <c r="AV122" s="30">
        <f t="shared" si="123"/>
        <v>0</v>
      </c>
      <c r="AW122" s="30">
        <f t="shared" si="123"/>
        <v>0</v>
      </c>
      <c r="AX122" s="30">
        <f t="shared" si="123"/>
        <v>0</v>
      </c>
      <c r="AY122" s="30">
        <f t="shared" si="123"/>
        <v>0</v>
      </c>
      <c r="AZ122" s="30">
        <f t="shared" si="123"/>
        <v>0</v>
      </c>
      <c r="BA122" s="30">
        <f t="shared" si="123"/>
        <v>0</v>
      </c>
      <c r="BB122" s="30">
        <f t="shared" si="123"/>
        <v>0</v>
      </c>
      <c r="BC122" s="30">
        <f t="shared" si="123"/>
        <v>0</v>
      </c>
      <c r="BD122" s="30">
        <f t="shared" si="123"/>
        <v>0</v>
      </c>
      <c r="BE122" s="30">
        <f t="shared" si="123"/>
        <v>0</v>
      </c>
      <c r="BF122" s="30">
        <f t="shared" si="123"/>
        <v>0</v>
      </c>
      <c r="BG122" s="30">
        <f t="shared" si="123"/>
        <v>0</v>
      </c>
      <c r="BH122" s="30">
        <f t="shared" si="123"/>
        <v>0</v>
      </c>
      <c r="BI122" s="30">
        <f t="shared" si="123"/>
        <v>0</v>
      </c>
      <c r="BJ122" s="27">
        <f t="shared" si="123"/>
        <v>52.025000000000006</v>
      </c>
      <c r="BK122" s="27">
        <f t="shared" si="123"/>
        <v>33.432946700000002</v>
      </c>
      <c r="BL122" s="27">
        <f t="shared" si="123"/>
        <v>37.342053299999996</v>
      </c>
      <c r="BM122" s="27">
        <f t="shared" si="123"/>
        <v>35</v>
      </c>
      <c r="BN122" s="27">
        <f t="shared" ref="BN122:CS122" si="124">BN3+BN97</f>
        <v>157.79999999999998</v>
      </c>
      <c r="BO122" s="27">
        <f t="shared" si="124"/>
        <v>41.556694199999988</v>
      </c>
      <c r="BP122" s="27">
        <f t="shared" si="124"/>
        <v>44.629503899999989</v>
      </c>
      <c r="BQ122" s="27">
        <f t="shared" si="124"/>
        <v>47.663956299999988</v>
      </c>
      <c r="BR122" s="27">
        <f t="shared" si="124"/>
        <v>45.497812980000013</v>
      </c>
      <c r="BS122" s="27">
        <f t="shared" si="124"/>
        <v>179.34796738</v>
      </c>
      <c r="BT122" s="27">
        <f t="shared" si="124"/>
        <v>50.5</v>
      </c>
      <c r="BU122" s="27">
        <f t="shared" si="124"/>
        <v>48.981151600000004</v>
      </c>
      <c r="BV122" s="27">
        <f t="shared" si="124"/>
        <v>56.1660629</v>
      </c>
      <c r="BW122" s="27">
        <f t="shared" si="124"/>
        <v>52.700808599999981</v>
      </c>
      <c r="BX122" s="27">
        <f t="shared" si="124"/>
        <v>208.34802309999998</v>
      </c>
      <c r="BY122" s="27">
        <f t="shared" si="124"/>
        <v>50.3</v>
      </c>
      <c r="BZ122" s="27">
        <f t="shared" si="124"/>
        <v>62.300000000000004</v>
      </c>
      <c r="CA122" s="27">
        <f t="shared" si="124"/>
        <v>54.599999999999994</v>
      </c>
      <c r="CB122" s="27">
        <f t="shared" si="124"/>
        <v>51.699999999999996</v>
      </c>
      <c r="CC122" s="27">
        <f t="shared" si="124"/>
        <v>218.90000000000003</v>
      </c>
      <c r="CD122" s="27">
        <f t="shared" si="124"/>
        <v>64</v>
      </c>
      <c r="CE122" s="27">
        <f t="shared" si="124"/>
        <v>61.890880840000008</v>
      </c>
      <c r="CF122" s="27">
        <f t="shared" si="124"/>
        <v>59.300000000000011</v>
      </c>
      <c r="CG122" s="27">
        <f t="shared" si="124"/>
        <v>63.599999999999994</v>
      </c>
      <c r="CH122" s="27">
        <f t="shared" si="124"/>
        <v>248.79088084000003</v>
      </c>
      <c r="CI122" s="27">
        <f t="shared" si="124"/>
        <v>71.2</v>
      </c>
      <c r="CJ122" s="27">
        <f t="shared" si="124"/>
        <v>71.8</v>
      </c>
      <c r="CK122" s="27">
        <f t="shared" si="124"/>
        <v>67.610618580000008</v>
      </c>
      <c r="CL122" s="27">
        <f t="shared" si="124"/>
        <v>58.02893443</v>
      </c>
      <c r="CM122" s="27">
        <f t="shared" si="124"/>
        <v>268.63955301000004</v>
      </c>
      <c r="CN122" s="27">
        <f t="shared" si="124"/>
        <v>76.100000000000009</v>
      </c>
      <c r="CO122" s="27">
        <f t="shared" si="124"/>
        <v>59.399999999999991</v>
      </c>
      <c r="CP122" s="27">
        <f t="shared" si="124"/>
        <v>56.300000000000004</v>
      </c>
      <c r="CQ122" s="27">
        <f t="shared" si="124"/>
        <v>56.200000000000017</v>
      </c>
      <c r="CR122" s="27">
        <f t="shared" si="124"/>
        <v>248</v>
      </c>
      <c r="CS122" s="27">
        <f t="shared" si="124"/>
        <v>77.57311227000001</v>
      </c>
      <c r="CT122" s="27">
        <f t="shared" ref="CT122:DW122" si="125">CT3+CT97</f>
        <v>70.546690409999997</v>
      </c>
      <c r="CU122" s="27">
        <f t="shared" si="125"/>
        <v>81.184568330000033</v>
      </c>
      <c r="CV122" s="27">
        <f t="shared" si="125"/>
        <v>70.450812579999976</v>
      </c>
      <c r="CW122" s="27">
        <f t="shared" si="125"/>
        <v>299.75518359</v>
      </c>
      <c r="CX122" s="27">
        <f t="shared" si="125"/>
        <v>80.474999999999994</v>
      </c>
      <c r="CY122" s="27">
        <f t="shared" si="125"/>
        <v>65.701000000000008</v>
      </c>
      <c r="CZ122" s="27">
        <f t="shared" si="125"/>
        <v>70.086999999999989</v>
      </c>
      <c r="DA122" s="27">
        <f t="shared" si="125"/>
        <v>70.132999999999996</v>
      </c>
      <c r="DB122" s="27">
        <f t="shared" si="125"/>
        <v>286.39600000000002</v>
      </c>
      <c r="DC122" s="27">
        <f t="shared" si="125"/>
        <v>71.793000000000006</v>
      </c>
      <c r="DD122" s="27">
        <f t="shared" si="125"/>
        <v>64.478999999999999</v>
      </c>
      <c r="DE122" s="27">
        <f t="shared" si="125"/>
        <v>69.063999999999993</v>
      </c>
      <c r="DF122" s="27">
        <f t="shared" si="125"/>
        <v>74.048000000000002</v>
      </c>
      <c r="DG122" s="27">
        <f t="shared" si="125"/>
        <v>279.38400000000001</v>
      </c>
      <c r="DH122" s="27">
        <f t="shared" si="125"/>
        <v>85.689000000000007</v>
      </c>
      <c r="DI122" s="27">
        <f t="shared" si="125"/>
        <v>73.212000000000003</v>
      </c>
      <c r="DJ122" s="27">
        <f t="shared" si="125"/>
        <v>76.326000000000008</v>
      </c>
      <c r="DK122" s="27">
        <f t="shared" si="125"/>
        <v>75.981999999999999</v>
      </c>
      <c r="DL122" s="27">
        <f t="shared" si="125"/>
        <v>311.209</v>
      </c>
      <c r="DM122" s="27">
        <f t="shared" si="125"/>
        <v>79.271000000000001</v>
      </c>
      <c r="DN122" s="27">
        <f t="shared" si="125"/>
        <v>78.643999999999991</v>
      </c>
      <c r="DO122" s="27">
        <f t="shared" si="125"/>
        <v>83.643000000000001</v>
      </c>
      <c r="DP122" s="27">
        <f t="shared" si="125"/>
        <v>51.906999999999996</v>
      </c>
      <c r="DQ122" s="27">
        <f t="shared" si="125"/>
        <v>293.46499999999997</v>
      </c>
      <c r="DR122" s="27">
        <f t="shared" si="125"/>
        <v>0</v>
      </c>
      <c r="DS122" s="27">
        <f t="shared" si="125"/>
        <v>0</v>
      </c>
      <c r="DT122" s="27">
        <f t="shared" si="125"/>
        <v>0</v>
      </c>
      <c r="DU122" s="27">
        <f t="shared" si="125"/>
        <v>0</v>
      </c>
      <c r="DV122" s="27">
        <f t="shared" si="125"/>
        <v>0</v>
      </c>
      <c r="DW122" s="27">
        <f t="shared" si="125"/>
        <v>0</v>
      </c>
      <c r="DX122" s="27">
        <f t="shared" ref="DX122:ED134" si="126">DX3+DX97</f>
        <v>0</v>
      </c>
      <c r="DY122" s="27">
        <f t="shared" si="126"/>
        <v>0</v>
      </c>
      <c r="DZ122" s="27">
        <f t="shared" si="126"/>
        <v>0</v>
      </c>
      <c r="EA122" s="27">
        <f t="shared" si="126"/>
        <v>0</v>
      </c>
      <c r="EB122" s="27">
        <f t="shared" si="126"/>
        <v>0</v>
      </c>
      <c r="EC122" s="27">
        <f t="shared" si="126"/>
        <v>0</v>
      </c>
      <c r="ED122" s="27">
        <f t="shared" si="126"/>
        <v>0</v>
      </c>
      <c r="EE122" s="27">
        <f t="shared" ref="EE122" si="127">EE3+EE97</f>
        <v>0</v>
      </c>
      <c r="EF122" s="27">
        <f>SUM(EB122:EE122)</f>
        <v>0</v>
      </c>
      <c r="EG122" s="27">
        <f t="shared" ref="EG122" si="128">EG3+EG97</f>
        <v>0</v>
      </c>
      <c r="EH122" s="27">
        <v>0</v>
      </c>
      <c r="EI122" s="27">
        <f t="shared" ref="EI122" si="129">EI3+EI97</f>
        <v>0</v>
      </c>
    </row>
    <row r="123" spans="1:139" ht="15" thickBot="1" x14ac:dyDescent="0.35">
      <c r="A123" s="2" t="s">
        <v>454</v>
      </c>
      <c r="B123" s="31">
        <f t="shared" ref="B123:AG123" si="130">B4+B98</f>
        <v>0</v>
      </c>
      <c r="C123" s="31">
        <f t="shared" si="130"/>
        <v>0</v>
      </c>
      <c r="D123" s="31">
        <f t="shared" si="130"/>
        <v>0</v>
      </c>
      <c r="E123" s="31">
        <f t="shared" si="130"/>
        <v>0</v>
      </c>
      <c r="F123" s="31">
        <f t="shared" si="130"/>
        <v>0</v>
      </c>
      <c r="G123" s="31">
        <f t="shared" si="130"/>
        <v>0</v>
      </c>
      <c r="H123" s="31">
        <f t="shared" si="130"/>
        <v>0</v>
      </c>
      <c r="I123" s="31">
        <f t="shared" si="130"/>
        <v>0</v>
      </c>
      <c r="J123" s="31">
        <f t="shared" si="130"/>
        <v>0</v>
      </c>
      <c r="K123" s="31">
        <f t="shared" si="130"/>
        <v>0</v>
      </c>
      <c r="L123" s="31">
        <f t="shared" si="130"/>
        <v>0</v>
      </c>
      <c r="M123" s="31">
        <f t="shared" si="130"/>
        <v>0</v>
      </c>
      <c r="N123" s="31">
        <f t="shared" si="130"/>
        <v>0</v>
      </c>
      <c r="O123" s="31">
        <f t="shared" si="130"/>
        <v>0</v>
      </c>
      <c r="P123" s="31">
        <f t="shared" si="130"/>
        <v>0</v>
      </c>
      <c r="Q123" s="31">
        <f t="shared" si="130"/>
        <v>0</v>
      </c>
      <c r="R123" s="31">
        <f t="shared" si="130"/>
        <v>0</v>
      </c>
      <c r="S123" s="31">
        <f t="shared" si="130"/>
        <v>0</v>
      </c>
      <c r="T123" s="31">
        <f t="shared" si="130"/>
        <v>0</v>
      </c>
      <c r="U123" s="31">
        <f t="shared" si="130"/>
        <v>0</v>
      </c>
      <c r="V123" s="31">
        <f t="shared" si="130"/>
        <v>0</v>
      </c>
      <c r="W123" s="31">
        <f t="shared" si="130"/>
        <v>0</v>
      </c>
      <c r="X123" s="31">
        <f t="shared" si="130"/>
        <v>0</v>
      </c>
      <c r="Y123" s="31">
        <f t="shared" si="130"/>
        <v>0</v>
      </c>
      <c r="Z123" s="31">
        <f t="shared" si="130"/>
        <v>0</v>
      </c>
      <c r="AA123" s="31">
        <f t="shared" si="130"/>
        <v>0</v>
      </c>
      <c r="AB123" s="31">
        <f t="shared" si="130"/>
        <v>0</v>
      </c>
      <c r="AC123" s="31">
        <f t="shared" si="130"/>
        <v>0</v>
      </c>
      <c r="AD123" s="31">
        <f t="shared" si="130"/>
        <v>0</v>
      </c>
      <c r="AE123" s="31">
        <f t="shared" si="130"/>
        <v>0</v>
      </c>
      <c r="AF123" s="31">
        <f t="shared" si="130"/>
        <v>0</v>
      </c>
      <c r="AG123" s="31">
        <f t="shared" si="130"/>
        <v>0</v>
      </c>
      <c r="AH123" s="31">
        <f t="shared" ref="AH123:BM123" si="131">AH4+AH98</f>
        <v>0</v>
      </c>
      <c r="AI123" s="31">
        <f t="shared" si="131"/>
        <v>0</v>
      </c>
      <c r="AJ123" s="31">
        <f t="shared" si="131"/>
        <v>0</v>
      </c>
      <c r="AK123" s="31">
        <f t="shared" si="131"/>
        <v>0</v>
      </c>
      <c r="AL123" s="31">
        <f t="shared" si="131"/>
        <v>0</v>
      </c>
      <c r="AM123" s="31">
        <f t="shared" si="131"/>
        <v>0</v>
      </c>
      <c r="AN123" s="31">
        <f t="shared" si="131"/>
        <v>0</v>
      </c>
      <c r="AO123" s="31">
        <f t="shared" si="131"/>
        <v>0</v>
      </c>
      <c r="AP123" s="31">
        <f t="shared" si="131"/>
        <v>0</v>
      </c>
      <c r="AQ123" s="31">
        <f t="shared" si="131"/>
        <v>0</v>
      </c>
      <c r="AR123" s="31">
        <f t="shared" si="131"/>
        <v>0</v>
      </c>
      <c r="AS123" s="31">
        <f t="shared" si="131"/>
        <v>0</v>
      </c>
      <c r="AT123" s="31">
        <f t="shared" si="131"/>
        <v>0</v>
      </c>
      <c r="AU123" s="31">
        <f t="shared" si="131"/>
        <v>0</v>
      </c>
      <c r="AV123" s="31">
        <f t="shared" si="131"/>
        <v>0</v>
      </c>
      <c r="AW123" s="31">
        <f t="shared" si="131"/>
        <v>0</v>
      </c>
      <c r="AX123" s="31">
        <f t="shared" si="131"/>
        <v>0</v>
      </c>
      <c r="AY123" s="31">
        <f t="shared" si="131"/>
        <v>0</v>
      </c>
      <c r="AZ123" s="31">
        <f t="shared" si="131"/>
        <v>0</v>
      </c>
      <c r="BA123" s="31">
        <f t="shared" si="131"/>
        <v>0</v>
      </c>
      <c r="BB123" s="31">
        <f t="shared" si="131"/>
        <v>0</v>
      </c>
      <c r="BC123" s="31">
        <f t="shared" si="131"/>
        <v>0</v>
      </c>
      <c r="BD123" s="31">
        <f t="shared" si="131"/>
        <v>0</v>
      </c>
      <c r="BE123" s="31">
        <f t="shared" si="131"/>
        <v>0</v>
      </c>
      <c r="BF123" s="31">
        <f t="shared" si="131"/>
        <v>0</v>
      </c>
      <c r="BG123" s="31">
        <f t="shared" si="131"/>
        <v>0</v>
      </c>
      <c r="BH123" s="31">
        <f t="shared" si="131"/>
        <v>0</v>
      </c>
      <c r="BI123" s="31">
        <f t="shared" si="131"/>
        <v>0</v>
      </c>
      <c r="BJ123" s="28">
        <f t="shared" si="131"/>
        <v>27.131</v>
      </c>
      <c r="BK123" s="28">
        <f t="shared" si="131"/>
        <v>33.408002599999996</v>
      </c>
      <c r="BL123" s="28">
        <f t="shared" si="131"/>
        <v>30.700997399999999</v>
      </c>
      <c r="BM123" s="28">
        <f t="shared" si="131"/>
        <v>29.800000000000011</v>
      </c>
      <c r="BN123" s="28">
        <f t="shared" ref="BN123:CS123" si="132">BN4+BN98</f>
        <v>121.04</v>
      </c>
      <c r="BO123" s="28">
        <f t="shared" si="132"/>
        <v>34.640730800000007</v>
      </c>
      <c r="BP123" s="28">
        <f t="shared" si="132"/>
        <v>45.618428390000012</v>
      </c>
      <c r="BQ123" s="28">
        <f t="shared" si="132"/>
        <v>39.25987580000001</v>
      </c>
      <c r="BR123" s="28">
        <f t="shared" si="132"/>
        <v>36.994293000000006</v>
      </c>
      <c r="BS123" s="28">
        <f t="shared" si="132"/>
        <v>156.51332799000002</v>
      </c>
      <c r="BT123" s="28">
        <f t="shared" si="132"/>
        <v>36.400000000000006</v>
      </c>
      <c r="BU123" s="28">
        <f t="shared" si="132"/>
        <v>45.622187000000004</v>
      </c>
      <c r="BV123" s="28">
        <f t="shared" si="132"/>
        <v>41.621157099999991</v>
      </c>
      <c r="BW123" s="28">
        <f t="shared" si="132"/>
        <v>41.658166200000032</v>
      </c>
      <c r="BX123" s="28">
        <f t="shared" si="132"/>
        <v>165.30151030000002</v>
      </c>
      <c r="BY123" s="28">
        <f t="shared" si="132"/>
        <v>41.000000000000007</v>
      </c>
      <c r="BZ123" s="28">
        <f t="shared" si="132"/>
        <v>61.7</v>
      </c>
      <c r="CA123" s="28">
        <f t="shared" si="132"/>
        <v>55.400000000000013</v>
      </c>
      <c r="CB123" s="28">
        <f t="shared" si="132"/>
        <v>51.999999999999986</v>
      </c>
      <c r="CC123" s="28">
        <f t="shared" si="132"/>
        <v>210.10000000000002</v>
      </c>
      <c r="CD123" s="28">
        <f t="shared" si="132"/>
        <v>47.6</v>
      </c>
      <c r="CE123" s="28">
        <f t="shared" si="132"/>
        <v>56.20520093999999</v>
      </c>
      <c r="CF123" s="28">
        <f t="shared" si="132"/>
        <v>54.6</v>
      </c>
      <c r="CG123" s="28">
        <f t="shared" si="132"/>
        <v>50.300000000000011</v>
      </c>
      <c r="CH123" s="28">
        <f t="shared" si="132"/>
        <v>208.70520094</v>
      </c>
      <c r="CI123" s="28">
        <f t="shared" si="132"/>
        <v>48.5</v>
      </c>
      <c r="CJ123" s="28">
        <f t="shared" si="132"/>
        <v>58.9</v>
      </c>
      <c r="CK123" s="28">
        <f t="shared" si="132"/>
        <v>56.160017910000015</v>
      </c>
      <c r="CL123" s="28">
        <f t="shared" si="132"/>
        <v>47.874393040000001</v>
      </c>
      <c r="CM123" s="28">
        <f t="shared" si="132"/>
        <v>211.43441095</v>
      </c>
      <c r="CN123" s="28">
        <f t="shared" si="132"/>
        <v>68.899999999999991</v>
      </c>
      <c r="CO123" s="28">
        <f t="shared" si="132"/>
        <v>85.300000000000011</v>
      </c>
      <c r="CP123" s="28">
        <f t="shared" si="132"/>
        <v>79.100000000000009</v>
      </c>
      <c r="CQ123" s="28">
        <f t="shared" si="132"/>
        <v>63.59999999999998</v>
      </c>
      <c r="CR123" s="28">
        <f t="shared" si="132"/>
        <v>296.89999999999998</v>
      </c>
      <c r="CS123" s="28">
        <f t="shared" si="132"/>
        <v>71.298682359999987</v>
      </c>
      <c r="CT123" s="28">
        <f t="shared" ref="CT123:DW123" si="133">CT4+CT98</f>
        <v>90.557666180000041</v>
      </c>
      <c r="CU123" s="28">
        <f t="shared" si="133"/>
        <v>84.531446139999986</v>
      </c>
      <c r="CV123" s="28">
        <f t="shared" si="133"/>
        <v>84.090697870000014</v>
      </c>
      <c r="CW123" s="28">
        <f t="shared" si="133"/>
        <v>330.47849255</v>
      </c>
      <c r="CX123" s="28">
        <f t="shared" si="133"/>
        <v>79.671000000000006</v>
      </c>
      <c r="CY123" s="28">
        <f t="shared" si="133"/>
        <v>94.838999999999999</v>
      </c>
      <c r="CZ123" s="28">
        <f t="shared" si="133"/>
        <v>92.793999999999997</v>
      </c>
      <c r="DA123" s="28">
        <f t="shared" si="133"/>
        <v>89.47699999999999</v>
      </c>
      <c r="DB123" s="28">
        <f t="shared" si="133"/>
        <v>356.78100000000001</v>
      </c>
      <c r="DC123" s="28">
        <f t="shared" si="133"/>
        <v>82.771999999999991</v>
      </c>
      <c r="DD123" s="28">
        <f t="shared" si="133"/>
        <v>98.260999999999996</v>
      </c>
      <c r="DE123" s="28">
        <f t="shared" si="133"/>
        <v>96.131999999999991</v>
      </c>
      <c r="DF123" s="28">
        <f t="shared" si="133"/>
        <v>101.276</v>
      </c>
      <c r="DG123" s="28">
        <f t="shared" si="133"/>
        <v>378.44099999999997</v>
      </c>
      <c r="DH123" s="28">
        <f t="shared" si="133"/>
        <v>81.406999999999996</v>
      </c>
      <c r="DI123" s="28">
        <f t="shared" si="133"/>
        <v>98.322000000000003</v>
      </c>
      <c r="DJ123" s="28">
        <f t="shared" si="133"/>
        <v>87.35</v>
      </c>
      <c r="DK123" s="28">
        <f t="shared" si="133"/>
        <v>96.751999999999995</v>
      </c>
      <c r="DL123" s="28">
        <f t="shared" si="133"/>
        <v>363.83099999999996</v>
      </c>
      <c r="DM123" s="28">
        <f t="shared" si="133"/>
        <v>101.46899999999999</v>
      </c>
      <c r="DN123" s="28">
        <f t="shared" si="133"/>
        <v>129.93299999999999</v>
      </c>
      <c r="DO123" s="28">
        <f t="shared" si="133"/>
        <v>125.306</v>
      </c>
      <c r="DP123" s="28">
        <f t="shared" si="133"/>
        <v>116.973</v>
      </c>
      <c r="DQ123" s="28">
        <f t="shared" si="133"/>
        <v>473.68099999999998</v>
      </c>
      <c r="DR123" s="28">
        <f t="shared" si="133"/>
        <v>85.501000000000005</v>
      </c>
      <c r="DS123" s="28">
        <f t="shared" si="133"/>
        <v>81.888999999999996</v>
      </c>
      <c r="DT123" s="28">
        <f t="shared" si="133"/>
        <v>88.073999999999998</v>
      </c>
      <c r="DU123" s="28">
        <f t="shared" si="133"/>
        <v>176.01</v>
      </c>
      <c r="DV123" s="28">
        <f t="shared" si="133"/>
        <v>431.47399999999999</v>
      </c>
      <c r="DW123" s="28">
        <f t="shared" si="133"/>
        <v>119.31100000000001</v>
      </c>
      <c r="DX123" s="28">
        <f t="shared" si="126"/>
        <v>127.68</v>
      </c>
      <c r="DY123" s="28">
        <f t="shared" si="126"/>
        <v>139.39164405000002</v>
      </c>
      <c r="DZ123" s="28">
        <f t="shared" si="126"/>
        <v>132.25569900999994</v>
      </c>
      <c r="EA123" s="28">
        <f t="shared" si="126"/>
        <v>518.6383430599999</v>
      </c>
      <c r="EB123" s="28">
        <f t="shared" si="126"/>
        <v>133.14373549999999</v>
      </c>
      <c r="EC123" s="28">
        <f t="shared" si="126"/>
        <v>138.28923811000001</v>
      </c>
      <c r="ED123" s="28">
        <f t="shared" si="126"/>
        <v>158</v>
      </c>
      <c r="EE123" s="28">
        <f t="shared" ref="EE123" si="134">EE4+EE98</f>
        <v>162.55364857000001</v>
      </c>
      <c r="EF123" s="28">
        <f t="shared" ref="EF123:EF141" si="135">SUM(EB123:EE123)</f>
        <v>591.98662218000004</v>
      </c>
      <c r="EG123" s="28">
        <f t="shared" ref="EG123" si="136">EG4+EG98</f>
        <v>166.01405644999997</v>
      </c>
      <c r="EH123" s="28">
        <v>157.04809713000003</v>
      </c>
      <c r="EI123" s="28">
        <f t="shared" ref="EI123" si="137">EI4+EI98</f>
        <v>175.82575457999999</v>
      </c>
    </row>
    <row r="124" spans="1:139" ht="15" thickTop="1" x14ac:dyDescent="0.3">
      <c r="A124" s="1" t="s">
        <v>442</v>
      </c>
      <c r="B124" s="30">
        <f t="shared" ref="B124:AG124" si="138">B5+B99</f>
        <v>0</v>
      </c>
      <c r="C124" s="30">
        <f t="shared" si="138"/>
        <v>0</v>
      </c>
      <c r="D124" s="30">
        <f t="shared" si="138"/>
        <v>0</v>
      </c>
      <c r="E124" s="30">
        <f t="shared" si="138"/>
        <v>0</v>
      </c>
      <c r="F124" s="30">
        <f t="shared" si="138"/>
        <v>0</v>
      </c>
      <c r="G124" s="30">
        <f t="shared" si="138"/>
        <v>0</v>
      </c>
      <c r="H124" s="30">
        <f t="shared" si="138"/>
        <v>0</v>
      </c>
      <c r="I124" s="30">
        <f t="shared" si="138"/>
        <v>0</v>
      </c>
      <c r="J124" s="30">
        <f t="shared" si="138"/>
        <v>0</v>
      </c>
      <c r="K124" s="30">
        <f t="shared" si="138"/>
        <v>0</v>
      </c>
      <c r="L124" s="30">
        <f t="shared" si="138"/>
        <v>0</v>
      </c>
      <c r="M124" s="30">
        <f t="shared" si="138"/>
        <v>0</v>
      </c>
      <c r="N124" s="30">
        <f t="shared" si="138"/>
        <v>0</v>
      </c>
      <c r="O124" s="30">
        <f t="shared" si="138"/>
        <v>0</v>
      </c>
      <c r="P124" s="30">
        <f t="shared" si="138"/>
        <v>0</v>
      </c>
      <c r="Q124" s="30">
        <f t="shared" si="138"/>
        <v>0</v>
      </c>
      <c r="R124" s="30">
        <f t="shared" si="138"/>
        <v>0</v>
      </c>
      <c r="S124" s="30">
        <f t="shared" si="138"/>
        <v>0</v>
      </c>
      <c r="T124" s="30">
        <f t="shared" si="138"/>
        <v>0</v>
      </c>
      <c r="U124" s="30">
        <f t="shared" si="138"/>
        <v>0</v>
      </c>
      <c r="V124" s="30">
        <f t="shared" si="138"/>
        <v>0</v>
      </c>
      <c r="W124" s="30">
        <f t="shared" si="138"/>
        <v>0</v>
      </c>
      <c r="X124" s="30">
        <f t="shared" si="138"/>
        <v>0</v>
      </c>
      <c r="Y124" s="30">
        <f t="shared" si="138"/>
        <v>0</v>
      </c>
      <c r="Z124" s="30">
        <f t="shared" si="138"/>
        <v>0</v>
      </c>
      <c r="AA124" s="30">
        <f t="shared" si="138"/>
        <v>0</v>
      </c>
      <c r="AB124" s="30">
        <f t="shared" si="138"/>
        <v>0</v>
      </c>
      <c r="AC124" s="30">
        <f t="shared" si="138"/>
        <v>0</v>
      </c>
      <c r="AD124" s="30">
        <f t="shared" si="138"/>
        <v>0</v>
      </c>
      <c r="AE124" s="30">
        <f t="shared" si="138"/>
        <v>0</v>
      </c>
      <c r="AF124" s="30">
        <f t="shared" si="138"/>
        <v>0</v>
      </c>
      <c r="AG124" s="30">
        <f t="shared" si="138"/>
        <v>0</v>
      </c>
      <c r="AH124" s="30">
        <f t="shared" ref="AH124:BM124" si="139">AH5+AH99</f>
        <v>0</v>
      </c>
      <c r="AI124" s="30">
        <f t="shared" si="139"/>
        <v>0</v>
      </c>
      <c r="AJ124" s="30">
        <f t="shared" si="139"/>
        <v>0</v>
      </c>
      <c r="AK124" s="30">
        <f t="shared" si="139"/>
        <v>0</v>
      </c>
      <c r="AL124" s="30">
        <f t="shared" si="139"/>
        <v>0</v>
      </c>
      <c r="AM124" s="30">
        <f t="shared" si="139"/>
        <v>0</v>
      </c>
      <c r="AN124" s="30">
        <f t="shared" si="139"/>
        <v>0</v>
      </c>
      <c r="AO124" s="30">
        <f t="shared" si="139"/>
        <v>0</v>
      </c>
      <c r="AP124" s="30">
        <f t="shared" si="139"/>
        <v>0</v>
      </c>
      <c r="AQ124" s="30">
        <f t="shared" si="139"/>
        <v>0</v>
      </c>
      <c r="AR124" s="30">
        <f t="shared" si="139"/>
        <v>0</v>
      </c>
      <c r="AS124" s="30">
        <f t="shared" si="139"/>
        <v>0</v>
      </c>
      <c r="AT124" s="30">
        <f t="shared" si="139"/>
        <v>0</v>
      </c>
      <c r="AU124" s="30">
        <f t="shared" si="139"/>
        <v>0</v>
      </c>
      <c r="AV124" s="30">
        <f t="shared" si="139"/>
        <v>0</v>
      </c>
      <c r="AW124" s="30">
        <f t="shared" si="139"/>
        <v>0</v>
      </c>
      <c r="AX124" s="30">
        <f t="shared" si="139"/>
        <v>0</v>
      </c>
      <c r="AY124" s="30">
        <f t="shared" si="139"/>
        <v>0</v>
      </c>
      <c r="AZ124" s="30">
        <f t="shared" si="139"/>
        <v>0</v>
      </c>
      <c r="BA124" s="30">
        <f t="shared" si="139"/>
        <v>0</v>
      </c>
      <c r="BB124" s="30">
        <f t="shared" si="139"/>
        <v>0</v>
      </c>
      <c r="BC124" s="30">
        <f t="shared" si="139"/>
        <v>0</v>
      </c>
      <c r="BD124" s="30">
        <f t="shared" si="139"/>
        <v>0</v>
      </c>
      <c r="BE124" s="30">
        <f t="shared" si="139"/>
        <v>0</v>
      </c>
      <c r="BF124" s="30">
        <f t="shared" si="139"/>
        <v>0</v>
      </c>
      <c r="BG124" s="30">
        <f t="shared" si="139"/>
        <v>0</v>
      </c>
      <c r="BH124" s="30">
        <f t="shared" si="139"/>
        <v>0</v>
      </c>
      <c r="BI124" s="30">
        <f t="shared" si="139"/>
        <v>0</v>
      </c>
      <c r="BJ124" s="27">
        <f t="shared" si="139"/>
        <v>158.90199999999999</v>
      </c>
      <c r="BK124" s="27">
        <f t="shared" si="139"/>
        <v>156.11437070999997</v>
      </c>
      <c r="BL124" s="27">
        <f t="shared" si="139"/>
        <v>177.88362928999999</v>
      </c>
      <c r="BM124" s="27">
        <f t="shared" si="139"/>
        <v>194.50000000000006</v>
      </c>
      <c r="BN124" s="27">
        <f t="shared" ref="BN124:CS124" si="140">BN5+BN99</f>
        <v>687.4</v>
      </c>
      <c r="BO124" s="27">
        <f t="shared" si="140"/>
        <v>180.17222910000001</v>
      </c>
      <c r="BP124" s="27">
        <f t="shared" si="140"/>
        <v>175.66425704999997</v>
      </c>
      <c r="BQ124" s="27">
        <f t="shared" si="140"/>
        <v>201.02501049999998</v>
      </c>
      <c r="BR124" s="27">
        <f t="shared" si="140"/>
        <v>214.8651629</v>
      </c>
      <c r="BS124" s="27">
        <f t="shared" si="140"/>
        <v>771.72665955000002</v>
      </c>
      <c r="BT124" s="27">
        <f t="shared" si="140"/>
        <v>193.7</v>
      </c>
      <c r="BU124" s="27">
        <f t="shared" si="140"/>
        <v>172.88644384999992</v>
      </c>
      <c r="BV124" s="27">
        <f t="shared" si="140"/>
        <v>222.38391920000012</v>
      </c>
      <c r="BW124" s="27">
        <f t="shared" si="140"/>
        <v>249.22417469999988</v>
      </c>
      <c r="BX124" s="27">
        <f t="shared" si="140"/>
        <v>838.19453774999988</v>
      </c>
      <c r="BY124" s="27">
        <f t="shared" si="140"/>
        <v>213.70000000000002</v>
      </c>
      <c r="BZ124" s="27">
        <f t="shared" si="140"/>
        <v>227.50000000000003</v>
      </c>
      <c r="CA124" s="27">
        <f t="shared" si="140"/>
        <v>260.89999999999998</v>
      </c>
      <c r="CB124" s="27">
        <f t="shared" si="140"/>
        <v>309.2</v>
      </c>
      <c r="CC124" s="27">
        <f t="shared" si="140"/>
        <v>1011.3</v>
      </c>
      <c r="CD124" s="27">
        <f t="shared" si="140"/>
        <v>262.3</v>
      </c>
      <c r="CE124" s="27">
        <f t="shared" si="140"/>
        <v>309.99664244000007</v>
      </c>
      <c r="CF124" s="27">
        <f t="shared" si="140"/>
        <v>272.7</v>
      </c>
      <c r="CG124" s="27">
        <f t="shared" si="140"/>
        <v>283</v>
      </c>
      <c r="CH124" s="27">
        <f t="shared" si="140"/>
        <v>1127.9966424400002</v>
      </c>
      <c r="CI124" s="27">
        <f t="shared" si="140"/>
        <v>230.70000000000002</v>
      </c>
      <c r="CJ124" s="27">
        <f t="shared" si="140"/>
        <v>212.29999999999998</v>
      </c>
      <c r="CK124" s="27">
        <f t="shared" si="140"/>
        <v>235.73282971</v>
      </c>
      <c r="CL124" s="27">
        <f t="shared" si="140"/>
        <v>256.99642912999991</v>
      </c>
      <c r="CM124" s="27">
        <f t="shared" si="140"/>
        <v>935.72925883999983</v>
      </c>
      <c r="CN124" s="27">
        <f t="shared" si="140"/>
        <v>227.9</v>
      </c>
      <c r="CO124" s="27">
        <f t="shared" si="140"/>
        <v>211.2</v>
      </c>
      <c r="CP124" s="27">
        <f t="shared" si="140"/>
        <v>238.70000000000002</v>
      </c>
      <c r="CQ124" s="27">
        <f t="shared" si="140"/>
        <v>264.99999999999989</v>
      </c>
      <c r="CR124" s="27">
        <f t="shared" si="140"/>
        <v>942.8</v>
      </c>
      <c r="CS124" s="27">
        <f t="shared" si="140"/>
        <v>251.76403545999997</v>
      </c>
      <c r="CT124" s="27">
        <f t="shared" ref="CT124:DW124" si="141">CT5+CT99</f>
        <v>231.65468583999998</v>
      </c>
      <c r="CU124" s="27">
        <f t="shared" si="141"/>
        <v>266.05006243999998</v>
      </c>
      <c r="CV124" s="27">
        <f t="shared" si="141"/>
        <v>274.00559908000008</v>
      </c>
      <c r="CW124" s="27">
        <f t="shared" si="141"/>
        <v>1023.47438282</v>
      </c>
      <c r="CX124" s="27">
        <f t="shared" si="141"/>
        <v>281.96800000000002</v>
      </c>
      <c r="CY124" s="27">
        <f t="shared" si="141"/>
        <v>239.55899999999997</v>
      </c>
      <c r="CZ124" s="27">
        <f t="shared" si="141"/>
        <v>262.08199999999999</v>
      </c>
      <c r="DA124" s="27">
        <f t="shared" si="141"/>
        <v>285.52300000000002</v>
      </c>
      <c r="DB124" s="27">
        <f t="shared" si="141"/>
        <v>1069.1320000000001</v>
      </c>
      <c r="DC124" s="27">
        <f t="shared" si="141"/>
        <v>278.86</v>
      </c>
      <c r="DD124" s="27">
        <f t="shared" si="141"/>
        <v>257.68599999999998</v>
      </c>
      <c r="DE124" s="27">
        <f t="shared" si="141"/>
        <v>288.49400000000003</v>
      </c>
      <c r="DF124" s="27">
        <f t="shared" si="141"/>
        <v>313.24899999999997</v>
      </c>
      <c r="DG124" s="27">
        <f t="shared" si="141"/>
        <v>1138.289</v>
      </c>
      <c r="DH124" s="27">
        <f t="shared" si="141"/>
        <v>275.74</v>
      </c>
      <c r="DI124" s="27">
        <f t="shared" si="141"/>
        <v>212.41</v>
      </c>
      <c r="DJ124" s="27">
        <f t="shared" si="141"/>
        <v>272.03000000000003</v>
      </c>
      <c r="DK124" s="27">
        <f t="shared" si="141"/>
        <v>277.16799999999995</v>
      </c>
      <c r="DL124" s="27">
        <f t="shared" si="141"/>
        <v>1037.348</v>
      </c>
      <c r="DM124" s="27">
        <f t="shared" si="141"/>
        <v>262.50200000000001</v>
      </c>
      <c r="DN124" s="27">
        <f t="shared" si="141"/>
        <v>248.191</v>
      </c>
      <c r="DO124" s="27">
        <f t="shared" si="141"/>
        <v>281.851</v>
      </c>
      <c r="DP124" s="27">
        <f t="shared" si="141"/>
        <v>297.78899999999999</v>
      </c>
      <c r="DQ124" s="27">
        <f t="shared" si="141"/>
        <v>1090.3330000000001</v>
      </c>
      <c r="DR124" s="27">
        <f t="shared" si="141"/>
        <v>322.20699999999999</v>
      </c>
      <c r="DS124" s="27">
        <f t="shared" si="141"/>
        <v>303.25700000000001</v>
      </c>
      <c r="DT124" s="27">
        <f t="shared" si="141"/>
        <v>378.46</v>
      </c>
      <c r="DU124" s="27">
        <f t="shared" si="141"/>
        <v>401.137</v>
      </c>
      <c r="DV124" s="27">
        <f t="shared" si="141"/>
        <v>1405.0610000000001</v>
      </c>
      <c r="DW124" s="27">
        <f t="shared" si="141"/>
        <v>397.72499999999997</v>
      </c>
      <c r="DX124" s="27">
        <f t="shared" si="126"/>
        <v>418.86099999999999</v>
      </c>
      <c r="DY124" s="27">
        <f t="shared" si="126"/>
        <v>450.01318451000003</v>
      </c>
      <c r="DZ124" s="27">
        <f t="shared" si="126"/>
        <v>463.89829115999993</v>
      </c>
      <c r="EA124" s="27">
        <f t="shared" si="126"/>
        <v>1730.4974756699999</v>
      </c>
      <c r="EB124" s="27">
        <f t="shared" si="126"/>
        <v>428.92092524999998</v>
      </c>
      <c r="EC124" s="27">
        <f t="shared" si="126"/>
        <v>452.86637970000004</v>
      </c>
      <c r="ED124" s="27">
        <f t="shared" si="126"/>
        <v>456.93299999999999</v>
      </c>
      <c r="EE124" s="27">
        <f t="shared" ref="EE124" si="142">EE5+EE99</f>
        <v>468.84464275000005</v>
      </c>
      <c r="EF124" s="27">
        <f t="shared" si="135"/>
        <v>1807.5649476999999</v>
      </c>
      <c r="EG124" s="27">
        <f t="shared" ref="EG124" si="143">EG5+EG99</f>
        <v>455.27424996999997</v>
      </c>
      <c r="EH124" s="27">
        <v>459.66608162000011</v>
      </c>
      <c r="EI124" s="27">
        <f t="shared" ref="EI124" si="144">EI5+EI99</f>
        <v>504.81954166000008</v>
      </c>
    </row>
    <row r="125" spans="1:139" ht="15" thickBot="1" x14ac:dyDescent="0.35">
      <c r="A125" s="2" t="s">
        <v>3</v>
      </c>
      <c r="B125" s="31">
        <f t="shared" ref="B125:AG125" si="145">B6+B100</f>
        <v>0</v>
      </c>
      <c r="C125" s="31">
        <f t="shared" si="145"/>
        <v>0</v>
      </c>
      <c r="D125" s="31">
        <f t="shared" si="145"/>
        <v>0</v>
      </c>
      <c r="E125" s="31">
        <f t="shared" si="145"/>
        <v>0</v>
      </c>
      <c r="F125" s="31">
        <f t="shared" si="145"/>
        <v>0</v>
      </c>
      <c r="G125" s="31">
        <f t="shared" si="145"/>
        <v>0</v>
      </c>
      <c r="H125" s="31">
        <f t="shared" si="145"/>
        <v>0</v>
      </c>
      <c r="I125" s="31">
        <f t="shared" si="145"/>
        <v>0</v>
      </c>
      <c r="J125" s="31">
        <f t="shared" si="145"/>
        <v>0</v>
      </c>
      <c r="K125" s="31">
        <f t="shared" si="145"/>
        <v>0</v>
      </c>
      <c r="L125" s="31">
        <f t="shared" si="145"/>
        <v>0</v>
      </c>
      <c r="M125" s="31">
        <f t="shared" si="145"/>
        <v>0</v>
      </c>
      <c r="N125" s="31">
        <f t="shared" si="145"/>
        <v>0</v>
      </c>
      <c r="O125" s="31">
        <f t="shared" si="145"/>
        <v>0</v>
      </c>
      <c r="P125" s="31">
        <f t="shared" si="145"/>
        <v>0</v>
      </c>
      <c r="Q125" s="31">
        <f t="shared" si="145"/>
        <v>0</v>
      </c>
      <c r="R125" s="31">
        <f t="shared" si="145"/>
        <v>0</v>
      </c>
      <c r="S125" s="31">
        <f t="shared" si="145"/>
        <v>0</v>
      </c>
      <c r="T125" s="31">
        <f t="shared" si="145"/>
        <v>0</v>
      </c>
      <c r="U125" s="31">
        <f t="shared" si="145"/>
        <v>0</v>
      </c>
      <c r="V125" s="31">
        <f t="shared" si="145"/>
        <v>0</v>
      </c>
      <c r="W125" s="31">
        <f t="shared" si="145"/>
        <v>0</v>
      </c>
      <c r="X125" s="31">
        <f t="shared" si="145"/>
        <v>0</v>
      </c>
      <c r="Y125" s="31">
        <f t="shared" si="145"/>
        <v>0</v>
      </c>
      <c r="Z125" s="31">
        <f t="shared" si="145"/>
        <v>0</v>
      </c>
      <c r="AA125" s="31">
        <f t="shared" si="145"/>
        <v>0</v>
      </c>
      <c r="AB125" s="31">
        <f t="shared" si="145"/>
        <v>0</v>
      </c>
      <c r="AC125" s="31">
        <f t="shared" si="145"/>
        <v>0</v>
      </c>
      <c r="AD125" s="31">
        <f t="shared" si="145"/>
        <v>0</v>
      </c>
      <c r="AE125" s="31">
        <f t="shared" si="145"/>
        <v>0</v>
      </c>
      <c r="AF125" s="31">
        <f t="shared" si="145"/>
        <v>0</v>
      </c>
      <c r="AG125" s="31">
        <f t="shared" si="145"/>
        <v>0</v>
      </c>
      <c r="AH125" s="31">
        <f t="shared" ref="AH125:BM125" si="146">AH6+AH100</f>
        <v>0</v>
      </c>
      <c r="AI125" s="31">
        <f t="shared" si="146"/>
        <v>0</v>
      </c>
      <c r="AJ125" s="31">
        <f t="shared" si="146"/>
        <v>0</v>
      </c>
      <c r="AK125" s="31">
        <f t="shared" si="146"/>
        <v>0</v>
      </c>
      <c r="AL125" s="31">
        <f t="shared" si="146"/>
        <v>0</v>
      </c>
      <c r="AM125" s="31">
        <f t="shared" si="146"/>
        <v>0</v>
      </c>
      <c r="AN125" s="31">
        <f t="shared" si="146"/>
        <v>0</v>
      </c>
      <c r="AO125" s="31">
        <f t="shared" si="146"/>
        <v>0</v>
      </c>
      <c r="AP125" s="31">
        <f t="shared" si="146"/>
        <v>0</v>
      </c>
      <c r="AQ125" s="31">
        <f t="shared" si="146"/>
        <v>0</v>
      </c>
      <c r="AR125" s="31">
        <f t="shared" si="146"/>
        <v>0</v>
      </c>
      <c r="AS125" s="31">
        <f t="shared" si="146"/>
        <v>0</v>
      </c>
      <c r="AT125" s="31">
        <f t="shared" si="146"/>
        <v>0</v>
      </c>
      <c r="AU125" s="31">
        <f t="shared" si="146"/>
        <v>0</v>
      </c>
      <c r="AV125" s="31">
        <f t="shared" si="146"/>
        <v>0</v>
      </c>
      <c r="AW125" s="31">
        <f t="shared" si="146"/>
        <v>0</v>
      </c>
      <c r="AX125" s="31">
        <f t="shared" si="146"/>
        <v>0</v>
      </c>
      <c r="AY125" s="31">
        <f t="shared" si="146"/>
        <v>0</v>
      </c>
      <c r="AZ125" s="31">
        <f t="shared" si="146"/>
        <v>0</v>
      </c>
      <c r="BA125" s="31">
        <f t="shared" si="146"/>
        <v>0</v>
      </c>
      <c r="BB125" s="31">
        <f t="shared" si="146"/>
        <v>0</v>
      </c>
      <c r="BC125" s="31">
        <f t="shared" si="146"/>
        <v>0</v>
      </c>
      <c r="BD125" s="31">
        <f t="shared" si="146"/>
        <v>0</v>
      </c>
      <c r="BE125" s="31">
        <f t="shared" si="146"/>
        <v>0</v>
      </c>
      <c r="BF125" s="31">
        <f t="shared" si="146"/>
        <v>0</v>
      </c>
      <c r="BG125" s="31">
        <f t="shared" si="146"/>
        <v>0</v>
      </c>
      <c r="BH125" s="31">
        <f t="shared" si="146"/>
        <v>0</v>
      </c>
      <c r="BI125" s="31">
        <f t="shared" si="146"/>
        <v>0</v>
      </c>
      <c r="BJ125" s="28">
        <f t="shared" si="146"/>
        <v>40.862000000000002</v>
      </c>
      <c r="BK125" s="28">
        <f t="shared" si="146"/>
        <v>37.871078299999994</v>
      </c>
      <c r="BL125" s="28">
        <f t="shared" si="146"/>
        <v>41.866921700000006</v>
      </c>
      <c r="BM125" s="28">
        <f t="shared" si="146"/>
        <v>43.399999999999991</v>
      </c>
      <c r="BN125" s="28">
        <f t="shared" ref="BN125:CS125" si="147">BN6+BN100</f>
        <v>164</v>
      </c>
      <c r="BO125" s="28">
        <f t="shared" si="147"/>
        <v>47.152296000000007</v>
      </c>
      <c r="BP125" s="28">
        <f t="shared" si="147"/>
        <v>45.93246649999999</v>
      </c>
      <c r="BQ125" s="28">
        <f t="shared" si="147"/>
        <v>48.080819199999986</v>
      </c>
      <c r="BR125" s="28">
        <f t="shared" si="147"/>
        <v>52.69596660000002</v>
      </c>
      <c r="BS125" s="28">
        <f t="shared" si="147"/>
        <v>193.86154829999998</v>
      </c>
      <c r="BT125" s="28">
        <f t="shared" si="147"/>
        <v>65.100000000000009</v>
      </c>
      <c r="BU125" s="28">
        <f t="shared" si="147"/>
        <v>51.934647100000007</v>
      </c>
      <c r="BV125" s="28">
        <f t="shared" si="147"/>
        <v>59.491269599999981</v>
      </c>
      <c r="BW125" s="28">
        <f t="shared" si="147"/>
        <v>75.62418335000001</v>
      </c>
      <c r="BX125" s="28">
        <f t="shared" si="147"/>
        <v>252.15010005000002</v>
      </c>
      <c r="BY125" s="28">
        <f t="shared" si="147"/>
        <v>63.8</v>
      </c>
      <c r="BZ125" s="28">
        <f t="shared" si="147"/>
        <v>66.7</v>
      </c>
      <c r="CA125" s="28">
        <f t="shared" si="147"/>
        <v>63.699999999999989</v>
      </c>
      <c r="CB125" s="28">
        <f t="shared" si="147"/>
        <v>58.8</v>
      </c>
      <c r="CC125" s="28">
        <f t="shared" si="147"/>
        <v>253.00000000000003</v>
      </c>
      <c r="CD125" s="28">
        <f t="shared" si="147"/>
        <v>64.550000000000011</v>
      </c>
      <c r="CE125" s="28">
        <f t="shared" si="147"/>
        <v>60.684956319999984</v>
      </c>
      <c r="CF125" s="28">
        <f t="shared" si="147"/>
        <v>62.7</v>
      </c>
      <c r="CG125" s="28">
        <f t="shared" si="147"/>
        <v>73.099999999999994</v>
      </c>
      <c r="CH125" s="28">
        <f t="shared" si="147"/>
        <v>261.03495631999999</v>
      </c>
      <c r="CI125" s="28">
        <f t="shared" si="147"/>
        <v>66.7</v>
      </c>
      <c r="CJ125" s="28">
        <f t="shared" si="147"/>
        <v>65.7</v>
      </c>
      <c r="CK125" s="28">
        <f t="shared" si="147"/>
        <v>73.889692490000016</v>
      </c>
      <c r="CL125" s="28">
        <f t="shared" si="147"/>
        <v>80.157323380000008</v>
      </c>
      <c r="CM125" s="28">
        <f t="shared" si="147"/>
        <v>286.44701587000003</v>
      </c>
      <c r="CN125" s="28">
        <f t="shared" si="147"/>
        <v>77.3</v>
      </c>
      <c r="CO125" s="28">
        <f t="shared" si="147"/>
        <v>76.399999999999977</v>
      </c>
      <c r="CP125" s="28">
        <f t="shared" si="147"/>
        <v>82.40000000000002</v>
      </c>
      <c r="CQ125" s="28">
        <f t="shared" si="147"/>
        <v>76.499999999999972</v>
      </c>
      <c r="CR125" s="28">
        <f t="shared" si="147"/>
        <v>312.60000000000002</v>
      </c>
      <c r="CS125" s="28">
        <f t="shared" si="147"/>
        <v>87.299256099999994</v>
      </c>
      <c r="CT125" s="28">
        <f t="shared" ref="CT125:DW125" si="148">CT6+CT100</f>
        <v>80.959497209999981</v>
      </c>
      <c r="CU125" s="28">
        <f t="shared" si="148"/>
        <v>88.016062299999973</v>
      </c>
      <c r="CV125" s="28">
        <f t="shared" si="148"/>
        <v>106.43010618000008</v>
      </c>
      <c r="CW125" s="28">
        <f t="shared" si="148"/>
        <v>362.70492179000001</v>
      </c>
      <c r="CX125" s="28">
        <f t="shared" si="148"/>
        <v>95.28</v>
      </c>
      <c r="CY125" s="28">
        <f t="shared" si="148"/>
        <v>86.777000000000001</v>
      </c>
      <c r="CZ125" s="28">
        <f t="shared" si="148"/>
        <v>91.321000000000012</v>
      </c>
      <c r="DA125" s="28">
        <f t="shared" si="148"/>
        <v>95.537999999999997</v>
      </c>
      <c r="DB125" s="28">
        <f t="shared" si="148"/>
        <v>368.916</v>
      </c>
      <c r="DC125" s="28">
        <f t="shared" si="148"/>
        <v>84.836999999999989</v>
      </c>
      <c r="DD125" s="28">
        <f t="shared" si="148"/>
        <v>79.343000000000004</v>
      </c>
      <c r="DE125" s="28">
        <f t="shared" si="148"/>
        <v>86.433000000000007</v>
      </c>
      <c r="DF125" s="28">
        <f t="shared" si="148"/>
        <v>89.137</v>
      </c>
      <c r="DG125" s="28">
        <f t="shared" si="148"/>
        <v>339.75</v>
      </c>
      <c r="DH125" s="28">
        <f t="shared" si="148"/>
        <v>90.73299999999999</v>
      </c>
      <c r="DI125" s="28">
        <f t="shared" si="148"/>
        <v>67.742999999999995</v>
      </c>
      <c r="DJ125" s="28">
        <f t="shared" si="148"/>
        <v>79.550000000000011</v>
      </c>
      <c r="DK125" s="28">
        <f t="shared" si="148"/>
        <v>92.542999999999992</v>
      </c>
      <c r="DL125" s="28">
        <f t="shared" si="148"/>
        <v>330.56899999999996</v>
      </c>
      <c r="DM125" s="28">
        <f t="shared" si="148"/>
        <v>86.394000000000005</v>
      </c>
      <c r="DN125" s="28">
        <f t="shared" si="148"/>
        <v>95.2</v>
      </c>
      <c r="DO125" s="28">
        <f t="shared" si="148"/>
        <v>108.89100000000001</v>
      </c>
      <c r="DP125" s="28">
        <f t="shared" si="148"/>
        <v>69.789000000000001</v>
      </c>
      <c r="DQ125" s="28">
        <f t="shared" si="148"/>
        <v>360.274</v>
      </c>
      <c r="DR125" s="28">
        <f t="shared" si="148"/>
        <v>0</v>
      </c>
      <c r="DS125" s="28">
        <f t="shared" si="148"/>
        <v>0</v>
      </c>
      <c r="DT125" s="28">
        <f t="shared" si="148"/>
        <v>0</v>
      </c>
      <c r="DU125" s="28">
        <f t="shared" si="148"/>
        <v>0</v>
      </c>
      <c r="DV125" s="28">
        <f t="shared" si="148"/>
        <v>0</v>
      </c>
      <c r="DW125" s="28">
        <f t="shared" si="148"/>
        <v>0</v>
      </c>
      <c r="DX125" s="28">
        <f t="shared" si="126"/>
        <v>0</v>
      </c>
      <c r="DY125" s="28">
        <f t="shared" si="126"/>
        <v>0</v>
      </c>
      <c r="DZ125" s="28">
        <f t="shared" si="126"/>
        <v>0</v>
      </c>
      <c r="EA125" s="28">
        <f t="shared" si="126"/>
        <v>0</v>
      </c>
      <c r="EB125" s="28">
        <f t="shared" si="126"/>
        <v>0</v>
      </c>
      <c r="EC125" s="28">
        <f t="shared" si="126"/>
        <v>0</v>
      </c>
      <c r="ED125" s="28">
        <f t="shared" si="126"/>
        <v>0</v>
      </c>
      <c r="EE125" s="28">
        <f t="shared" ref="EE125" si="149">EE6+EE100</f>
        <v>0</v>
      </c>
      <c r="EF125" s="28">
        <f t="shared" si="135"/>
        <v>0</v>
      </c>
      <c r="EG125" s="28">
        <f t="shared" ref="EG125" si="150">EG6+EG100</f>
        <v>0</v>
      </c>
      <c r="EH125" s="28">
        <v>0</v>
      </c>
      <c r="EI125" s="28">
        <f t="shared" ref="EI125" si="151">EI6+EI100</f>
        <v>0</v>
      </c>
    </row>
    <row r="126" spans="1:139" ht="15" thickTop="1" x14ac:dyDescent="0.3">
      <c r="A126" s="1" t="s">
        <v>443</v>
      </c>
      <c r="B126" s="30">
        <f t="shared" ref="B126:AG126" si="152">B7+B101</f>
        <v>0</v>
      </c>
      <c r="C126" s="30">
        <f t="shared" si="152"/>
        <v>0</v>
      </c>
      <c r="D126" s="30">
        <f t="shared" si="152"/>
        <v>0</v>
      </c>
      <c r="E126" s="30">
        <f t="shared" si="152"/>
        <v>0</v>
      </c>
      <c r="F126" s="30">
        <f t="shared" si="152"/>
        <v>0</v>
      </c>
      <c r="G126" s="30">
        <f t="shared" si="152"/>
        <v>0</v>
      </c>
      <c r="H126" s="30">
        <f t="shared" si="152"/>
        <v>0</v>
      </c>
      <c r="I126" s="30">
        <f t="shared" si="152"/>
        <v>0</v>
      </c>
      <c r="J126" s="30">
        <f t="shared" si="152"/>
        <v>0</v>
      </c>
      <c r="K126" s="30">
        <f t="shared" si="152"/>
        <v>0</v>
      </c>
      <c r="L126" s="30">
        <f t="shared" si="152"/>
        <v>0</v>
      </c>
      <c r="M126" s="30">
        <f t="shared" si="152"/>
        <v>0</v>
      </c>
      <c r="N126" s="30">
        <f t="shared" si="152"/>
        <v>0</v>
      </c>
      <c r="O126" s="30">
        <f t="shared" si="152"/>
        <v>0</v>
      </c>
      <c r="P126" s="30">
        <f t="shared" si="152"/>
        <v>0</v>
      </c>
      <c r="Q126" s="30">
        <f t="shared" si="152"/>
        <v>0</v>
      </c>
      <c r="R126" s="30">
        <f t="shared" si="152"/>
        <v>0</v>
      </c>
      <c r="S126" s="30">
        <f t="shared" si="152"/>
        <v>0</v>
      </c>
      <c r="T126" s="30">
        <f t="shared" si="152"/>
        <v>0</v>
      </c>
      <c r="U126" s="30">
        <f t="shared" si="152"/>
        <v>0</v>
      </c>
      <c r="V126" s="30">
        <f t="shared" si="152"/>
        <v>0</v>
      </c>
      <c r="W126" s="30">
        <f t="shared" si="152"/>
        <v>0</v>
      </c>
      <c r="X126" s="30">
        <f t="shared" si="152"/>
        <v>0</v>
      </c>
      <c r="Y126" s="30">
        <f t="shared" si="152"/>
        <v>0</v>
      </c>
      <c r="Z126" s="30">
        <f t="shared" si="152"/>
        <v>0</v>
      </c>
      <c r="AA126" s="30">
        <f t="shared" si="152"/>
        <v>0</v>
      </c>
      <c r="AB126" s="30">
        <f t="shared" si="152"/>
        <v>0</v>
      </c>
      <c r="AC126" s="30">
        <f t="shared" si="152"/>
        <v>0</v>
      </c>
      <c r="AD126" s="30">
        <f t="shared" si="152"/>
        <v>0</v>
      </c>
      <c r="AE126" s="30">
        <f t="shared" si="152"/>
        <v>0</v>
      </c>
      <c r="AF126" s="30">
        <f t="shared" si="152"/>
        <v>0</v>
      </c>
      <c r="AG126" s="30">
        <f t="shared" si="152"/>
        <v>0</v>
      </c>
      <c r="AH126" s="30">
        <f t="shared" ref="AH126:BM126" si="153">AH7+AH101</f>
        <v>0</v>
      </c>
      <c r="AI126" s="30">
        <f t="shared" si="153"/>
        <v>0</v>
      </c>
      <c r="AJ126" s="30">
        <f t="shared" si="153"/>
        <v>0</v>
      </c>
      <c r="AK126" s="30">
        <f t="shared" si="153"/>
        <v>0</v>
      </c>
      <c r="AL126" s="30">
        <f t="shared" si="153"/>
        <v>0</v>
      </c>
      <c r="AM126" s="30">
        <f t="shared" si="153"/>
        <v>0</v>
      </c>
      <c r="AN126" s="30">
        <f t="shared" si="153"/>
        <v>0</v>
      </c>
      <c r="AO126" s="30">
        <f t="shared" si="153"/>
        <v>0</v>
      </c>
      <c r="AP126" s="30">
        <f t="shared" si="153"/>
        <v>0</v>
      </c>
      <c r="AQ126" s="30">
        <f t="shared" si="153"/>
        <v>0</v>
      </c>
      <c r="AR126" s="30">
        <f t="shared" si="153"/>
        <v>0</v>
      </c>
      <c r="AS126" s="30">
        <f t="shared" si="153"/>
        <v>0</v>
      </c>
      <c r="AT126" s="30">
        <f t="shared" si="153"/>
        <v>0</v>
      </c>
      <c r="AU126" s="30">
        <f t="shared" si="153"/>
        <v>0</v>
      </c>
      <c r="AV126" s="30">
        <f t="shared" si="153"/>
        <v>0</v>
      </c>
      <c r="AW126" s="30">
        <f t="shared" si="153"/>
        <v>0</v>
      </c>
      <c r="AX126" s="30">
        <f t="shared" si="153"/>
        <v>0</v>
      </c>
      <c r="AY126" s="30">
        <f t="shared" si="153"/>
        <v>0</v>
      </c>
      <c r="AZ126" s="30">
        <f t="shared" si="153"/>
        <v>0</v>
      </c>
      <c r="BA126" s="30">
        <f t="shared" si="153"/>
        <v>0</v>
      </c>
      <c r="BB126" s="30">
        <f t="shared" si="153"/>
        <v>0</v>
      </c>
      <c r="BC126" s="30">
        <f t="shared" si="153"/>
        <v>0</v>
      </c>
      <c r="BD126" s="30">
        <f t="shared" si="153"/>
        <v>0</v>
      </c>
      <c r="BE126" s="30">
        <f t="shared" si="153"/>
        <v>0</v>
      </c>
      <c r="BF126" s="30">
        <f t="shared" si="153"/>
        <v>0</v>
      </c>
      <c r="BG126" s="30">
        <f t="shared" si="153"/>
        <v>0</v>
      </c>
      <c r="BH126" s="30">
        <f t="shared" si="153"/>
        <v>0</v>
      </c>
      <c r="BI126" s="30">
        <f t="shared" si="153"/>
        <v>0</v>
      </c>
      <c r="BJ126" s="27">
        <f t="shared" si="153"/>
        <v>75.288999999999987</v>
      </c>
      <c r="BK126" s="27">
        <f t="shared" si="153"/>
        <v>63.268689139999985</v>
      </c>
      <c r="BL126" s="27">
        <f t="shared" si="153"/>
        <v>53.8</v>
      </c>
      <c r="BM126" s="27">
        <f t="shared" si="153"/>
        <v>55.7</v>
      </c>
      <c r="BN126" s="27">
        <f t="shared" ref="BN126:CS126" si="154">BN7+BN101</f>
        <v>248.05768913999998</v>
      </c>
      <c r="BO126" s="27">
        <f t="shared" si="154"/>
        <v>57.282915800000005</v>
      </c>
      <c r="BP126" s="27">
        <f t="shared" si="154"/>
        <v>65.343264349999984</v>
      </c>
      <c r="BQ126" s="27">
        <f t="shared" si="154"/>
        <v>58.468627100000027</v>
      </c>
      <c r="BR126" s="27">
        <f t="shared" si="154"/>
        <v>69.387114109999985</v>
      </c>
      <c r="BS126" s="27">
        <f t="shared" si="154"/>
        <v>250.48192136</v>
      </c>
      <c r="BT126" s="27">
        <f t="shared" si="154"/>
        <v>60.3</v>
      </c>
      <c r="BU126" s="27">
        <f t="shared" si="154"/>
        <v>80.05670809999998</v>
      </c>
      <c r="BV126" s="27">
        <f t="shared" si="154"/>
        <v>88.274142400000017</v>
      </c>
      <c r="BW126" s="27">
        <f t="shared" si="154"/>
        <v>73.855926899999986</v>
      </c>
      <c r="BX126" s="27">
        <f t="shared" si="154"/>
        <v>302.48677739999999</v>
      </c>
      <c r="BY126" s="27">
        <f t="shared" si="154"/>
        <v>75.099999999999994</v>
      </c>
      <c r="BZ126" s="27">
        <f t="shared" si="154"/>
        <v>93.3</v>
      </c>
      <c r="CA126" s="27">
        <f t="shared" si="154"/>
        <v>110.5</v>
      </c>
      <c r="CB126" s="27">
        <f t="shared" si="154"/>
        <v>101.50000000000001</v>
      </c>
      <c r="CC126" s="27">
        <f t="shared" si="154"/>
        <v>380.4</v>
      </c>
      <c r="CD126" s="27">
        <f t="shared" si="154"/>
        <v>80.000000000000014</v>
      </c>
      <c r="CE126" s="27">
        <f t="shared" si="154"/>
        <v>86.249246350000007</v>
      </c>
      <c r="CF126" s="27">
        <f t="shared" si="154"/>
        <v>89.300000000000011</v>
      </c>
      <c r="CG126" s="27">
        <f t="shared" si="154"/>
        <v>102.99999999999999</v>
      </c>
      <c r="CH126" s="27">
        <f t="shared" si="154"/>
        <v>358.54924635000003</v>
      </c>
      <c r="CI126" s="27">
        <f t="shared" si="154"/>
        <v>117.9</v>
      </c>
      <c r="CJ126" s="27">
        <f t="shared" si="154"/>
        <v>98.9</v>
      </c>
      <c r="CK126" s="27">
        <f t="shared" si="154"/>
        <v>88.640334249999995</v>
      </c>
      <c r="CL126" s="27">
        <f t="shared" si="154"/>
        <v>88.075651759999971</v>
      </c>
      <c r="CM126" s="27">
        <f t="shared" si="154"/>
        <v>393.51598601000001</v>
      </c>
      <c r="CN126" s="27">
        <f t="shared" si="154"/>
        <v>74.2</v>
      </c>
      <c r="CO126" s="27">
        <f t="shared" si="154"/>
        <v>78.099999999999994</v>
      </c>
      <c r="CP126" s="27">
        <f t="shared" si="154"/>
        <v>118</v>
      </c>
      <c r="CQ126" s="27">
        <f t="shared" si="154"/>
        <v>90.700000000000017</v>
      </c>
      <c r="CR126" s="27">
        <f t="shared" si="154"/>
        <v>361</v>
      </c>
      <c r="CS126" s="27">
        <f t="shared" si="154"/>
        <v>88.027983720000009</v>
      </c>
      <c r="CT126" s="27">
        <f t="shared" ref="CT126:DV126" si="155">CT7+CT101</f>
        <v>117.66685146000002</v>
      </c>
      <c r="CU126" s="27">
        <f t="shared" si="155"/>
        <v>129.75569364</v>
      </c>
      <c r="CV126" s="27">
        <f t="shared" si="155"/>
        <v>125.03603608999997</v>
      </c>
      <c r="CW126" s="27">
        <f t="shared" si="155"/>
        <v>460.48656491000003</v>
      </c>
      <c r="CX126" s="27">
        <f t="shared" si="155"/>
        <v>96.983999999999995</v>
      </c>
      <c r="CY126" s="27">
        <f t="shared" si="155"/>
        <v>74.572000000000003</v>
      </c>
      <c r="CZ126" s="27">
        <f t="shared" si="155"/>
        <v>76.897999999999996</v>
      </c>
      <c r="DA126" s="27">
        <f t="shared" si="155"/>
        <v>86.942000000000007</v>
      </c>
      <c r="DB126" s="27">
        <f t="shared" si="155"/>
        <v>335.39599999999996</v>
      </c>
      <c r="DC126" s="27">
        <f t="shared" si="155"/>
        <v>84.950999999999993</v>
      </c>
      <c r="DD126" s="27">
        <f t="shared" si="155"/>
        <v>88.078000000000003</v>
      </c>
      <c r="DE126" s="27">
        <f t="shared" si="155"/>
        <v>84.122</v>
      </c>
      <c r="DF126" s="27">
        <f t="shared" si="155"/>
        <v>86.536000000000001</v>
      </c>
      <c r="DG126" s="27">
        <f t="shared" si="155"/>
        <v>343.68700000000001</v>
      </c>
      <c r="DH126" s="27">
        <f t="shared" si="155"/>
        <v>74.714000000000013</v>
      </c>
      <c r="DI126" s="27">
        <f t="shared" si="155"/>
        <v>52.675999999999995</v>
      </c>
      <c r="DJ126" s="27">
        <f t="shared" si="155"/>
        <v>74.152999999999992</v>
      </c>
      <c r="DK126" s="27">
        <f t="shared" si="155"/>
        <v>95.22</v>
      </c>
      <c r="DL126" s="27">
        <f t="shared" si="155"/>
        <v>296.76300000000003</v>
      </c>
      <c r="DM126" s="27">
        <f t="shared" si="155"/>
        <v>77.251000000000005</v>
      </c>
      <c r="DN126" s="27">
        <f t="shared" si="155"/>
        <v>85.397999999999996</v>
      </c>
      <c r="DO126" s="27">
        <f t="shared" si="155"/>
        <v>103.28100000000001</v>
      </c>
      <c r="DP126" s="27">
        <f t="shared" si="155"/>
        <v>98.298000000000002</v>
      </c>
      <c r="DQ126" s="27">
        <f t="shared" si="155"/>
        <v>364.22800000000007</v>
      </c>
      <c r="DR126" s="27">
        <f t="shared" si="155"/>
        <v>86.342999999999989</v>
      </c>
      <c r="DS126" s="27">
        <f t="shared" si="155"/>
        <v>88.513000000000005</v>
      </c>
      <c r="DT126" s="27">
        <f t="shared" si="155"/>
        <v>124.919</v>
      </c>
      <c r="DU126" s="27">
        <f t="shared" si="155"/>
        <v>145.70400000000001</v>
      </c>
      <c r="DV126" s="27">
        <f t="shared" si="155"/>
        <v>445.47899999999993</v>
      </c>
      <c r="DW126" s="27">
        <f>DW7+DW101</f>
        <v>105.253</v>
      </c>
      <c r="DX126" s="27">
        <f t="shared" si="126"/>
        <v>112.792</v>
      </c>
      <c r="DY126" s="27">
        <f t="shared" si="126"/>
        <v>130.25137752000001</v>
      </c>
      <c r="DZ126" s="27">
        <f t="shared" si="126"/>
        <v>144.71420039999998</v>
      </c>
      <c r="EA126" s="27">
        <f t="shared" si="126"/>
        <v>493.01057792000006</v>
      </c>
      <c r="EB126" s="27">
        <f t="shared" si="126"/>
        <v>142.10129591</v>
      </c>
      <c r="EC126" s="27">
        <f t="shared" si="126"/>
        <v>146.69797177999999</v>
      </c>
      <c r="ED126" s="27">
        <f t="shared" si="126"/>
        <v>173.917</v>
      </c>
      <c r="EE126" s="27">
        <f t="shared" ref="EE126" si="156">EE7+EE101</f>
        <v>191.25923932000001</v>
      </c>
      <c r="EF126" s="27">
        <f t="shared" si="135"/>
        <v>653.97550701</v>
      </c>
      <c r="EG126" s="27">
        <f t="shared" ref="EG126" si="157">EG7+EG101</f>
        <v>174.41316329</v>
      </c>
      <c r="EH126" s="27">
        <v>186.36865318000002</v>
      </c>
      <c r="EI126" s="27">
        <f t="shared" ref="EI126" si="158">EI7+EI101</f>
        <v>174.66978186999992</v>
      </c>
    </row>
    <row r="127" spans="1:139" ht="15" thickBot="1" x14ac:dyDescent="0.35">
      <c r="A127" s="2" t="s">
        <v>481</v>
      </c>
      <c r="B127" s="31">
        <f t="shared" ref="B127:AG127" si="159">B8+B102</f>
        <v>0</v>
      </c>
      <c r="C127" s="31">
        <f t="shared" si="159"/>
        <v>0</v>
      </c>
      <c r="D127" s="31">
        <f t="shared" si="159"/>
        <v>0</v>
      </c>
      <c r="E127" s="31">
        <f t="shared" si="159"/>
        <v>0</v>
      </c>
      <c r="F127" s="31">
        <f t="shared" si="159"/>
        <v>0</v>
      </c>
      <c r="G127" s="31">
        <f t="shared" si="159"/>
        <v>0</v>
      </c>
      <c r="H127" s="31">
        <f t="shared" si="159"/>
        <v>0</v>
      </c>
      <c r="I127" s="31">
        <f t="shared" si="159"/>
        <v>0</v>
      </c>
      <c r="J127" s="31">
        <f t="shared" si="159"/>
        <v>0</v>
      </c>
      <c r="K127" s="31">
        <f t="shared" si="159"/>
        <v>0</v>
      </c>
      <c r="L127" s="31">
        <f t="shared" si="159"/>
        <v>0</v>
      </c>
      <c r="M127" s="31">
        <f t="shared" si="159"/>
        <v>0</v>
      </c>
      <c r="N127" s="31">
        <f t="shared" si="159"/>
        <v>0</v>
      </c>
      <c r="O127" s="31">
        <f t="shared" si="159"/>
        <v>0</v>
      </c>
      <c r="P127" s="31">
        <f t="shared" si="159"/>
        <v>0</v>
      </c>
      <c r="Q127" s="31">
        <f t="shared" si="159"/>
        <v>0</v>
      </c>
      <c r="R127" s="31">
        <f t="shared" si="159"/>
        <v>0</v>
      </c>
      <c r="S127" s="31">
        <f t="shared" si="159"/>
        <v>0</v>
      </c>
      <c r="T127" s="31">
        <f t="shared" si="159"/>
        <v>0</v>
      </c>
      <c r="U127" s="31">
        <f t="shared" si="159"/>
        <v>0</v>
      </c>
      <c r="V127" s="31">
        <f t="shared" si="159"/>
        <v>0</v>
      </c>
      <c r="W127" s="31">
        <f t="shared" si="159"/>
        <v>0</v>
      </c>
      <c r="X127" s="31">
        <f t="shared" si="159"/>
        <v>0</v>
      </c>
      <c r="Y127" s="31">
        <f t="shared" si="159"/>
        <v>0</v>
      </c>
      <c r="Z127" s="31">
        <f t="shared" si="159"/>
        <v>0</v>
      </c>
      <c r="AA127" s="31">
        <f t="shared" si="159"/>
        <v>0</v>
      </c>
      <c r="AB127" s="31">
        <f t="shared" si="159"/>
        <v>0</v>
      </c>
      <c r="AC127" s="31">
        <f t="shared" si="159"/>
        <v>0</v>
      </c>
      <c r="AD127" s="31">
        <f t="shared" si="159"/>
        <v>0</v>
      </c>
      <c r="AE127" s="31">
        <f t="shared" si="159"/>
        <v>0</v>
      </c>
      <c r="AF127" s="31">
        <f t="shared" si="159"/>
        <v>0</v>
      </c>
      <c r="AG127" s="31">
        <f t="shared" si="159"/>
        <v>0</v>
      </c>
      <c r="AH127" s="31">
        <f t="shared" ref="AH127:BM127" si="160">AH8+AH102</f>
        <v>0</v>
      </c>
      <c r="AI127" s="31">
        <f t="shared" si="160"/>
        <v>0</v>
      </c>
      <c r="AJ127" s="31">
        <f t="shared" si="160"/>
        <v>0</v>
      </c>
      <c r="AK127" s="31">
        <f t="shared" si="160"/>
        <v>0</v>
      </c>
      <c r="AL127" s="31">
        <f t="shared" si="160"/>
        <v>0</v>
      </c>
      <c r="AM127" s="31">
        <f t="shared" si="160"/>
        <v>0</v>
      </c>
      <c r="AN127" s="31">
        <f t="shared" si="160"/>
        <v>0</v>
      </c>
      <c r="AO127" s="31">
        <f t="shared" si="160"/>
        <v>0</v>
      </c>
      <c r="AP127" s="31">
        <f t="shared" si="160"/>
        <v>0</v>
      </c>
      <c r="AQ127" s="31">
        <f t="shared" si="160"/>
        <v>0</v>
      </c>
      <c r="AR127" s="31">
        <f t="shared" si="160"/>
        <v>0</v>
      </c>
      <c r="AS127" s="31">
        <f t="shared" si="160"/>
        <v>0</v>
      </c>
      <c r="AT127" s="31">
        <f t="shared" si="160"/>
        <v>0</v>
      </c>
      <c r="AU127" s="31">
        <f t="shared" si="160"/>
        <v>0</v>
      </c>
      <c r="AV127" s="31">
        <f t="shared" si="160"/>
        <v>0</v>
      </c>
      <c r="AW127" s="31">
        <f t="shared" si="160"/>
        <v>0</v>
      </c>
      <c r="AX127" s="31">
        <f t="shared" si="160"/>
        <v>0</v>
      </c>
      <c r="AY127" s="31">
        <f t="shared" si="160"/>
        <v>0</v>
      </c>
      <c r="AZ127" s="31">
        <f t="shared" si="160"/>
        <v>0</v>
      </c>
      <c r="BA127" s="31">
        <f t="shared" si="160"/>
        <v>0</v>
      </c>
      <c r="BB127" s="31">
        <f t="shared" si="160"/>
        <v>0</v>
      </c>
      <c r="BC127" s="31">
        <f t="shared" si="160"/>
        <v>0</v>
      </c>
      <c r="BD127" s="31">
        <f t="shared" si="160"/>
        <v>0</v>
      </c>
      <c r="BE127" s="31">
        <f t="shared" si="160"/>
        <v>0</v>
      </c>
      <c r="BF127" s="31">
        <f t="shared" si="160"/>
        <v>0</v>
      </c>
      <c r="BG127" s="31">
        <f t="shared" si="160"/>
        <v>0</v>
      </c>
      <c r="BH127" s="31">
        <f t="shared" si="160"/>
        <v>0</v>
      </c>
      <c r="BI127" s="31">
        <f t="shared" si="160"/>
        <v>0</v>
      </c>
      <c r="BJ127" s="28">
        <f t="shared" si="160"/>
        <v>0</v>
      </c>
      <c r="BK127" s="28">
        <f t="shared" si="160"/>
        <v>0</v>
      </c>
      <c r="BL127" s="28">
        <f t="shared" si="160"/>
        <v>0</v>
      </c>
      <c r="BM127" s="28">
        <f t="shared" si="160"/>
        <v>0</v>
      </c>
      <c r="BN127" s="28">
        <f t="shared" ref="BN127:CS127" si="161">BN8+BN102</f>
        <v>0</v>
      </c>
      <c r="BO127" s="28">
        <f t="shared" si="161"/>
        <v>0</v>
      </c>
      <c r="BP127" s="28">
        <f t="shared" si="161"/>
        <v>0</v>
      </c>
      <c r="BQ127" s="28">
        <f t="shared" si="161"/>
        <v>0</v>
      </c>
      <c r="BR127" s="28">
        <f t="shared" si="161"/>
        <v>0</v>
      </c>
      <c r="BS127" s="28">
        <f t="shared" si="161"/>
        <v>0</v>
      </c>
      <c r="BT127" s="28">
        <f t="shared" si="161"/>
        <v>0</v>
      </c>
      <c r="BU127" s="28">
        <f t="shared" si="161"/>
        <v>0</v>
      </c>
      <c r="BV127" s="28">
        <f t="shared" si="161"/>
        <v>0</v>
      </c>
      <c r="BW127" s="28">
        <f t="shared" si="161"/>
        <v>0</v>
      </c>
      <c r="BX127" s="28">
        <f t="shared" si="161"/>
        <v>0</v>
      </c>
      <c r="BY127" s="28">
        <f t="shared" si="161"/>
        <v>0</v>
      </c>
      <c r="BZ127" s="28">
        <f t="shared" si="161"/>
        <v>0</v>
      </c>
      <c r="CA127" s="28">
        <f t="shared" si="161"/>
        <v>11.1</v>
      </c>
      <c r="CB127" s="28">
        <f t="shared" si="161"/>
        <v>15.5</v>
      </c>
      <c r="CC127" s="28">
        <f t="shared" si="161"/>
        <v>26.6</v>
      </c>
      <c r="CD127" s="28">
        <f t="shared" si="161"/>
        <v>31.295000000000002</v>
      </c>
      <c r="CE127" s="28">
        <f t="shared" si="161"/>
        <v>144.31121702000002</v>
      </c>
      <c r="CF127" s="28">
        <f t="shared" si="161"/>
        <v>59.199999999999996</v>
      </c>
      <c r="CG127" s="28">
        <f t="shared" si="161"/>
        <v>55.900000000000006</v>
      </c>
      <c r="CH127" s="28">
        <f t="shared" si="161"/>
        <v>290.70621702000005</v>
      </c>
      <c r="CI127" s="28">
        <f t="shared" si="161"/>
        <v>53.099999999999994</v>
      </c>
      <c r="CJ127" s="28">
        <f t="shared" si="161"/>
        <v>66.100000000000009</v>
      </c>
      <c r="CK127" s="28">
        <f t="shared" si="161"/>
        <v>78.952053859999992</v>
      </c>
      <c r="CL127" s="28">
        <f t="shared" si="161"/>
        <v>73.986443799999975</v>
      </c>
      <c r="CM127" s="28">
        <f t="shared" si="161"/>
        <v>272.13849765999998</v>
      </c>
      <c r="CN127" s="28">
        <f t="shared" si="161"/>
        <v>53.5</v>
      </c>
      <c r="CO127" s="28">
        <f t="shared" si="161"/>
        <v>56.6</v>
      </c>
      <c r="CP127" s="28">
        <f t="shared" si="161"/>
        <v>73.599999999999994</v>
      </c>
      <c r="CQ127" s="28">
        <f t="shared" si="161"/>
        <v>74.599999999999994</v>
      </c>
      <c r="CR127" s="28">
        <f t="shared" si="161"/>
        <v>258.29999999999995</v>
      </c>
      <c r="CS127" s="28">
        <f t="shared" si="161"/>
        <v>59.248068669999995</v>
      </c>
      <c r="CT127" s="28">
        <f t="shared" ref="CT127:DW127" si="162">CT8+CT102</f>
        <v>67.551991669999992</v>
      </c>
      <c r="CU127" s="28">
        <f t="shared" si="162"/>
        <v>71.113496359999999</v>
      </c>
      <c r="CV127" s="28">
        <f t="shared" si="162"/>
        <v>80.023721660000049</v>
      </c>
      <c r="CW127" s="28">
        <f t="shared" si="162"/>
        <v>277.93727836000005</v>
      </c>
      <c r="CX127" s="28">
        <f t="shared" si="162"/>
        <v>94.227000000000004</v>
      </c>
      <c r="CY127" s="28">
        <f t="shared" si="162"/>
        <v>94.992000000000004</v>
      </c>
      <c r="CZ127" s="28">
        <f t="shared" si="162"/>
        <v>90.984999999999999</v>
      </c>
      <c r="DA127" s="28">
        <f t="shared" si="162"/>
        <v>114.878</v>
      </c>
      <c r="DB127" s="28">
        <f t="shared" si="162"/>
        <v>395.08199999999999</v>
      </c>
      <c r="DC127" s="28">
        <f t="shared" si="162"/>
        <v>99.781999999999996</v>
      </c>
      <c r="DD127" s="28">
        <f t="shared" si="162"/>
        <v>103.797</v>
      </c>
      <c r="DE127" s="28">
        <f t="shared" si="162"/>
        <v>118.85599999999999</v>
      </c>
      <c r="DF127" s="28">
        <f t="shared" si="162"/>
        <v>119.36499999999999</v>
      </c>
      <c r="DG127" s="28">
        <f t="shared" si="162"/>
        <v>441.79999999999995</v>
      </c>
      <c r="DH127" s="28">
        <f t="shared" si="162"/>
        <v>93.702999999999989</v>
      </c>
      <c r="DI127" s="28">
        <f t="shared" si="162"/>
        <v>73.798000000000002</v>
      </c>
      <c r="DJ127" s="28">
        <f t="shared" si="162"/>
        <v>82.292000000000002</v>
      </c>
      <c r="DK127" s="28">
        <f t="shared" si="162"/>
        <v>87.343999999999994</v>
      </c>
      <c r="DL127" s="28">
        <f t="shared" si="162"/>
        <v>337.137</v>
      </c>
      <c r="DM127" s="28">
        <f t="shared" si="162"/>
        <v>91.055999999999997</v>
      </c>
      <c r="DN127" s="28">
        <f t="shared" si="162"/>
        <v>104.16</v>
      </c>
      <c r="DO127" s="28">
        <f t="shared" si="162"/>
        <v>123.104</v>
      </c>
      <c r="DP127" s="28">
        <f t="shared" si="162"/>
        <v>108.238</v>
      </c>
      <c r="DQ127" s="28">
        <f t="shared" si="162"/>
        <v>426.55800000000005</v>
      </c>
      <c r="DR127" s="28">
        <f t="shared" si="162"/>
        <v>115.08199999999999</v>
      </c>
      <c r="DS127" s="28">
        <f t="shared" si="162"/>
        <v>130.614</v>
      </c>
      <c r="DT127" s="28">
        <f t="shared" si="162"/>
        <v>148.53800000000001</v>
      </c>
      <c r="DU127" s="28">
        <f t="shared" si="162"/>
        <v>100.46899999999999</v>
      </c>
      <c r="DV127" s="28">
        <f t="shared" si="162"/>
        <v>494.70300000000003</v>
      </c>
      <c r="DW127" s="28">
        <f t="shared" si="162"/>
        <v>99.185999999999993</v>
      </c>
      <c r="DX127" s="28">
        <f t="shared" si="126"/>
        <v>115.179</v>
      </c>
      <c r="DY127" s="28">
        <f t="shared" si="126"/>
        <v>112.5411714</v>
      </c>
      <c r="DZ127" s="28">
        <f t="shared" si="126"/>
        <v>112.84151878000004</v>
      </c>
      <c r="EA127" s="28">
        <f t="shared" si="126"/>
        <v>439.74769018000006</v>
      </c>
      <c r="EB127" s="28">
        <f t="shared" si="126"/>
        <v>112.17322966</v>
      </c>
      <c r="EC127" s="28">
        <f t="shared" si="126"/>
        <v>136.57294870999996</v>
      </c>
      <c r="ED127" s="28">
        <f t="shared" si="126"/>
        <v>116.44800000000001</v>
      </c>
      <c r="EE127" s="28">
        <f t="shared" ref="EE127" si="163">EE8+EE102</f>
        <v>131.28783910999999</v>
      </c>
      <c r="EF127" s="28">
        <f t="shared" si="135"/>
        <v>496.48201747999997</v>
      </c>
      <c r="EG127" s="28">
        <f t="shared" ref="EG127" si="164">EG8+EG102</f>
        <v>112.4848705</v>
      </c>
      <c r="EH127" s="28">
        <v>103.49273799999999</v>
      </c>
      <c r="EI127" s="28">
        <f t="shared" ref="EI127" si="165">EI8+EI102</f>
        <v>113.87518558000002</v>
      </c>
    </row>
    <row r="128" spans="1:139" ht="15" thickTop="1" x14ac:dyDescent="0.3">
      <c r="A128" s="1" t="s">
        <v>445</v>
      </c>
      <c r="B128" s="30">
        <f t="shared" ref="B128:AG128" si="166">B9+B103</f>
        <v>0</v>
      </c>
      <c r="C128" s="30">
        <f t="shared" si="166"/>
        <v>0</v>
      </c>
      <c r="D128" s="30">
        <f t="shared" si="166"/>
        <v>0</v>
      </c>
      <c r="E128" s="30">
        <f t="shared" si="166"/>
        <v>0</v>
      </c>
      <c r="F128" s="30">
        <f t="shared" si="166"/>
        <v>0</v>
      </c>
      <c r="G128" s="30">
        <f t="shared" si="166"/>
        <v>0</v>
      </c>
      <c r="H128" s="30">
        <f t="shared" si="166"/>
        <v>0</v>
      </c>
      <c r="I128" s="30">
        <f t="shared" si="166"/>
        <v>0</v>
      </c>
      <c r="J128" s="30">
        <f t="shared" si="166"/>
        <v>0</v>
      </c>
      <c r="K128" s="30">
        <f t="shared" si="166"/>
        <v>0</v>
      </c>
      <c r="L128" s="30">
        <f t="shared" si="166"/>
        <v>0</v>
      </c>
      <c r="M128" s="30">
        <f t="shared" si="166"/>
        <v>0</v>
      </c>
      <c r="N128" s="30">
        <f t="shared" si="166"/>
        <v>0</v>
      </c>
      <c r="O128" s="30">
        <f t="shared" si="166"/>
        <v>0</v>
      </c>
      <c r="P128" s="30">
        <f t="shared" si="166"/>
        <v>0</v>
      </c>
      <c r="Q128" s="30">
        <f t="shared" si="166"/>
        <v>0</v>
      </c>
      <c r="R128" s="30">
        <f t="shared" si="166"/>
        <v>0</v>
      </c>
      <c r="S128" s="30">
        <f t="shared" si="166"/>
        <v>0</v>
      </c>
      <c r="T128" s="30">
        <f t="shared" si="166"/>
        <v>0</v>
      </c>
      <c r="U128" s="30">
        <f t="shared" si="166"/>
        <v>0</v>
      </c>
      <c r="V128" s="30">
        <f t="shared" si="166"/>
        <v>0</v>
      </c>
      <c r="W128" s="30">
        <f t="shared" si="166"/>
        <v>0</v>
      </c>
      <c r="X128" s="30">
        <f t="shared" si="166"/>
        <v>0</v>
      </c>
      <c r="Y128" s="30">
        <f t="shared" si="166"/>
        <v>0</v>
      </c>
      <c r="Z128" s="30">
        <f t="shared" si="166"/>
        <v>0</v>
      </c>
      <c r="AA128" s="30">
        <f t="shared" si="166"/>
        <v>0</v>
      </c>
      <c r="AB128" s="30">
        <f t="shared" si="166"/>
        <v>0</v>
      </c>
      <c r="AC128" s="30">
        <f t="shared" si="166"/>
        <v>0</v>
      </c>
      <c r="AD128" s="30">
        <f t="shared" si="166"/>
        <v>0</v>
      </c>
      <c r="AE128" s="30">
        <f t="shared" si="166"/>
        <v>0</v>
      </c>
      <c r="AF128" s="30">
        <f t="shared" si="166"/>
        <v>0</v>
      </c>
      <c r="AG128" s="30">
        <f t="shared" si="166"/>
        <v>0</v>
      </c>
      <c r="AH128" s="30">
        <f t="shared" ref="AH128:BM128" si="167">AH9+AH103</f>
        <v>0</v>
      </c>
      <c r="AI128" s="30">
        <f t="shared" si="167"/>
        <v>0</v>
      </c>
      <c r="AJ128" s="30">
        <f t="shared" si="167"/>
        <v>0</v>
      </c>
      <c r="AK128" s="30">
        <f t="shared" si="167"/>
        <v>0</v>
      </c>
      <c r="AL128" s="30">
        <f t="shared" si="167"/>
        <v>0</v>
      </c>
      <c r="AM128" s="30">
        <f t="shared" si="167"/>
        <v>0</v>
      </c>
      <c r="AN128" s="30">
        <f t="shared" si="167"/>
        <v>0</v>
      </c>
      <c r="AO128" s="30">
        <f t="shared" si="167"/>
        <v>0</v>
      </c>
      <c r="AP128" s="30">
        <f t="shared" si="167"/>
        <v>0</v>
      </c>
      <c r="AQ128" s="30">
        <f t="shared" si="167"/>
        <v>0</v>
      </c>
      <c r="AR128" s="30">
        <f t="shared" si="167"/>
        <v>0</v>
      </c>
      <c r="AS128" s="30">
        <f t="shared" si="167"/>
        <v>0</v>
      </c>
      <c r="AT128" s="30">
        <f t="shared" si="167"/>
        <v>0</v>
      </c>
      <c r="AU128" s="30">
        <f t="shared" si="167"/>
        <v>0</v>
      </c>
      <c r="AV128" s="30">
        <f t="shared" si="167"/>
        <v>0</v>
      </c>
      <c r="AW128" s="30">
        <f t="shared" si="167"/>
        <v>0</v>
      </c>
      <c r="AX128" s="30">
        <f t="shared" si="167"/>
        <v>0</v>
      </c>
      <c r="AY128" s="30">
        <f t="shared" si="167"/>
        <v>0</v>
      </c>
      <c r="AZ128" s="30">
        <f t="shared" si="167"/>
        <v>0</v>
      </c>
      <c r="BA128" s="30">
        <f t="shared" si="167"/>
        <v>0</v>
      </c>
      <c r="BB128" s="30">
        <f t="shared" si="167"/>
        <v>0</v>
      </c>
      <c r="BC128" s="30">
        <f t="shared" si="167"/>
        <v>0</v>
      </c>
      <c r="BD128" s="30">
        <f t="shared" si="167"/>
        <v>0</v>
      </c>
      <c r="BE128" s="30">
        <f t="shared" si="167"/>
        <v>0</v>
      </c>
      <c r="BF128" s="30">
        <f t="shared" si="167"/>
        <v>0</v>
      </c>
      <c r="BG128" s="30">
        <f t="shared" si="167"/>
        <v>0</v>
      </c>
      <c r="BH128" s="30">
        <f t="shared" si="167"/>
        <v>0</v>
      </c>
      <c r="BI128" s="30">
        <f t="shared" si="167"/>
        <v>0</v>
      </c>
      <c r="BJ128" s="27">
        <f t="shared" si="167"/>
        <v>0</v>
      </c>
      <c r="BK128" s="27">
        <f t="shared" si="167"/>
        <v>0</v>
      </c>
      <c r="BL128" s="27">
        <f t="shared" si="167"/>
        <v>0</v>
      </c>
      <c r="BM128" s="27">
        <f t="shared" si="167"/>
        <v>0</v>
      </c>
      <c r="BN128" s="27">
        <f t="shared" ref="BN128:CS128" si="168">BN9+BN103</f>
        <v>0</v>
      </c>
      <c r="BO128" s="27">
        <f t="shared" si="168"/>
        <v>0</v>
      </c>
      <c r="BP128" s="27">
        <f t="shared" si="168"/>
        <v>0</v>
      </c>
      <c r="BQ128" s="27">
        <f t="shared" si="168"/>
        <v>0</v>
      </c>
      <c r="BR128" s="27">
        <f t="shared" si="168"/>
        <v>0</v>
      </c>
      <c r="BS128" s="27">
        <f t="shared" si="168"/>
        <v>0</v>
      </c>
      <c r="BT128" s="27">
        <f t="shared" si="168"/>
        <v>0</v>
      </c>
      <c r="BU128" s="27">
        <f t="shared" si="168"/>
        <v>0</v>
      </c>
      <c r="BV128" s="27">
        <f t="shared" si="168"/>
        <v>0</v>
      </c>
      <c r="BW128" s="27">
        <f t="shared" si="168"/>
        <v>0</v>
      </c>
      <c r="BX128" s="27">
        <f t="shared" si="168"/>
        <v>0</v>
      </c>
      <c r="BY128" s="27">
        <f t="shared" si="168"/>
        <v>0</v>
      </c>
      <c r="BZ128" s="27">
        <f t="shared" si="168"/>
        <v>0</v>
      </c>
      <c r="CA128" s="27">
        <f t="shared" si="168"/>
        <v>0</v>
      </c>
      <c r="CB128" s="27">
        <f t="shared" si="168"/>
        <v>0</v>
      </c>
      <c r="CC128" s="27">
        <f t="shared" si="168"/>
        <v>0</v>
      </c>
      <c r="CD128" s="27">
        <f t="shared" si="168"/>
        <v>0</v>
      </c>
      <c r="CE128" s="27">
        <f t="shared" si="168"/>
        <v>0</v>
      </c>
      <c r="CF128" s="27">
        <f t="shared" si="168"/>
        <v>0</v>
      </c>
      <c r="CG128" s="27">
        <f t="shared" si="168"/>
        <v>0</v>
      </c>
      <c r="CH128" s="27">
        <f t="shared" si="168"/>
        <v>0</v>
      </c>
      <c r="CI128" s="27">
        <f t="shared" si="168"/>
        <v>0</v>
      </c>
      <c r="CJ128" s="27">
        <f t="shared" si="168"/>
        <v>7.9999999999999991</v>
      </c>
      <c r="CK128" s="27">
        <f t="shared" si="168"/>
        <v>24.938066299999999</v>
      </c>
      <c r="CL128" s="27">
        <f t="shared" si="168"/>
        <v>33.446078289999996</v>
      </c>
      <c r="CM128" s="27">
        <f t="shared" si="168"/>
        <v>66.384144589999991</v>
      </c>
      <c r="CN128" s="27">
        <f t="shared" si="168"/>
        <v>32.700000000000003</v>
      </c>
      <c r="CO128" s="27">
        <f t="shared" si="168"/>
        <v>39</v>
      </c>
      <c r="CP128" s="27">
        <f t="shared" si="168"/>
        <v>42.399999999999991</v>
      </c>
      <c r="CQ128" s="27">
        <f t="shared" si="168"/>
        <v>50.800000000000018</v>
      </c>
      <c r="CR128" s="27">
        <f t="shared" si="168"/>
        <v>164.89999999999998</v>
      </c>
      <c r="CS128" s="27">
        <f t="shared" si="168"/>
        <v>52.759169169999993</v>
      </c>
      <c r="CT128" s="27">
        <f t="shared" ref="CT128:DW128" si="169">CT9+CT103</f>
        <v>60.036638889999992</v>
      </c>
      <c r="CU128" s="27">
        <f t="shared" si="169"/>
        <v>54.042819909999977</v>
      </c>
      <c r="CV128" s="27">
        <f t="shared" si="169"/>
        <v>47.009877360000033</v>
      </c>
      <c r="CW128" s="27">
        <f t="shared" si="169"/>
        <v>213.84850532999999</v>
      </c>
      <c r="CX128" s="27">
        <f t="shared" si="169"/>
        <v>33.201000000000001</v>
      </c>
      <c r="CY128" s="27">
        <f t="shared" si="169"/>
        <v>34.838999999999999</v>
      </c>
      <c r="CZ128" s="27">
        <f t="shared" si="169"/>
        <v>47.283999999999999</v>
      </c>
      <c r="DA128" s="27">
        <f t="shared" si="169"/>
        <v>67.411000000000001</v>
      </c>
      <c r="DB128" s="27">
        <f t="shared" si="169"/>
        <v>182.73500000000001</v>
      </c>
      <c r="DC128" s="27">
        <f t="shared" si="169"/>
        <v>74.266999999999996</v>
      </c>
      <c r="DD128" s="27">
        <f t="shared" si="169"/>
        <v>99.45</v>
      </c>
      <c r="DE128" s="27">
        <f t="shared" si="169"/>
        <v>95.317000000000007</v>
      </c>
      <c r="DF128" s="27">
        <f t="shared" si="169"/>
        <v>100.56099999999999</v>
      </c>
      <c r="DG128" s="27">
        <f t="shared" si="169"/>
        <v>369.59499999999997</v>
      </c>
      <c r="DH128" s="27">
        <f t="shared" si="169"/>
        <v>75.356999999999999</v>
      </c>
      <c r="DI128" s="27">
        <f t="shared" si="169"/>
        <v>47.467000000000006</v>
      </c>
      <c r="DJ128" s="27">
        <f t="shared" si="169"/>
        <v>58.834000000000003</v>
      </c>
      <c r="DK128" s="27">
        <f t="shared" si="169"/>
        <v>59.038000000000004</v>
      </c>
      <c r="DL128" s="27">
        <f t="shared" si="169"/>
        <v>240.696</v>
      </c>
      <c r="DM128" s="27">
        <f t="shared" si="169"/>
        <v>44.504999999999995</v>
      </c>
      <c r="DN128" s="27">
        <f t="shared" si="169"/>
        <v>36.828000000000003</v>
      </c>
      <c r="DO128" s="27">
        <f t="shared" si="169"/>
        <v>39.180999999999997</v>
      </c>
      <c r="DP128" s="27">
        <f t="shared" si="169"/>
        <v>41.567</v>
      </c>
      <c r="DQ128" s="27">
        <f t="shared" si="169"/>
        <v>162.08099999999999</v>
      </c>
      <c r="DR128" s="27">
        <f t="shared" si="169"/>
        <v>44.492000000000004</v>
      </c>
      <c r="DS128" s="27">
        <f t="shared" si="169"/>
        <v>38.178999999999995</v>
      </c>
      <c r="DT128" s="27">
        <f t="shared" si="169"/>
        <v>44.21</v>
      </c>
      <c r="DU128" s="27">
        <f t="shared" si="169"/>
        <v>48.328999999999994</v>
      </c>
      <c r="DV128" s="27">
        <f t="shared" si="169"/>
        <v>175.21</v>
      </c>
      <c r="DW128" s="27">
        <f t="shared" si="169"/>
        <v>41.340999999999994</v>
      </c>
      <c r="DX128" s="27">
        <f t="shared" si="126"/>
        <v>42.66</v>
      </c>
      <c r="DY128" s="27">
        <f t="shared" si="126"/>
        <v>52.793404370000019</v>
      </c>
      <c r="DZ128" s="27">
        <f t="shared" si="126"/>
        <v>52.783419389999999</v>
      </c>
      <c r="EA128" s="27">
        <f t="shared" si="126"/>
        <v>189.57782376</v>
      </c>
      <c r="EB128" s="27">
        <f t="shared" si="126"/>
        <v>54.249874390000002</v>
      </c>
      <c r="EC128" s="27">
        <f t="shared" si="126"/>
        <v>63.381257720000008</v>
      </c>
      <c r="ED128" s="27">
        <f t="shared" si="126"/>
        <v>60.063999999999993</v>
      </c>
      <c r="EE128" s="27">
        <f t="shared" ref="EE128" si="170">EE9+EE103</f>
        <v>60.98132148000002</v>
      </c>
      <c r="EF128" s="27">
        <f t="shared" si="135"/>
        <v>238.67645359000002</v>
      </c>
      <c r="EG128" s="27">
        <f t="shared" ref="EG128" si="171">EG9+EG103</f>
        <v>51.475707020000002</v>
      </c>
      <c r="EH128" s="27">
        <v>63.126955969999997</v>
      </c>
      <c r="EI128" s="27">
        <f t="shared" ref="EI128" si="172">EI9+EI103</f>
        <v>54.872785279999995</v>
      </c>
    </row>
    <row r="129" spans="1:139" ht="15" thickBot="1" x14ac:dyDescent="0.35">
      <c r="A129" s="2" t="s">
        <v>444</v>
      </c>
      <c r="B129" s="31">
        <f t="shared" ref="B129:AG129" si="173">B10+B104</f>
        <v>0</v>
      </c>
      <c r="C129" s="31">
        <f t="shared" si="173"/>
        <v>0</v>
      </c>
      <c r="D129" s="31">
        <f t="shared" si="173"/>
        <v>0</v>
      </c>
      <c r="E129" s="31">
        <f t="shared" si="173"/>
        <v>0</v>
      </c>
      <c r="F129" s="31">
        <f t="shared" si="173"/>
        <v>0</v>
      </c>
      <c r="G129" s="31">
        <f t="shared" si="173"/>
        <v>0</v>
      </c>
      <c r="H129" s="31">
        <f t="shared" si="173"/>
        <v>0</v>
      </c>
      <c r="I129" s="31">
        <f t="shared" si="173"/>
        <v>0</v>
      </c>
      <c r="J129" s="31">
        <f t="shared" si="173"/>
        <v>0</v>
      </c>
      <c r="K129" s="31">
        <f t="shared" si="173"/>
        <v>0</v>
      </c>
      <c r="L129" s="31">
        <f t="shared" si="173"/>
        <v>0</v>
      </c>
      <c r="M129" s="31">
        <f t="shared" si="173"/>
        <v>0</v>
      </c>
      <c r="N129" s="31">
        <f t="shared" si="173"/>
        <v>0</v>
      </c>
      <c r="O129" s="31">
        <f t="shared" si="173"/>
        <v>0</v>
      </c>
      <c r="P129" s="31">
        <f t="shared" si="173"/>
        <v>0</v>
      </c>
      <c r="Q129" s="31">
        <f t="shared" si="173"/>
        <v>0</v>
      </c>
      <c r="R129" s="31">
        <f t="shared" si="173"/>
        <v>0</v>
      </c>
      <c r="S129" s="31">
        <f t="shared" si="173"/>
        <v>0</v>
      </c>
      <c r="T129" s="31">
        <f t="shared" si="173"/>
        <v>0</v>
      </c>
      <c r="U129" s="31">
        <f t="shared" si="173"/>
        <v>0</v>
      </c>
      <c r="V129" s="31">
        <f t="shared" si="173"/>
        <v>0</v>
      </c>
      <c r="W129" s="31">
        <f t="shared" si="173"/>
        <v>0</v>
      </c>
      <c r="X129" s="31">
        <f t="shared" si="173"/>
        <v>0</v>
      </c>
      <c r="Y129" s="31">
        <f t="shared" si="173"/>
        <v>0</v>
      </c>
      <c r="Z129" s="31">
        <f t="shared" si="173"/>
        <v>0</v>
      </c>
      <c r="AA129" s="31">
        <f t="shared" si="173"/>
        <v>0</v>
      </c>
      <c r="AB129" s="31">
        <f t="shared" si="173"/>
        <v>0</v>
      </c>
      <c r="AC129" s="31">
        <f t="shared" si="173"/>
        <v>0</v>
      </c>
      <c r="AD129" s="31">
        <f t="shared" si="173"/>
        <v>0</v>
      </c>
      <c r="AE129" s="31">
        <f t="shared" si="173"/>
        <v>0</v>
      </c>
      <c r="AF129" s="31">
        <f t="shared" si="173"/>
        <v>0</v>
      </c>
      <c r="AG129" s="31">
        <f t="shared" si="173"/>
        <v>0</v>
      </c>
      <c r="AH129" s="31">
        <f t="shared" ref="AH129:BM129" si="174">AH10+AH104</f>
        <v>0</v>
      </c>
      <c r="AI129" s="31">
        <f t="shared" si="174"/>
        <v>0</v>
      </c>
      <c r="AJ129" s="31">
        <f t="shared" si="174"/>
        <v>0</v>
      </c>
      <c r="AK129" s="31">
        <f t="shared" si="174"/>
        <v>0</v>
      </c>
      <c r="AL129" s="31">
        <f t="shared" si="174"/>
        <v>0</v>
      </c>
      <c r="AM129" s="31">
        <f t="shared" si="174"/>
        <v>0</v>
      </c>
      <c r="AN129" s="31">
        <f t="shared" si="174"/>
        <v>0</v>
      </c>
      <c r="AO129" s="31">
        <f t="shared" si="174"/>
        <v>0</v>
      </c>
      <c r="AP129" s="31">
        <f t="shared" si="174"/>
        <v>0</v>
      </c>
      <c r="AQ129" s="31">
        <f t="shared" si="174"/>
        <v>0</v>
      </c>
      <c r="AR129" s="31">
        <f t="shared" si="174"/>
        <v>0</v>
      </c>
      <c r="AS129" s="31">
        <f t="shared" si="174"/>
        <v>0</v>
      </c>
      <c r="AT129" s="31">
        <f t="shared" si="174"/>
        <v>0</v>
      </c>
      <c r="AU129" s="31">
        <f t="shared" si="174"/>
        <v>0</v>
      </c>
      <c r="AV129" s="31">
        <f t="shared" si="174"/>
        <v>0</v>
      </c>
      <c r="AW129" s="31">
        <f t="shared" si="174"/>
        <v>0</v>
      </c>
      <c r="AX129" s="31">
        <f t="shared" si="174"/>
        <v>0</v>
      </c>
      <c r="AY129" s="31">
        <f t="shared" si="174"/>
        <v>0</v>
      </c>
      <c r="AZ129" s="31">
        <f t="shared" si="174"/>
        <v>0</v>
      </c>
      <c r="BA129" s="31">
        <f t="shared" si="174"/>
        <v>0</v>
      </c>
      <c r="BB129" s="31">
        <f t="shared" si="174"/>
        <v>0</v>
      </c>
      <c r="BC129" s="31">
        <f t="shared" si="174"/>
        <v>0</v>
      </c>
      <c r="BD129" s="31">
        <f t="shared" si="174"/>
        <v>0</v>
      </c>
      <c r="BE129" s="31">
        <f t="shared" si="174"/>
        <v>0</v>
      </c>
      <c r="BF129" s="31">
        <f t="shared" si="174"/>
        <v>0</v>
      </c>
      <c r="BG129" s="31">
        <f t="shared" si="174"/>
        <v>0</v>
      </c>
      <c r="BH129" s="31">
        <f t="shared" si="174"/>
        <v>0</v>
      </c>
      <c r="BI129" s="31">
        <f t="shared" si="174"/>
        <v>0</v>
      </c>
      <c r="BJ129" s="28">
        <f t="shared" si="174"/>
        <v>0</v>
      </c>
      <c r="BK129" s="28">
        <f t="shared" si="174"/>
        <v>0</v>
      </c>
      <c r="BL129" s="28">
        <f t="shared" si="174"/>
        <v>0</v>
      </c>
      <c r="BM129" s="28">
        <f t="shared" si="174"/>
        <v>0</v>
      </c>
      <c r="BN129" s="28">
        <f t="shared" ref="BN129:CS129" si="175">BN10+BN104</f>
        <v>0</v>
      </c>
      <c r="BO129" s="28">
        <f t="shared" si="175"/>
        <v>0</v>
      </c>
      <c r="BP129" s="28">
        <f t="shared" si="175"/>
        <v>0</v>
      </c>
      <c r="BQ129" s="28">
        <f t="shared" si="175"/>
        <v>0</v>
      </c>
      <c r="BR129" s="28">
        <f t="shared" si="175"/>
        <v>0</v>
      </c>
      <c r="BS129" s="28">
        <f t="shared" si="175"/>
        <v>0</v>
      </c>
      <c r="BT129" s="28">
        <f t="shared" si="175"/>
        <v>0</v>
      </c>
      <c r="BU129" s="28">
        <f t="shared" si="175"/>
        <v>0</v>
      </c>
      <c r="BV129" s="28">
        <f t="shared" si="175"/>
        <v>0</v>
      </c>
      <c r="BW129" s="28">
        <f t="shared" si="175"/>
        <v>0</v>
      </c>
      <c r="BX129" s="28">
        <f t="shared" si="175"/>
        <v>0</v>
      </c>
      <c r="BY129" s="28">
        <f t="shared" si="175"/>
        <v>0</v>
      </c>
      <c r="BZ129" s="28">
        <f t="shared" si="175"/>
        <v>0</v>
      </c>
      <c r="CA129" s="28">
        <f t="shared" si="175"/>
        <v>0</v>
      </c>
      <c r="CB129" s="28">
        <f t="shared" si="175"/>
        <v>0</v>
      </c>
      <c r="CC129" s="28">
        <f t="shared" si="175"/>
        <v>0</v>
      </c>
      <c r="CD129" s="28">
        <f t="shared" si="175"/>
        <v>0</v>
      </c>
      <c r="CE129" s="28">
        <f t="shared" si="175"/>
        <v>0</v>
      </c>
      <c r="CF129" s="28">
        <f t="shared" si="175"/>
        <v>0</v>
      </c>
      <c r="CG129" s="28">
        <f t="shared" si="175"/>
        <v>0</v>
      </c>
      <c r="CH129" s="28">
        <f t="shared" si="175"/>
        <v>0</v>
      </c>
      <c r="CI129" s="28">
        <f t="shared" si="175"/>
        <v>0</v>
      </c>
      <c r="CJ129" s="28">
        <f t="shared" si="175"/>
        <v>0</v>
      </c>
      <c r="CK129" s="28">
        <f t="shared" si="175"/>
        <v>0</v>
      </c>
      <c r="CL129" s="28">
        <f t="shared" si="175"/>
        <v>0</v>
      </c>
      <c r="CM129" s="28">
        <f t="shared" si="175"/>
        <v>0</v>
      </c>
      <c r="CN129" s="28">
        <f t="shared" si="175"/>
        <v>0</v>
      </c>
      <c r="CO129" s="28">
        <f t="shared" si="175"/>
        <v>0</v>
      </c>
      <c r="CP129" s="28">
        <f t="shared" si="175"/>
        <v>0</v>
      </c>
      <c r="CQ129" s="28">
        <f t="shared" si="175"/>
        <v>0</v>
      </c>
      <c r="CR129" s="28">
        <f t="shared" si="175"/>
        <v>0</v>
      </c>
      <c r="CS129" s="28">
        <f t="shared" si="175"/>
        <v>0</v>
      </c>
      <c r="CT129" s="28">
        <f t="shared" ref="CT129:DW129" si="176">CT10+CT104</f>
        <v>0</v>
      </c>
      <c r="CU129" s="28">
        <f t="shared" si="176"/>
        <v>0</v>
      </c>
      <c r="CV129" s="28">
        <f t="shared" si="176"/>
        <v>0</v>
      </c>
      <c r="CW129" s="28">
        <f t="shared" si="176"/>
        <v>0</v>
      </c>
      <c r="CX129" s="28">
        <f t="shared" si="176"/>
        <v>0</v>
      </c>
      <c r="CY129" s="28">
        <f t="shared" si="176"/>
        <v>0</v>
      </c>
      <c r="CZ129" s="28">
        <f t="shared" si="176"/>
        <v>0</v>
      </c>
      <c r="DA129" s="28">
        <f t="shared" si="176"/>
        <v>0</v>
      </c>
      <c r="DB129" s="28">
        <f t="shared" si="176"/>
        <v>0</v>
      </c>
      <c r="DC129" s="28">
        <f t="shared" si="176"/>
        <v>0</v>
      </c>
      <c r="DD129" s="28">
        <f t="shared" si="176"/>
        <v>62.960999999999999</v>
      </c>
      <c r="DE129" s="28">
        <f t="shared" si="176"/>
        <v>31.228999999999999</v>
      </c>
      <c r="DF129" s="28">
        <f t="shared" si="176"/>
        <v>115.31700000000001</v>
      </c>
      <c r="DG129" s="28">
        <f t="shared" si="176"/>
        <v>209.50700000000001</v>
      </c>
      <c r="DH129" s="28">
        <f t="shared" si="176"/>
        <v>92.843999999999994</v>
      </c>
      <c r="DI129" s="28">
        <f t="shared" si="176"/>
        <v>79.86099999999999</v>
      </c>
      <c r="DJ129" s="28">
        <f t="shared" si="176"/>
        <v>93.096000000000004</v>
      </c>
      <c r="DK129" s="28">
        <f t="shared" si="176"/>
        <v>100.044</v>
      </c>
      <c r="DL129" s="28">
        <f t="shared" si="176"/>
        <v>365.84499999999997</v>
      </c>
      <c r="DM129" s="28">
        <f t="shared" si="176"/>
        <v>82.884</v>
      </c>
      <c r="DN129" s="28">
        <f t="shared" si="176"/>
        <v>114.261</v>
      </c>
      <c r="DO129" s="28">
        <f t="shared" si="176"/>
        <v>139.99799999999999</v>
      </c>
      <c r="DP129" s="28">
        <f t="shared" si="176"/>
        <v>121.47199999999999</v>
      </c>
      <c r="DQ129" s="28">
        <f t="shared" si="176"/>
        <v>458.61500000000001</v>
      </c>
      <c r="DR129" s="28">
        <f t="shared" si="176"/>
        <v>95.100999999999999</v>
      </c>
      <c r="DS129" s="28">
        <f t="shared" si="176"/>
        <v>96.332999999999998</v>
      </c>
      <c r="DT129" s="28">
        <f t="shared" si="176"/>
        <v>152.06299999999999</v>
      </c>
      <c r="DU129" s="28">
        <f t="shared" si="176"/>
        <v>174.01600000000002</v>
      </c>
      <c r="DV129" s="28">
        <f t="shared" si="176"/>
        <v>517.51300000000003</v>
      </c>
      <c r="DW129" s="28">
        <f t="shared" si="176"/>
        <v>111.02800000000001</v>
      </c>
      <c r="DX129" s="28">
        <f t="shared" si="126"/>
        <v>136.876</v>
      </c>
      <c r="DY129" s="28">
        <f t="shared" si="126"/>
        <v>159.06945075000002</v>
      </c>
      <c r="DZ129" s="28">
        <f t="shared" si="126"/>
        <v>172.23056566000002</v>
      </c>
      <c r="EA129" s="28">
        <f t="shared" si="126"/>
        <v>579.20401641000001</v>
      </c>
      <c r="EB129" s="28">
        <f t="shared" si="126"/>
        <v>143.04583029000003</v>
      </c>
      <c r="EC129" s="28">
        <f t="shared" si="126"/>
        <v>170.34419247</v>
      </c>
      <c r="ED129" s="28">
        <f t="shared" si="126"/>
        <v>165.31899999999999</v>
      </c>
      <c r="EE129" s="28">
        <f t="shared" ref="EE129" si="177">EE10+EE104</f>
        <v>174.02193785000006</v>
      </c>
      <c r="EF129" s="28">
        <f t="shared" si="135"/>
        <v>652.73096061000012</v>
      </c>
      <c r="EG129" s="28">
        <f t="shared" ref="EG129" si="178">EG10+EG104</f>
        <v>127.9397113</v>
      </c>
      <c r="EH129" s="28">
        <v>134.04369974999997</v>
      </c>
      <c r="EI129" s="28">
        <f t="shared" ref="EI129" si="179">EI10+EI104</f>
        <v>163.20764739000001</v>
      </c>
    </row>
    <row r="130" spans="1:139" ht="15" thickTop="1" x14ac:dyDescent="0.3">
      <c r="A130" s="1" t="s">
        <v>456</v>
      </c>
      <c r="B130" s="30">
        <f t="shared" ref="B130:AG130" si="180">B11+B105</f>
        <v>0</v>
      </c>
      <c r="C130" s="30">
        <f t="shared" si="180"/>
        <v>0</v>
      </c>
      <c r="D130" s="30">
        <f t="shared" si="180"/>
        <v>0</v>
      </c>
      <c r="E130" s="30">
        <f t="shared" si="180"/>
        <v>0</v>
      </c>
      <c r="F130" s="30">
        <f t="shared" si="180"/>
        <v>0</v>
      </c>
      <c r="G130" s="30">
        <f t="shared" si="180"/>
        <v>0</v>
      </c>
      <c r="H130" s="30">
        <f t="shared" si="180"/>
        <v>0</v>
      </c>
      <c r="I130" s="30">
        <f t="shared" si="180"/>
        <v>0</v>
      </c>
      <c r="J130" s="30">
        <f t="shared" si="180"/>
        <v>0</v>
      </c>
      <c r="K130" s="30">
        <f t="shared" si="180"/>
        <v>0</v>
      </c>
      <c r="L130" s="30">
        <f t="shared" si="180"/>
        <v>0</v>
      </c>
      <c r="M130" s="30">
        <f t="shared" si="180"/>
        <v>0</v>
      </c>
      <c r="N130" s="30">
        <f t="shared" si="180"/>
        <v>0</v>
      </c>
      <c r="O130" s="30">
        <f t="shared" si="180"/>
        <v>0</v>
      </c>
      <c r="P130" s="30">
        <f t="shared" si="180"/>
        <v>0</v>
      </c>
      <c r="Q130" s="30">
        <f t="shared" si="180"/>
        <v>0</v>
      </c>
      <c r="R130" s="30">
        <f t="shared" si="180"/>
        <v>0</v>
      </c>
      <c r="S130" s="30">
        <f t="shared" si="180"/>
        <v>0</v>
      </c>
      <c r="T130" s="30">
        <f t="shared" si="180"/>
        <v>0</v>
      </c>
      <c r="U130" s="30">
        <f t="shared" si="180"/>
        <v>0</v>
      </c>
      <c r="V130" s="30">
        <f t="shared" si="180"/>
        <v>0</v>
      </c>
      <c r="W130" s="30">
        <f t="shared" si="180"/>
        <v>0</v>
      </c>
      <c r="X130" s="30">
        <f t="shared" si="180"/>
        <v>0</v>
      </c>
      <c r="Y130" s="30">
        <f t="shared" si="180"/>
        <v>0</v>
      </c>
      <c r="Z130" s="30">
        <f t="shared" si="180"/>
        <v>0</v>
      </c>
      <c r="AA130" s="30">
        <f t="shared" si="180"/>
        <v>0</v>
      </c>
      <c r="AB130" s="30">
        <f t="shared" si="180"/>
        <v>0</v>
      </c>
      <c r="AC130" s="30">
        <f t="shared" si="180"/>
        <v>0</v>
      </c>
      <c r="AD130" s="30">
        <f t="shared" si="180"/>
        <v>0</v>
      </c>
      <c r="AE130" s="30">
        <f t="shared" si="180"/>
        <v>0</v>
      </c>
      <c r="AF130" s="30">
        <f t="shared" si="180"/>
        <v>0</v>
      </c>
      <c r="AG130" s="30">
        <f t="shared" si="180"/>
        <v>0</v>
      </c>
      <c r="AH130" s="30">
        <f t="shared" ref="AH130:BM130" si="181">AH11+AH105</f>
        <v>0</v>
      </c>
      <c r="AI130" s="30">
        <f t="shared" si="181"/>
        <v>0</v>
      </c>
      <c r="AJ130" s="30">
        <f t="shared" si="181"/>
        <v>0</v>
      </c>
      <c r="AK130" s="30">
        <f t="shared" si="181"/>
        <v>0</v>
      </c>
      <c r="AL130" s="30">
        <f t="shared" si="181"/>
        <v>0</v>
      </c>
      <c r="AM130" s="30">
        <f t="shared" si="181"/>
        <v>0</v>
      </c>
      <c r="AN130" s="30">
        <f t="shared" si="181"/>
        <v>0</v>
      </c>
      <c r="AO130" s="30">
        <f t="shared" si="181"/>
        <v>0</v>
      </c>
      <c r="AP130" s="30">
        <f t="shared" si="181"/>
        <v>0</v>
      </c>
      <c r="AQ130" s="30">
        <f t="shared" si="181"/>
        <v>0</v>
      </c>
      <c r="AR130" s="30">
        <f t="shared" si="181"/>
        <v>0</v>
      </c>
      <c r="AS130" s="30">
        <f t="shared" si="181"/>
        <v>0</v>
      </c>
      <c r="AT130" s="30">
        <f t="shared" si="181"/>
        <v>0</v>
      </c>
      <c r="AU130" s="30">
        <f t="shared" si="181"/>
        <v>0</v>
      </c>
      <c r="AV130" s="30">
        <f t="shared" si="181"/>
        <v>0</v>
      </c>
      <c r="AW130" s="30">
        <f t="shared" si="181"/>
        <v>0</v>
      </c>
      <c r="AX130" s="30">
        <f t="shared" si="181"/>
        <v>0</v>
      </c>
      <c r="AY130" s="30">
        <f t="shared" si="181"/>
        <v>0</v>
      </c>
      <c r="AZ130" s="30">
        <f t="shared" si="181"/>
        <v>0</v>
      </c>
      <c r="BA130" s="30">
        <f t="shared" si="181"/>
        <v>0</v>
      </c>
      <c r="BB130" s="30">
        <f t="shared" si="181"/>
        <v>0</v>
      </c>
      <c r="BC130" s="30">
        <f t="shared" si="181"/>
        <v>0</v>
      </c>
      <c r="BD130" s="30">
        <f t="shared" si="181"/>
        <v>0</v>
      </c>
      <c r="BE130" s="30">
        <f t="shared" si="181"/>
        <v>0</v>
      </c>
      <c r="BF130" s="30">
        <f t="shared" si="181"/>
        <v>0</v>
      </c>
      <c r="BG130" s="30">
        <f t="shared" si="181"/>
        <v>0</v>
      </c>
      <c r="BH130" s="30">
        <f t="shared" si="181"/>
        <v>0</v>
      </c>
      <c r="BI130" s="30">
        <f t="shared" si="181"/>
        <v>0</v>
      </c>
      <c r="BJ130" s="27">
        <f t="shared" si="181"/>
        <v>0</v>
      </c>
      <c r="BK130" s="27">
        <f t="shared" si="181"/>
        <v>0</v>
      </c>
      <c r="BL130" s="27">
        <f t="shared" si="181"/>
        <v>0</v>
      </c>
      <c r="BM130" s="27">
        <f t="shared" si="181"/>
        <v>0</v>
      </c>
      <c r="BN130" s="27">
        <f t="shared" ref="BN130:CS130" si="182">BN11+BN105</f>
        <v>0</v>
      </c>
      <c r="BO130" s="27">
        <f t="shared" si="182"/>
        <v>0</v>
      </c>
      <c r="BP130" s="27">
        <f t="shared" si="182"/>
        <v>0</v>
      </c>
      <c r="BQ130" s="27">
        <f t="shared" si="182"/>
        <v>0</v>
      </c>
      <c r="BR130" s="27">
        <f t="shared" si="182"/>
        <v>0</v>
      </c>
      <c r="BS130" s="27">
        <f t="shared" si="182"/>
        <v>0</v>
      </c>
      <c r="BT130" s="27">
        <f t="shared" si="182"/>
        <v>0</v>
      </c>
      <c r="BU130" s="27">
        <f t="shared" si="182"/>
        <v>0</v>
      </c>
      <c r="BV130" s="27">
        <f t="shared" si="182"/>
        <v>0</v>
      </c>
      <c r="BW130" s="27">
        <f t="shared" si="182"/>
        <v>0</v>
      </c>
      <c r="BX130" s="27">
        <f t="shared" si="182"/>
        <v>0</v>
      </c>
      <c r="BY130" s="27">
        <f t="shared" si="182"/>
        <v>0</v>
      </c>
      <c r="BZ130" s="27">
        <f t="shared" si="182"/>
        <v>0</v>
      </c>
      <c r="CA130" s="27">
        <f t="shared" si="182"/>
        <v>0</v>
      </c>
      <c r="CB130" s="27">
        <f t="shared" si="182"/>
        <v>0</v>
      </c>
      <c r="CC130" s="27">
        <f t="shared" si="182"/>
        <v>0</v>
      </c>
      <c r="CD130" s="27">
        <f t="shared" si="182"/>
        <v>0</v>
      </c>
      <c r="CE130" s="27">
        <f t="shared" si="182"/>
        <v>0</v>
      </c>
      <c r="CF130" s="27">
        <f t="shared" si="182"/>
        <v>0</v>
      </c>
      <c r="CG130" s="27">
        <f t="shared" si="182"/>
        <v>0</v>
      </c>
      <c r="CH130" s="27">
        <f t="shared" si="182"/>
        <v>0</v>
      </c>
      <c r="CI130" s="27">
        <f t="shared" si="182"/>
        <v>0</v>
      </c>
      <c r="CJ130" s="27">
        <f t="shared" si="182"/>
        <v>0</v>
      </c>
      <c r="CK130" s="27">
        <f t="shared" si="182"/>
        <v>0</v>
      </c>
      <c r="CL130" s="27">
        <f t="shared" si="182"/>
        <v>0</v>
      </c>
      <c r="CM130" s="27">
        <f t="shared" si="182"/>
        <v>0</v>
      </c>
      <c r="CN130" s="27">
        <f t="shared" si="182"/>
        <v>0</v>
      </c>
      <c r="CO130" s="27">
        <f t="shared" si="182"/>
        <v>0</v>
      </c>
      <c r="CP130" s="27">
        <f t="shared" si="182"/>
        <v>0</v>
      </c>
      <c r="CQ130" s="27">
        <f t="shared" si="182"/>
        <v>0</v>
      </c>
      <c r="CR130" s="27">
        <f t="shared" si="182"/>
        <v>0</v>
      </c>
      <c r="CS130" s="27">
        <f t="shared" si="182"/>
        <v>0</v>
      </c>
      <c r="CT130" s="27">
        <f t="shared" ref="CT130:DW130" si="183">CT11+CT105</f>
        <v>0</v>
      </c>
      <c r="CU130" s="27">
        <f t="shared" si="183"/>
        <v>0</v>
      </c>
      <c r="CV130" s="27">
        <f t="shared" si="183"/>
        <v>0</v>
      </c>
      <c r="CW130" s="27">
        <f t="shared" si="183"/>
        <v>0</v>
      </c>
      <c r="CX130" s="27">
        <f t="shared" si="183"/>
        <v>0</v>
      </c>
      <c r="CY130" s="27">
        <f t="shared" si="183"/>
        <v>0</v>
      </c>
      <c r="CZ130" s="27">
        <f t="shared" si="183"/>
        <v>0</v>
      </c>
      <c r="DA130" s="27">
        <f t="shared" si="183"/>
        <v>53.466999999999999</v>
      </c>
      <c r="DB130" s="27">
        <f t="shared" si="183"/>
        <v>53.466999999999999</v>
      </c>
      <c r="DC130" s="27">
        <f t="shared" si="183"/>
        <v>69.299000000000007</v>
      </c>
      <c r="DD130" s="27">
        <f t="shared" si="183"/>
        <v>74.339999999999989</v>
      </c>
      <c r="DE130" s="27">
        <f t="shared" si="183"/>
        <v>62.372999999999998</v>
      </c>
      <c r="DF130" s="27">
        <f t="shared" si="183"/>
        <v>73.798000000000002</v>
      </c>
      <c r="DG130" s="27">
        <f t="shared" si="183"/>
        <v>279.81</v>
      </c>
      <c r="DH130" s="27">
        <f t="shared" si="183"/>
        <v>64.311000000000007</v>
      </c>
      <c r="DI130" s="27">
        <f t="shared" si="183"/>
        <v>59.622999999999998</v>
      </c>
      <c r="DJ130" s="27">
        <f t="shared" si="183"/>
        <v>82.015999999999991</v>
      </c>
      <c r="DK130" s="27">
        <f t="shared" si="183"/>
        <v>73.763000000000005</v>
      </c>
      <c r="DL130" s="27">
        <f t="shared" si="183"/>
        <v>279.71299999999997</v>
      </c>
      <c r="DM130" s="27">
        <f t="shared" si="183"/>
        <v>67.189000000000007</v>
      </c>
      <c r="DN130" s="27">
        <f t="shared" si="183"/>
        <v>84.488</v>
      </c>
      <c r="DO130" s="27">
        <f t="shared" si="183"/>
        <v>117.27799999999999</v>
      </c>
      <c r="DP130" s="27">
        <f t="shared" si="183"/>
        <v>184.73399999999998</v>
      </c>
      <c r="DQ130" s="27">
        <f t="shared" si="183"/>
        <v>453.68899999999996</v>
      </c>
      <c r="DR130" s="27">
        <f t="shared" si="183"/>
        <v>147.77000000000001</v>
      </c>
      <c r="DS130" s="27">
        <f t="shared" si="183"/>
        <v>165.26900000000001</v>
      </c>
      <c r="DT130" s="27">
        <f t="shared" si="183"/>
        <v>209.69</v>
      </c>
      <c r="DU130" s="27">
        <f t="shared" si="183"/>
        <v>230.29400000000001</v>
      </c>
      <c r="DV130" s="27">
        <f t="shared" si="183"/>
        <v>753.02300000000002</v>
      </c>
      <c r="DW130" s="27">
        <f t="shared" si="183"/>
        <v>153.476</v>
      </c>
      <c r="DX130" s="27">
        <f t="shared" si="126"/>
        <v>231.39</v>
      </c>
      <c r="DY130" s="27">
        <f t="shared" si="126"/>
        <v>353.35098303000007</v>
      </c>
      <c r="DZ130" s="27">
        <f t="shared" si="126"/>
        <v>354.33012052999993</v>
      </c>
      <c r="EA130" s="27">
        <f t="shared" si="126"/>
        <v>1092.5471035600001</v>
      </c>
      <c r="EB130" s="27">
        <f t="shared" si="126"/>
        <v>190.86098045</v>
      </c>
      <c r="EC130" s="27">
        <f t="shared" si="126"/>
        <v>244.57291792000001</v>
      </c>
      <c r="ED130" s="27">
        <f t="shared" si="126"/>
        <v>300.92400000000004</v>
      </c>
      <c r="EE130" s="27">
        <f t="shared" ref="EE130" si="184">EE11+EE105</f>
        <v>353.51171318000002</v>
      </c>
      <c r="EF130" s="27">
        <f t="shared" si="135"/>
        <v>1089.8696115500002</v>
      </c>
      <c r="EG130" s="27">
        <f t="shared" ref="EG130" si="185">EG11+EG105</f>
        <v>193.80398574999998</v>
      </c>
      <c r="EH130" s="27">
        <v>220.56533161000002</v>
      </c>
      <c r="EI130" s="27">
        <f t="shared" ref="EI130" si="186">EI11+EI105</f>
        <v>251.73707823000007</v>
      </c>
    </row>
    <row r="131" spans="1:139" ht="15" thickBot="1" x14ac:dyDescent="0.35">
      <c r="A131" s="2" t="s">
        <v>446</v>
      </c>
      <c r="B131" s="31">
        <f t="shared" ref="B131:AG131" si="187">B12+B106</f>
        <v>0</v>
      </c>
      <c r="C131" s="31">
        <f t="shared" si="187"/>
        <v>0</v>
      </c>
      <c r="D131" s="31">
        <f t="shared" si="187"/>
        <v>0</v>
      </c>
      <c r="E131" s="31">
        <f t="shared" si="187"/>
        <v>0</v>
      </c>
      <c r="F131" s="31">
        <f t="shared" si="187"/>
        <v>0</v>
      </c>
      <c r="G131" s="31">
        <f t="shared" si="187"/>
        <v>0</v>
      </c>
      <c r="H131" s="31">
        <f t="shared" si="187"/>
        <v>0</v>
      </c>
      <c r="I131" s="31">
        <f t="shared" si="187"/>
        <v>0</v>
      </c>
      <c r="J131" s="31">
        <f t="shared" si="187"/>
        <v>0</v>
      </c>
      <c r="K131" s="31">
        <f t="shared" si="187"/>
        <v>0</v>
      </c>
      <c r="L131" s="31">
        <f t="shared" si="187"/>
        <v>0</v>
      </c>
      <c r="M131" s="31">
        <f t="shared" si="187"/>
        <v>0</v>
      </c>
      <c r="N131" s="31">
        <f t="shared" si="187"/>
        <v>0</v>
      </c>
      <c r="O131" s="31">
        <f t="shared" si="187"/>
        <v>0</v>
      </c>
      <c r="P131" s="31">
        <f t="shared" si="187"/>
        <v>0</v>
      </c>
      <c r="Q131" s="31">
        <f t="shared" si="187"/>
        <v>0</v>
      </c>
      <c r="R131" s="31">
        <f t="shared" si="187"/>
        <v>0</v>
      </c>
      <c r="S131" s="31">
        <f t="shared" si="187"/>
        <v>0</v>
      </c>
      <c r="T131" s="31">
        <f t="shared" si="187"/>
        <v>0</v>
      </c>
      <c r="U131" s="31">
        <f t="shared" si="187"/>
        <v>0</v>
      </c>
      <c r="V131" s="31">
        <f t="shared" si="187"/>
        <v>0</v>
      </c>
      <c r="W131" s="31">
        <f t="shared" si="187"/>
        <v>0</v>
      </c>
      <c r="X131" s="31">
        <f t="shared" si="187"/>
        <v>0</v>
      </c>
      <c r="Y131" s="31">
        <f t="shared" si="187"/>
        <v>0</v>
      </c>
      <c r="Z131" s="31">
        <f t="shared" si="187"/>
        <v>0</v>
      </c>
      <c r="AA131" s="31">
        <f t="shared" si="187"/>
        <v>0</v>
      </c>
      <c r="AB131" s="31">
        <f t="shared" si="187"/>
        <v>0</v>
      </c>
      <c r="AC131" s="31">
        <f t="shared" si="187"/>
        <v>0</v>
      </c>
      <c r="AD131" s="31">
        <f t="shared" si="187"/>
        <v>0</v>
      </c>
      <c r="AE131" s="31">
        <f t="shared" si="187"/>
        <v>0</v>
      </c>
      <c r="AF131" s="31">
        <f t="shared" si="187"/>
        <v>0</v>
      </c>
      <c r="AG131" s="31">
        <f t="shared" si="187"/>
        <v>0</v>
      </c>
      <c r="AH131" s="31">
        <f t="shared" ref="AH131:BM131" si="188">AH12+AH106</f>
        <v>0</v>
      </c>
      <c r="AI131" s="31">
        <f t="shared" si="188"/>
        <v>0</v>
      </c>
      <c r="AJ131" s="31">
        <f t="shared" si="188"/>
        <v>0</v>
      </c>
      <c r="AK131" s="31">
        <f t="shared" si="188"/>
        <v>0</v>
      </c>
      <c r="AL131" s="31">
        <f t="shared" si="188"/>
        <v>0</v>
      </c>
      <c r="AM131" s="31">
        <f t="shared" si="188"/>
        <v>0</v>
      </c>
      <c r="AN131" s="31">
        <f t="shared" si="188"/>
        <v>0</v>
      </c>
      <c r="AO131" s="31">
        <f t="shared" si="188"/>
        <v>0</v>
      </c>
      <c r="AP131" s="31">
        <f t="shared" si="188"/>
        <v>0</v>
      </c>
      <c r="AQ131" s="31">
        <f t="shared" si="188"/>
        <v>0</v>
      </c>
      <c r="AR131" s="31">
        <f t="shared" si="188"/>
        <v>0</v>
      </c>
      <c r="AS131" s="31">
        <f t="shared" si="188"/>
        <v>0</v>
      </c>
      <c r="AT131" s="31">
        <f t="shared" si="188"/>
        <v>0</v>
      </c>
      <c r="AU131" s="31">
        <f t="shared" si="188"/>
        <v>0</v>
      </c>
      <c r="AV131" s="31">
        <f t="shared" si="188"/>
        <v>0</v>
      </c>
      <c r="AW131" s="31">
        <f t="shared" si="188"/>
        <v>0</v>
      </c>
      <c r="AX131" s="31">
        <f t="shared" si="188"/>
        <v>0</v>
      </c>
      <c r="AY131" s="31">
        <f t="shared" si="188"/>
        <v>0</v>
      </c>
      <c r="AZ131" s="31">
        <f t="shared" si="188"/>
        <v>0</v>
      </c>
      <c r="BA131" s="31">
        <f t="shared" si="188"/>
        <v>0</v>
      </c>
      <c r="BB131" s="31">
        <f t="shared" si="188"/>
        <v>0</v>
      </c>
      <c r="BC131" s="31">
        <f t="shared" si="188"/>
        <v>0</v>
      </c>
      <c r="BD131" s="31">
        <f t="shared" si="188"/>
        <v>0</v>
      </c>
      <c r="BE131" s="31">
        <f t="shared" si="188"/>
        <v>0</v>
      </c>
      <c r="BF131" s="31">
        <f t="shared" si="188"/>
        <v>0</v>
      </c>
      <c r="BG131" s="31">
        <f t="shared" si="188"/>
        <v>0</v>
      </c>
      <c r="BH131" s="31">
        <f t="shared" si="188"/>
        <v>0</v>
      </c>
      <c r="BI131" s="31">
        <f t="shared" si="188"/>
        <v>0</v>
      </c>
      <c r="BJ131" s="28">
        <f t="shared" si="188"/>
        <v>0</v>
      </c>
      <c r="BK131" s="28">
        <f t="shared" si="188"/>
        <v>0</v>
      </c>
      <c r="BL131" s="28">
        <f t="shared" si="188"/>
        <v>0</v>
      </c>
      <c r="BM131" s="28">
        <f t="shared" si="188"/>
        <v>0</v>
      </c>
      <c r="BN131" s="28">
        <f t="shared" ref="BN131:CS131" si="189">BN12+BN106</f>
        <v>0</v>
      </c>
      <c r="BO131" s="28">
        <f t="shared" si="189"/>
        <v>0</v>
      </c>
      <c r="BP131" s="28">
        <f t="shared" si="189"/>
        <v>0</v>
      </c>
      <c r="BQ131" s="28">
        <f t="shared" si="189"/>
        <v>0</v>
      </c>
      <c r="BR131" s="28">
        <f t="shared" si="189"/>
        <v>0</v>
      </c>
      <c r="BS131" s="28">
        <f t="shared" si="189"/>
        <v>0</v>
      </c>
      <c r="BT131" s="28">
        <f t="shared" si="189"/>
        <v>0</v>
      </c>
      <c r="BU131" s="28">
        <f t="shared" si="189"/>
        <v>0</v>
      </c>
      <c r="BV131" s="28">
        <f t="shared" si="189"/>
        <v>0</v>
      </c>
      <c r="BW131" s="28">
        <f t="shared" si="189"/>
        <v>0</v>
      </c>
      <c r="BX131" s="28">
        <f t="shared" si="189"/>
        <v>0</v>
      </c>
      <c r="BY131" s="28">
        <f t="shared" si="189"/>
        <v>0</v>
      </c>
      <c r="BZ131" s="28">
        <f t="shared" si="189"/>
        <v>0</v>
      </c>
      <c r="CA131" s="28">
        <f t="shared" si="189"/>
        <v>0</v>
      </c>
      <c r="CB131" s="28">
        <f t="shared" si="189"/>
        <v>0</v>
      </c>
      <c r="CC131" s="28">
        <f t="shared" si="189"/>
        <v>0</v>
      </c>
      <c r="CD131" s="28">
        <f t="shared" si="189"/>
        <v>0</v>
      </c>
      <c r="CE131" s="28">
        <f t="shared" si="189"/>
        <v>0</v>
      </c>
      <c r="CF131" s="28">
        <f t="shared" si="189"/>
        <v>0</v>
      </c>
      <c r="CG131" s="28">
        <f t="shared" si="189"/>
        <v>0</v>
      </c>
      <c r="CH131" s="28">
        <f t="shared" si="189"/>
        <v>0</v>
      </c>
      <c r="CI131" s="28">
        <f t="shared" si="189"/>
        <v>0</v>
      </c>
      <c r="CJ131" s="28">
        <f t="shared" si="189"/>
        <v>0</v>
      </c>
      <c r="CK131" s="28">
        <f t="shared" si="189"/>
        <v>0</v>
      </c>
      <c r="CL131" s="28">
        <f t="shared" si="189"/>
        <v>0</v>
      </c>
      <c r="CM131" s="28">
        <f t="shared" si="189"/>
        <v>0</v>
      </c>
      <c r="CN131" s="28">
        <f t="shared" si="189"/>
        <v>0</v>
      </c>
      <c r="CO131" s="28">
        <f t="shared" si="189"/>
        <v>0</v>
      </c>
      <c r="CP131" s="28">
        <f t="shared" si="189"/>
        <v>0</v>
      </c>
      <c r="CQ131" s="28">
        <f t="shared" si="189"/>
        <v>0</v>
      </c>
      <c r="CR131" s="28">
        <f t="shared" si="189"/>
        <v>0</v>
      </c>
      <c r="CS131" s="28">
        <f t="shared" si="189"/>
        <v>0</v>
      </c>
      <c r="CT131" s="28">
        <f t="shared" ref="CT131:DW131" si="190">CT12+CT106</f>
        <v>0</v>
      </c>
      <c r="CU131" s="28">
        <f t="shared" si="190"/>
        <v>0</v>
      </c>
      <c r="CV131" s="28">
        <f t="shared" si="190"/>
        <v>0</v>
      </c>
      <c r="CW131" s="28">
        <f t="shared" si="190"/>
        <v>0</v>
      </c>
      <c r="CX131" s="28">
        <f t="shared" si="190"/>
        <v>0</v>
      </c>
      <c r="CY131" s="28">
        <f t="shared" si="190"/>
        <v>0</v>
      </c>
      <c r="CZ131" s="28">
        <f t="shared" si="190"/>
        <v>0</v>
      </c>
      <c r="DA131" s="28">
        <f t="shared" si="190"/>
        <v>0</v>
      </c>
      <c r="DB131" s="28">
        <f t="shared" si="190"/>
        <v>0</v>
      </c>
      <c r="DC131" s="28">
        <f t="shared" si="190"/>
        <v>0</v>
      </c>
      <c r="DD131" s="28">
        <f t="shared" si="190"/>
        <v>0</v>
      </c>
      <c r="DE131" s="28">
        <f t="shared" si="190"/>
        <v>0</v>
      </c>
      <c r="DF131" s="28">
        <f t="shared" si="190"/>
        <v>0</v>
      </c>
      <c r="DG131" s="28">
        <f t="shared" si="190"/>
        <v>0</v>
      </c>
      <c r="DH131" s="28">
        <f t="shared" si="190"/>
        <v>0</v>
      </c>
      <c r="DI131" s="28">
        <f t="shared" si="190"/>
        <v>97.06</v>
      </c>
      <c r="DJ131" s="28">
        <f t="shared" si="190"/>
        <v>107.64</v>
      </c>
      <c r="DK131" s="28">
        <f t="shared" si="190"/>
        <v>57.082999999999998</v>
      </c>
      <c r="DL131" s="28">
        <f t="shared" si="190"/>
        <v>261.78300000000002</v>
      </c>
      <c r="DM131" s="28">
        <f t="shared" si="190"/>
        <v>56.216000000000001</v>
      </c>
      <c r="DN131" s="28">
        <f t="shared" si="190"/>
        <v>60.912999999999997</v>
      </c>
      <c r="DO131" s="28">
        <f t="shared" si="190"/>
        <v>81.85799999999999</v>
      </c>
      <c r="DP131" s="28">
        <f t="shared" si="190"/>
        <v>118.65700000000001</v>
      </c>
      <c r="DQ131" s="28">
        <f t="shared" si="190"/>
        <v>317.64400000000001</v>
      </c>
      <c r="DR131" s="28">
        <f t="shared" si="190"/>
        <v>116.854</v>
      </c>
      <c r="DS131" s="28">
        <f t="shared" si="190"/>
        <v>105.048</v>
      </c>
      <c r="DT131" s="28">
        <f t="shared" si="190"/>
        <v>136.30000000000001</v>
      </c>
      <c r="DU131" s="28">
        <f t="shared" si="190"/>
        <v>140.73699999999999</v>
      </c>
      <c r="DV131" s="28">
        <f t="shared" si="190"/>
        <v>498.93900000000002</v>
      </c>
      <c r="DW131" s="28">
        <f t="shared" si="190"/>
        <v>105.943</v>
      </c>
      <c r="DX131" s="28">
        <f t="shared" si="126"/>
        <v>76.069000000000003</v>
      </c>
      <c r="DY131" s="28">
        <f t="shared" si="126"/>
        <v>82.520567040000017</v>
      </c>
      <c r="DZ131" s="28">
        <f t="shared" si="126"/>
        <v>136.67205838999999</v>
      </c>
      <c r="EA131" s="28">
        <f t="shared" si="126"/>
        <v>401.20462543000002</v>
      </c>
      <c r="EB131" s="28">
        <f t="shared" si="126"/>
        <v>125.65651456000001</v>
      </c>
      <c r="EC131" s="28">
        <f t="shared" si="126"/>
        <v>122.48656334</v>
      </c>
      <c r="ED131" s="28">
        <f t="shared" si="126"/>
        <v>129.39000000000001</v>
      </c>
      <c r="EE131" s="28">
        <f t="shared" ref="EE131" si="191">EE12+EE106</f>
        <v>128.18193004</v>
      </c>
      <c r="EF131" s="28">
        <f t="shared" si="135"/>
        <v>505.71500794000002</v>
      </c>
      <c r="EG131" s="28">
        <f t="shared" ref="EG131" si="192">EG12+EG106</f>
        <v>125.92352703</v>
      </c>
      <c r="EH131" s="28">
        <v>116.37209335000001</v>
      </c>
      <c r="EI131" s="28">
        <f t="shared" ref="EI131" si="193">EI12+EI106</f>
        <v>99.929885800000022</v>
      </c>
    </row>
    <row r="132" spans="1:139" ht="15" thickTop="1" x14ac:dyDescent="0.3">
      <c r="A132" s="1" t="s">
        <v>447</v>
      </c>
      <c r="B132" s="30">
        <f t="shared" ref="B132:AG132" si="194">B13+B107</f>
        <v>0</v>
      </c>
      <c r="C132" s="30">
        <f t="shared" si="194"/>
        <v>0</v>
      </c>
      <c r="D132" s="30">
        <f t="shared" si="194"/>
        <v>0</v>
      </c>
      <c r="E132" s="30">
        <f t="shared" si="194"/>
        <v>0</v>
      </c>
      <c r="F132" s="30">
        <f t="shared" si="194"/>
        <v>0</v>
      </c>
      <c r="G132" s="30">
        <f t="shared" si="194"/>
        <v>0</v>
      </c>
      <c r="H132" s="30">
        <f t="shared" si="194"/>
        <v>0</v>
      </c>
      <c r="I132" s="30">
        <f t="shared" si="194"/>
        <v>0</v>
      </c>
      <c r="J132" s="30">
        <f t="shared" si="194"/>
        <v>0</v>
      </c>
      <c r="K132" s="30">
        <f t="shared" si="194"/>
        <v>0</v>
      </c>
      <c r="L132" s="30">
        <f t="shared" si="194"/>
        <v>0</v>
      </c>
      <c r="M132" s="30">
        <f t="shared" si="194"/>
        <v>0</v>
      </c>
      <c r="N132" s="30">
        <f t="shared" si="194"/>
        <v>0</v>
      </c>
      <c r="O132" s="30">
        <f t="shared" si="194"/>
        <v>0</v>
      </c>
      <c r="P132" s="30">
        <f t="shared" si="194"/>
        <v>0</v>
      </c>
      <c r="Q132" s="30">
        <f t="shared" si="194"/>
        <v>0</v>
      </c>
      <c r="R132" s="30">
        <f t="shared" si="194"/>
        <v>0</v>
      </c>
      <c r="S132" s="30">
        <f t="shared" si="194"/>
        <v>0</v>
      </c>
      <c r="T132" s="30">
        <f t="shared" si="194"/>
        <v>0</v>
      </c>
      <c r="U132" s="30">
        <f t="shared" si="194"/>
        <v>0</v>
      </c>
      <c r="V132" s="30">
        <f t="shared" si="194"/>
        <v>0</v>
      </c>
      <c r="W132" s="30">
        <f t="shared" si="194"/>
        <v>0</v>
      </c>
      <c r="X132" s="30">
        <f t="shared" si="194"/>
        <v>0</v>
      </c>
      <c r="Y132" s="30">
        <f t="shared" si="194"/>
        <v>0</v>
      </c>
      <c r="Z132" s="30">
        <f t="shared" si="194"/>
        <v>0</v>
      </c>
      <c r="AA132" s="30">
        <f t="shared" si="194"/>
        <v>0</v>
      </c>
      <c r="AB132" s="30">
        <f t="shared" si="194"/>
        <v>0</v>
      </c>
      <c r="AC132" s="30">
        <f t="shared" si="194"/>
        <v>0</v>
      </c>
      <c r="AD132" s="30">
        <f t="shared" si="194"/>
        <v>0</v>
      </c>
      <c r="AE132" s="30">
        <f t="shared" si="194"/>
        <v>0</v>
      </c>
      <c r="AF132" s="30">
        <f t="shared" si="194"/>
        <v>0</v>
      </c>
      <c r="AG132" s="30">
        <f t="shared" si="194"/>
        <v>0</v>
      </c>
      <c r="AH132" s="30">
        <f t="shared" ref="AH132:BM132" si="195">AH13+AH107</f>
        <v>0</v>
      </c>
      <c r="AI132" s="30">
        <f t="shared" si="195"/>
        <v>0</v>
      </c>
      <c r="AJ132" s="30">
        <f t="shared" si="195"/>
        <v>0</v>
      </c>
      <c r="AK132" s="30">
        <f t="shared" si="195"/>
        <v>0</v>
      </c>
      <c r="AL132" s="30">
        <f t="shared" si="195"/>
        <v>0</v>
      </c>
      <c r="AM132" s="30">
        <f t="shared" si="195"/>
        <v>0</v>
      </c>
      <c r="AN132" s="30">
        <f t="shared" si="195"/>
        <v>0</v>
      </c>
      <c r="AO132" s="30">
        <f t="shared" si="195"/>
        <v>0</v>
      </c>
      <c r="AP132" s="30">
        <f t="shared" si="195"/>
        <v>0</v>
      </c>
      <c r="AQ132" s="30">
        <f t="shared" si="195"/>
        <v>0</v>
      </c>
      <c r="AR132" s="30">
        <f t="shared" si="195"/>
        <v>0</v>
      </c>
      <c r="AS132" s="30">
        <f t="shared" si="195"/>
        <v>0</v>
      </c>
      <c r="AT132" s="30">
        <f t="shared" si="195"/>
        <v>0</v>
      </c>
      <c r="AU132" s="30">
        <f t="shared" si="195"/>
        <v>0</v>
      </c>
      <c r="AV132" s="30">
        <f t="shared" si="195"/>
        <v>0</v>
      </c>
      <c r="AW132" s="30">
        <f t="shared" si="195"/>
        <v>0</v>
      </c>
      <c r="AX132" s="30">
        <f t="shared" si="195"/>
        <v>0</v>
      </c>
      <c r="AY132" s="30">
        <f t="shared" si="195"/>
        <v>0</v>
      </c>
      <c r="AZ132" s="30">
        <f t="shared" si="195"/>
        <v>0</v>
      </c>
      <c r="BA132" s="30">
        <f t="shared" si="195"/>
        <v>0</v>
      </c>
      <c r="BB132" s="30">
        <f t="shared" si="195"/>
        <v>0</v>
      </c>
      <c r="BC132" s="30">
        <f t="shared" si="195"/>
        <v>0</v>
      </c>
      <c r="BD132" s="30">
        <f t="shared" si="195"/>
        <v>0</v>
      </c>
      <c r="BE132" s="30">
        <f t="shared" si="195"/>
        <v>0</v>
      </c>
      <c r="BF132" s="30">
        <f t="shared" si="195"/>
        <v>0</v>
      </c>
      <c r="BG132" s="30">
        <f t="shared" si="195"/>
        <v>0</v>
      </c>
      <c r="BH132" s="30">
        <f t="shared" si="195"/>
        <v>0</v>
      </c>
      <c r="BI132" s="30">
        <f t="shared" si="195"/>
        <v>0</v>
      </c>
      <c r="BJ132" s="27">
        <f t="shared" si="195"/>
        <v>0</v>
      </c>
      <c r="BK132" s="27">
        <f t="shared" si="195"/>
        <v>0</v>
      </c>
      <c r="BL132" s="27">
        <f t="shared" si="195"/>
        <v>0</v>
      </c>
      <c r="BM132" s="27">
        <f t="shared" si="195"/>
        <v>0</v>
      </c>
      <c r="BN132" s="27">
        <f t="shared" ref="BN132:CS132" si="196">BN13+BN107</f>
        <v>0</v>
      </c>
      <c r="BO132" s="27">
        <f t="shared" si="196"/>
        <v>0</v>
      </c>
      <c r="BP132" s="27">
        <f t="shared" si="196"/>
        <v>0</v>
      </c>
      <c r="BQ132" s="27">
        <f t="shared" si="196"/>
        <v>0</v>
      </c>
      <c r="BR132" s="27">
        <f t="shared" si="196"/>
        <v>0</v>
      </c>
      <c r="BS132" s="27">
        <f t="shared" si="196"/>
        <v>0</v>
      </c>
      <c r="BT132" s="27">
        <f t="shared" si="196"/>
        <v>0</v>
      </c>
      <c r="BU132" s="27">
        <f t="shared" si="196"/>
        <v>0</v>
      </c>
      <c r="BV132" s="27">
        <f t="shared" si="196"/>
        <v>0</v>
      </c>
      <c r="BW132" s="27">
        <f t="shared" si="196"/>
        <v>0</v>
      </c>
      <c r="BX132" s="27">
        <f t="shared" si="196"/>
        <v>0</v>
      </c>
      <c r="BY132" s="27">
        <f t="shared" si="196"/>
        <v>0</v>
      </c>
      <c r="BZ132" s="27">
        <f t="shared" si="196"/>
        <v>0</v>
      </c>
      <c r="CA132" s="27">
        <f t="shared" si="196"/>
        <v>0</v>
      </c>
      <c r="CB132" s="27">
        <f t="shared" si="196"/>
        <v>0</v>
      </c>
      <c r="CC132" s="27">
        <f t="shared" si="196"/>
        <v>0</v>
      </c>
      <c r="CD132" s="27">
        <f t="shared" si="196"/>
        <v>0</v>
      </c>
      <c r="CE132" s="27">
        <f t="shared" si="196"/>
        <v>0</v>
      </c>
      <c r="CF132" s="27">
        <f t="shared" si="196"/>
        <v>0</v>
      </c>
      <c r="CG132" s="27">
        <f t="shared" si="196"/>
        <v>0</v>
      </c>
      <c r="CH132" s="27">
        <f t="shared" si="196"/>
        <v>0</v>
      </c>
      <c r="CI132" s="27">
        <f t="shared" si="196"/>
        <v>0</v>
      </c>
      <c r="CJ132" s="27">
        <f t="shared" si="196"/>
        <v>0</v>
      </c>
      <c r="CK132" s="27">
        <f t="shared" si="196"/>
        <v>0</v>
      </c>
      <c r="CL132" s="27">
        <f t="shared" si="196"/>
        <v>0</v>
      </c>
      <c r="CM132" s="27">
        <f t="shared" si="196"/>
        <v>0</v>
      </c>
      <c r="CN132" s="27">
        <f t="shared" si="196"/>
        <v>0</v>
      </c>
      <c r="CO132" s="27">
        <f t="shared" si="196"/>
        <v>0</v>
      </c>
      <c r="CP132" s="27">
        <f t="shared" si="196"/>
        <v>0</v>
      </c>
      <c r="CQ132" s="27">
        <f t="shared" si="196"/>
        <v>0</v>
      </c>
      <c r="CR132" s="27">
        <f t="shared" si="196"/>
        <v>0</v>
      </c>
      <c r="CS132" s="27">
        <f t="shared" si="196"/>
        <v>0</v>
      </c>
      <c r="CT132" s="27">
        <f t="shared" ref="CT132:DW132" si="197">CT13+CT107</f>
        <v>0</v>
      </c>
      <c r="CU132" s="27">
        <f t="shared" si="197"/>
        <v>0</v>
      </c>
      <c r="CV132" s="27">
        <f t="shared" si="197"/>
        <v>0</v>
      </c>
      <c r="CW132" s="27">
        <f t="shared" si="197"/>
        <v>0</v>
      </c>
      <c r="CX132" s="27">
        <f t="shared" si="197"/>
        <v>0</v>
      </c>
      <c r="CY132" s="27">
        <f t="shared" si="197"/>
        <v>0</v>
      </c>
      <c r="CZ132" s="27">
        <f t="shared" si="197"/>
        <v>0</v>
      </c>
      <c r="DA132" s="27">
        <f t="shared" si="197"/>
        <v>0</v>
      </c>
      <c r="DB132" s="27">
        <f t="shared" si="197"/>
        <v>0</v>
      </c>
      <c r="DC132" s="27">
        <f t="shared" si="197"/>
        <v>0</v>
      </c>
      <c r="DD132" s="27">
        <f t="shared" si="197"/>
        <v>0</v>
      </c>
      <c r="DE132" s="27">
        <f t="shared" si="197"/>
        <v>0</v>
      </c>
      <c r="DF132" s="27">
        <f t="shared" si="197"/>
        <v>0</v>
      </c>
      <c r="DG132" s="27">
        <f t="shared" si="197"/>
        <v>0</v>
      </c>
      <c r="DH132" s="27">
        <f t="shared" si="197"/>
        <v>0</v>
      </c>
      <c r="DI132" s="27">
        <f t="shared" si="197"/>
        <v>0</v>
      </c>
      <c r="DJ132" s="27">
        <f t="shared" si="197"/>
        <v>0</v>
      </c>
      <c r="DK132" s="27">
        <f t="shared" si="197"/>
        <v>0</v>
      </c>
      <c r="DL132" s="27">
        <f t="shared" si="197"/>
        <v>0</v>
      </c>
      <c r="DM132" s="27">
        <f t="shared" si="197"/>
        <v>0</v>
      </c>
      <c r="DN132" s="27">
        <f t="shared" si="197"/>
        <v>0</v>
      </c>
      <c r="DO132" s="27">
        <f t="shared" si="197"/>
        <v>0</v>
      </c>
      <c r="DP132" s="27">
        <f t="shared" si="197"/>
        <v>19.492999999999999</v>
      </c>
      <c r="DQ132" s="27">
        <f t="shared" si="197"/>
        <v>19.492999999999999</v>
      </c>
      <c r="DR132" s="27">
        <f t="shared" si="197"/>
        <v>63.198</v>
      </c>
      <c r="DS132" s="27">
        <f t="shared" si="197"/>
        <v>256.36200000000002</v>
      </c>
      <c r="DT132" s="27">
        <f t="shared" si="197"/>
        <v>296.64100000000002</v>
      </c>
      <c r="DU132" s="27">
        <f t="shared" si="197"/>
        <v>264.48899999999998</v>
      </c>
      <c r="DV132" s="27">
        <f t="shared" si="197"/>
        <v>880.68999999999994</v>
      </c>
      <c r="DW132" s="27">
        <f t="shared" si="197"/>
        <v>175.10500000000002</v>
      </c>
      <c r="DX132" s="27">
        <f t="shared" si="126"/>
        <v>200.56400000000002</v>
      </c>
      <c r="DY132" s="27">
        <f t="shared" si="126"/>
        <v>256.86642413999999</v>
      </c>
      <c r="DZ132" s="27">
        <f t="shared" si="126"/>
        <v>255.50754986000004</v>
      </c>
      <c r="EA132" s="27">
        <f t="shared" si="126"/>
        <v>888.04297399999996</v>
      </c>
      <c r="EB132" s="27">
        <f t="shared" si="126"/>
        <v>172.65873024999999</v>
      </c>
      <c r="EC132" s="27">
        <f t="shared" si="126"/>
        <v>197.92106054000004</v>
      </c>
      <c r="ED132" s="27">
        <f t="shared" si="126"/>
        <v>267.35499999999996</v>
      </c>
      <c r="EE132" s="27">
        <f t="shared" ref="EE132" si="198">EE13+EE107</f>
        <v>299.62955923999994</v>
      </c>
      <c r="EF132" s="27">
        <f t="shared" si="135"/>
        <v>937.56435003000001</v>
      </c>
      <c r="EG132" s="27">
        <f t="shared" ref="EG132" si="199">EG13+EG107</f>
        <v>148.89402930000003</v>
      </c>
      <c r="EH132" s="27">
        <v>163.12656586</v>
      </c>
      <c r="EI132" s="27">
        <f t="shared" ref="EI132" si="200">EI13+EI107</f>
        <v>206.09293290000002</v>
      </c>
    </row>
    <row r="133" spans="1:139" ht="15" thickBot="1" x14ac:dyDescent="0.35">
      <c r="A133" s="2" t="s">
        <v>448</v>
      </c>
      <c r="B133" s="31">
        <f t="shared" ref="B133:AG133" si="201">B14+B108</f>
        <v>0</v>
      </c>
      <c r="C133" s="31">
        <f t="shared" si="201"/>
        <v>0</v>
      </c>
      <c r="D133" s="31">
        <f t="shared" si="201"/>
        <v>0</v>
      </c>
      <c r="E133" s="31">
        <f t="shared" si="201"/>
        <v>0</v>
      </c>
      <c r="F133" s="31">
        <f t="shared" si="201"/>
        <v>0</v>
      </c>
      <c r="G133" s="31">
        <f t="shared" si="201"/>
        <v>0</v>
      </c>
      <c r="H133" s="31">
        <f t="shared" si="201"/>
        <v>0</v>
      </c>
      <c r="I133" s="31">
        <f t="shared" si="201"/>
        <v>0</v>
      </c>
      <c r="J133" s="31">
        <f t="shared" si="201"/>
        <v>0</v>
      </c>
      <c r="K133" s="31">
        <f t="shared" si="201"/>
        <v>0</v>
      </c>
      <c r="L133" s="31">
        <f t="shared" si="201"/>
        <v>0</v>
      </c>
      <c r="M133" s="31">
        <f t="shared" si="201"/>
        <v>0</v>
      </c>
      <c r="N133" s="31">
        <f t="shared" si="201"/>
        <v>0</v>
      </c>
      <c r="O133" s="31">
        <f t="shared" si="201"/>
        <v>0</v>
      </c>
      <c r="P133" s="31">
        <f t="shared" si="201"/>
        <v>0</v>
      </c>
      <c r="Q133" s="31">
        <f t="shared" si="201"/>
        <v>0</v>
      </c>
      <c r="R133" s="31">
        <f t="shared" si="201"/>
        <v>0</v>
      </c>
      <c r="S133" s="31">
        <f t="shared" si="201"/>
        <v>0</v>
      </c>
      <c r="T133" s="31">
        <f t="shared" si="201"/>
        <v>0</v>
      </c>
      <c r="U133" s="31">
        <f t="shared" si="201"/>
        <v>0</v>
      </c>
      <c r="V133" s="31">
        <f t="shared" si="201"/>
        <v>0</v>
      </c>
      <c r="W133" s="31">
        <f t="shared" si="201"/>
        <v>0</v>
      </c>
      <c r="X133" s="31">
        <f t="shared" si="201"/>
        <v>0</v>
      </c>
      <c r="Y133" s="31">
        <f t="shared" si="201"/>
        <v>0</v>
      </c>
      <c r="Z133" s="31">
        <f t="shared" si="201"/>
        <v>0</v>
      </c>
      <c r="AA133" s="31">
        <f t="shared" si="201"/>
        <v>0</v>
      </c>
      <c r="AB133" s="31">
        <f t="shared" si="201"/>
        <v>0</v>
      </c>
      <c r="AC133" s="31">
        <f t="shared" si="201"/>
        <v>0</v>
      </c>
      <c r="AD133" s="31">
        <f t="shared" si="201"/>
        <v>0</v>
      </c>
      <c r="AE133" s="31">
        <f t="shared" si="201"/>
        <v>0</v>
      </c>
      <c r="AF133" s="31">
        <f t="shared" si="201"/>
        <v>0</v>
      </c>
      <c r="AG133" s="31">
        <f t="shared" si="201"/>
        <v>0</v>
      </c>
      <c r="AH133" s="31">
        <f t="shared" ref="AH133:BM133" si="202">AH14+AH108</f>
        <v>0</v>
      </c>
      <c r="AI133" s="31">
        <f t="shared" si="202"/>
        <v>0</v>
      </c>
      <c r="AJ133" s="31">
        <f t="shared" si="202"/>
        <v>0</v>
      </c>
      <c r="AK133" s="31">
        <f t="shared" si="202"/>
        <v>0</v>
      </c>
      <c r="AL133" s="31">
        <f t="shared" si="202"/>
        <v>0</v>
      </c>
      <c r="AM133" s="31">
        <f t="shared" si="202"/>
        <v>0</v>
      </c>
      <c r="AN133" s="31">
        <f t="shared" si="202"/>
        <v>0</v>
      </c>
      <c r="AO133" s="31">
        <f t="shared" si="202"/>
        <v>0</v>
      </c>
      <c r="AP133" s="31">
        <f t="shared" si="202"/>
        <v>0</v>
      </c>
      <c r="AQ133" s="31">
        <f t="shared" si="202"/>
        <v>0</v>
      </c>
      <c r="AR133" s="31">
        <f t="shared" si="202"/>
        <v>0</v>
      </c>
      <c r="AS133" s="31">
        <f t="shared" si="202"/>
        <v>0</v>
      </c>
      <c r="AT133" s="31">
        <f t="shared" si="202"/>
        <v>0</v>
      </c>
      <c r="AU133" s="31">
        <f t="shared" si="202"/>
        <v>0</v>
      </c>
      <c r="AV133" s="31">
        <f t="shared" si="202"/>
        <v>0</v>
      </c>
      <c r="AW133" s="31">
        <f t="shared" si="202"/>
        <v>0</v>
      </c>
      <c r="AX133" s="31">
        <f t="shared" si="202"/>
        <v>0</v>
      </c>
      <c r="AY133" s="31">
        <f t="shared" si="202"/>
        <v>0</v>
      </c>
      <c r="AZ133" s="31">
        <f t="shared" si="202"/>
        <v>0</v>
      </c>
      <c r="BA133" s="31">
        <f t="shared" si="202"/>
        <v>0</v>
      </c>
      <c r="BB133" s="31">
        <f t="shared" si="202"/>
        <v>0</v>
      </c>
      <c r="BC133" s="31">
        <f t="shared" si="202"/>
        <v>0</v>
      </c>
      <c r="BD133" s="31">
        <f t="shared" si="202"/>
        <v>0</v>
      </c>
      <c r="BE133" s="31">
        <f t="shared" si="202"/>
        <v>0</v>
      </c>
      <c r="BF133" s="31">
        <f t="shared" si="202"/>
        <v>0</v>
      </c>
      <c r="BG133" s="31">
        <f t="shared" si="202"/>
        <v>0</v>
      </c>
      <c r="BH133" s="31">
        <f t="shared" si="202"/>
        <v>0</v>
      </c>
      <c r="BI133" s="31">
        <f t="shared" si="202"/>
        <v>0</v>
      </c>
      <c r="BJ133" s="28">
        <f t="shared" si="202"/>
        <v>0</v>
      </c>
      <c r="BK133" s="28">
        <f t="shared" si="202"/>
        <v>0</v>
      </c>
      <c r="BL133" s="28">
        <f t="shared" si="202"/>
        <v>0</v>
      </c>
      <c r="BM133" s="28">
        <f t="shared" si="202"/>
        <v>0</v>
      </c>
      <c r="BN133" s="28">
        <f t="shared" ref="BN133:CS133" si="203">BN14+BN108</f>
        <v>0</v>
      </c>
      <c r="BO133" s="28">
        <f t="shared" si="203"/>
        <v>0</v>
      </c>
      <c r="BP133" s="28">
        <f t="shared" si="203"/>
        <v>0</v>
      </c>
      <c r="BQ133" s="28">
        <f t="shared" si="203"/>
        <v>0</v>
      </c>
      <c r="BR133" s="28">
        <f t="shared" si="203"/>
        <v>0</v>
      </c>
      <c r="BS133" s="28">
        <f t="shared" si="203"/>
        <v>0</v>
      </c>
      <c r="BT133" s="28">
        <f t="shared" si="203"/>
        <v>0</v>
      </c>
      <c r="BU133" s="28">
        <f t="shared" si="203"/>
        <v>0</v>
      </c>
      <c r="BV133" s="28">
        <f t="shared" si="203"/>
        <v>0</v>
      </c>
      <c r="BW133" s="28">
        <f t="shared" si="203"/>
        <v>0</v>
      </c>
      <c r="BX133" s="28">
        <f t="shared" si="203"/>
        <v>0</v>
      </c>
      <c r="BY133" s="28">
        <f t="shared" si="203"/>
        <v>0</v>
      </c>
      <c r="BZ133" s="28">
        <f t="shared" si="203"/>
        <v>0</v>
      </c>
      <c r="CA133" s="28">
        <f t="shared" si="203"/>
        <v>0</v>
      </c>
      <c r="CB133" s="28">
        <f t="shared" si="203"/>
        <v>0</v>
      </c>
      <c r="CC133" s="28">
        <f t="shared" si="203"/>
        <v>0</v>
      </c>
      <c r="CD133" s="28">
        <f t="shared" si="203"/>
        <v>0</v>
      </c>
      <c r="CE133" s="28">
        <f t="shared" si="203"/>
        <v>0</v>
      </c>
      <c r="CF133" s="28">
        <f t="shared" si="203"/>
        <v>0</v>
      </c>
      <c r="CG133" s="28">
        <f t="shared" si="203"/>
        <v>0</v>
      </c>
      <c r="CH133" s="28">
        <f t="shared" si="203"/>
        <v>0</v>
      </c>
      <c r="CI133" s="28">
        <f t="shared" si="203"/>
        <v>0</v>
      </c>
      <c r="CJ133" s="28">
        <f t="shared" si="203"/>
        <v>0</v>
      </c>
      <c r="CK133" s="28">
        <f t="shared" si="203"/>
        <v>0</v>
      </c>
      <c r="CL133" s="28">
        <f t="shared" si="203"/>
        <v>0</v>
      </c>
      <c r="CM133" s="28">
        <f t="shared" si="203"/>
        <v>0</v>
      </c>
      <c r="CN133" s="28">
        <f t="shared" si="203"/>
        <v>0</v>
      </c>
      <c r="CO133" s="28">
        <f t="shared" si="203"/>
        <v>0</v>
      </c>
      <c r="CP133" s="28">
        <f t="shared" si="203"/>
        <v>0</v>
      </c>
      <c r="CQ133" s="28">
        <f t="shared" si="203"/>
        <v>0</v>
      </c>
      <c r="CR133" s="28">
        <f t="shared" si="203"/>
        <v>0</v>
      </c>
      <c r="CS133" s="28">
        <f t="shared" si="203"/>
        <v>0</v>
      </c>
      <c r="CT133" s="28">
        <f t="shared" ref="CT133:DW133" si="204">CT14+CT108</f>
        <v>0</v>
      </c>
      <c r="CU133" s="28">
        <f t="shared" si="204"/>
        <v>0</v>
      </c>
      <c r="CV133" s="28">
        <f t="shared" si="204"/>
        <v>0</v>
      </c>
      <c r="CW133" s="28">
        <f t="shared" si="204"/>
        <v>0</v>
      </c>
      <c r="CX133" s="28">
        <f t="shared" si="204"/>
        <v>0</v>
      </c>
      <c r="CY133" s="28">
        <f t="shared" si="204"/>
        <v>0</v>
      </c>
      <c r="CZ133" s="28">
        <f t="shared" si="204"/>
        <v>0</v>
      </c>
      <c r="DA133" s="28">
        <f t="shared" si="204"/>
        <v>0</v>
      </c>
      <c r="DB133" s="28">
        <f t="shared" si="204"/>
        <v>0</v>
      </c>
      <c r="DC133" s="28">
        <f t="shared" si="204"/>
        <v>0</v>
      </c>
      <c r="DD133" s="28">
        <f t="shared" si="204"/>
        <v>0</v>
      </c>
      <c r="DE133" s="28">
        <f t="shared" si="204"/>
        <v>0</v>
      </c>
      <c r="DF133" s="28">
        <f t="shared" si="204"/>
        <v>0</v>
      </c>
      <c r="DG133" s="28">
        <f t="shared" si="204"/>
        <v>0</v>
      </c>
      <c r="DH133" s="28">
        <f t="shared" si="204"/>
        <v>0</v>
      </c>
      <c r="DI133" s="28">
        <f t="shared" si="204"/>
        <v>0</v>
      </c>
      <c r="DJ133" s="28">
        <f t="shared" si="204"/>
        <v>0</v>
      </c>
      <c r="DK133" s="28">
        <f t="shared" si="204"/>
        <v>0</v>
      </c>
      <c r="DL133" s="28">
        <f t="shared" si="204"/>
        <v>0</v>
      </c>
      <c r="DM133" s="28">
        <f t="shared" si="204"/>
        <v>0</v>
      </c>
      <c r="DN133" s="28">
        <f t="shared" si="204"/>
        <v>0</v>
      </c>
      <c r="DO133" s="28">
        <f t="shared" si="204"/>
        <v>0</v>
      </c>
      <c r="DP133" s="28">
        <f t="shared" si="204"/>
        <v>0</v>
      </c>
      <c r="DQ133" s="28">
        <f t="shared" si="204"/>
        <v>0</v>
      </c>
      <c r="DR133" s="28">
        <f t="shared" si="204"/>
        <v>0</v>
      </c>
      <c r="DS133" s="28">
        <f t="shared" si="204"/>
        <v>0</v>
      </c>
      <c r="DT133" s="28">
        <f t="shared" si="204"/>
        <v>5.5449999999999999</v>
      </c>
      <c r="DU133" s="28">
        <f t="shared" si="204"/>
        <v>133.62200000000001</v>
      </c>
      <c r="DV133" s="28">
        <f t="shared" si="204"/>
        <v>139.167</v>
      </c>
      <c r="DW133" s="28">
        <f t="shared" si="204"/>
        <v>201.334</v>
      </c>
      <c r="DX133" s="28">
        <f t="shared" si="126"/>
        <v>342.93599999999998</v>
      </c>
      <c r="DY133" s="28">
        <f t="shared" si="126"/>
        <v>525.21102635000011</v>
      </c>
      <c r="DZ133" s="28">
        <f t="shared" si="126"/>
        <v>498.06603756999988</v>
      </c>
      <c r="EA133" s="28">
        <f t="shared" si="126"/>
        <v>1567.5470639199998</v>
      </c>
      <c r="EB133" s="28">
        <f t="shared" si="126"/>
        <v>299.58107421000005</v>
      </c>
      <c r="EC133" s="28">
        <f t="shared" si="126"/>
        <v>356.25528633000005</v>
      </c>
      <c r="ED133" s="28">
        <f t="shared" si="126"/>
        <v>361.67399999999998</v>
      </c>
      <c r="EE133" s="28">
        <f t="shared" ref="EE133" si="205">EE14+EE108</f>
        <v>438.54258389</v>
      </c>
      <c r="EF133" s="28">
        <f t="shared" si="135"/>
        <v>1456.05294443</v>
      </c>
      <c r="EG133" s="28">
        <f t="shared" ref="EG133" si="206">EG14+EG108</f>
        <v>415.30010010999996</v>
      </c>
      <c r="EH133" s="28">
        <v>523.02668519000008</v>
      </c>
      <c r="EI133" s="28">
        <f t="shared" ref="EI133" si="207">EI14+EI108</f>
        <v>586.94089704999988</v>
      </c>
    </row>
    <row r="134" spans="1:139" ht="15" thickTop="1" x14ac:dyDescent="0.3">
      <c r="A134" s="1" t="s">
        <v>449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27">
        <f t="shared" ref="BJ134:DU134" si="208">BJ15+BJ109</f>
        <v>0</v>
      </c>
      <c r="BK134" s="27">
        <f t="shared" si="208"/>
        <v>0</v>
      </c>
      <c r="BL134" s="27">
        <f t="shared" si="208"/>
        <v>0</v>
      </c>
      <c r="BM134" s="27">
        <f t="shared" si="208"/>
        <v>0</v>
      </c>
      <c r="BN134" s="27">
        <f t="shared" si="208"/>
        <v>0</v>
      </c>
      <c r="BO134" s="27">
        <f t="shared" si="208"/>
        <v>0</v>
      </c>
      <c r="BP134" s="27">
        <f t="shared" si="208"/>
        <v>0</v>
      </c>
      <c r="BQ134" s="27">
        <f t="shared" si="208"/>
        <v>0</v>
      </c>
      <c r="BR134" s="27">
        <f t="shared" si="208"/>
        <v>0</v>
      </c>
      <c r="BS134" s="27">
        <f t="shared" si="208"/>
        <v>0</v>
      </c>
      <c r="BT134" s="27">
        <f t="shared" si="208"/>
        <v>0</v>
      </c>
      <c r="BU134" s="27">
        <f t="shared" si="208"/>
        <v>0</v>
      </c>
      <c r="BV134" s="27">
        <f t="shared" si="208"/>
        <v>0</v>
      </c>
      <c r="BW134" s="27">
        <f t="shared" si="208"/>
        <v>0</v>
      </c>
      <c r="BX134" s="27">
        <f t="shared" si="208"/>
        <v>0</v>
      </c>
      <c r="BY134" s="27">
        <f t="shared" si="208"/>
        <v>0</v>
      </c>
      <c r="BZ134" s="27">
        <f t="shared" si="208"/>
        <v>0</v>
      </c>
      <c r="CA134" s="27">
        <f t="shared" si="208"/>
        <v>0</v>
      </c>
      <c r="CB134" s="27">
        <f t="shared" si="208"/>
        <v>0</v>
      </c>
      <c r="CC134" s="27">
        <f t="shared" si="208"/>
        <v>0</v>
      </c>
      <c r="CD134" s="27">
        <f t="shared" si="208"/>
        <v>0</v>
      </c>
      <c r="CE134" s="27">
        <f t="shared" si="208"/>
        <v>0</v>
      </c>
      <c r="CF134" s="27">
        <f t="shared" si="208"/>
        <v>0</v>
      </c>
      <c r="CG134" s="27">
        <f t="shared" si="208"/>
        <v>0</v>
      </c>
      <c r="CH134" s="27">
        <f t="shared" si="208"/>
        <v>0</v>
      </c>
      <c r="CI134" s="27">
        <f t="shared" si="208"/>
        <v>0</v>
      </c>
      <c r="CJ134" s="27">
        <f t="shared" si="208"/>
        <v>0</v>
      </c>
      <c r="CK134" s="27">
        <f t="shared" si="208"/>
        <v>0</v>
      </c>
      <c r="CL134" s="27">
        <f t="shared" si="208"/>
        <v>0</v>
      </c>
      <c r="CM134" s="27">
        <f t="shared" si="208"/>
        <v>0</v>
      </c>
      <c r="CN134" s="27">
        <f t="shared" si="208"/>
        <v>0</v>
      </c>
      <c r="CO134" s="27">
        <f t="shared" si="208"/>
        <v>0</v>
      </c>
      <c r="CP134" s="27">
        <f t="shared" si="208"/>
        <v>0</v>
      </c>
      <c r="CQ134" s="27">
        <f t="shared" si="208"/>
        <v>0</v>
      </c>
      <c r="CR134" s="27">
        <f t="shared" si="208"/>
        <v>0</v>
      </c>
      <c r="CS134" s="27">
        <f t="shared" si="208"/>
        <v>0</v>
      </c>
      <c r="CT134" s="27">
        <f t="shared" si="208"/>
        <v>0</v>
      </c>
      <c r="CU134" s="27">
        <f t="shared" si="208"/>
        <v>0</v>
      </c>
      <c r="CV134" s="27">
        <f t="shared" si="208"/>
        <v>0</v>
      </c>
      <c r="CW134" s="27">
        <f t="shared" si="208"/>
        <v>0</v>
      </c>
      <c r="CX134" s="27">
        <f t="shared" si="208"/>
        <v>0</v>
      </c>
      <c r="CY134" s="27">
        <f t="shared" si="208"/>
        <v>0</v>
      </c>
      <c r="CZ134" s="27">
        <f t="shared" si="208"/>
        <v>0</v>
      </c>
      <c r="DA134" s="27">
        <f t="shared" si="208"/>
        <v>0</v>
      </c>
      <c r="DB134" s="27">
        <f t="shared" si="208"/>
        <v>0</v>
      </c>
      <c r="DC134" s="27">
        <f t="shared" si="208"/>
        <v>0</v>
      </c>
      <c r="DD134" s="27">
        <f t="shared" si="208"/>
        <v>0</v>
      </c>
      <c r="DE134" s="27">
        <f t="shared" si="208"/>
        <v>0</v>
      </c>
      <c r="DF134" s="27">
        <f t="shared" si="208"/>
        <v>0</v>
      </c>
      <c r="DG134" s="27">
        <f t="shared" si="208"/>
        <v>0</v>
      </c>
      <c r="DH134" s="27">
        <f t="shared" si="208"/>
        <v>0</v>
      </c>
      <c r="DI134" s="27">
        <f t="shared" si="208"/>
        <v>0</v>
      </c>
      <c r="DJ134" s="27">
        <f t="shared" si="208"/>
        <v>0</v>
      </c>
      <c r="DK134" s="27">
        <f t="shared" si="208"/>
        <v>0</v>
      </c>
      <c r="DL134" s="27">
        <f t="shared" si="208"/>
        <v>0</v>
      </c>
      <c r="DM134" s="27">
        <f t="shared" si="208"/>
        <v>0</v>
      </c>
      <c r="DN134" s="27">
        <f t="shared" si="208"/>
        <v>0</v>
      </c>
      <c r="DO134" s="27">
        <f t="shared" si="208"/>
        <v>0</v>
      </c>
      <c r="DP134" s="27">
        <f t="shared" si="208"/>
        <v>0</v>
      </c>
      <c r="DQ134" s="27">
        <f t="shared" si="208"/>
        <v>0</v>
      </c>
      <c r="DR134" s="27">
        <f t="shared" si="208"/>
        <v>0</v>
      </c>
      <c r="DS134" s="27">
        <f t="shared" si="208"/>
        <v>0</v>
      </c>
      <c r="DT134" s="27">
        <f t="shared" si="208"/>
        <v>0</v>
      </c>
      <c r="DU134" s="27">
        <f t="shared" si="208"/>
        <v>0</v>
      </c>
      <c r="DV134" s="27">
        <f>DV15+DV109</f>
        <v>0</v>
      </c>
      <c r="DW134" s="27">
        <f>DW15+DW109</f>
        <v>0</v>
      </c>
      <c r="DX134" s="27">
        <f t="shared" si="126"/>
        <v>121.71600000000001</v>
      </c>
      <c r="DY134" s="27">
        <f t="shared" si="126"/>
        <v>240.94931453000004</v>
      </c>
      <c r="DZ134" s="27">
        <f t="shared" si="126"/>
        <v>267.61467005999998</v>
      </c>
      <c r="EA134" s="27">
        <f t="shared" si="126"/>
        <v>630.27998459000003</v>
      </c>
      <c r="EB134" s="27">
        <f t="shared" si="126"/>
        <v>246.80130172000003</v>
      </c>
      <c r="EC134" s="27">
        <f t="shared" si="126"/>
        <v>297.00798500999997</v>
      </c>
      <c r="ED134" s="27">
        <f t="shared" si="126"/>
        <v>265.01000000000005</v>
      </c>
      <c r="EE134" s="27">
        <f t="shared" ref="EE134" si="209">EE15+EE109</f>
        <v>302.64312902000006</v>
      </c>
      <c r="EF134" s="27">
        <f>SUM(EB134:EE134)</f>
        <v>1111.46241575</v>
      </c>
      <c r="EG134" s="27">
        <f t="shared" ref="EG134" si="210">EG15+EG109</f>
        <v>357.83888976999998</v>
      </c>
      <c r="EH134" s="27">
        <v>360.75818806000001</v>
      </c>
      <c r="EI134" s="27">
        <f t="shared" ref="EI134" si="211">EI15+EI109</f>
        <v>414.3080838699999</v>
      </c>
    </row>
    <row r="135" spans="1:139" ht="15" thickBot="1" x14ac:dyDescent="0.35">
      <c r="A135" s="2" t="s">
        <v>460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>
        <f t="shared" ref="EG135" si="212">EG16+EG110</f>
        <v>2.5474590999999998</v>
      </c>
      <c r="EH135" s="28">
        <v>136.04200017000002</v>
      </c>
      <c r="EI135" s="28">
        <f t="shared" ref="EI135" si="213">EI16+EI110</f>
        <v>151.85483640999996</v>
      </c>
    </row>
    <row r="136" spans="1:139" ht="15" thickTop="1" x14ac:dyDescent="0.3">
      <c r="A136" s="1" t="s">
        <v>304</v>
      </c>
      <c r="B136" s="30">
        <f t="shared" ref="B136:AG136" si="214">B17+B111</f>
        <v>0</v>
      </c>
      <c r="C136" s="30">
        <f t="shared" si="214"/>
        <v>0</v>
      </c>
      <c r="D136" s="30">
        <f t="shared" si="214"/>
        <v>0</v>
      </c>
      <c r="E136" s="30">
        <f t="shared" si="214"/>
        <v>0</v>
      </c>
      <c r="F136" s="30">
        <f t="shared" si="214"/>
        <v>0</v>
      </c>
      <c r="G136" s="30">
        <f t="shared" si="214"/>
        <v>0</v>
      </c>
      <c r="H136" s="30">
        <f t="shared" si="214"/>
        <v>0</v>
      </c>
      <c r="I136" s="30">
        <f t="shared" si="214"/>
        <v>0</v>
      </c>
      <c r="J136" s="30">
        <f t="shared" si="214"/>
        <v>0</v>
      </c>
      <c r="K136" s="30">
        <f t="shared" si="214"/>
        <v>0</v>
      </c>
      <c r="L136" s="30">
        <f t="shared" si="214"/>
        <v>0</v>
      </c>
      <c r="M136" s="30">
        <f t="shared" si="214"/>
        <v>0</v>
      </c>
      <c r="N136" s="30">
        <f t="shared" si="214"/>
        <v>0</v>
      </c>
      <c r="O136" s="30">
        <f t="shared" si="214"/>
        <v>0</v>
      </c>
      <c r="P136" s="30">
        <f t="shared" si="214"/>
        <v>0</v>
      </c>
      <c r="Q136" s="30">
        <f t="shared" si="214"/>
        <v>0</v>
      </c>
      <c r="R136" s="30">
        <f t="shared" si="214"/>
        <v>0</v>
      </c>
      <c r="S136" s="30">
        <f t="shared" si="214"/>
        <v>0</v>
      </c>
      <c r="T136" s="30">
        <f t="shared" si="214"/>
        <v>0</v>
      </c>
      <c r="U136" s="30">
        <f t="shared" si="214"/>
        <v>0</v>
      </c>
      <c r="V136" s="30">
        <f t="shared" si="214"/>
        <v>0</v>
      </c>
      <c r="W136" s="30">
        <f t="shared" si="214"/>
        <v>0</v>
      </c>
      <c r="X136" s="30">
        <f t="shared" si="214"/>
        <v>0</v>
      </c>
      <c r="Y136" s="30">
        <f t="shared" si="214"/>
        <v>0</v>
      </c>
      <c r="Z136" s="30">
        <f t="shared" si="214"/>
        <v>0</v>
      </c>
      <c r="AA136" s="30">
        <f t="shared" si="214"/>
        <v>0</v>
      </c>
      <c r="AB136" s="30">
        <f t="shared" si="214"/>
        <v>0</v>
      </c>
      <c r="AC136" s="30">
        <f t="shared" si="214"/>
        <v>0</v>
      </c>
      <c r="AD136" s="30">
        <f t="shared" si="214"/>
        <v>0</v>
      </c>
      <c r="AE136" s="30">
        <f t="shared" si="214"/>
        <v>0</v>
      </c>
      <c r="AF136" s="30">
        <f t="shared" si="214"/>
        <v>0</v>
      </c>
      <c r="AG136" s="30">
        <f t="shared" si="214"/>
        <v>0</v>
      </c>
      <c r="AH136" s="30">
        <f t="shared" ref="AH136:BM136" si="215">AH17+AH111</f>
        <v>0</v>
      </c>
      <c r="AI136" s="30">
        <f t="shared" si="215"/>
        <v>0</v>
      </c>
      <c r="AJ136" s="30">
        <f t="shared" si="215"/>
        <v>0</v>
      </c>
      <c r="AK136" s="30">
        <f t="shared" si="215"/>
        <v>0</v>
      </c>
      <c r="AL136" s="30">
        <f t="shared" si="215"/>
        <v>0</v>
      </c>
      <c r="AM136" s="30">
        <f t="shared" si="215"/>
        <v>0</v>
      </c>
      <c r="AN136" s="30">
        <f t="shared" si="215"/>
        <v>0</v>
      </c>
      <c r="AO136" s="30">
        <f t="shared" si="215"/>
        <v>0</v>
      </c>
      <c r="AP136" s="30">
        <f t="shared" si="215"/>
        <v>0</v>
      </c>
      <c r="AQ136" s="30">
        <f t="shared" si="215"/>
        <v>0</v>
      </c>
      <c r="AR136" s="30">
        <f t="shared" si="215"/>
        <v>0</v>
      </c>
      <c r="AS136" s="30">
        <f t="shared" si="215"/>
        <v>0</v>
      </c>
      <c r="AT136" s="30">
        <f t="shared" si="215"/>
        <v>0</v>
      </c>
      <c r="AU136" s="30">
        <f t="shared" si="215"/>
        <v>0</v>
      </c>
      <c r="AV136" s="30">
        <f t="shared" si="215"/>
        <v>0</v>
      </c>
      <c r="AW136" s="30">
        <f t="shared" si="215"/>
        <v>0</v>
      </c>
      <c r="AX136" s="30">
        <f t="shared" si="215"/>
        <v>0</v>
      </c>
      <c r="AY136" s="30">
        <f t="shared" si="215"/>
        <v>0</v>
      </c>
      <c r="AZ136" s="30">
        <f t="shared" si="215"/>
        <v>0</v>
      </c>
      <c r="BA136" s="30">
        <f t="shared" si="215"/>
        <v>0</v>
      </c>
      <c r="BB136" s="30">
        <f t="shared" si="215"/>
        <v>0</v>
      </c>
      <c r="BC136" s="30">
        <f t="shared" si="215"/>
        <v>0</v>
      </c>
      <c r="BD136" s="30">
        <f t="shared" si="215"/>
        <v>0</v>
      </c>
      <c r="BE136" s="30">
        <f t="shared" si="215"/>
        <v>0</v>
      </c>
      <c r="BF136" s="30">
        <f t="shared" si="215"/>
        <v>0</v>
      </c>
      <c r="BG136" s="30">
        <f t="shared" si="215"/>
        <v>0</v>
      </c>
      <c r="BH136" s="30">
        <f t="shared" si="215"/>
        <v>0</v>
      </c>
      <c r="BI136" s="30">
        <f t="shared" si="215"/>
        <v>0</v>
      </c>
      <c r="BJ136" s="27">
        <f t="shared" si="215"/>
        <v>0</v>
      </c>
      <c r="BK136" s="27">
        <f t="shared" si="215"/>
        <v>0</v>
      </c>
      <c r="BL136" s="27">
        <f t="shared" si="215"/>
        <v>0</v>
      </c>
      <c r="BM136" s="27">
        <f t="shared" si="215"/>
        <v>0</v>
      </c>
      <c r="BN136" s="27">
        <f t="shared" ref="BN136:CS136" si="216">BN17+BN111</f>
        <v>0</v>
      </c>
      <c r="BO136" s="27">
        <f t="shared" si="216"/>
        <v>0</v>
      </c>
      <c r="BP136" s="27">
        <f t="shared" si="216"/>
        <v>0</v>
      </c>
      <c r="BQ136" s="27">
        <f t="shared" si="216"/>
        <v>0</v>
      </c>
      <c r="BR136" s="27">
        <f t="shared" si="216"/>
        <v>0</v>
      </c>
      <c r="BS136" s="27">
        <f t="shared" si="216"/>
        <v>0</v>
      </c>
      <c r="BT136" s="27">
        <f t="shared" si="216"/>
        <v>0</v>
      </c>
      <c r="BU136" s="27">
        <f t="shared" si="216"/>
        <v>45.099999999999994</v>
      </c>
      <c r="BV136" s="27">
        <f t="shared" si="216"/>
        <v>140.00000000000003</v>
      </c>
      <c r="BW136" s="27">
        <f t="shared" si="216"/>
        <v>143.70000000000002</v>
      </c>
      <c r="BX136" s="27">
        <f t="shared" si="216"/>
        <v>328.80000000000007</v>
      </c>
      <c r="BY136" s="27">
        <f t="shared" si="216"/>
        <v>127.30000000000004</v>
      </c>
      <c r="BZ136" s="27">
        <f t="shared" si="216"/>
        <v>145.19999999999999</v>
      </c>
      <c r="CA136" s="27">
        <f t="shared" si="216"/>
        <v>145.80000000000001</v>
      </c>
      <c r="CB136" s="27">
        <f t="shared" si="216"/>
        <v>132.30000000000001</v>
      </c>
      <c r="CC136" s="27">
        <f t="shared" si="216"/>
        <v>550.60000000000014</v>
      </c>
      <c r="CD136" s="27">
        <f t="shared" si="216"/>
        <v>115.60000000000001</v>
      </c>
      <c r="CE136" s="27">
        <f t="shared" si="216"/>
        <v>111.40000000000002</v>
      </c>
      <c r="CF136" s="27">
        <f t="shared" si="216"/>
        <v>116.69999999999999</v>
      </c>
      <c r="CG136" s="27">
        <f t="shared" si="216"/>
        <v>108.89999999999999</v>
      </c>
      <c r="CH136" s="27">
        <f t="shared" si="216"/>
        <v>452.59999999999997</v>
      </c>
      <c r="CI136" s="27">
        <f t="shared" si="216"/>
        <v>99.8</v>
      </c>
      <c r="CJ136" s="27">
        <f t="shared" si="216"/>
        <v>84</v>
      </c>
      <c r="CK136" s="27">
        <f t="shared" si="216"/>
        <v>70.591680090000011</v>
      </c>
      <c r="CL136" s="27">
        <f t="shared" si="216"/>
        <v>58.662543599999978</v>
      </c>
      <c r="CM136" s="27">
        <f t="shared" si="216"/>
        <v>313.05422368999996</v>
      </c>
      <c r="CN136" s="27">
        <f t="shared" si="216"/>
        <v>56.300000000000004</v>
      </c>
      <c r="CO136" s="27">
        <f t="shared" si="216"/>
        <v>62.5</v>
      </c>
      <c r="CP136" s="27">
        <f t="shared" si="216"/>
        <v>66.8</v>
      </c>
      <c r="CQ136" s="27">
        <f t="shared" si="216"/>
        <v>68.8</v>
      </c>
      <c r="CR136" s="27">
        <f t="shared" si="216"/>
        <v>254.4</v>
      </c>
      <c r="CS136" s="27">
        <f t="shared" si="216"/>
        <v>27.822699</v>
      </c>
      <c r="CT136" s="27">
        <f t="shared" ref="CT136:DV136" si="217">CT17+CT111</f>
        <v>25.676301000000002</v>
      </c>
      <c r="CU136" s="27">
        <f t="shared" si="217"/>
        <v>24.956000000000003</v>
      </c>
      <c r="CV136" s="27">
        <f t="shared" si="217"/>
        <v>30.315999999999974</v>
      </c>
      <c r="CW136" s="27">
        <f t="shared" si="217"/>
        <v>108.77099999999996</v>
      </c>
      <c r="CX136" s="27">
        <f t="shared" si="217"/>
        <v>28.999000000000009</v>
      </c>
      <c r="CY136" s="27">
        <f t="shared" si="217"/>
        <v>32.869</v>
      </c>
      <c r="CZ136" s="27">
        <f t="shared" si="217"/>
        <v>38.606999999999999</v>
      </c>
      <c r="DA136" s="27">
        <f t="shared" si="217"/>
        <v>33.691999999999993</v>
      </c>
      <c r="DB136" s="27">
        <f t="shared" si="217"/>
        <v>134.167</v>
      </c>
      <c r="DC136" s="27">
        <f t="shared" si="217"/>
        <v>38.938999999999993</v>
      </c>
      <c r="DD136" s="27">
        <f t="shared" si="217"/>
        <v>47.881</v>
      </c>
      <c r="DE136" s="27">
        <f t="shared" si="217"/>
        <v>43.241000000000007</v>
      </c>
      <c r="DF136" s="27">
        <f t="shared" si="217"/>
        <v>37.419999999999995</v>
      </c>
      <c r="DG136" s="27">
        <f t="shared" si="217"/>
        <v>167.48099999999997</v>
      </c>
      <c r="DH136" s="27">
        <f t="shared" si="217"/>
        <v>34.542999999999992</v>
      </c>
      <c r="DI136" s="27">
        <f t="shared" si="217"/>
        <v>40.877000000000002</v>
      </c>
      <c r="DJ136" s="27">
        <f t="shared" si="217"/>
        <v>43.395000000000003</v>
      </c>
      <c r="DK136" s="27">
        <f t="shared" si="217"/>
        <v>50.813000000000002</v>
      </c>
      <c r="DL136" s="27">
        <f t="shared" si="217"/>
        <v>169.62799999999999</v>
      </c>
      <c r="DM136" s="27">
        <f t="shared" si="217"/>
        <v>57.262999999999991</v>
      </c>
      <c r="DN136" s="27">
        <f t="shared" si="217"/>
        <v>57.269999999999996</v>
      </c>
      <c r="DO136" s="27">
        <f t="shared" si="217"/>
        <v>60.465999999999994</v>
      </c>
      <c r="DP136" s="27">
        <f t="shared" si="217"/>
        <v>59.63600000000001</v>
      </c>
      <c r="DQ136" s="27">
        <f t="shared" si="217"/>
        <v>234.63500000000005</v>
      </c>
      <c r="DR136" s="27">
        <f t="shared" si="217"/>
        <v>62.686000000000007</v>
      </c>
      <c r="DS136" s="27">
        <f t="shared" si="217"/>
        <v>69.431000000000012</v>
      </c>
      <c r="DT136" s="27">
        <f t="shared" si="217"/>
        <v>87.40100000000001</v>
      </c>
      <c r="DU136" s="27">
        <f t="shared" si="217"/>
        <v>97.313999999999993</v>
      </c>
      <c r="DV136" s="27">
        <f t="shared" si="217"/>
        <v>316.83199999999999</v>
      </c>
      <c r="DW136" s="27">
        <f t="shared" ref="DW136:ED141" si="218">DW17+DW111</f>
        <v>94.243999999999986</v>
      </c>
      <c r="DX136" s="27">
        <f t="shared" si="218"/>
        <v>77.425999999999988</v>
      </c>
      <c r="DY136" s="27">
        <f t="shared" si="218"/>
        <v>61.449690620000005</v>
      </c>
      <c r="DZ136" s="27">
        <f t="shared" si="218"/>
        <v>67.391459089999984</v>
      </c>
      <c r="EA136" s="27">
        <f t="shared" si="218"/>
        <v>300.51114970999998</v>
      </c>
      <c r="EB136" s="27">
        <f t="shared" si="218"/>
        <v>74.565555209999999</v>
      </c>
      <c r="EC136" s="27">
        <f t="shared" si="218"/>
        <v>86.051441299999993</v>
      </c>
      <c r="ED136" s="27">
        <f t="shared" si="218"/>
        <v>78.742999999999995</v>
      </c>
      <c r="EE136" s="27">
        <f t="shared" ref="EE136" si="219">EE17+EE111</f>
        <v>90.786814399999969</v>
      </c>
      <c r="EF136" s="27">
        <f t="shared" si="135"/>
        <v>330.14681090999994</v>
      </c>
      <c r="EG136" s="27">
        <f t="shared" ref="EG136" si="220">EG17+EG111</f>
        <v>97.943733229999992</v>
      </c>
      <c r="EH136" s="27">
        <v>91.574254309999986</v>
      </c>
      <c r="EI136" s="27">
        <f t="shared" ref="EI136" si="221">EI17+EI111</f>
        <v>92.90902081000003</v>
      </c>
    </row>
    <row r="137" spans="1:139" ht="15" thickBot="1" x14ac:dyDescent="0.35">
      <c r="A137" s="2" t="s">
        <v>305</v>
      </c>
      <c r="B137" s="31">
        <f t="shared" ref="B137:AG137" si="222">B18+B112</f>
        <v>0</v>
      </c>
      <c r="C137" s="31">
        <f t="shared" si="222"/>
        <v>0</v>
      </c>
      <c r="D137" s="31">
        <f t="shared" si="222"/>
        <v>0</v>
      </c>
      <c r="E137" s="31">
        <f t="shared" si="222"/>
        <v>0</v>
      </c>
      <c r="F137" s="31">
        <f t="shared" si="222"/>
        <v>0</v>
      </c>
      <c r="G137" s="31">
        <f t="shared" si="222"/>
        <v>0</v>
      </c>
      <c r="H137" s="31">
        <f t="shared" si="222"/>
        <v>0</v>
      </c>
      <c r="I137" s="31">
        <f t="shared" si="222"/>
        <v>0</v>
      </c>
      <c r="J137" s="31">
        <f t="shared" si="222"/>
        <v>0</v>
      </c>
      <c r="K137" s="31">
        <f t="shared" si="222"/>
        <v>0</v>
      </c>
      <c r="L137" s="31">
        <f t="shared" si="222"/>
        <v>0</v>
      </c>
      <c r="M137" s="31">
        <f t="shared" si="222"/>
        <v>0</v>
      </c>
      <c r="N137" s="31">
        <f t="shared" si="222"/>
        <v>0</v>
      </c>
      <c r="O137" s="31">
        <f t="shared" si="222"/>
        <v>0</v>
      </c>
      <c r="P137" s="31">
        <f t="shared" si="222"/>
        <v>0</v>
      </c>
      <c r="Q137" s="31">
        <f t="shared" si="222"/>
        <v>0</v>
      </c>
      <c r="R137" s="31">
        <f t="shared" si="222"/>
        <v>0</v>
      </c>
      <c r="S137" s="31">
        <f t="shared" si="222"/>
        <v>0</v>
      </c>
      <c r="T137" s="31">
        <f t="shared" si="222"/>
        <v>0</v>
      </c>
      <c r="U137" s="31">
        <f t="shared" si="222"/>
        <v>0</v>
      </c>
      <c r="V137" s="31">
        <f t="shared" si="222"/>
        <v>0</v>
      </c>
      <c r="W137" s="31">
        <f t="shared" si="222"/>
        <v>0</v>
      </c>
      <c r="X137" s="31">
        <f t="shared" si="222"/>
        <v>0</v>
      </c>
      <c r="Y137" s="31">
        <f t="shared" si="222"/>
        <v>0</v>
      </c>
      <c r="Z137" s="31">
        <f t="shared" si="222"/>
        <v>0</v>
      </c>
      <c r="AA137" s="31">
        <f t="shared" si="222"/>
        <v>0</v>
      </c>
      <c r="AB137" s="31">
        <f t="shared" si="222"/>
        <v>0</v>
      </c>
      <c r="AC137" s="31">
        <f t="shared" si="222"/>
        <v>0</v>
      </c>
      <c r="AD137" s="31">
        <f t="shared" si="222"/>
        <v>0</v>
      </c>
      <c r="AE137" s="31">
        <f t="shared" si="222"/>
        <v>0</v>
      </c>
      <c r="AF137" s="31">
        <f t="shared" si="222"/>
        <v>0</v>
      </c>
      <c r="AG137" s="31">
        <f t="shared" si="222"/>
        <v>0</v>
      </c>
      <c r="AH137" s="31">
        <f t="shared" ref="AH137:BM137" si="223">AH18+AH112</f>
        <v>0</v>
      </c>
      <c r="AI137" s="31">
        <f t="shared" si="223"/>
        <v>0</v>
      </c>
      <c r="AJ137" s="31">
        <f t="shared" si="223"/>
        <v>0</v>
      </c>
      <c r="AK137" s="31">
        <f t="shared" si="223"/>
        <v>0</v>
      </c>
      <c r="AL137" s="31">
        <f t="shared" si="223"/>
        <v>0</v>
      </c>
      <c r="AM137" s="31">
        <f t="shared" si="223"/>
        <v>0</v>
      </c>
      <c r="AN137" s="31">
        <f t="shared" si="223"/>
        <v>0</v>
      </c>
      <c r="AO137" s="31">
        <f t="shared" si="223"/>
        <v>0</v>
      </c>
      <c r="AP137" s="31">
        <f t="shared" si="223"/>
        <v>0</v>
      </c>
      <c r="AQ137" s="31">
        <f t="shared" si="223"/>
        <v>0</v>
      </c>
      <c r="AR137" s="31">
        <f t="shared" si="223"/>
        <v>0</v>
      </c>
      <c r="AS137" s="31">
        <f t="shared" si="223"/>
        <v>0</v>
      </c>
      <c r="AT137" s="31">
        <f t="shared" si="223"/>
        <v>0</v>
      </c>
      <c r="AU137" s="31">
        <f t="shared" si="223"/>
        <v>0</v>
      </c>
      <c r="AV137" s="31">
        <f t="shared" si="223"/>
        <v>0</v>
      </c>
      <c r="AW137" s="31">
        <f t="shared" si="223"/>
        <v>0</v>
      </c>
      <c r="AX137" s="31">
        <f t="shared" si="223"/>
        <v>0</v>
      </c>
      <c r="AY137" s="31">
        <f t="shared" si="223"/>
        <v>0</v>
      </c>
      <c r="AZ137" s="31">
        <f t="shared" si="223"/>
        <v>0</v>
      </c>
      <c r="BA137" s="31">
        <f t="shared" si="223"/>
        <v>0</v>
      </c>
      <c r="BB137" s="31">
        <f t="shared" si="223"/>
        <v>0</v>
      </c>
      <c r="BC137" s="31">
        <f t="shared" si="223"/>
        <v>0</v>
      </c>
      <c r="BD137" s="31">
        <f t="shared" si="223"/>
        <v>0</v>
      </c>
      <c r="BE137" s="31">
        <f t="shared" si="223"/>
        <v>0</v>
      </c>
      <c r="BF137" s="31">
        <f t="shared" si="223"/>
        <v>0</v>
      </c>
      <c r="BG137" s="31">
        <f t="shared" si="223"/>
        <v>0</v>
      </c>
      <c r="BH137" s="31">
        <f t="shared" si="223"/>
        <v>0</v>
      </c>
      <c r="BI137" s="31">
        <f t="shared" si="223"/>
        <v>0</v>
      </c>
      <c r="BJ137" s="28">
        <f t="shared" si="223"/>
        <v>0</v>
      </c>
      <c r="BK137" s="28">
        <f t="shared" si="223"/>
        <v>0</v>
      </c>
      <c r="BL137" s="28">
        <f t="shared" si="223"/>
        <v>0</v>
      </c>
      <c r="BM137" s="28">
        <f t="shared" si="223"/>
        <v>0</v>
      </c>
      <c r="BN137" s="28">
        <f t="shared" ref="BN137:CS137" si="224">BN18+BN112</f>
        <v>0</v>
      </c>
      <c r="BO137" s="28">
        <f t="shared" si="224"/>
        <v>0</v>
      </c>
      <c r="BP137" s="28">
        <f t="shared" si="224"/>
        <v>0</v>
      </c>
      <c r="BQ137" s="28">
        <f t="shared" si="224"/>
        <v>0</v>
      </c>
      <c r="BR137" s="28">
        <f t="shared" si="224"/>
        <v>0</v>
      </c>
      <c r="BS137" s="28">
        <f t="shared" si="224"/>
        <v>0</v>
      </c>
      <c r="BT137" s="28">
        <f t="shared" si="224"/>
        <v>0</v>
      </c>
      <c r="BU137" s="28">
        <f t="shared" si="224"/>
        <v>0</v>
      </c>
      <c r="BV137" s="28">
        <f t="shared" si="224"/>
        <v>0</v>
      </c>
      <c r="BW137" s="28">
        <f t="shared" si="224"/>
        <v>0</v>
      </c>
      <c r="BX137" s="28">
        <f t="shared" si="224"/>
        <v>0</v>
      </c>
      <c r="BY137" s="28">
        <f t="shared" si="224"/>
        <v>0</v>
      </c>
      <c r="BZ137" s="28">
        <f t="shared" si="224"/>
        <v>0</v>
      </c>
      <c r="CA137" s="28">
        <f t="shared" si="224"/>
        <v>0</v>
      </c>
      <c r="CB137" s="28">
        <f t="shared" si="224"/>
        <v>0</v>
      </c>
      <c r="CC137" s="28">
        <f t="shared" si="224"/>
        <v>0</v>
      </c>
      <c r="CD137" s="28">
        <f t="shared" si="224"/>
        <v>0</v>
      </c>
      <c r="CE137" s="28">
        <f t="shared" si="224"/>
        <v>0</v>
      </c>
      <c r="CF137" s="28">
        <f t="shared" si="224"/>
        <v>0</v>
      </c>
      <c r="CG137" s="28">
        <f t="shared" si="224"/>
        <v>0</v>
      </c>
      <c r="CH137" s="28">
        <f t="shared" si="224"/>
        <v>0</v>
      </c>
      <c r="CI137" s="28">
        <f t="shared" si="224"/>
        <v>0</v>
      </c>
      <c r="CJ137" s="28">
        <f t="shared" si="224"/>
        <v>0</v>
      </c>
      <c r="CK137" s="28">
        <f t="shared" si="224"/>
        <v>0</v>
      </c>
      <c r="CL137" s="28">
        <f t="shared" si="224"/>
        <v>0</v>
      </c>
      <c r="CM137" s="28">
        <f t="shared" si="224"/>
        <v>0</v>
      </c>
      <c r="CN137" s="28">
        <f t="shared" si="224"/>
        <v>0</v>
      </c>
      <c r="CO137" s="28">
        <f t="shared" si="224"/>
        <v>0</v>
      </c>
      <c r="CP137" s="28">
        <f t="shared" si="224"/>
        <v>0</v>
      </c>
      <c r="CQ137" s="28">
        <f t="shared" si="224"/>
        <v>0</v>
      </c>
      <c r="CR137" s="28">
        <f t="shared" si="224"/>
        <v>0</v>
      </c>
      <c r="CS137" s="28">
        <f t="shared" si="224"/>
        <v>0</v>
      </c>
      <c r="CT137" s="28">
        <f t="shared" ref="CT137:DV137" si="225">CT18+CT112</f>
        <v>0</v>
      </c>
      <c r="CU137" s="28">
        <f t="shared" si="225"/>
        <v>0</v>
      </c>
      <c r="CV137" s="28">
        <f t="shared" si="225"/>
        <v>0</v>
      </c>
      <c r="CW137" s="28">
        <f t="shared" si="225"/>
        <v>0</v>
      </c>
      <c r="CX137" s="28">
        <f t="shared" si="225"/>
        <v>0</v>
      </c>
      <c r="CY137" s="28">
        <f t="shared" si="225"/>
        <v>0</v>
      </c>
      <c r="CZ137" s="28">
        <f t="shared" si="225"/>
        <v>0</v>
      </c>
      <c r="DA137" s="28">
        <f t="shared" si="225"/>
        <v>0</v>
      </c>
      <c r="DB137" s="28">
        <f t="shared" si="225"/>
        <v>0</v>
      </c>
      <c r="DC137" s="28">
        <f t="shared" si="225"/>
        <v>7.3360000000000003</v>
      </c>
      <c r="DD137" s="28">
        <f t="shared" si="225"/>
        <v>5.1369999999999996</v>
      </c>
      <c r="DE137" s="28">
        <f t="shared" si="225"/>
        <v>5.1780000000000008</v>
      </c>
      <c r="DF137" s="28">
        <f t="shared" si="225"/>
        <v>3.1930000000000001</v>
      </c>
      <c r="DG137" s="28">
        <f t="shared" si="225"/>
        <v>20.844000000000001</v>
      </c>
      <c r="DH137" s="28">
        <f t="shared" si="225"/>
        <v>5.9590000000000005</v>
      </c>
      <c r="DI137" s="28">
        <f t="shared" si="225"/>
        <v>10.512</v>
      </c>
      <c r="DJ137" s="28">
        <f t="shared" si="225"/>
        <v>7.5710000000000006</v>
      </c>
      <c r="DK137" s="28">
        <f t="shared" si="225"/>
        <v>3.726</v>
      </c>
      <c r="DL137" s="28">
        <f t="shared" si="225"/>
        <v>27.768000000000001</v>
      </c>
      <c r="DM137" s="28">
        <f t="shared" si="225"/>
        <v>6.3570000000000002</v>
      </c>
      <c r="DN137" s="28">
        <f t="shared" si="225"/>
        <v>9.7590000000000003</v>
      </c>
      <c r="DO137" s="28">
        <f t="shared" si="225"/>
        <v>4.2530000000000001</v>
      </c>
      <c r="DP137" s="28">
        <f t="shared" si="225"/>
        <v>2.9909999999999997</v>
      </c>
      <c r="DQ137" s="28">
        <f t="shared" si="225"/>
        <v>23.36</v>
      </c>
      <c r="DR137" s="28">
        <f t="shared" si="225"/>
        <v>6.5779999999999994</v>
      </c>
      <c r="DS137" s="28">
        <f t="shared" si="225"/>
        <v>8.1359999999999992</v>
      </c>
      <c r="DT137" s="28">
        <f t="shared" si="225"/>
        <v>7.3960000000000008</v>
      </c>
      <c r="DU137" s="28">
        <f t="shared" si="225"/>
        <v>6.4239999999999995</v>
      </c>
      <c r="DV137" s="28">
        <f t="shared" si="225"/>
        <v>28.533999999999999</v>
      </c>
      <c r="DW137" s="28">
        <f t="shared" si="218"/>
        <v>9.4090000000000007</v>
      </c>
      <c r="DX137" s="28">
        <f t="shared" si="218"/>
        <v>14.798000000000002</v>
      </c>
      <c r="DY137" s="28">
        <f t="shared" si="218"/>
        <v>14.77487704</v>
      </c>
      <c r="DZ137" s="28">
        <f t="shared" si="218"/>
        <v>13.424326460000003</v>
      </c>
      <c r="EA137" s="28">
        <f t="shared" si="218"/>
        <v>52.406203500000004</v>
      </c>
      <c r="EB137" s="28">
        <f t="shared" si="218"/>
        <v>14.153718829999999</v>
      </c>
      <c r="EC137" s="28">
        <f t="shared" si="218"/>
        <v>12.805796540000001</v>
      </c>
      <c r="ED137" s="28">
        <f t="shared" si="218"/>
        <v>12.335000000000001</v>
      </c>
      <c r="EE137" s="28">
        <f t="shared" ref="EE137" si="226">EE18+EE112</f>
        <v>6.627022199999999</v>
      </c>
      <c r="EF137" s="28">
        <f t="shared" si="135"/>
        <v>45.921537569999998</v>
      </c>
      <c r="EG137" s="28">
        <f t="shared" ref="EG137" si="227">EG18+EG112</f>
        <v>10.1473564</v>
      </c>
      <c r="EH137" s="28">
        <v>16.555491440000001</v>
      </c>
      <c r="EI137" s="28">
        <f t="shared" ref="EI137" si="228">EI18+EI112</f>
        <v>15.549412100000001</v>
      </c>
    </row>
    <row r="138" spans="1:139" ht="15" thickTop="1" x14ac:dyDescent="0.3">
      <c r="A138" s="1" t="s">
        <v>306</v>
      </c>
      <c r="B138" s="30">
        <f t="shared" ref="B138:AG138" si="229">B19+B113</f>
        <v>0</v>
      </c>
      <c r="C138" s="30">
        <f t="shared" si="229"/>
        <v>0</v>
      </c>
      <c r="D138" s="30">
        <f t="shared" si="229"/>
        <v>0</v>
      </c>
      <c r="E138" s="30">
        <f t="shared" si="229"/>
        <v>0</v>
      </c>
      <c r="F138" s="30">
        <f t="shared" si="229"/>
        <v>0</v>
      </c>
      <c r="G138" s="30">
        <f t="shared" si="229"/>
        <v>0</v>
      </c>
      <c r="H138" s="30">
        <f t="shared" si="229"/>
        <v>0</v>
      </c>
      <c r="I138" s="30">
        <f t="shared" si="229"/>
        <v>0</v>
      </c>
      <c r="J138" s="30">
        <f t="shared" si="229"/>
        <v>0</v>
      </c>
      <c r="K138" s="30">
        <f t="shared" si="229"/>
        <v>0</v>
      </c>
      <c r="L138" s="30">
        <f t="shared" si="229"/>
        <v>0</v>
      </c>
      <c r="M138" s="30">
        <f t="shared" si="229"/>
        <v>0</v>
      </c>
      <c r="N138" s="30">
        <f t="shared" si="229"/>
        <v>0</v>
      </c>
      <c r="O138" s="30">
        <f t="shared" si="229"/>
        <v>0</v>
      </c>
      <c r="P138" s="30">
        <f t="shared" si="229"/>
        <v>0</v>
      </c>
      <c r="Q138" s="30">
        <f t="shared" si="229"/>
        <v>0</v>
      </c>
      <c r="R138" s="30">
        <f t="shared" si="229"/>
        <v>0</v>
      </c>
      <c r="S138" s="30">
        <f t="shared" si="229"/>
        <v>0</v>
      </c>
      <c r="T138" s="30">
        <f t="shared" si="229"/>
        <v>0</v>
      </c>
      <c r="U138" s="30">
        <f t="shared" si="229"/>
        <v>0</v>
      </c>
      <c r="V138" s="30">
        <f t="shared" si="229"/>
        <v>0</v>
      </c>
      <c r="W138" s="30">
        <f t="shared" si="229"/>
        <v>0</v>
      </c>
      <c r="X138" s="30">
        <f t="shared" si="229"/>
        <v>0</v>
      </c>
      <c r="Y138" s="30">
        <f t="shared" si="229"/>
        <v>0</v>
      </c>
      <c r="Z138" s="30">
        <f t="shared" si="229"/>
        <v>0</v>
      </c>
      <c r="AA138" s="30">
        <f t="shared" si="229"/>
        <v>0</v>
      </c>
      <c r="AB138" s="30">
        <f t="shared" si="229"/>
        <v>0</v>
      </c>
      <c r="AC138" s="30">
        <f t="shared" si="229"/>
        <v>0</v>
      </c>
      <c r="AD138" s="30">
        <f t="shared" si="229"/>
        <v>0</v>
      </c>
      <c r="AE138" s="30">
        <f t="shared" si="229"/>
        <v>0</v>
      </c>
      <c r="AF138" s="30">
        <f t="shared" si="229"/>
        <v>0</v>
      </c>
      <c r="AG138" s="30">
        <f t="shared" si="229"/>
        <v>0</v>
      </c>
      <c r="AH138" s="30">
        <f t="shared" ref="AH138:BM138" si="230">AH19+AH113</f>
        <v>0</v>
      </c>
      <c r="AI138" s="30">
        <f t="shared" si="230"/>
        <v>0</v>
      </c>
      <c r="AJ138" s="30">
        <f t="shared" si="230"/>
        <v>0</v>
      </c>
      <c r="AK138" s="30">
        <f t="shared" si="230"/>
        <v>0</v>
      </c>
      <c r="AL138" s="30">
        <f t="shared" si="230"/>
        <v>0</v>
      </c>
      <c r="AM138" s="30">
        <f t="shared" si="230"/>
        <v>0</v>
      </c>
      <c r="AN138" s="30">
        <f t="shared" si="230"/>
        <v>0</v>
      </c>
      <c r="AO138" s="30">
        <f t="shared" si="230"/>
        <v>0</v>
      </c>
      <c r="AP138" s="30">
        <f t="shared" si="230"/>
        <v>0</v>
      </c>
      <c r="AQ138" s="30">
        <f t="shared" si="230"/>
        <v>0</v>
      </c>
      <c r="AR138" s="30">
        <f t="shared" si="230"/>
        <v>0</v>
      </c>
      <c r="AS138" s="30">
        <f t="shared" si="230"/>
        <v>0</v>
      </c>
      <c r="AT138" s="30">
        <f t="shared" si="230"/>
        <v>0</v>
      </c>
      <c r="AU138" s="30">
        <f t="shared" si="230"/>
        <v>0</v>
      </c>
      <c r="AV138" s="30">
        <f t="shared" si="230"/>
        <v>0</v>
      </c>
      <c r="AW138" s="30">
        <f t="shared" si="230"/>
        <v>0</v>
      </c>
      <c r="AX138" s="30">
        <f t="shared" si="230"/>
        <v>0</v>
      </c>
      <c r="AY138" s="30">
        <f t="shared" si="230"/>
        <v>0</v>
      </c>
      <c r="AZ138" s="30">
        <f t="shared" si="230"/>
        <v>0</v>
      </c>
      <c r="BA138" s="30">
        <f t="shared" si="230"/>
        <v>0</v>
      </c>
      <c r="BB138" s="30">
        <f t="shared" si="230"/>
        <v>0</v>
      </c>
      <c r="BC138" s="30">
        <f t="shared" si="230"/>
        <v>0</v>
      </c>
      <c r="BD138" s="30">
        <f t="shared" si="230"/>
        <v>0</v>
      </c>
      <c r="BE138" s="30">
        <f t="shared" si="230"/>
        <v>0</v>
      </c>
      <c r="BF138" s="30">
        <f t="shared" si="230"/>
        <v>0</v>
      </c>
      <c r="BG138" s="30">
        <f t="shared" si="230"/>
        <v>0</v>
      </c>
      <c r="BH138" s="30">
        <f t="shared" si="230"/>
        <v>0</v>
      </c>
      <c r="BI138" s="30">
        <f t="shared" si="230"/>
        <v>0</v>
      </c>
      <c r="BJ138" s="27">
        <f t="shared" si="230"/>
        <v>22.8</v>
      </c>
      <c r="BK138" s="27">
        <f t="shared" si="230"/>
        <v>22.9</v>
      </c>
      <c r="BL138" s="27">
        <f t="shared" si="230"/>
        <v>23.8</v>
      </c>
      <c r="BM138" s="27">
        <f t="shared" si="230"/>
        <v>22.8</v>
      </c>
      <c r="BN138" s="27">
        <f t="shared" ref="BN138:CS138" si="231">BN19+BN113</f>
        <v>92.3</v>
      </c>
      <c r="BO138" s="27">
        <f t="shared" si="231"/>
        <v>26</v>
      </c>
      <c r="BP138" s="27">
        <f t="shared" si="231"/>
        <v>24.1</v>
      </c>
      <c r="BQ138" s="27">
        <f t="shared" si="231"/>
        <v>28</v>
      </c>
      <c r="BR138" s="27">
        <f t="shared" si="231"/>
        <v>25.8</v>
      </c>
      <c r="BS138" s="27">
        <f t="shared" si="231"/>
        <v>103.89999999999999</v>
      </c>
      <c r="BT138" s="27">
        <f t="shared" si="231"/>
        <v>27.9</v>
      </c>
      <c r="BU138" s="27">
        <f t="shared" si="231"/>
        <v>27.5</v>
      </c>
      <c r="BV138" s="27">
        <f t="shared" si="231"/>
        <v>26.599999999999998</v>
      </c>
      <c r="BW138" s="27">
        <f t="shared" si="231"/>
        <v>27.4</v>
      </c>
      <c r="BX138" s="27">
        <f t="shared" si="231"/>
        <v>109.4</v>
      </c>
      <c r="BY138" s="27">
        <f t="shared" si="231"/>
        <v>28</v>
      </c>
      <c r="BZ138" s="27">
        <f t="shared" si="231"/>
        <v>28</v>
      </c>
      <c r="CA138" s="27">
        <f t="shared" si="231"/>
        <v>28.1</v>
      </c>
      <c r="CB138" s="27">
        <f t="shared" si="231"/>
        <v>33.1</v>
      </c>
      <c r="CC138" s="27">
        <f t="shared" si="231"/>
        <v>117.19999999999999</v>
      </c>
      <c r="CD138" s="27">
        <f t="shared" si="231"/>
        <v>37.799999999999997</v>
      </c>
      <c r="CE138" s="27">
        <f t="shared" si="231"/>
        <v>49.199999999999996</v>
      </c>
      <c r="CF138" s="27">
        <f t="shared" si="231"/>
        <v>45.5</v>
      </c>
      <c r="CG138" s="27">
        <f t="shared" si="231"/>
        <v>46.1</v>
      </c>
      <c r="CH138" s="27">
        <f t="shared" si="231"/>
        <v>178.59999999999997</v>
      </c>
      <c r="CI138" s="27">
        <f t="shared" si="231"/>
        <v>47.2</v>
      </c>
      <c r="CJ138" s="27">
        <f t="shared" si="231"/>
        <v>47.9</v>
      </c>
      <c r="CK138" s="27">
        <f t="shared" si="231"/>
        <v>52.303076039999986</v>
      </c>
      <c r="CL138" s="27">
        <f t="shared" si="231"/>
        <v>52.974305619999996</v>
      </c>
      <c r="CM138" s="27">
        <f t="shared" si="231"/>
        <v>200.37738166</v>
      </c>
      <c r="CN138" s="27">
        <f t="shared" si="231"/>
        <v>46.2</v>
      </c>
      <c r="CO138" s="27">
        <f t="shared" si="231"/>
        <v>45.099999999999994</v>
      </c>
      <c r="CP138" s="27">
        <f t="shared" si="231"/>
        <v>47.400000000000006</v>
      </c>
      <c r="CQ138" s="27">
        <f t="shared" si="231"/>
        <v>25.22999999999999</v>
      </c>
      <c r="CR138" s="27">
        <f t="shared" si="231"/>
        <v>163.92999999999995</v>
      </c>
      <c r="CS138" s="27">
        <f t="shared" si="231"/>
        <v>43.527100510000004</v>
      </c>
      <c r="CT138" s="27">
        <f t="shared" ref="CT138:DV138" si="232">CT19+CT113</f>
        <v>43.590718439999996</v>
      </c>
      <c r="CU138" s="27">
        <f t="shared" si="232"/>
        <v>42.810181050000004</v>
      </c>
      <c r="CV138" s="27">
        <f t="shared" si="232"/>
        <v>42.536999999999999</v>
      </c>
      <c r="CW138" s="27">
        <f t="shared" si="232"/>
        <v>172.465</v>
      </c>
      <c r="CX138" s="27">
        <f t="shared" si="232"/>
        <v>42.167000000000002</v>
      </c>
      <c r="CY138" s="27">
        <f t="shared" si="232"/>
        <v>41.632000000000005</v>
      </c>
      <c r="CZ138" s="27">
        <f t="shared" si="232"/>
        <v>40.614000000000004</v>
      </c>
      <c r="DA138" s="27">
        <f t="shared" si="232"/>
        <v>40.103999999999999</v>
      </c>
      <c r="DB138" s="27">
        <f t="shared" si="232"/>
        <v>164.51699999999997</v>
      </c>
      <c r="DC138" s="27">
        <f t="shared" si="232"/>
        <v>41.513999999999996</v>
      </c>
      <c r="DD138" s="27">
        <f t="shared" si="232"/>
        <v>41.453000000000003</v>
      </c>
      <c r="DE138" s="27">
        <f t="shared" si="232"/>
        <v>47.235999999999997</v>
      </c>
      <c r="DF138" s="27">
        <f t="shared" si="232"/>
        <v>49.271000000000001</v>
      </c>
      <c r="DG138" s="27">
        <f t="shared" si="232"/>
        <v>179.47399999999999</v>
      </c>
      <c r="DH138" s="27">
        <f t="shared" si="232"/>
        <v>59.673999999999999</v>
      </c>
      <c r="DI138" s="27">
        <f t="shared" si="232"/>
        <v>61.495000000000005</v>
      </c>
      <c r="DJ138" s="27">
        <f t="shared" si="232"/>
        <v>60.933</v>
      </c>
      <c r="DK138" s="27">
        <f t="shared" si="232"/>
        <v>64.459999999999994</v>
      </c>
      <c r="DL138" s="27">
        <f t="shared" si="232"/>
        <v>246.56199999999995</v>
      </c>
      <c r="DM138" s="27">
        <f t="shared" si="232"/>
        <v>71.86399999999999</v>
      </c>
      <c r="DN138" s="27">
        <f t="shared" si="232"/>
        <v>71.464100000000002</v>
      </c>
      <c r="DO138" s="27">
        <f t="shared" si="232"/>
        <v>71.748999999999995</v>
      </c>
      <c r="DP138" s="27">
        <f t="shared" si="232"/>
        <v>72.941999999999993</v>
      </c>
      <c r="DQ138" s="27">
        <f t="shared" si="232"/>
        <v>288.01909999999998</v>
      </c>
      <c r="DR138" s="27">
        <f t="shared" si="232"/>
        <v>74.436000000000007</v>
      </c>
      <c r="DS138" s="27">
        <f t="shared" si="232"/>
        <v>74.463999999999999</v>
      </c>
      <c r="DT138" s="27">
        <f t="shared" si="232"/>
        <v>73.938000000000002</v>
      </c>
      <c r="DU138" s="27">
        <f t="shared" si="232"/>
        <v>90.954999999999998</v>
      </c>
      <c r="DV138" s="27">
        <f t="shared" si="232"/>
        <v>313.79300000000001</v>
      </c>
      <c r="DW138" s="27">
        <f t="shared" si="218"/>
        <v>85.405999999999992</v>
      </c>
      <c r="DX138" s="27">
        <f t="shared" si="218"/>
        <v>84.302999999999997</v>
      </c>
      <c r="DY138" s="27">
        <f t="shared" si="218"/>
        <v>91.579587919999994</v>
      </c>
      <c r="DZ138" s="27">
        <f t="shared" si="218"/>
        <v>92.277279900000025</v>
      </c>
      <c r="EA138" s="27">
        <f t="shared" si="218"/>
        <v>353.56586782000005</v>
      </c>
      <c r="EB138" s="27">
        <f t="shared" si="218"/>
        <v>102.56859341000001</v>
      </c>
      <c r="EC138" s="27">
        <f t="shared" si="218"/>
        <v>105.81369938000002</v>
      </c>
      <c r="ED138" s="27">
        <f t="shared" si="218"/>
        <v>102.36699999999999</v>
      </c>
      <c r="EE138" s="27">
        <f t="shared" ref="EE138" si="233">EE19+EE113</f>
        <v>104.98919367000001</v>
      </c>
      <c r="EF138" s="27">
        <f t="shared" si="135"/>
        <v>415.73848646000005</v>
      </c>
      <c r="EG138" s="27">
        <f t="shared" ref="EG138" si="234">EG19+EG113</f>
        <v>122.78157888999999</v>
      </c>
      <c r="EH138" s="27">
        <v>131.17674742999998</v>
      </c>
      <c r="EI138" s="27">
        <f t="shared" ref="EI138" si="235">EI19+EI113</f>
        <v>131.21951265000001</v>
      </c>
    </row>
    <row r="139" spans="1:139" ht="15" thickBot="1" x14ac:dyDescent="0.35">
      <c r="A139" s="2" t="s">
        <v>370</v>
      </c>
      <c r="B139" s="31">
        <f t="shared" ref="B139:AG139" si="236">B20+B114</f>
        <v>0</v>
      </c>
      <c r="C139" s="31">
        <f t="shared" si="236"/>
        <v>0</v>
      </c>
      <c r="D139" s="31">
        <f t="shared" si="236"/>
        <v>0</v>
      </c>
      <c r="E139" s="31">
        <f t="shared" si="236"/>
        <v>0</v>
      </c>
      <c r="F139" s="31">
        <f t="shared" si="236"/>
        <v>0</v>
      </c>
      <c r="G139" s="31">
        <f t="shared" si="236"/>
        <v>0</v>
      </c>
      <c r="H139" s="31">
        <f t="shared" si="236"/>
        <v>0</v>
      </c>
      <c r="I139" s="31">
        <f t="shared" si="236"/>
        <v>0</v>
      </c>
      <c r="J139" s="31">
        <f t="shared" si="236"/>
        <v>0</v>
      </c>
      <c r="K139" s="31">
        <f t="shared" si="236"/>
        <v>0</v>
      </c>
      <c r="L139" s="31">
        <f t="shared" si="236"/>
        <v>0</v>
      </c>
      <c r="M139" s="31">
        <f t="shared" si="236"/>
        <v>0</v>
      </c>
      <c r="N139" s="31">
        <f t="shared" si="236"/>
        <v>0</v>
      </c>
      <c r="O139" s="31">
        <f t="shared" si="236"/>
        <v>0</v>
      </c>
      <c r="P139" s="31">
        <f t="shared" si="236"/>
        <v>0</v>
      </c>
      <c r="Q139" s="31">
        <f t="shared" si="236"/>
        <v>0</v>
      </c>
      <c r="R139" s="31">
        <f t="shared" si="236"/>
        <v>0</v>
      </c>
      <c r="S139" s="31">
        <f t="shared" si="236"/>
        <v>0</v>
      </c>
      <c r="T139" s="31">
        <f t="shared" si="236"/>
        <v>0</v>
      </c>
      <c r="U139" s="31">
        <f t="shared" si="236"/>
        <v>0</v>
      </c>
      <c r="V139" s="31">
        <f t="shared" si="236"/>
        <v>0</v>
      </c>
      <c r="W139" s="31">
        <f t="shared" si="236"/>
        <v>0</v>
      </c>
      <c r="X139" s="31">
        <f t="shared" si="236"/>
        <v>0</v>
      </c>
      <c r="Y139" s="31">
        <f t="shared" si="236"/>
        <v>0</v>
      </c>
      <c r="Z139" s="31">
        <f t="shared" si="236"/>
        <v>0</v>
      </c>
      <c r="AA139" s="31">
        <f t="shared" si="236"/>
        <v>0</v>
      </c>
      <c r="AB139" s="31">
        <f t="shared" si="236"/>
        <v>0</v>
      </c>
      <c r="AC139" s="31">
        <f t="shared" si="236"/>
        <v>0</v>
      </c>
      <c r="AD139" s="31">
        <f t="shared" si="236"/>
        <v>0</v>
      </c>
      <c r="AE139" s="31">
        <f t="shared" si="236"/>
        <v>0</v>
      </c>
      <c r="AF139" s="31">
        <f t="shared" si="236"/>
        <v>0</v>
      </c>
      <c r="AG139" s="31">
        <f t="shared" si="236"/>
        <v>0</v>
      </c>
      <c r="AH139" s="31">
        <f t="shared" ref="AH139:BM139" si="237">AH20+AH114</f>
        <v>0</v>
      </c>
      <c r="AI139" s="31">
        <f t="shared" si="237"/>
        <v>0</v>
      </c>
      <c r="AJ139" s="31">
        <f t="shared" si="237"/>
        <v>0</v>
      </c>
      <c r="AK139" s="31">
        <f t="shared" si="237"/>
        <v>0</v>
      </c>
      <c r="AL139" s="31">
        <f t="shared" si="237"/>
        <v>0</v>
      </c>
      <c r="AM139" s="31">
        <f t="shared" si="237"/>
        <v>0</v>
      </c>
      <c r="AN139" s="31">
        <f t="shared" si="237"/>
        <v>0</v>
      </c>
      <c r="AO139" s="31">
        <f t="shared" si="237"/>
        <v>0</v>
      </c>
      <c r="AP139" s="31">
        <f t="shared" si="237"/>
        <v>0</v>
      </c>
      <c r="AQ139" s="31">
        <f t="shared" si="237"/>
        <v>0</v>
      </c>
      <c r="AR139" s="31">
        <f t="shared" si="237"/>
        <v>0</v>
      </c>
      <c r="AS139" s="31">
        <f t="shared" si="237"/>
        <v>0</v>
      </c>
      <c r="AT139" s="31">
        <f t="shared" si="237"/>
        <v>0</v>
      </c>
      <c r="AU139" s="31">
        <f t="shared" si="237"/>
        <v>0</v>
      </c>
      <c r="AV139" s="31">
        <f t="shared" si="237"/>
        <v>0</v>
      </c>
      <c r="AW139" s="31">
        <f t="shared" si="237"/>
        <v>0</v>
      </c>
      <c r="AX139" s="31">
        <f t="shared" si="237"/>
        <v>0</v>
      </c>
      <c r="AY139" s="31">
        <f t="shared" si="237"/>
        <v>0</v>
      </c>
      <c r="AZ139" s="31">
        <f t="shared" si="237"/>
        <v>0</v>
      </c>
      <c r="BA139" s="31">
        <f t="shared" si="237"/>
        <v>0</v>
      </c>
      <c r="BB139" s="31">
        <f t="shared" si="237"/>
        <v>0</v>
      </c>
      <c r="BC139" s="31">
        <f t="shared" si="237"/>
        <v>0</v>
      </c>
      <c r="BD139" s="31">
        <f t="shared" si="237"/>
        <v>0</v>
      </c>
      <c r="BE139" s="31">
        <f t="shared" si="237"/>
        <v>0</v>
      </c>
      <c r="BF139" s="31">
        <f t="shared" si="237"/>
        <v>0</v>
      </c>
      <c r="BG139" s="31">
        <f t="shared" si="237"/>
        <v>0</v>
      </c>
      <c r="BH139" s="31">
        <f t="shared" si="237"/>
        <v>0</v>
      </c>
      <c r="BI139" s="31">
        <f t="shared" si="237"/>
        <v>0</v>
      </c>
      <c r="BJ139" s="28">
        <f t="shared" si="237"/>
        <v>5.3999999999999995</v>
      </c>
      <c r="BK139" s="28">
        <f t="shared" si="237"/>
        <v>6.3999999999999995</v>
      </c>
      <c r="BL139" s="28">
        <f t="shared" si="237"/>
        <v>6.9</v>
      </c>
      <c r="BM139" s="28">
        <f t="shared" si="237"/>
        <v>5.2050899999999984</v>
      </c>
      <c r="BN139" s="28">
        <f t="shared" ref="BN139:CS139" si="238">BN20+BN114</f>
        <v>23.905089999999998</v>
      </c>
      <c r="BO139" s="28">
        <f t="shared" si="238"/>
        <v>53.668275848</v>
      </c>
      <c r="BP139" s="28">
        <f t="shared" si="238"/>
        <v>57.330340190000022</v>
      </c>
      <c r="BQ139" s="28">
        <f t="shared" si="238"/>
        <v>67.545056689999996</v>
      </c>
      <c r="BR139" s="28">
        <f t="shared" si="238"/>
        <v>63.806268139999993</v>
      </c>
      <c r="BS139" s="28">
        <f t="shared" si="238"/>
        <v>242.349940868</v>
      </c>
      <c r="BT139" s="28">
        <f t="shared" si="238"/>
        <v>0</v>
      </c>
      <c r="BU139" s="28">
        <f t="shared" si="238"/>
        <v>0</v>
      </c>
      <c r="BV139" s="28">
        <f t="shared" si="238"/>
        <v>0</v>
      </c>
      <c r="BW139" s="28">
        <f t="shared" si="238"/>
        <v>0</v>
      </c>
      <c r="BX139" s="28">
        <f t="shared" si="238"/>
        <v>0</v>
      </c>
      <c r="BY139" s="28">
        <f t="shared" si="238"/>
        <v>0</v>
      </c>
      <c r="BZ139" s="28">
        <f t="shared" si="238"/>
        <v>0</v>
      </c>
      <c r="CA139" s="28">
        <f t="shared" si="238"/>
        <v>0</v>
      </c>
      <c r="CB139" s="28">
        <f t="shared" si="238"/>
        <v>0</v>
      </c>
      <c r="CC139" s="28">
        <f t="shared" si="238"/>
        <v>0</v>
      </c>
      <c r="CD139" s="28">
        <f t="shared" si="238"/>
        <v>0</v>
      </c>
      <c r="CE139" s="28">
        <f t="shared" si="238"/>
        <v>0</v>
      </c>
      <c r="CF139" s="28">
        <f t="shared" si="238"/>
        <v>0</v>
      </c>
      <c r="CG139" s="28">
        <f t="shared" si="238"/>
        <v>0</v>
      </c>
      <c r="CH139" s="28">
        <f t="shared" si="238"/>
        <v>0</v>
      </c>
      <c r="CI139" s="28">
        <f t="shared" si="238"/>
        <v>0</v>
      </c>
      <c r="CJ139" s="28">
        <f t="shared" si="238"/>
        <v>0</v>
      </c>
      <c r="CK139" s="28">
        <f t="shared" si="238"/>
        <v>0</v>
      </c>
      <c r="CL139" s="28">
        <f t="shared" si="238"/>
        <v>0</v>
      </c>
      <c r="CM139" s="28">
        <f t="shared" si="238"/>
        <v>0</v>
      </c>
      <c r="CN139" s="28">
        <f t="shared" si="238"/>
        <v>0</v>
      </c>
      <c r="CO139" s="28">
        <f t="shared" si="238"/>
        <v>0</v>
      </c>
      <c r="CP139" s="28">
        <f t="shared" si="238"/>
        <v>0</v>
      </c>
      <c r="CQ139" s="28">
        <f t="shared" si="238"/>
        <v>0</v>
      </c>
      <c r="CR139" s="28">
        <f t="shared" si="238"/>
        <v>0</v>
      </c>
      <c r="CS139" s="28">
        <f t="shared" si="238"/>
        <v>0</v>
      </c>
      <c r="CT139" s="28">
        <f t="shared" ref="CT139:DV139" si="239">CT20+CT114</f>
        <v>0</v>
      </c>
      <c r="CU139" s="28">
        <f t="shared" si="239"/>
        <v>0</v>
      </c>
      <c r="CV139" s="28">
        <f t="shared" si="239"/>
        <v>0</v>
      </c>
      <c r="CW139" s="28">
        <f t="shared" si="239"/>
        <v>0</v>
      </c>
      <c r="CX139" s="28">
        <f t="shared" si="239"/>
        <v>0</v>
      </c>
      <c r="CY139" s="28">
        <f t="shared" si="239"/>
        <v>0</v>
      </c>
      <c r="CZ139" s="28">
        <f t="shared" si="239"/>
        <v>0</v>
      </c>
      <c r="DA139" s="28">
        <f t="shared" si="239"/>
        <v>0</v>
      </c>
      <c r="DB139" s="28">
        <f t="shared" si="239"/>
        <v>0</v>
      </c>
      <c r="DC139" s="28">
        <f t="shared" si="239"/>
        <v>0</v>
      </c>
      <c r="DD139" s="28">
        <f t="shared" si="239"/>
        <v>0</v>
      </c>
      <c r="DE139" s="28">
        <f t="shared" si="239"/>
        <v>0</v>
      </c>
      <c r="DF139" s="28">
        <f t="shared" si="239"/>
        <v>0</v>
      </c>
      <c r="DG139" s="28">
        <f t="shared" si="239"/>
        <v>0</v>
      </c>
      <c r="DH139" s="28">
        <f t="shared" si="239"/>
        <v>0</v>
      </c>
      <c r="DI139" s="28">
        <f t="shared" si="239"/>
        <v>0</v>
      </c>
      <c r="DJ139" s="28">
        <f t="shared" si="239"/>
        <v>0</v>
      </c>
      <c r="DK139" s="28">
        <f t="shared" si="239"/>
        <v>0</v>
      </c>
      <c r="DL139" s="28">
        <f t="shared" si="239"/>
        <v>0</v>
      </c>
      <c r="DM139" s="28">
        <f t="shared" si="239"/>
        <v>0</v>
      </c>
      <c r="DN139" s="28">
        <f t="shared" si="239"/>
        <v>0</v>
      </c>
      <c r="DO139" s="28">
        <f t="shared" si="239"/>
        <v>0</v>
      </c>
      <c r="DP139" s="28">
        <f t="shared" si="239"/>
        <v>0</v>
      </c>
      <c r="DQ139" s="28">
        <f t="shared" si="239"/>
        <v>0</v>
      </c>
      <c r="DR139" s="28">
        <f t="shared" si="239"/>
        <v>0</v>
      </c>
      <c r="DS139" s="28">
        <f t="shared" si="239"/>
        <v>0</v>
      </c>
      <c r="DT139" s="28">
        <f t="shared" si="239"/>
        <v>0</v>
      </c>
      <c r="DU139" s="28">
        <f t="shared" si="239"/>
        <v>0</v>
      </c>
      <c r="DV139" s="28">
        <f t="shared" si="239"/>
        <v>0</v>
      </c>
      <c r="DW139" s="28">
        <f t="shared" si="218"/>
        <v>0</v>
      </c>
      <c r="DX139" s="28">
        <f t="shared" si="218"/>
        <v>0</v>
      </c>
      <c r="DY139" s="28">
        <f t="shared" si="218"/>
        <v>0</v>
      </c>
      <c r="DZ139" s="28">
        <f t="shared" si="218"/>
        <v>0</v>
      </c>
      <c r="EA139" s="28">
        <f t="shared" si="218"/>
        <v>0</v>
      </c>
      <c r="EB139" s="28">
        <f t="shared" si="218"/>
        <v>0</v>
      </c>
      <c r="EC139" s="28">
        <f t="shared" si="218"/>
        <v>0</v>
      </c>
      <c r="ED139" s="28">
        <f t="shared" si="218"/>
        <v>0</v>
      </c>
      <c r="EE139" s="28">
        <f t="shared" ref="EE139" si="240">EE20+EE114</f>
        <v>0</v>
      </c>
      <c r="EF139" s="28">
        <f t="shared" si="135"/>
        <v>0</v>
      </c>
      <c r="EG139" s="28">
        <f t="shared" ref="EG139" si="241">EG20+EG114</f>
        <v>0</v>
      </c>
      <c r="EH139" s="28">
        <v>0</v>
      </c>
      <c r="EI139" s="28">
        <f t="shared" ref="EI139" si="242">EI20+EI114</f>
        <v>0</v>
      </c>
    </row>
    <row r="140" spans="1:139" ht="15" thickTop="1" x14ac:dyDescent="0.3">
      <c r="A140" s="1" t="s">
        <v>338</v>
      </c>
      <c r="B140" s="30">
        <f t="shared" ref="B140:AG140" si="243">B21+B115</f>
        <v>0</v>
      </c>
      <c r="C140" s="30">
        <f t="shared" si="243"/>
        <v>0</v>
      </c>
      <c r="D140" s="30">
        <f t="shared" si="243"/>
        <v>0</v>
      </c>
      <c r="E140" s="30">
        <f t="shared" si="243"/>
        <v>0</v>
      </c>
      <c r="F140" s="30">
        <f t="shared" si="243"/>
        <v>0</v>
      </c>
      <c r="G140" s="30">
        <f t="shared" si="243"/>
        <v>0</v>
      </c>
      <c r="H140" s="30">
        <f t="shared" si="243"/>
        <v>0</v>
      </c>
      <c r="I140" s="30">
        <f t="shared" si="243"/>
        <v>0</v>
      </c>
      <c r="J140" s="30">
        <f t="shared" si="243"/>
        <v>0</v>
      </c>
      <c r="K140" s="30">
        <f t="shared" si="243"/>
        <v>0</v>
      </c>
      <c r="L140" s="30">
        <f t="shared" si="243"/>
        <v>0</v>
      </c>
      <c r="M140" s="30">
        <f t="shared" si="243"/>
        <v>0</v>
      </c>
      <c r="N140" s="30">
        <f t="shared" si="243"/>
        <v>0</v>
      </c>
      <c r="O140" s="30">
        <f t="shared" si="243"/>
        <v>0</v>
      </c>
      <c r="P140" s="30">
        <f t="shared" si="243"/>
        <v>0</v>
      </c>
      <c r="Q140" s="30">
        <f t="shared" si="243"/>
        <v>0</v>
      </c>
      <c r="R140" s="30">
        <f t="shared" si="243"/>
        <v>0</v>
      </c>
      <c r="S140" s="30">
        <f t="shared" si="243"/>
        <v>0</v>
      </c>
      <c r="T140" s="30">
        <f t="shared" si="243"/>
        <v>0</v>
      </c>
      <c r="U140" s="30">
        <f t="shared" si="243"/>
        <v>0</v>
      </c>
      <c r="V140" s="30">
        <f t="shared" si="243"/>
        <v>0</v>
      </c>
      <c r="W140" s="30">
        <f t="shared" si="243"/>
        <v>0</v>
      </c>
      <c r="X140" s="30">
        <f t="shared" si="243"/>
        <v>0</v>
      </c>
      <c r="Y140" s="30">
        <f t="shared" si="243"/>
        <v>0</v>
      </c>
      <c r="Z140" s="30">
        <f t="shared" si="243"/>
        <v>0</v>
      </c>
      <c r="AA140" s="30">
        <f t="shared" si="243"/>
        <v>0</v>
      </c>
      <c r="AB140" s="30">
        <f t="shared" si="243"/>
        <v>0</v>
      </c>
      <c r="AC140" s="30">
        <f t="shared" si="243"/>
        <v>0</v>
      </c>
      <c r="AD140" s="30">
        <f t="shared" si="243"/>
        <v>0</v>
      </c>
      <c r="AE140" s="30">
        <f t="shared" si="243"/>
        <v>0</v>
      </c>
      <c r="AF140" s="30">
        <f t="shared" si="243"/>
        <v>0</v>
      </c>
      <c r="AG140" s="30">
        <f t="shared" si="243"/>
        <v>0</v>
      </c>
      <c r="AH140" s="30">
        <f t="shared" ref="AH140:BM140" si="244">AH21+AH115</f>
        <v>0</v>
      </c>
      <c r="AI140" s="30">
        <f t="shared" si="244"/>
        <v>0</v>
      </c>
      <c r="AJ140" s="30">
        <f t="shared" si="244"/>
        <v>0</v>
      </c>
      <c r="AK140" s="30">
        <f t="shared" si="244"/>
        <v>0</v>
      </c>
      <c r="AL140" s="30">
        <f t="shared" si="244"/>
        <v>0</v>
      </c>
      <c r="AM140" s="30">
        <f t="shared" si="244"/>
        <v>0</v>
      </c>
      <c r="AN140" s="30">
        <f t="shared" si="244"/>
        <v>0</v>
      </c>
      <c r="AO140" s="30">
        <f t="shared" si="244"/>
        <v>0</v>
      </c>
      <c r="AP140" s="30">
        <f t="shared" si="244"/>
        <v>0</v>
      </c>
      <c r="AQ140" s="30">
        <f t="shared" si="244"/>
        <v>0</v>
      </c>
      <c r="AR140" s="30">
        <f t="shared" si="244"/>
        <v>0</v>
      </c>
      <c r="AS140" s="30">
        <f t="shared" si="244"/>
        <v>0</v>
      </c>
      <c r="AT140" s="30">
        <f t="shared" si="244"/>
        <v>0</v>
      </c>
      <c r="AU140" s="30">
        <f t="shared" si="244"/>
        <v>0</v>
      </c>
      <c r="AV140" s="30">
        <f t="shared" si="244"/>
        <v>0</v>
      </c>
      <c r="AW140" s="30">
        <f t="shared" si="244"/>
        <v>0</v>
      </c>
      <c r="AX140" s="30">
        <f t="shared" si="244"/>
        <v>0</v>
      </c>
      <c r="AY140" s="30">
        <f t="shared" si="244"/>
        <v>0</v>
      </c>
      <c r="AZ140" s="30">
        <f t="shared" si="244"/>
        <v>0</v>
      </c>
      <c r="BA140" s="30">
        <f t="shared" si="244"/>
        <v>0</v>
      </c>
      <c r="BB140" s="30">
        <f t="shared" si="244"/>
        <v>0</v>
      </c>
      <c r="BC140" s="30">
        <f t="shared" si="244"/>
        <v>0</v>
      </c>
      <c r="BD140" s="30">
        <f t="shared" si="244"/>
        <v>0</v>
      </c>
      <c r="BE140" s="30">
        <f t="shared" si="244"/>
        <v>0</v>
      </c>
      <c r="BF140" s="30">
        <f t="shared" si="244"/>
        <v>0</v>
      </c>
      <c r="BG140" s="30">
        <f t="shared" si="244"/>
        <v>0</v>
      </c>
      <c r="BH140" s="30">
        <f t="shared" si="244"/>
        <v>0</v>
      </c>
      <c r="BI140" s="30">
        <f t="shared" si="244"/>
        <v>0</v>
      </c>
      <c r="BJ140" s="27">
        <f t="shared" si="244"/>
        <v>11.8</v>
      </c>
      <c r="BK140" s="27">
        <f t="shared" si="244"/>
        <v>9.1962917199999996</v>
      </c>
      <c r="BL140" s="27">
        <f t="shared" si="244"/>
        <v>10.12170828</v>
      </c>
      <c r="BM140" s="27">
        <f t="shared" si="244"/>
        <v>7.2</v>
      </c>
      <c r="BN140" s="27">
        <f t="shared" ref="BN140:CS140" si="245">BN21+BN115</f>
        <v>38.317999999999998</v>
      </c>
      <c r="BO140" s="27">
        <f t="shared" si="245"/>
        <v>10.809878449999999</v>
      </c>
      <c r="BP140" s="27">
        <f t="shared" si="245"/>
        <v>11.123752929999998</v>
      </c>
      <c r="BQ140" s="27">
        <f t="shared" si="245"/>
        <v>12.340520080000001</v>
      </c>
      <c r="BR140" s="27">
        <f t="shared" si="245"/>
        <v>12.859618429999994</v>
      </c>
      <c r="BS140" s="27">
        <f t="shared" si="245"/>
        <v>47.133769889999996</v>
      </c>
      <c r="BT140" s="27">
        <f t="shared" si="245"/>
        <v>0</v>
      </c>
      <c r="BU140" s="27">
        <f t="shared" si="245"/>
        <v>0</v>
      </c>
      <c r="BV140" s="27">
        <f t="shared" si="245"/>
        <v>0</v>
      </c>
      <c r="BW140" s="27">
        <f t="shared" si="245"/>
        <v>0</v>
      </c>
      <c r="BX140" s="27">
        <f t="shared" si="245"/>
        <v>0</v>
      </c>
      <c r="BY140" s="27">
        <f t="shared" si="245"/>
        <v>0</v>
      </c>
      <c r="BZ140" s="27">
        <f t="shared" si="245"/>
        <v>0</v>
      </c>
      <c r="CA140" s="27">
        <f t="shared" si="245"/>
        <v>0</v>
      </c>
      <c r="CB140" s="27">
        <f t="shared" si="245"/>
        <v>0</v>
      </c>
      <c r="CC140" s="27">
        <f t="shared" si="245"/>
        <v>0</v>
      </c>
      <c r="CD140" s="27">
        <f t="shared" si="245"/>
        <v>0</v>
      </c>
      <c r="CE140" s="27">
        <f t="shared" si="245"/>
        <v>0</v>
      </c>
      <c r="CF140" s="27">
        <f t="shared" si="245"/>
        <v>0</v>
      </c>
      <c r="CG140" s="27">
        <f t="shared" si="245"/>
        <v>0</v>
      </c>
      <c r="CH140" s="27">
        <f t="shared" si="245"/>
        <v>0</v>
      </c>
      <c r="CI140" s="27">
        <f t="shared" si="245"/>
        <v>0</v>
      </c>
      <c r="CJ140" s="27">
        <f t="shared" si="245"/>
        <v>0</v>
      </c>
      <c r="CK140" s="27">
        <f t="shared" si="245"/>
        <v>0</v>
      </c>
      <c r="CL140" s="27">
        <f t="shared" si="245"/>
        <v>0</v>
      </c>
      <c r="CM140" s="27">
        <f t="shared" si="245"/>
        <v>0</v>
      </c>
      <c r="CN140" s="27">
        <f t="shared" si="245"/>
        <v>0</v>
      </c>
      <c r="CO140" s="27">
        <f t="shared" si="245"/>
        <v>0</v>
      </c>
      <c r="CP140" s="27">
        <f t="shared" si="245"/>
        <v>0</v>
      </c>
      <c r="CQ140" s="27">
        <f t="shared" si="245"/>
        <v>0</v>
      </c>
      <c r="CR140" s="27">
        <f t="shared" si="245"/>
        <v>0</v>
      </c>
      <c r="CS140" s="27">
        <f t="shared" si="245"/>
        <v>6.0000000000000001E-3</v>
      </c>
      <c r="CT140" s="27">
        <f t="shared" ref="CT140:DV140" si="246">CT21+CT115</f>
        <v>6.9999999999999993E-3</v>
      </c>
      <c r="CU140" s="27">
        <f t="shared" si="246"/>
        <v>6.0000000000000001E-3</v>
      </c>
      <c r="CV140" s="27">
        <f t="shared" si="246"/>
        <v>6.0000000000000019E-3</v>
      </c>
      <c r="CW140" s="27">
        <f t="shared" si="246"/>
        <v>2.5000000000000001E-2</v>
      </c>
      <c r="CX140" s="27">
        <f t="shared" si="246"/>
        <v>1E-3</v>
      </c>
      <c r="CY140" s="27">
        <f t="shared" si="246"/>
        <v>1E-3</v>
      </c>
      <c r="CZ140" s="27">
        <f t="shared" si="246"/>
        <v>1E-3</v>
      </c>
      <c r="DA140" s="27">
        <f t="shared" si="246"/>
        <v>0</v>
      </c>
      <c r="DB140" s="27">
        <f t="shared" si="246"/>
        <v>3.0000000000000001E-3</v>
      </c>
      <c r="DC140" s="27">
        <f t="shared" si="246"/>
        <v>7.0000000000000001E-3</v>
      </c>
      <c r="DD140" s="27">
        <f t="shared" si="246"/>
        <v>6.0000000000000001E-3</v>
      </c>
      <c r="DE140" s="27">
        <f t="shared" si="246"/>
        <v>6.0000000000000001E-3</v>
      </c>
      <c r="DF140" s="27">
        <f t="shared" si="246"/>
        <v>8.0000000000000002E-3</v>
      </c>
      <c r="DG140" s="27">
        <f t="shared" si="246"/>
        <v>2.7E-2</v>
      </c>
      <c r="DH140" s="27">
        <f t="shared" si="246"/>
        <v>0</v>
      </c>
      <c r="DI140" s="27">
        <f t="shared" si="246"/>
        <v>0</v>
      </c>
      <c r="DJ140" s="27">
        <f t="shared" si="246"/>
        <v>0</v>
      </c>
      <c r="DK140" s="27">
        <f t="shared" si="246"/>
        <v>1.9999999999999997E-2</v>
      </c>
      <c r="DL140" s="27">
        <f t="shared" si="246"/>
        <v>1.9999999999999997E-2</v>
      </c>
      <c r="DM140" s="27">
        <f t="shared" si="246"/>
        <v>1.0999999999999999E-2</v>
      </c>
      <c r="DN140" s="27">
        <f t="shared" si="246"/>
        <v>1.0999999999999999E-2</v>
      </c>
      <c r="DO140" s="27">
        <f t="shared" si="246"/>
        <v>1.0999999999999999E-2</v>
      </c>
      <c r="DP140" s="27">
        <f t="shared" si="246"/>
        <v>1.4E-2</v>
      </c>
      <c r="DQ140" s="27">
        <f t="shared" si="246"/>
        <v>4.7000000000000007E-2</v>
      </c>
      <c r="DR140" s="27">
        <f t="shared" si="246"/>
        <v>1.6E-2</v>
      </c>
      <c r="DS140" s="27">
        <f t="shared" si="246"/>
        <v>1.5000000000000001E-2</v>
      </c>
      <c r="DT140" s="27">
        <f t="shared" si="246"/>
        <v>1.5000000000000001E-2</v>
      </c>
      <c r="DU140" s="27">
        <f t="shared" si="246"/>
        <v>1.5000000000000001E-2</v>
      </c>
      <c r="DV140" s="27">
        <f t="shared" si="246"/>
        <v>6.1000000000000006E-2</v>
      </c>
      <c r="DW140" s="27">
        <f t="shared" si="218"/>
        <v>1.6E-2</v>
      </c>
      <c r="DX140" s="27">
        <f t="shared" si="218"/>
        <v>1.6E-2</v>
      </c>
      <c r="DY140" s="27">
        <f t="shared" si="218"/>
        <v>1.6435140000000004E-2</v>
      </c>
      <c r="DZ140" s="27">
        <f t="shared" si="218"/>
        <v>9.4704600000000069E-3</v>
      </c>
      <c r="EA140" s="27">
        <f t="shared" si="218"/>
        <v>5.7905600000000015E-2</v>
      </c>
      <c r="EB140" s="27">
        <f t="shared" si="218"/>
        <v>0.20130652999999998</v>
      </c>
      <c r="EC140" s="27">
        <f t="shared" si="218"/>
        <v>0.13027682999999995</v>
      </c>
      <c r="ED140" s="27">
        <f t="shared" si="218"/>
        <v>1.1890000000000001</v>
      </c>
      <c r="EE140" s="27">
        <f t="shared" ref="EE140" si="247">EE21+EE115</f>
        <v>0.60576201999999979</v>
      </c>
      <c r="EF140" s="27">
        <f t="shared" si="135"/>
        <v>2.1263453800000001</v>
      </c>
      <c r="EG140" s="27">
        <f t="shared" ref="EG140" si="248">EG21+EG115</f>
        <v>0.57257570000000002</v>
      </c>
      <c r="EH140" s="27">
        <v>0.54910112</v>
      </c>
      <c r="EI140" s="27">
        <f t="shared" ref="EI140" si="249">EI21+EI115</f>
        <v>0.59581302000000014</v>
      </c>
    </row>
    <row r="141" spans="1:139" x14ac:dyDescent="0.3">
      <c r="A141" s="2" t="s">
        <v>308</v>
      </c>
      <c r="B141" s="31">
        <f t="shared" ref="B141:AG141" si="250">B22+B116</f>
        <v>0</v>
      </c>
      <c r="C141" s="31">
        <f t="shared" si="250"/>
        <v>0</v>
      </c>
      <c r="D141" s="31">
        <f t="shared" si="250"/>
        <v>0</v>
      </c>
      <c r="E141" s="31">
        <f t="shared" si="250"/>
        <v>0</v>
      </c>
      <c r="F141" s="31">
        <f t="shared" si="250"/>
        <v>0</v>
      </c>
      <c r="G141" s="31">
        <f t="shared" si="250"/>
        <v>0</v>
      </c>
      <c r="H141" s="31">
        <f t="shared" si="250"/>
        <v>0</v>
      </c>
      <c r="I141" s="31">
        <f t="shared" si="250"/>
        <v>0</v>
      </c>
      <c r="J141" s="31">
        <f t="shared" si="250"/>
        <v>0</v>
      </c>
      <c r="K141" s="31">
        <f t="shared" si="250"/>
        <v>0</v>
      </c>
      <c r="L141" s="31">
        <f t="shared" si="250"/>
        <v>0</v>
      </c>
      <c r="M141" s="31">
        <f t="shared" si="250"/>
        <v>0</v>
      </c>
      <c r="N141" s="31">
        <f t="shared" si="250"/>
        <v>0</v>
      </c>
      <c r="O141" s="31">
        <f t="shared" si="250"/>
        <v>0</v>
      </c>
      <c r="P141" s="31">
        <f t="shared" si="250"/>
        <v>0</v>
      </c>
      <c r="Q141" s="31">
        <f t="shared" si="250"/>
        <v>0</v>
      </c>
      <c r="R141" s="31">
        <f t="shared" si="250"/>
        <v>0</v>
      </c>
      <c r="S141" s="31">
        <f t="shared" si="250"/>
        <v>0</v>
      </c>
      <c r="T141" s="31">
        <f t="shared" si="250"/>
        <v>0</v>
      </c>
      <c r="U141" s="31">
        <f t="shared" si="250"/>
        <v>0</v>
      </c>
      <c r="V141" s="31">
        <f t="shared" si="250"/>
        <v>0</v>
      </c>
      <c r="W141" s="31">
        <f t="shared" si="250"/>
        <v>0</v>
      </c>
      <c r="X141" s="31">
        <f t="shared" si="250"/>
        <v>0</v>
      </c>
      <c r="Y141" s="31">
        <f t="shared" si="250"/>
        <v>0</v>
      </c>
      <c r="Z141" s="31">
        <f t="shared" si="250"/>
        <v>0</v>
      </c>
      <c r="AA141" s="31">
        <f t="shared" si="250"/>
        <v>0</v>
      </c>
      <c r="AB141" s="31">
        <f t="shared" si="250"/>
        <v>0</v>
      </c>
      <c r="AC141" s="31">
        <f t="shared" si="250"/>
        <v>0</v>
      </c>
      <c r="AD141" s="31">
        <f t="shared" si="250"/>
        <v>0</v>
      </c>
      <c r="AE141" s="31">
        <f t="shared" si="250"/>
        <v>0</v>
      </c>
      <c r="AF141" s="31">
        <f t="shared" si="250"/>
        <v>0</v>
      </c>
      <c r="AG141" s="31">
        <f t="shared" si="250"/>
        <v>0</v>
      </c>
      <c r="AH141" s="31">
        <f t="shared" ref="AH141:BM141" si="251">AH22+AH116</f>
        <v>0</v>
      </c>
      <c r="AI141" s="31">
        <f t="shared" si="251"/>
        <v>0</v>
      </c>
      <c r="AJ141" s="31">
        <f t="shared" si="251"/>
        <v>0</v>
      </c>
      <c r="AK141" s="31">
        <f t="shared" si="251"/>
        <v>0</v>
      </c>
      <c r="AL141" s="31">
        <f t="shared" si="251"/>
        <v>0</v>
      </c>
      <c r="AM141" s="31">
        <f t="shared" si="251"/>
        <v>0</v>
      </c>
      <c r="AN141" s="31">
        <f t="shared" si="251"/>
        <v>0</v>
      </c>
      <c r="AO141" s="31">
        <f t="shared" si="251"/>
        <v>0</v>
      </c>
      <c r="AP141" s="31">
        <f t="shared" si="251"/>
        <v>0</v>
      </c>
      <c r="AQ141" s="31">
        <f t="shared" si="251"/>
        <v>0</v>
      </c>
      <c r="AR141" s="31">
        <f t="shared" si="251"/>
        <v>0</v>
      </c>
      <c r="AS141" s="31">
        <f t="shared" si="251"/>
        <v>0</v>
      </c>
      <c r="AT141" s="31">
        <f t="shared" si="251"/>
        <v>0</v>
      </c>
      <c r="AU141" s="31">
        <f t="shared" si="251"/>
        <v>0</v>
      </c>
      <c r="AV141" s="31">
        <f t="shared" si="251"/>
        <v>0</v>
      </c>
      <c r="AW141" s="31">
        <f t="shared" si="251"/>
        <v>0</v>
      </c>
      <c r="AX141" s="31">
        <f t="shared" si="251"/>
        <v>0</v>
      </c>
      <c r="AY141" s="31">
        <f t="shared" si="251"/>
        <v>0</v>
      </c>
      <c r="AZ141" s="31">
        <f t="shared" si="251"/>
        <v>0</v>
      </c>
      <c r="BA141" s="31">
        <f t="shared" si="251"/>
        <v>0</v>
      </c>
      <c r="BB141" s="31">
        <f t="shared" si="251"/>
        <v>0</v>
      </c>
      <c r="BC141" s="31">
        <f t="shared" si="251"/>
        <v>0</v>
      </c>
      <c r="BD141" s="31">
        <f t="shared" si="251"/>
        <v>0</v>
      </c>
      <c r="BE141" s="31">
        <f t="shared" si="251"/>
        <v>0</v>
      </c>
      <c r="BF141" s="31">
        <f t="shared" si="251"/>
        <v>0</v>
      </c>
      <c r="BG141" s="31">
        <f t="shared" si="251"/>
        <v>0</v>
      </c>
      <c r="BH141" s="31">
        <f t="shared" si="251"/>
        <v>0</v>
      </c>
      <c r="BI141" s="31">
        <f t="shared" si="251"/>
        <v>0</v>
      </c>
      <c r="BJ141" s="28">
        <f t="shared" si="251"/>
        <v>-25.8</v>
      </c>
      <c r="BK141" s="28">
        <f t="shared" si="251"/>
        <v>-25.9</v>
      </c>
      <c r="BL141" s="28">
        <f>BL22+BL116</f>
        <v>-27.1</v>
      </c>
      <c r="BM141" s="28">
        <f t="shared" si="251"/>
        <v>-26.4</v>
      </c>
      <c r="BN141" s="28">
        <f t="shared" ref="BN141:CS141" si="252">BN22+BN116</f>
        <v>-105.20000000000002</v>
      </c>
      <c r="BO141" s="28">
        <f t="shared" si="252"/>
        <v>-29</v>
      </c>
      <c r="BP141" s="28">
        <f t="shared" si="252"/>
        <v>-28.3</v>
      </c>
      <c r="BQ141" s="28">
        <f t="shared" si="252"/>
        <v>-31.3</v>
      </c>
      <c r="BR141" s="28">
        <f t="shared" si="252"/>
        <v>-29.3</v>
      </c>
      <c r="BS141" s="28">
        <f t="shared" si="252"/>
        <v>-117.89999999999999</v>
      </c>
      <c r="BT141" s="28">
        <f t="shared" si="252"/>
        <v>-28.7</v>
      </c>
      <c r="BU141" s="28">
        <f t="shared" si="252"/>
        <v>-29.6</v>
      </c>
      <c r="BV141" s="28">
        <f t="shared" si="252"/>
        <v>-29</v>
      </c>
      <c r="BW141" s="28">
        <f t="shared" si="252"/>
        <v>-29.9</v>
      </c>
      <c r="BX141" s="28">
        <f t="shared" si="252"/>
        <v>-117.19999999999999</v>
      </c>
      <c r="BY141" s="28">
        <f t="shared" si="252"/>
        <v>-30.8</v>
      </c>
      <c r="BZ141" s="28">
        <f t="shared" si="252"/>
        <v>-30.8</v>
      </c>
      <c r="CA141" s="28">
        <f t="shared" si="252"/>
        <v>-30.9</v>
      </c>
      <c r="CB141" s="28">
        <f t="shared" si="252"/>
        <v>-36.5</v>
      </c>
      <c r="CC141" s="28">
        <f t="shared" si="252"/>
        <v>-129</v>
      </c>
      <c r="CD141" s="28">
        <f t="shared" si="252"/>
        <v>-41.159000000000006</v>
      </c>
      <c r="CE141" s="28">
        <f t="shared" si="252"/>
        <v>-52.300000000000004</v>
      </c>
      <c r="CF141" s="28">
        <f t="shared" si="252"/>
        <v>-47.6</v>
      </c>
      <c r="CG141" s="28">
        <f t="shared" si="252"/>
        <v>-48.9</v>
      </c>
      <c r="CH141" s="28">
        <f t="shared" si="252"/>
        <v>-189.959</v>
      </c>
      <c r="CI141" s="28">
        <f t="shared" si="252"/>
        <v>-49.5</v>
      </c>
      <c r="CJ141" s="28">
        <f t="shared" si="252"/>
        <v>-50.4</v>
      </c>
      <c r="CK141" s="28">
        <f t="shared" si="252"/>
        <v>-55.5</v>
      </c>
      <c r="CL141" s="28">
        <f t="shared" si="252"/>
        <v>-56.599999999999994</v>
      </c>
      <c r="CM141" s="28">
        <f t="shared" si="252"/>
        <v>-212</v>
      </c>
      <c r="CN141" s="28">
        <f t="shared" si="252"/>
        <v>-49.7</v>
      </c>
      <c r="CO141" s="28">
        <f t="shared" si="252"/>
        <v>-49</v>
      </c>
      <c r="CP141" s="28">
        <f t="shared" si="252"/>
        <v>-49.3</v>
      </c>
      <c r="CQ141" s="28">
        <f t="shared" si="252"/>
        <v>-25.800000000000011</v>
      </c>
      <c r="CR141" s="28">
        <f t="shared" si="252"/>
        <v>-173.8</v>
      </c>
      <c r="CS141" s="28">
        <f t="shared" si="252"/>
        <v>-46.466582000000002</v>
      </c>
      <c r="CT141" s="28">
        <f t="shared" ref="CT141:DV141" si="253">CT22+CT116</f>
        <v>-46.402043189999993</v>
      </c>
      <c r="CU141" s="28">
        <f t="shared" si="253"/>
        <v>-45.861374810000001</v>
      </c>
      <c r="CV141" s="28">
        <f t="shared" si="253"/>
        <v>-44.855000000000018</v>
      </c>
      <c r="CW141" s="28">
        <f t="shared" si="253"/>
        <v>-183.58500000000001</v>
      </c>
      <c r="CX141" s="28">
        <f t="shared" si="253"/>
        <v>-44.674999999999997</v>
      </c>
      <c r="CY141" s="28">
        <f t="shared" si="253"/>
        <v>-44.625999999999998</v>
      </c>
      <c r="CZ141" s="28">
        <f t="shared" si="253"/>
        <v>-43.896000000000001</v>
      </c>
      <c r="DA141" s="28">
        <f t="shared" si="253"/>
        <v>-44.118000000000002</v>
      </c>
      <c r="DB141" s="28">
        <f t="shared" si="253"/>
        <v>-177.315</v>
      </c>
      <c r="DC141" s="28">
        <f t="shared" si="253"/>
        <v>-45.161999999999999</v>
      </c>
      <c r="DD141" s="28">
        <f t="shared" si="253"/>
        <v>-44.896999999999998</v>
      </c>
      <c r="DE141" s="28">
        <f t="shared" si="253"/>
        <v>-51.14</v>
      </c>
      <c r="DF141" s="28">
        <f t="shared" si="253"/>
        <v>-54.000999999999998</v>
      </c>
      <c r="DG141" s="28">
        <f t="shared" si="253"/>
        <v>-195.20000000000002</v>
      </c>
      <c r="DH141" s="28">
        <f t="shared" si="253"/>
        <v>-64.647999999999996</v>
      </c>
      <c r="DI141" s="28">
        <f t="shared" si="253"/>
        <v>-67.296999999999997</v>
      </c>
      <c r="DJ141" s="28">
        <f t="shared" si="253"/>
        <v>-66.685000000000002</v>
      </c>
      <c r="DK141" s="28">
        <f t="shared" si="253"/>
        <v>-70.454999999999998</v>
      </c>
      <c r="DL141" s="28">
        <f t="shared" si="253"/>
        <v>-269.08499999999998</v>
      </c>
      <c r="DM141" s="28">
        <f t="shared" si="253"/>
        <v>-78.36</v>
      </c>
      <c r="DN141" s="28">
        <f t="shared" si="253"/>
        <v>-78.358999999999995</v>
      </c>
      <c r="DO141" s="28">
        <f t="shared" si="253"/>
        <v>-78.450999999999993</v>
      </c>
      <c r="DP141" s="28">
        <f t="shared" si="253"/>
        <v>-79.195999999999998</v>
      </c>
      <c r="DQ141" s="28">
        <f t="shared" si="253"/>
        <v>-314.36599999999999</v>
      </c>
      <c r="DR141" s="28">
        <f t="shared" si="253"/>
        <v>-80.658000000000001</v>
      </c>
      <c r="DS141" s="28">
        <f t="shared" si="253"/>
        <v>-80.585999999999999</v>
      </c>
      <c r="DT141" s="28">
        <f t="shared" si="253"/>
        <v>-80.620999999999995</v>
      </c>
      <c r="DU141" s="28">
        <f t="shared" si="253"/>
        <v>-97.284000000000006</v>
      </c>
      <c r="DV141" s="28">
        <f t="shared" si="253"/>
        <v>-339.149</v>
      </c>
      <c r="DW141" s="28">
        <f t="shared" si="218"/>
        <v>-94.436000000000007</v>
      </c>
      <c r="DX141" s="28">
        <f t="shared" si="218"/>
        <v>-93.713999999999999</v>
      </c>
      <c r="DY141" s="28">
        <f t="shared" si="218"/>
        <v>-101.83794063999999</v>
      </c>
      <c r="DZ141" s="28">
        <f t="shared" si="218"/>
        <v>-101.66898402000004</v>
      </c>
      <c r="EA141" s="28">
        <f t="shared" si="218"/>
        <v>-391.65692466000002</v>
      </c>
      <c r="EB141" s="28">
        <f t="shared" si="218"/>
        <v>-113.96709801999999</v>
      </c>
      <c r="EC141" s="28">
        <f t="shared" si="218"/>
        <v>-117.54317264999999</v>
      </c>
      <c r="ED141" s="28">
        <f t="shared" si="218"/>
        <v>-114.337</v>
      </c>
      <c r="EE141" s="28">
        <f t="shared" ref="EE141" si="254">EE22+EE116</f>
        <v>-117.79515328999996</v>
      </c>
      <c r="EF141" s="28">
        <f t="shared" si="135"/>
        <v>-463.64242395999997</v>
      </c>
      <c r="EG141" s="28">
        <f t="shared" ref="EG141" si="255">EG22+EG116</f>
        <v>-137.23599231</v>
      </c>
      <c r="EH141" s="28">
        <v>-145.35580216000002</v>
      </c>
      <c r="EI141" s="28">
        <f t="shared" ref="EI141" si="256">EI22+EI116</f>
        <v>-145.07803521999998</v>
      </c>
    </row>
    <row r="142" spans="1:139" x14ac:dyDescent="0.3">
      <c r="A142" s="5" t="s">
        <v>311</v>
      </c>
      <c r="B142" s="29">
        <f t="shared" ref="B142:AG142" si="257">SUM(B122:B141)</f>
        <v>0</v>
      </c>
      <c r="C142" s="29">
        <f t="shared" si="257"/>
        <v>0</v>
      </c>
      <c r="D142" s="29">
        <f t="shared" si="257"/>
        <v>0</v>
      </c>
      <c r="E142" s="29">
        <f t="shared" si="257"/>
        <v>0</v>
      </c>
      <c r="F142" s="29">
        <f t="shared" si="257"/>
        <v>0</v>
      </c>
      <c r="G142" s="29">
        <f t="shared" si="257"/>
        <v>0</v>
      </c>
      <c r="H142" s="29">
        <f t="shared" si="257"/>
        <v>0</v>
      </c>
      <c r="I142" s="29">
        <f t="shared" si="257"/>
        <v>0</v>
      </c>
      <c r="J142" s="29">
        <f t="shared" si="257"/>
        <v>0</v>
      </c>
      <c r="K142" s="29">
        <f t="shared" si="257"/>
        <v>0</v>
      </c>
      <c r="L142" s="29">
        <f t="shared" si="257"/>
        <v>0</v>
      </c>
      <c r="M142" s="29">
        <f t="shared" si="257"/>
        <v>0</v>
      </c>
      <c r="N142" s="29">
        <f t="shared" si="257"/>
        <v>0</v>
      </c>
      <c r="O142" s="29">
        <f t="shared" si="257"/>
        <v>0</v>
      </c>
      <c r="P142" s="29">
        <f t="shared" si="257"/>
        <v>0</v>
      </c>
      <c r="Q142" s="29">
        <f t="shared" si="257"/>
        <v>0</v>
      </c>
      <c r="R142" s="29">
        <f t="shared" si="257"/>
        <v>0</v>
      </c>
      <c r="S142" s="29">
        <f t="shared" si="257"/>
        <v>0</v>
      </c>
      <c r="T142" s="29">
        <f t="shared" si="257"/>
        <v>0</v>
      </c>
      <c r="U142" s="29">
        <f t="shared" si="257"/>
        <v>0</v>
      </c>
      <c r="V142" s="29">
        <f t="shared" si="257"/>
        <v>0</v>
      </c>
      <c r="W142" s="29">
        <f t="shared" si="257"/>
        <v>0</v>
      </c>
      <c r="X142" s="29">
        <f t="shared" si="257"/>
        <v>0</v>
      </c>
      <c r="Y142" s="29">
        <f t="shared" si="257"/>
        <v>0</v>
      </c>
      <c r="Z142" s="29">
        <f t="shared" si="257"/>
        <v>0</v>
      </c>
      <c r="AA142" s="29">
        <f t="shared" si="257"/>
        <v>0</v>
      </c>
      <c r="AB142" s="29">
        <f t="shared" si="257"/>
        <v>0</v>
      </c>
      <c r="AC142" s="29">
        <f t="shared" si="257"/>
        <v>0</v>
      </c>
      <c r="AD142" s="29">
        <f t="shared" si="257"/>
        <v>0</v>
      </c>
      <c r="AE142" s="29">
        <f t="shared" si="257"/>
        <v>0</v>
      </c>
      <c r="AF142" s="29">
        <f t="shared" si="257"/>
        <v>0</v>
      </c>
      <c r="AG142" s="29">
        <f t="shared" si="257"/>
        <v>0</v>
      </c>
      <c r="AH142" s="29">
        <f t="shared" ref="AH142:BM142" si="258">SUM(AH122:AH141)</f>
        <v>0</v>
      </c>
      <c r="AI142" s="29">
        <f t="shared" si="258"/>
        <v>0</v>
      </c>
      <c r="AJ142" s="29">
        <f t="shared" si="258"/>
        <v>0</v>
      </c>
      <c r="AK142" s="29">
        <f t="shared" si="258"/>
        <v>0</v>
      </c>
      <c r="AL142" s="29">
        <f t="shared" si="258"/>
        <v>0</v>
      </c>
      <c r="AM142" s="29">
        <f t="shared" si="258"/>
        <v>0</v>
      </c>
      <c r="AN142" s="29">
        <f t="shared" si="258"/>
        <v>0</v>
      </c>
      <c r="AO142" s="29">
        <f t="shared" si="258"/>
        <v>0</v>
      </c>
      <c r="AP142" s="29">
        <f t="shared" si="258"/>
        <v>0</v>
      </c>
      <c r="AQ142" s="29">
        <f t="shared" si="258"/>
        <v>0</v>
      </c>
      <c r="AR142" s="29">
        <f t="shared" si="258"/>
        <v>0</v>
      </c>
      <c r="AS142" s="29">
        <f t="shared" si="258"/>
        <v>0</v>
      </c>
      <c r="AT142" s="29">
        <f t="shared" si="258"/>
        <v>0</v>
      </c>
      <c r="AU142" s="29">
        <f t="shared" si="258"/>
        <v>0</v>
      </c>
      <c r="AV142" s="29">
        <f t="shared" si="258"/>
        <v>0</v>
      </c>
      <c r="AW142" s="29">
        <f t="shared" si="258"/>
        <v>0</v>
      </c>
      <c r="AX142" s="29">
        <f t="shared" si="258"/>
        <v>0</v>
      </c>
      <c r="AY142" s="29">
        <f t="shared" si="258"/>
        <v>0</v>
      </c>
      <c r="AZ142" s="29">
        <f t="shared" si="258"/>
        <v>0</v>
      </c>
      <c r="BA142" s="29">
        <f t="shared" si="258"/>
        <v>0</v>
      </c>
      <c r="BB142" s="29">
        <f t="shared" si="258"/>
        <v>0</v>
      </c>
      <c r="BC142" s="29">
        <f t="shared" si="258"/>
        <v>0</v>
      </c>
      <c r="BD142" s="29">
        <f t="shared" si="258"/>
        <v>0</v>
      </c>
      <c r="BE142" s="29">
        <f t="shared" si="258"/>
        <v>0</v>
      </c>
      <c r="BF142" s="29">
        <f t="shared" si="258"/>
        <v>0</v>
      </c>
      <c r="BG142" s="29">
        <f t="shared" si="258"/>
        <v>0</v>
      </c>
      <c r="BH142" s="29">
        <f t="shared" si="258"/>
        <v>0</v>
      </c>
      <c r="BI142" s="29">
        <f t="shared" si="258"/>
        <v>0</v>
      </c>
      <c r="BJ142" s="29">
        <f t="shared" si="258"/>
        <v>368.40899999999999</v>
      </c>
      <c r="BK142" s="29">
        <f t="shared" si="258"/>
        <v>336.69137916999989</v>
      </c>
      <c r="BL142" s="29">
        <f t="shared" si="258"/>
        <v>355.31530996999993</v>
      </c>
      <c r="BM142" s="29">
        <f t="shared" si="258"/>
        <v>367.20509000000004</v>
      </c>
      <c r="BN142" s="29">
        <f t="shared" ref="BN142:CS142" si="259">SUM(BN122:BN141)</f>
        <v>1427.6207791399997</v>
      </c>
      <c r="BO142" s="29">
        <f t="shared" si="259"/>
        <v>422.28302019800003</v>
      </c>
      <c r="BP142" s="29">
        <f t="shared" si="259"/>
        <v>441.44201330999994</v>
      </c>
      <c r="BQ142" s="29">
        <f t="shared" si="259"/>
        <v>471.08386567000002</v>
      </c>
      <c r="BR142" s="29">
        <f t="shared" si="259"/>
        <v>492.60623615999992</v>
      </c>
      <c r="BS142" s="29">
        <f t="shared" si="259"/>
        <v>1827.4151353379996</v>
      </c>
      <c r="BT142" s="29">
        <f t="shared" si="259"/>
        <v>405.20000000000005</v>
      </c>
      <c r="BU142" s="29">
        <f t="shared" si="259"/>
        <v>442.48113764999982</v>
      </c>
      <c r="BV142" s="29">
        <f t="shared" si="259"/>
        <v>605.53655120000019</v>
      </c>
      <c r="BW142" s="29">
        <f t="shared" si="259"/>
        <v>634.26325974999986</v>
      </c>
      <c r="BX142" s="29">
        <f t="shared" si="259"/>
        <v>2087.4809485999999</v>
      </c>
      <c r="BY142" s="29">
        <f t="shared" si="259"/>
        <v>568.40000000000009</v>
      </c>
      <c r="BZ142" s="29">
        <f t="shared" si="259"/>
        <v>653.90000000000009</v>
      </c>
      <c r="CA142" s="29">
        <f t="shared" si="259"/>
        <v>699.2</v>
      </c>
      <c r="CB142" s="29">
        <f t="shared" si="259"/>
        <v>717.6</v>
      </c>
      <c r="CC142" s="29">
        <f t="shared" si="259"/>
        <v>2639.0999999999995</v>
      </c>
      <c r="CD142" s="29">
        <f t="shared" si="259"/>
        <v>661.98599999999999</v>
      </c>
      <c r="CE142" s="29">
        <f t="shared" si="259"/>
        <v>827.63814391000017</v>
      </c>
      <c r="CF142" s="29">
        <f t="shared" si="259"/>
        <v>712.4</v>
      </c>
      <c r="CG142" s="29">
        <f t="shared" si="259"/>
        <v>735</v>
      </c>
      <c r="CH142" s="29">
        <f t="shared" si="259"/>
        <v>2937.0241439100005</v>
      </c>
      <c r="CI142" s="29">
        <f t="shared" si="259"/>
        <v>685.6</v>
      </c>
      <c r="CJ142" s="29">
        <f t="shared" si="259"/>
        <v>663.2</v>
      </c>
      <c r="CK142" s="29">
        <f t="shared" si="259"/>
        <v>693.31836922999992</v>
      </c>
      <c r="CL142" s="29">
        <f t="shared" si="259"/>
        <v>693.60210304999964</v>
      </c>
      <c r="CM142" s="29">
        <f t="shared" si="259"/>
        <v>2735.7204722800002</v>
      </c>
      <c r="CN142" s="29">
        <f t="shared" si="259"/>
        <v>663.4</v>
      </c>
      <c r="CO142" s="29">
        <f t="shared" si="259"/>
        <v>664.6</v>
      </c>
      <c r="CP142" s="29">
        <f t="shared" si="259"/>
        <v>755.4</v>
      </c>
      <c r="CQ142" s="29">
        <f t="shared" si="259"/>
        <v>745.62999999999988</v>
      </c>
      <c r="CR142" s="29">
        <f t="shared" si="259"/>
        <v>2829.0299999999993</v>
      </c>
      <c r="CS142" s="29">
        <f t="shared" si="259"/>
        <v>712.85952525999983</v>
      </c>
      <c r="CT142" s="29">
        <f t="shared" ref="CT142:DT142" si="260">SUM(CT122:CT141)</f>
        <v>741.84599790999994</v>
      </c>
      <c r="CU142" s="29">
        <f t="shared" si="260"/>
        <v>796.60495535999985</v>
      </c>
      <c r="CV142" s="29">
        <f t="shared" si="260"/>
        <v>815.05085082000016</v>
      </c>
      <c r="CW142" s="29">
        <f t="shared" si="260"/>
        <v>3066.3613293500007</v>
      </c>
      <c r="CX142" s="29">
        <f t="shared" si="260"/>
        <v>788.29800000000012</v>
      </c>
      <c r="CY142" s="29">
        <f t="shared" si="260"/>
        <v>721.15499999999997</v>
      </c>
      <c r="CZ142" s="29">
        <f t="shared" si="260"/>
        <v>766.77700000000004</v>
      </c>
      <c r="DA142" s="29">
        <f t="shared" si="260"/>
        <v>893.04700000000003</v>
      </c>
      <c r="DB142" s="29">
        <f t="shared" si="260"/>
        <v>3169.277</v>
      </c>
      <c r="DC142" s="29">
        <f t="shared" si="260"/>
        <v>889.19499999999982</v>
      </c>
      <c r="DD142" s="29">
        <f t="shared" si="260"/>
        <v>977.97499999999991</v>
      </c>
      <c r="DE142" s="29">
        <f t="shared" si="260"/>
        <v>976.54100000000028</v>
      </c>
      <c r="DF142" s="29">
        <f t="shared" si="260"/>
        <v>1109.1780000000003</v>
      </c>
      <c r="DG142" s="29">
        <f t="shared" si="260"/>
        <v>3952.8889999999992</v>
      </c>
      <c r="DH142" s="29">
        <f t="shared" si="260"/>
        <v>970.02599999999995</v>
      </c>
      <c r="DI142" s="29">
        <f t="shared" si="260"/>
        <v>907.7589999999999</v>
      </c>
      <c r="DJ142" s="29">
        <f t="shared" si="260"/>
        <v>1058.501</v>
      </c>
      <c r="DK142" s="29">
        <f t="shared" si="260"/>
        <v>1063.5010000000002</v>
      </c>
      <c r="DL142" s="29">
        <f t="shared" si="260"/>
        <v>3999.7870000000003</v>
      </c>
      <c r="DM142" s="29">
        <f t="shared" si="260"/>
        <v>1005.872</v>
      </c>
      <c r="DN142" s="29">
        <f t="shared" si="260"/>
        <v>1098.1611</v>
      </c>
      <c r="DO142" s="29">
        <f t="shared" si="260"/>
        <v>1262.4189999999999</v>
      </c>
      <c r="DP142" s="29">
        <f t="shared" si="260"/>
        <v>1285.3039999999996</v>
      </c>
      <c r="DQ142" s="29">
        <f t="shared" si="260"/>
        <v>4651.7560999999996</v>
      </c>
      <c r="DR142" s="29">
        <f t="shared" si="260"/>
        <v>1139.606</v>
      </c>
      <c r="DS142" s="29">
        <f t="shared" si="260"/>
        <v>1336.924</v>
      </c>
      <c r="DT142" s="29">
        <f t="shared" si="260"/>
        <v>1672.5690000000002</v>
      </c>
      <c r="DU142" s="29">
        <f t="shared" ref="DU142:ED142" si="261">SUM(DU122:DU141)</f>
        <v>1912.2310000000002</v>
      </c>
      <c r="DV142" s="29">
        <f t="shared" si="261"/>
        <v>6061.329999999999</v>
      </c>
      <c r="DW142" s="29">
        <f t="shared" si="261"/>
        <v>1604.3410000000003</v>
      </c>
      <c r="DX142" s="29">
        <f t="shared" si="261"/>
        <v>2009.5520000000001</v>
      </c>
      <c r="DY142" s="29">
        <f t="shared" si="261"/>
        <v>2568.9411977700001</v>
      </c>
      <c r="DZ142" s="29">
        <f t="shared" si="261"/>
        <v>2662.3476826999995</v>
      </c>
      <c r="EA142" s="29">
        <f t="shared" si="261"/>
        <v>8845.1818804700033</v>
      </c>
      <c r="EB142" s="29">
        <f t="shared" si="261"/>
        <v>2126.7155681500003</v>
      </c>
      <c r="EC142" s="29">
        <f t="shared" si="261"/>
        <v>2413.6538430300002</v>
      </c>
      <c r="ED142" s="29">
        <f t="shared" si="261"/>
        <v>2535.3310000000006</v>
      </c>
      <c r="EE142" s="29">
        <f t="shared" ref="EE142" si="262">SUM(EE122:EE141)</f>
        <v>2796.6711834499993</v>
      </c>
      <c r="EF142" s="29">
        <f t="shared" ref="EF142:EG142" si="263">SUM(EF122:EF141)</f>
        <v>9872.3715946300017</v>
      </c>
      <c r="EG142" s="29">
        <f t="shared" si="263"/>
        <v>2426.1190014999997</v>
      </c>
      <c r="EH142" s="29">
        <f t="shared" ref="EH142" si="264">SUM(EH122:EH141)</f>
        <v>2718.1368820300004</v>
      </c>
      <c r="EI142" s="29">
        <f t="shared" ref="EI142" si="265">SUM(EI122:EI141)</f>
        <v>2993.33013398</v>
      </c>
    </row>
    <row r="143" spans="1:139" x14ac:dyDescent="0.3">
      <c r="CC143" s="33"/>
      <c r="CD143" s="33"/>
      <c r="CE143" s="33"/>
      <c r="CF143" s="33"/>
      <c r="CH143" s="33"/>
      <c r="CS143" s="33"/>
    </row>
    <row r="144" spans="1:139" x14ac:dyDescent="0.3">
      <c r="CF144" s="33"/>
      <c r="CS144" s="33"/>
    </row>
    <row r="145" spans="1:139" x14ac:dyDescent="0.3">
      <c r="A145" s="3" t="s">
        <v>319</v>
      </c>
      <c r="B145" s="6" t="s">
        <v>4</v>
      </c>
      <c r="C145" s="6" t="s">
        <v>5</v>
      </c>
      <c r="D145" s="6" t="s">
        <v>6</v>
      </c>
      <c r="E145" s="6" t="s">
        <v>7</v>
      </c>
      <c r="F145" s="6">
        <v>2018</v>
      </c>
      <c r="G145" s="6" t="s">
        <v>8</v>
      </c>
      <c r="H145" s="6" t="s">
        <v>9</v>
      </c>
      <c r="I145" s="6" t="s">
        <v>10</v>
      </c>
      <c r="J145" s="6" t="s">
        <v>11</v>
      </c>
      <c r="K145" s="6">
        <v>2019</v>
      </c>
      <c r="L145" s="6" t="s">
        <v>12</v>
      </c>
      <c r="M145" s="6" t="s">
        <v>13</v>
      </c>
      <c r="N145" s="6" t="s">
        <v>14</v>
      </c>
      <c r="O145" s="6" t="s">
        <v>15</v>
      </c>
      <c r="P145" s="6">
        <v>2000</v>
      </c>
      <c r="Q145" s="6" t="s">
        <v>16</v>
      </c>
      <c r="R145" s="6" t="s">
        <v>17</v>
      </c>
      <c r="S145" s="6" t="s">
        <v>18</v>
      </c>
      <c r="T145" s="6" t="s">
        <v>19</v>
      </c>
      <c r="U145" s="6">
        <v>2001</v>
      </c>
      <c r="V145" s="6" t="s">
        <v>20</v>
      </c>
      <c r="W145" s="6" t="s">
        <v>21</v>
      </c>
      <c r="X145" s="6" t="s">
        <v>22</v>
      </c>
      <c r="Y145" s="6" t="s">
        <v>23</v>
      </c>
      <c r="Z145" s="6">
        <v>2002</v>
      </c>
      <c r="AA145" s="6" t="s">
        <v>24</v>
      </c>
      <c r="AB145" s="6" t="s">
        <v>25</v>
      </c>
      <c r="AC145" s="6" t="s">
        <v>26</v>
      </c>
      <c r="AD145" s="6" t="s">
        <v>27</v>
      </c>
      <c r="AE145" s="6">
        <v>2003</v>
      </c>
      <c r="AF145" s="6" t="s">
        <v>28</v>
      </c>
      <c r="AG145" s="6" t="s">
        <v>29</v>
      </c>
      <c r="AH145" s="6" t="s">
        <v>30</v>
      </c>
      <c r="AI145" s="6" t="s">
        <v>31</v>
      </c>
      <c r="AJ145" s="6">
        <v>2004</v>
      </c>
      <c r="AK145" s="6" t="s">
        <v>32</v>
      </c>
      <c r="AL145" s="6" t="s">
        <v>33</v>
      </c>
      <c r="AM145" s="6" t="s">
        <v>34</v>
      </c>
      <c r="AN145" s="6" t="s">
        <v>35</v>
      </c>
      <c r="AO145" s="6">
        <v>2005</v>
      </c>
      <c r="AP145" s="6" t="s">
        <v>36</v>
      </c>
      <c r="AQ145" s="6" t="s">
        <v>37</v>
      </c>
      <c r="AR145" s="6" t="s">
        <v>38</v>
      </c>
      <c r="AS145" s="6" t="s">
        <v>39</v>
      </c>
      <c r="AT145" s="6">
        <v>2006</v>
      </c>
      <c r="AU145" s="6" t="s">
        <v>40</v>
      </c>
      <c r="AV145" s="6" t="s">
        <v>41</v>
      </c>
      <c r="AW145" s="6" t="s">
        <v>42</v>
      </c>
      <c r="AX145" s="6" t="s">
        <v>43</v>
      </c>
      <c r="AY145" s="6">
        <v>2007</v>
      </c>
      <c r="AZ145" s="6" t="s">
        <v>44</v>
      </c>
      <c r="BA145" s="6" t="s">
        <v>45</v>
      </c>
      <c r="BB145" s="6" t="s">
        <v>46</v>
      </c>
      <c r="BC145" s="6" t="s">
        <v>47</v>
      </c>
      <c r="BD145" s="6">
        <v>2008</v>
      </c>
      <c r="BE145" s="6" t="s">
        <v>48</v>
      </c>
      <c r="BF145" s="6" t="s">
        <v>49</v>
      </c>
      <c r="BG145" s="6" t="s">
        <v>50</v>
      </c>
      <c r="BH145" s="6" t="s">
        <v>51</v>
      </c>
      <c r="BI145" s="6">
        <v>2009</v>
      </c>
      <c r="BJ145" s="6" t="s">
        <v>52</v>
      </c>
      <c r="BK145" s="6" t="s">
        <v>53</v>
      </c>
      <c r="BL145" s="6" t="s">
        <v>54</v>
      </c>
      <c r="BM145" s="6" t="s">
        <v>55</v>
      </c>
      <c r="BN145" s="6">
        <v>2010</v>
      </c>
      <c r="BO145" s="6" t="s">
        <v>56</v>
      </c>
      <c r="BP145" s="6" t="s">
        <v>57</v>
      </c>
      <c r="BQ145" s="6" t="s">
        <v>58</v>
      </c>
      <c r="BR145" s="6" t="s">
        <v>59</v>
      </c>
      <c r="BS145" s="6">
        <v>2011</v>
      </c>
      <c r="BT145" s="6" t="s">
        <v>60</v>
      </c>
      <c r="BU145" s="6" t="s">
        <v>61</v>
      </c>
      <c r="BV145" s="6" t="s">
        <v>62</v>
      </c>
      <c r="BW145" s="6" t="s">
        <v>63</v>
      </c>
      <c r="BX145" s="6">
        <v>2012</v>
      </c>
      <c r="BY145" s="6" t="s">
        <v>64</v>
      </c>
      <c r="BZ145" s="6" t="s">
        <v>65</v>
      </c>
      <c r="CA145" s="6" t="s">
        <v>66</v>
      </c>
      <c r="CB145" s="6" t="s">
        <v>67</v>
      </c>
      <c r="CC145" s="6">
        <v>2013</v>
      </c>
      <c r="CD145" s="6" t="s">
        <v>68</v>
      </c>
      <c r="CE145" s="6" t="s">
        <v>69</v>
      </c>
      <c r="CF145" s="6" t="s">
        <v>70</v>
      </c>
      <c r="CG145" s="6" t="s">
        <v>71</v>
      </c>
      <c r="CH145" s="6">
        <v>2014</v>
      </c>
      <c r="CI145" s="6" t="s">
        <v>72</v>
      </c>
      <c r="CJ145" s="6" t="s">
        <v>73</v>
      </c>
      <c r="CK145" s="6" t="s">
        <v>74</v>
      </c>
      <c r="CL145" s="6" t="s">
        <v>75</v>
      </c>
      <c r="CM145" s="6">
        <v>2015</v>
      </c>
      <c r="CN145" s="6" t="s">
        <v>76</v>
      </c>
      <c r="CO145" s="6" t="s">
        <v>77</v>
      </c>
      <c r="CP145" s="6" t="s">
        <v>78</v>
      </c>
      <c r="CQ145" s="6" t="s">
        <v>79</v>
      </c>
      <c r="CR145" s="6">
        <v>2016</v>
      </c>
      <c r="CS145" s="6" t="s">
        <v>80</v>
      </c>
      <c r="CT145" s="6" t="s">
        <v>81</v>
      </c>
      <c r="CU145" s="6" t="s">
        <v>82</v>
      </c>
      <c r="CV145" s="6" t="s">
        <v>83</v>
      </c>
      <c r="CW145" s="6">
        <v>2017</v>
      </c>
      <c r="CX145" s="6" t="s">
        <v>84</v>
      </c>
      <c r="CY145" s="6" t="s">
        <v>85</v>
      </c>
      <c r="CZ145" s="6" t="s">
        <v>86</v>
      </c>
      <c r="DA145" s="6" t="s">
        <v>87</v>
      </c>
      <c r="DB145" s="6">
        <v>2018</v>
      </c>
      <c r="DC145" s="6" t="s">
        <v>88</v>
      </c>
      <c r="DD145" s="6" t="s">
        <v>89</v>
      </c>
      <c r="DE145" s="6" t="s">
        <v>90</v>
      </c>
      <c r="DF145" s="6" t="s">
        <v>91</v>
      </c>
      <c r="DG145" s="6">
        <v>2019</v>
      </c>
      <c r="DH145" s="6" t="s">
        <v>92</v>
      </c>
      <c r="DI145" s="6" t="s">
        <v>93</v>
      </c>
      <c r="DJ145" s="6" t="s">
        <v>94</v>
      </c>
      <c r="DK145" s="6" t="s">
        <v>95</v>
      </c>
      <c r="DL145" s="6">
        <v>2020</v>
      </c>
      <c r="DM145" s="6" t="s">
        <v>96</v>
      </c>
      <c r="DN145" s="6" t="s">
        <v>97</v>
      </c>
      <c r="DO145" s="6" t="s">
        <v>98</v>
      </c>
      <c r="DP145" s="6" t="s">
        <v>99</v>
      </c>
      <c r="DQ145" s="6">
        <v>2021</v>
      </c>
      <c r="DR145" s="6" t="s">
        <v>100</v>
      </c>
      <c r="DS145" s="6" t="s">
        <v>101</v>
      </c>
      <c r="DT145" s="6" t="s">
        <v>200</v>
      </c>
      <c r="DU145" s="6" t="s">
        <v>380</v>
      </c>
      <c r="DV145" s="6">
        <v>2022</v>
      </c>
      <c r="DW145" s="6" t="s">
        <v>379</v>
      </c>
      <c r="DX145" s="6" t="str">
        <f t="shared" ref="DX145:DZ146" si="266">DX1</f>
        <v>2T23</v>
      </c>
      <c r="DY145" s="6" t="str">
        <f t="shared" si="266"/>
        <v>3T23</v>
      </c>
      <c r="DZ145" s="6" t="str">
        <f t="shared" si="266"/>
        <v>4T23</v>
      </c>
      <c r="EA145" s="6">
        <v>2023</v>
      </c>
      <c r="EB145" s="6" t="s">
        <v>424</v>
      </c>
      <c r="EC145" s="6" t="s">
        <v>429</v>
      </c>
      <c r="ED145" s="6" t="str">
        <f>$ED$1</f>
        <v>3T24</v>
      </c>
      <c r="EE145" s="6" t="str">
        <f>$EE$1</f>
        <v>4T24</v>
      </c>
      <c r="EF145" s="6">
        <f>$EF$1</f>
        <v>2024</v>
      </c>
      <c r="EG145" s="6" t="str">
        <f>EG$1</f>
        <v>1T25</v>
      </c>
      <c r="EH145" s="6" t="str">
        <f>EH$1</f>
        <v>2T25</v>
      </c>
      <c r="EI145" s="6" t="str">
        <f>EI$1</f>
        <v>3T25</v>
      </c>
    </row>
    <row r="146" spans="1:139" ht="15" thickBot="1" x14ac:dyDescent="0.35">
      <c r="A146" s="4" t="s">
        <v>320</v>
      </c>
      <c r="B146" s="7" t="s">
        <v>102</v>
      </c>
      <c r="C146" s="7" t="s">
        <v>103</v>
      </c>
      <c r="D146" s="7" t="s">
        <v>104</v>
      </c>
      <c r="E146" s="7" t="s">
        <v>105</v>
      </c>
      <c r="F146" s="7">
        <v>2018</v>
      </c>
      <c r="G146" s="7" t="s">
        <v>106</v>
      </c>
      <c r="H146" s="7" t="s">
        <v>107</v>
      </c>
      <c r="I146" s="7" t="s">
        <v>108</v>
      </c>
      <c r="J146" s="7" t="s">
        <v>109</v>
      </c>
      <c r="K146" s="7">
        <v>2019</v>
      </c>
      <c r="L146" s="7" t="s">
        <v>110</v>
      </c>
      <c r="M146" s="7" t="s">
        <v>111</v>
      </c>
      <c r="N146" s="7" t="s">
        <v>112</v>
      </c>
      <c r="O146" s="7" t="s">
        <v>113</v>
      </c>
      <c r="P146" s="7">
        <v>2000</v>
      </c>
      <c r="Q146" s="7" t="s">
        <v>114</v>
      </c>
      <c r="R146" s="7" t="s">
        <v>115</v>
      </c>
      <c r="S146" s="7" t="s">
        <v>116</v>
      </c>
      <c r="T146" s="7" t="s">
        <v>117</v>
      </c>
      <c r="U146" s="7">
        <v>2001</v>
      </c>
      <c r="V146" s="7" t="s">
        <v>118</v>
      </c>
      <c r="W146" s="7" t="s">
        <v>119</v>
      </c>
      <c r="X146" s="7" t="s">
        <v>120</v>
      </c>
      <c r="Y146" s="7" t="s">
        <v>121</v>
      </c>
      <c r="Z146" s="7">
        <v>2002</v>
      </c>
      <c r="AA146" s="7" t="s">
        <v>122</v>
      </c>
      <c r="AB146" s="7" t="s">
        <v>123</v>
      </c>
      <c r="AC146" s="7" t="s">
        <v>124</v>
      </c>
      <c r="AD146" s="7" t="s">
        <v>125</v>
      </c>
      <c r="AE146" s="7">
        <v>2003</v>
      </c>
      <c r="AF146" s="7" t="s">
        <v>126</v>
      </c>
      <c r="AG146" s="7" t="s">
        <v>127</v>
      </c>
      <c r="AH146" s="7" t="s">
        <v>128</v>
      </c>
      <c r="AI146" s="7" t="s">
        <v>129</v>
      </c>
      <c r="AJ146" s="7">
        <v>2004</v>
      </c>
      <c r="AK146" s="7" t="s">
        <v>130</v>
      </c>
      <c r="AL146" s="7" t="s">
        <v>131</v>
      </c>
      <c r="AM146" s="7" t="s">
        <v>132</v>
      </c>
      <c r="AN146" s="7" t="s">
        <v>133</v>
      </c>
      <c r="AO146" s="7">
        <v>2005</v>
      </c>
      <c r="AP146" s="7" t="s">
        <v>134</v>
      </c>
      <c r="AQ146" s="7" t="s">
        <v>135</v>
      </c>
      <c r="AR146" s="7" t="s">
        <v>136</v>
      </c>
      <c r="AS146" s="7" t="s">
        <v>137</v>
      </c>
      <c r="AT146" s="7">
        <v>2006</v>
      </c>
      <c r="AU146" s="7" t="s">
        <v>138</v>
      </c>
      <c r="AV146" s="7" t="s">
        <v>139</v>
      </c>
      <c r="AW146" s="7" t="s">
        <v>140</v>
      </c>
      <c r="AX146" s="7" t="s">
        <v>141</v>
      </c>
      <c r="AY146" s="7">
        <v>2007</v>
      </c>
      <c r="AZ146" s="7" t="s">
        <v>142</v>
      </c>
      <c r="BA146" s="7" t="s">
        <v>143</v>
      </c>
      <c r="BB146" s="7" t="s">
        <v>144</v>
      </c>
      <c r="BC146" s="7" t="s">
        <v>145</v>
      </c>
      <c r="BD146" s="7">
        <v>2008</v>
      </c>
      <c r="BE146" s="7" t="s">
        <v>146</v>
      </c>
      <c r="BF146" s="7" t="s">
        <v>147</v>
      </c>
      <c r="BG146" s="7" t="s">
        <v>148</v>
      </c>
      <c r="BH146" s="7" t="s">
        <v>149</v>
      </c>
      <c r="BI146" s="7">
        <v>2009</v>
      </c>
      <c r="BJ146" s="7" t="s">
        <v>150</v>
      </c>
      <c r="BK146" s="7" t="s">
        <v>151</v>
      </c>
      <c r="BL146" s="7" t="s">
        <v>152</v>
      </c>
      <c r="BM146" s="7" t="s">
        <v>153</v>
      </c>
      <c r="BN146" s="7">
        <v>2010</v>
      </c>
      <c r="BO146" s="7" t="s">
        <v>154</v>
      </c>
      <c r="BP146" s="7" t="s">
        <v>155</v>
      </c>
      <c r="BQ146" s="7" t="s">
        <v>156</v>
      </c>
      <c r="BR146" s="7" t="s">
        <v>157</v>
      </c>
      <c r="BS146" s="7">
        <v>2011</v>
      </c>
      <c r="BT146" s="7" t="s">
        <v>158</v>
      </c>
      <c r="BU146" s="7" t="s">
        <v>159</v>
      </c>
      <c r="BV146" s="7" t="s">
        <v>160</v>
      </c>
      <c r="BW146" s="7" t="s">
        <v>161</v>
      </c>
      <c r="BX146" s="7">
        <v>2012</v>
      </c>
      <c r="BY146" s="7" t="s">
        <v>162</v>
      </c>
      <c r="BZ146" s="7" t="s">
        <v>163</v>
      </c>
      <c r="CA146" s="7" t="s">
        <v>164</v>
      </c>
      <c r="CB146" s="7" t="s">
        <v>165</v>
      </c>
      <c r="CC146" s="7">
        <v>2013</v>
      </c>
      <c r="CD146" s="7" t="s">
        <v>166</v>
      </c>
      <c r="CE146" s="7" t="s">
        <v>167</v>
      </c>
      <c r="CF146" s="7" t="s">
        <v>168</v>
      </c>
      <c r="CG146" s="7" t="s">
        <v>169</v>
      </c>
      <c r="CH146" s="7">
        <v>2014</v>
      </c>
      <c r="CI146" s="7" t="s">
        <v>170</v>
      </c>
      <c r="CJ146" s="7" t="s">
        <v>171</v>
      </c>
      <c r="CK146" s="7" t="s">
        <v>172</v>
      </c>
      <c r="CL146" s="7" t="s">
        <v>173</v>
      </c>
      <c r="CM146" s="7">
        <v>2015</v>
      </c>
      <c r="CN146" s="7" t="s">
        <v>174</v>
      </c>
      <c r="CO146" s="7" t="s">
        <v>175</v>
      </c>
      <c r="CP146" s="7" t="s">
        <v>176</v>
      </c>
      <c r="CQ146" s="7" t="s">
        <v>177</v>
      </c>
      <c r="CR146" s="7">
        <v>2016</v>
      </c>
      <c r="CS146" s="7" t="s">
        <v>178</v>
      </c>
      <c r="CT146" s="7" t="s">
        <v>179</v>
      </c>
      <c r="CU146" s="7" t="s">
        <v>180</v>
      </c>
      <c r="CV146" s="7" t="s">
        <v>181</v>
      </c>
      <c r="CW146" s="7">
        <v>2017</v>
      </c>
      <c r="CX146" s="7" t="s">
        <v>182</v>
      </c>
      <c r="CY146" s="7" t="s">
        <v>183</v>
      </c>
      <c r="CZ146" s="7" t="s">
        <v>184</v>
      </c>
      <c r="DA146" s="7" t="s">
        <v>185</v>
      </c>
      <c r="DB146" s="7">
        <v>2018</v>
      </c>
      <c r="DC146" s="7" t="s">
        <v>186</v>
      </c>
      <c r="DD146" s="7" t="s">
        <v>187</v>
      </c>
      <c r="DE146" s="7" t="s">
        <v>188</v>
      </c>
      <c r="DF146" s="7" t="s">
        <v>189</v>
      </c>
      <c r="DG146" s="7">
        <v>2019</v>
      </c>
      <c r="DH146" s="7" t="s">
        <v>190</v>
      </c>
      <c r="DI146" s="7" t="s">
        <v>191</v>
      </c>
      <c r="DJ146" s="7" t="s">
        <v>192</v>
      </c>
      <c r="DK146" s="7" t="s">
        <v>193</v>
      </c>
      <c r="DL146" s="7">
        <v>2020</v>
      </c>
      <c r="DM146" s="7" t="s">
        <v>194</v>
      </c>
      <c r="DN146" s="7" t="s">
        <v>195</v>
      </c>
      <c r="DO146" s="7" t="s">
        <v>196</v>
      </c>
      <c r="DP146" s="7" t="s">
        <v>197</v>
      </c>
      <c r="DQ146" s="7">
        <v>2021</v>
      </c>
      <c r="DR146" s="7" t="s">
        <v>198</v>
      </c>
      <c r="DS146" s="7" t="s">
        <v>199</v>
      </c>
      <c r="DT146" s="7" t="s">
        <v>201</v>
      </c>
      <c r="DU146" s="7" t="s">
        <v>381</v>
      </c>
      <c r="DV146" s="7">
        <v>2022</v>
      </c>
      <c r="DW146" s="7" t="s">
        <v>382</v>
      </c>
      <c r="DX146" s="6" t="str">
        <f t="shared" si="266"/>
        <v>2Q23</v>
      </c>
      <c r="DY146" s="6" t="str">
        <f t="shared" si="266"/>
        <v>3Q23</v>
      </c>
      <c r="DZ146" s="6" t="str">
        <f t="shared" si="266"/>
        <v>4Q23</v>
      </c>
      <c r="EA146" s="7">
        <v>2023</v>
      </c>
      <c r="EB146" s="7" t="s">
        <v>425</v>
      </c>
      <c r="EC146" s="7" t="s">
        <v>430</v>
      </c>
      <c r="ED146" s="6" t="str">
        <f>$ED$2</f>
        <v>3Q24</v>
      </c>
      <c r="EE146" s="7" t="str">
        <f>$EE$2</f>
        <v>4Q24</v>
      </c>
      <c r="EF146" s="7">
        <f>$EF$2</f>
        <v>2024</v>
      </c>
      <c r="EG146" s="7" t="str">
        <f>EG$2</f>
        <v>1Q25</v>
      </c>
      <c r="EH146" s="7" t="str">
        <f>EH$2</f>
        <v>2Q25</v>
      </c>
      <c r="EI146" s="7" t="str">
        <f>EI$2</f>
        <v>3Q25</v>
      </c>
    </row>
    <row r="147" spans="1:139" ht="15" thickTop="1" x14ac:dyDescent="0.3">
      <c r="A147" s="1" t="s">
        <v>2</v>
      </c>
      <c r="B147" s="30">
        <f t="shared" ref="B147:AG147" si="267">B122-B78</f>
        <v>0</v>
      </c>
      <c r="C147" s="30">
        <f t="shared" si="267"/>
        <v>0</v>
      </c>
      <c r="D147" s="30">
        <f t="shared" si="267"/>
        <v>0</v>
      </c>
      <c r="E147" s="30">
        <f t="shared" si="267"/>
        <v>0</v>
      </c>
      <c r="F147" s="30">
        <f t="shared" si="267"/>
        <v>0</v>
      </c>
      <c r="G147" s="30">
        <f t="shared" si="267"/>
        <v>0</v>
      </c>
      <c r="H147" s="30">
        <f t="shared" si="267"/>
        <v>0</v>
      </c>
      <c r="I147" s="30">
        <f t="shared" si="267"/>
        <v>0</v>
      </c>
      <c r="J147" s="30">
        <f t="shared" si="267"/>
        <v>0</v>
      </c>
      <c r="K147" s="30">
        <f t="shared" si="267"/>
        <v>0</v>
      </c>
      <c r="L147" s="30">
        <f t="shared" si="267"/>
        <v>0</v>
      </c>
      <c r="M147" s="30">
        <f t="shared" si="267"/>
        <v>0</v>
      </c>
      <c r="N147" s="30">
        <f t="shared" si="267"/>
        <v>0</v>
      </c>
      <c r="O147" s="30">
        <f t="shared" si="267"/>
        <v>0</v>
      </c>
      <c r="P147" s="30">
        <f t="shared" si="267"/>
        <v>0</v>
      </c>
      <c r="Q147" s="30">
        <f t="shared" si="267"/>
        <v>0</v>
      </c>
      <c r="R147" s="30">
        <f t="shared" si="267"/>
        <v>0</v>
      </c>
      <c r="S147" s="30">
        <f t="shared" si="267"/>
        <v>0</v>
      </c>
      <c r="T147" s="30">
        <f t="shared" si="267"/>
        <v>0</v>
      </c>
      <c r="U147" s="30">
        <f t="shared" si="267"/>
        <v>0</v>
      </c>
      <c r="V147" s="30">
        <f t="shared" si="267"/>
        <v>0</v>
      </c>
      <c r="W147" s="30">
        <f t="shared" si="267"/>
        <v>0</v>
      </c>
      <c r="X147" s="30">
        <f t="shared" si="267"/>
        <v>0</v>
      </c>
      <c r="Y147" s="30">
        <f t="shared" si="267"/>
        <v>0</v>
      </c>
      <c r="Z147" s="30">
        <f t="shared" si="267"/>
        <v>0</v>
      </c>
      <c r="AA147" s="30">
        <f t="shared" si="267"/>
        <v>0</v>
      </c>
      <c r="AB147" s="30">
        <f t="shared" si="267"/>
        <v>0</v>
      </c>
      <c r="AC147" s="30">
        <f t="shared" si="267"/>
        <v>0</v>
      </c>
      <c r="AD147" s="30">
        <f t="shared" si="267"/>
        <v>0</v>
      </c>
      <c r="AE147" s="30">
        <f t="shared" si="267"/>
        <v>0</v>
      </c>
      <c r="AF147" s="30">
        <f t="shared" si="267"/>
        <v>0</v>
      </c>
      <c r="AG147" s="30">
        <f t="shared" si="267"/>
        <v>0</v>
      </c>
      <c r="AH147" s="30">
        <f t="shared" ref="AH147:BM147" si="268">AH122-AH78</f>
        <v>0</v>
      </c>
      <c r="AI147" s="30">
        <f t="shared" si="268"/>
        <v>0</v>
      </c>
      <c r="AJ147" s="30">
        <f t="shared" si="268"/>
        <v>0</v>
      </c>
      <c r="AK147" s="30">
        <f t="shared" si="268"/>
        <v>0</v>
      </c>
      <c r="AL147" s="30">
        <f t="shared" si="268"/>
        <v>0</v>
      </c>
      <c r="AM147" s="30">
        <f t="shared" si="268"/>
        <v>0</v>
      </c>
      <c r="AN147" s="30">
        <f t="shared" si="268"/>
        <v>0</v>
      </c>
      <c r="AO147" s="30">
        <f t="shared" si="268"/>
        <v>0</v>
      </c>
      <c r="AP147" s="30">
        <f t="shared" si="268"/>
        <v>0</v>
      </c>
      <c r="AQ147" s="30">
        <f t="shared" si="268"/>
        <v>0</v>
      </c>
      <c r="AR147" s="30">
        <f t="shared" si="268"/>
        <v>0</v>
      </c>
      <c r="AS147" s="30">
        <f t="shared" si="268"/>
        <v>0</v>
      </c>
      <c r="AT147" s="30">
        <f t="shared" si="268"/>
        <v>0</v>
      </c>
      <c r="AU147" s="30">
        <f t="shared" si="268"/>
        <v>0</v>
      </c>
      <c r="AV147" s="30">
        <f t="shared" si="268"/>
        <v>0</v>
      </c>
      <c r="AW147" s="30">
        <f t="shared" si="268"/>
        <v>0</v>
      </c>
      <c r="AX147" s="30">
        <f t="shared" si="268"/>
        <v>0</v>
      </c>
      <c r="AY147" s="30">
        <f t="shared" si="268"/>
        <v>0</v>
      </c>
      <c r="AZ147" s="30">
        <f t="shared" si="268"/>
        <v>0</v>
      </c>
      <c r="BA147" s="30">
        <f t="shared" si="268"/>
        <v>0</v>
      </c>
      <c r="BB147" s="30">
        <f t="shared" si="268"/>
        <v>0</v>
      </c>
      <c r="BC147" s="30">
        <f t="shared" si="268"/>
        <v>0</v>
      </c>
      <c r="BD147" s="30">
        <f t="shared" si="268"/>
        <v>0</v>
      </c>
      <c r="BE147" s="30">
        <f t="shared" si="268"/>
        <v>0</v>
      </c>
      <c r="BF147" s="30">
        <f t="shared" si="268"/>
        <v>0</v>
      </c>
      <c r="BG147" s="30">
        <f t="shared" si="268"/>
        <v>0</v>
      </c>
      <c r="BH147" s="30">
        <f t="shared" si="268"/>
        <v>0</v>
      </c>
      <c r="BI147" s="30">
        <f t="shared" si="268"/>
        <v>0</v>
      </c>
      <c r="BJ147" s="27">
        <f t="shared" si="268"/>
        <v>35.625000000000007</v>
      </c>
      <c r="BK147" s="27">
        <f t="shared" si="268"/>
        <v>31.132946700000002</v>
      </c>
      <c r="BL147" s="27">
        <f t="shared" si="268"/>
        <v>35.242053299999995</v>
      </c>
      <c r="BM147" s="27">
        <f t="shared" si="268"/>
        <v>33.6</v>
      </c>
      <c r="BN147" s="27">
        <f t="shared" ref="BN147:CS147" si="269">BN122-BN78</f>
        <v>135.6</v>
      </c>
      <c r="BO147" s="27">
        <f t="shared" si="269"/>
        <v>39.256694199999991</v>
      </c>
      <c r="BP147" s="27">
        <f t="shared" si="269"/>
        <v>38.629503899999989</v>
      </c>
      <c r="BQ147" s="27">
        <f t="shared" si="269"/>
        <v>38.863956299999984</v>
      </c>
      <c r="BR147" s="27">
        <f t="shared" si="269"/>
        <v>38.997812980000013</v>
      </c>
      <c r="BS147" s="27">
        <f t="shared" si="269"/>
        <v>155.74796738000001</v>
      </c>
      <c r="BT147" s="27">
        <f t="shared" si="269"/>
        <v>48</v>
      </c>
      <c r="BU147" s="27">
        <f t="shared" si="269"/>
        <v>41.381151600000003</v>
      </c>
      <c r="BV147" s="27">
        <f t="shared" si="269"/>
        <v>47.366062900000003</v>
      </c>
      <c r="BW147" s="27">
        <f t="shared" si="269"/>
        <v>43.000808599999985</v>
      </c>
      <c r="BX147" s="27">
        <f t="shared" si="269"/>
        <v>179.74802309999998</v>
      </c>
      <c r="BY147" s="27">
        <f t="shared" si="269"/>
        <v>47.9</v>
      </c>
      <c r="BZ147" s="27">
        <f t="shared" si="269"/>
        <v>46</v>
      </c>
      <c r="CA147" s="27">
        <f t="shared" si="269"/>
        <v>49.3</v>
      </c>
      <c r="CB147" s="27">
        <f t="shared" si="269"/>
        <v>47.9</v>
      </c>
      <c r="CC147" s="27">
        <f t="shared" si="269"/>
        <v>191.10000000000002</v>
      </c>
      <c r="CD147" s="27">
        <f t="shared" si="269"/>
        <v>57</v>
      </c>
      <c r="CE147" s="27">
        <f t="shared" si="269"/>
        <v>49.616091000000011</v>
      </c>
      <c r="CF147" s="27">
        <f t="shared" si="269"/>
        <v>48.800000000000011</v>
      </c>
      <c r="CG147" s="27">
        <f t="shared" si="269"/>
        <v>50.3</v>
      </c>
      <c r="CH147" s="27">
        <f t="shared" si="269"/>
        <v>205.71609100000003</v>
      </c>
      <c r="CI147" s="27">
        <f t="shared" si="269"/>
        <v>56.2</v>
      </c>
      <c r="CJ147" s="27">
        <f t="shared" si="269"/>
        <v>52.699999999999996</v>
      </c>
      <c r="CK147" s="27">
        <f t="shared" si="269"/>
        <v>53.310618580000011</v>
      </c>
      <c r="CL147" s="27">
        <f t="shared" si="269"/>
        <v>53.328934429999997</v>
      </c>
      <c r="CM147" s="27">
        <f t="shared" si="269"/>
        <v>215.53955301000002</v>
      </c>
      <c r="CN147" s="27">
        <f t="shared" si="269"/>
        <v>68.400000000000006</v>
      </c>
      <c r="CO147" s="27">
        <f t="shared" si="269"/>
        <v>58.399999999999991</v>
      </c>
      <c r="CP147" s="27">
        <f t="shared" si="269"/>
        <v>54.6</v>
      </c>
      <c r="CQ147" s="27">
        <f t="shared" si="269"/>
        <v>54.800000000000018</v>
      </c>
      <c r="CR147" s="27">
        <f t="shared" si="269"/>
        <v>236.2</v>
      </c>
      <c r="CS147" s="27">
        <f t="shared" si="269"/>
        <v>75.523827110000013</v>
      </c>
      <c r="CT147" s="27">
        <f t="shared" ref="CT147:DT147" si="270">CT122-CT78</f>
        <v>65.81787842</v>
      </c>
      <c r="CU147" s="27">
        <f t="shared" si="270"/>
        <v>73.850085140000033</v>
      </c>
      <c r="CV147" s="27">
        <f t="shared" si="270"/>
        <v>62.844531199999977</v>
      </c>
      <c r="CW147" s="27">
        <f t="shared" si="270"/>
        <v>278.03632186999999</v>
      </c>
      <c r="CX147" s="27">
        <f t="shared" si="270"/>
        <v>77.465999999999994</v>
      </c>
      <c r="CY147" s="27">
        <f t="shared" si="270"/>
        <v>62.531000000000006</v>
      </c>
      <c r="CZ147" s="27">
        <f t="shared" si="270"/>
        <v>64.713999999999984</v>
      </c>
      <c r="DA147" s="27">
        <f t="shared" si="270"/>
        <v>61.923999999999992</v>
      </c>
      <c r="DB147" s="27">
        <f t="shared" si="270"/>
        <v>266.63499999999999</v>
      </c>
      <c r="DC147" s="27">
        <f t="shared" si="270"/>
        <v>71</v>
      </c>
      <c r="DD147" s="27">
        <f t="shared" si="270"/>
        <v>63.766999999999996</v>
      </c>
      <c r="DE147" s="27">
        <f t="shared" si="270"/>
        <v>68.685999999999993</v>
      </c>
      <c r="DF147" s="27">
        <f t="shared" si="270"/>
        <v>73.77</v>
      </c>
      <c r="DG147" s="27">
        <f t="shared" si="270"/>
        <v>277.22300000000001</v>
      </c>
      <c r="DH147" s="27">
        <f t="shared" si="270"/>
        <v>84.043000000000006</v>
      </c>
      <c r="DI147" s="27">
        <f t="shared" si="270"/>
        <v>72.263000000000005</v>
      </c>
      <c r="DJ147" s="27">
        <f t="shared" si="270"/>
        <v>75.268000000000001</v>
      </c>
      <c r="DK147" s="27">
        <f t="shared" si="270"/>
        <v>74.33</v>
      </c>
      <c r="DL147" s="27">
        <f t="shared" si="270"/>
        <v>305.904</v>
      </c>
      <c r="DM147" s="27">
        <f t="shared" si="270"/>
        <v>78.183000000000007</v>
      </c>
      <c r="DN147" s="27">
        <f t="shared" si="270"/>
        <v>74.830999999999989</v>
      </c>
      <c r="DO147" s="27">
        <f t="shared" si="270"/>
        <v>78.265000000000001</v>
      </c>
      <c r="DP147" s="27">
        <f t="shared" si="270"/>
        <v>47.985999999999997</v>
      </c>
      <c r="DQ147" s="27">
        <f t="shared" si="270"/>
        <v>279.26499999999999</v>
      </c>
      <c r="DR147" s="27">
        <f t="shared" si="270"/>
        <v>0</v>
      </c>
      <c r="DS147" s="27">
        <f t="shared" si="270"/>
        <v>0</v>
      </c>
      <c r="DT147" s="27">
        <f t="shared" si="270"/>
        <v>0</v>
      </c>
      <c r="DU147" s="27">
        <f t="shared" ref="DU147:ED147" si="271">DU122-DU78</f>
        <v>0</v>
      </c>
      <c r="DV147" s="27">
        <f t="shared" si="271"/>
        <v>0</v>
      </c>
      <c r="DW147" s="27">
        <f t="shared" si="271"/>
        <v>0</v>
      </c>
      <c r="DX147" s="27">
        <f t="shared" si="271"/>
        <v>0</v>
      </c>
      <c r="DY147" s="27">
        <f t="shared" si="271"/>
        <v>0</v>
      </c>
      <c r="DZ147" s="27">
        <f t="shared" si="271"/>
        <v>0</v>
      </c>
      <c r="EA147" s="27">
        <f t="shared" si="271"/>
        <v>0</v>
      </c>
      <c r="EB147" s="27">
        <f t="shared" si="271"/>
        <v>0</v>
      </c>
      <c r="EC147" s="27">
        <f t="shared" si="271"/>
        <v>0</v>
      </c>
      <c r="ED147" s="27">
        <f t="shared" si="271"/>
        <v>0</v>
      </c>
      <c r="EE147" s="27">
        <f t="shared" ref="EE147" si="272">EE122-EE78</f>
        <v>0</v>
      </c>
      <c r="EF147" s="27">
        <f t="shared" ref="EF147:EG147" si="273">EF122-EF78</f>
        <v>0</v>
      </c>
      <c r="EG147" s="27">
        <f t="shared" si="273"/>
        <v>0</v>
      </c>
      <c r="EH147" s="27">
        <f t="shared" ref="EH147" si="274">EH122-EH78</f>
        <v>0</v>
      </c>
      <c r="EI147" s="27">
        <f t="shared" ref="EI147" si="275">EI122-EI78</f>
        <v>0</v>
      </c>
    </row>
    <row r="148" spans="1:139" ht="15" thickBot="1" x14ac:dyDescent="0.35">
      <c r="A148" s="2" t="s">
        <v>454</v>
      </c>
      <c r="B148" s="31">
        <f t="shared" ref="B148:AG148" si="276">B123-B79</f>
        <v>0</v>
      </c>
      <c r="C148" s="31">
        <f t="shared" si="276"/>
        <v>0</v>
      </c>
      <c r="D148" s="31">
        <f t="shared" si="276"/>
        <v>0</v>
      </c>
      <c r="E148" s="31">
        <f t="shared" si="276"/>
        <v>0</v>
      </c>
      <c r="F148" s="31">
        <f t="shared" si="276"/>
        <v>0</v>
      </c>
      <c r="G148" s="31">
        <f t="shared" si="276"/>
        <v>0</v>
      </c>
      <c r="H148" s="31">
        <f t="shared" si="276"/>
        <v>0</v>
      </c>
      <c r="I148" s="31">
        <f t="shared" si="276"/>
        <v>0</v>
      </c>
      <c r="J148" s="31">
        <f t="shared" si="276"/>
        <v>0</v>
      </c>
      <c r="K148" s="31">
        <f t="shared" si="276"/>
        <v>0</v>
      </c>
      <c r="L148" s="31">
        <f t="shared" si="276"/>
        <v>0</v>
      </c>
      <c r="M148" s="31">
        <f t="shared" si="276"/>
        <v>0</v>
      </c>
      <c r="N148" s="31">
        <f t="shared" si="276"/>
        <v>0</v>
      </c>
      <c r="O148" s="31">
        <f t="shared" si="276"/>
        <v>0</v>
      </c>
      <c r="P148" s="31">
        <f t="shared" si="276"/>
        <v>0</v>
      </c>
      <c r="Q148" s="31">
        <f t="shared" si="276"/>
        <v>0</v>
      </c>
      <c r="R148" s="31">
        <f t="shared" si="276"/>
        <v>0</v>
      </c>
      <c r="S148" s="31">
        <f t="shared" si="276"/>
        <v>0</v>
      </c>
      <c r="T148" s="31">
        <f t="shared" si="276"/>
        <v>0</v>
      </c>
      <c r="U148" s="31">
        <f t="shared" si="276"/>
        <v>0</v>
      </c>
      <c r="V148" s="31">
        <f t="shared" si="276"/>
        <v>0</v>
      </c>
      <c r="W148" s="31">
        <f t="shared" si="276"/>
        <v>0</v>
      </c>
      <c r="X148" s="31">
        <f t="shared" si="276"/>
        <v>0</v>
      </c>
      <c r="Y148" s="31">
        <f t="shared" si="276"/>
        <v>0</v>
      </c>
      <c r="Z148" s="31">
        <f t="shared" si="276"/>
        <v>0</v>
      </c>
      <c r="AA148" s="31">
        <f t="shared" si="276"/>
        <v>0</v>
      </c>
      <c r="AB148" s="31">
        <f t="shared" si="276"/>
        <v>0</v>
      </c>
      <c r="AC148" s="31">
        <f t="shared" si="276"/>
        <v>0</v>
      </c>
      <c r="AD148" s="31">
        <f t="shared" si="276"/>
        <v>0</v>
      </c>
      <c r="AE148" s="31">
        <f t="shared" si="276"/>
        <v>0</v>
      </c>
      <c r="AF148" s="31">
        <f t="shared" si="276"/>
        <v>0</v>
      </c>
      <c r="AG148" s="31">
        <f t="shared" si="276"/>
        <v>0</v>
      </c>
      <c r="AH148" s="31">
        <f t="shared" ref="AH148:BM148" si="277">AH123-AH79</f>
        <v>0</v>
      </c>
      <c r="AI148" s="31">
        <f t="shared" si="277"/>
        <v>0</v>
      </c>
      <c r="AJ148" s="31">
        <f t="shared" si="277"/>
        <v>0</v>
      </c>
      <c r="AK148" s="31">
        <f t="shared" si="277"/>
        <v>0</v>
      </c>
      <c r="AL148" s="31">
        <f t="shared" si="277"/>
        <v>0</v>
      </c>
      <c r="AM148" s="31">
        <f t="shared" si="277"/>
        <v>0</v>
      </c>
      <c r="AN148" s="31">
        <f t="shared" si="277"/>
        <v>0</v>
      </c>
      <c r="AO148" s="31">
        <f t="shared" si="277"/>
        <v>0</v>
      </c>
      <c r="AP148" s="31">
        <f t="shared" si="277"/>
        <v>0</v>
      </c>
      <c r="AQ148" s="31">
        <f t="shared" si="277"/>
        <v>0</v>
      </c>
      <c r="AR148" s="31">
        <f t="shared" si="277"/>
        <v>0</v>
      </c>
      <c r="AS148" s="31">
        <f t="shared" si="277"/>
        <v>0</v>
      </c>
      <c r="AT148" s="31">
        <f t="shared" si="277"/>
        <v>0</v>
      </c>
      <c r="AU148" s="31">
        <f t="shared" si="277"/>
        <v>0</v>
      </c>
      <c r="AV148" s="31">
        <f t="shared" si="277"/>
        <v>0</v>
      </c>
      <c r="AW148" s="31">
        <f t="shared" si="277"/>
        <v>0</v>
      </c>
      <c r="AX148" s="31">
        <f t="shared" si="277"/>
        <v>0</v>
      </c>
      <c r="AY148" s="31">
        <f t="shared" si="277"/>
        <v>0</v>
      </c>
      <c r="AZ148" s="31">
        <f t="shared" si="277"/>
        <v>0</v>
      </c>
      <c r="BA148" s="31">
        <f t="shared" si="277"/>
        <v>0</v>
      </c>
      <c r="BB148" s="31">
        <f t="shared" si="277"/>
        <v>0</v>
      </c>
      <c r="BC148" s="31">
        <f t="shared" si="277"/>
        <v>0</v>
      </c>
      <c r="BD148" s="31">
        <f t="shared" si="277"/>
        <v>0</v>
      </c>
      <c r="BE148" s="31">
        <f t="shared" si="277"/>
        <v>0</v>
      </c>
      <c r="BF148" s="31">
        <f t="shared" si="277"/>
        <v>0</v>
      </c>
      <c r="BG148" s="31">
        <f t="shared" si="277"/>
        <v>0</v>
      </c>
      <c r="BH148" s="31">
        <f t="shared" si="277"/>
        <v>0</v>
      </c>
      <c r="BI148" s="31">
        <f t="shared" si="277"/>
        <v>0</v>
      </c>
      <c r="BJ148" s="28">
        <f t="shared" si="277"/>
        <v>23.131</v>
      </c>
      <c r="BK148" s="28">
        <f t="shared" si="277"/>
        <v>28.908002599999996</v>
      </c>
      <c r="BL148" s="28">
        <f t="shared" si="277"/>
        <v>25.400997399999998</v>
      </c>
      <c r="BM148" s="28">
        <f t="shared" si="277"/>
        <v>25.600000000000012</v>
      </c>
      <c r="BN148" s="28">
        <f t="shared" ref="BN148:CS148" si="278">BN123-BN79</f>
        <v>103.04</v>
      </c>
      <c r="BO148" s="28">
        <f t="shared" si="278"/>
        <v>29.640730800000007</v>
      </c>
      <c r="BP148" s="28">
        <f t="shared" si="278"/>
        <v>34.718428390000014</v>
      </c>
      <c r="BQ148" s="28">
        <f t="shared" si="278"/>
        <v>31.25987580000001</v>
      </c>
      <c r="BR148" s="28">
        <f t="shared" si="278"/>
        <v>29.194293000000005</v>
      </c>
      <c r="BS148" s="28">
        <f t="shared" si="278"/>
        <v>124.81332799000002</v>
      </c>
      <c r="BT148" s="28">
        <f t="shared" si="278"/>
        <v>32.300000000000004</v>
      </c>
      <c r="BU148" s="28">
        <f t="shared" si="278"/>
        <v>37.722187000000005</v>
      </c>
      <c r="BV148" s="28">
        <f t="shared" si="278"/>
        <v>32.421157099999988</v>
      </c>
      <c r="BW148" s="28">
        <f t="shared" si="278"/>
        <v>33.358166200000028</v>
      </c>
      <c r="BX148" s="28">
        <f t="shared" si="278"/>
        <v>135.80151030000002</v>
      </c>
      <c r="BY148" s="28">
        <f t="shared" si="278"/>
        <v>37.400000000000006</v>
      </c>
      <c r="BZ148" s="28">
        <f t="shared" si="278"/>
        <v>51.2</v>
      </c>
      <c r="CA148" s="28">
        <f t="shared" si="278"/>
        <v>45.300000000000011</v>
      </c>
      <c r="CB148" s="28">
        <f t="shared" si="278"/>
        <v>38.499999999999986</v>
      </c>
      <c r="CC148" s="28">
        <f t="shared" si="278"/>
        <v>172.40000000000003</v>
      </c>
      <c r="CD148" s="28">
        <f t="shared" si="278"/>
        <v>39.800000000000004</v>
      </c>
      <c r="CE148" s="28">
        <f t="shared" si="278"/>
        <v>48.219304499999993</v>
      </c>
      <c r="CF148" s="28">
        <f t="shared" si="278"/>
        <v>41.900000000000006</v>
      </c>
      <c r="CG148" s="28">
        <f t="shared" si="278"/>
        <v>37.000000000000014</v>
      </c>
      <c r="CH148" s="28">
        <f t="shared" si="278"/>
        <v>166.91930450000001</v>
      </c>
      <c r="CI148" s="28">
        <f t="shared" si="278"/>
        <v>43.5</v>
      </c>
      <c r="CJ148" s="28">
        <f t="shared" si="278"/>
        <v>50.9</v>
      </c>
      <c r="CK148" s="28">
        <f t="shared" si="278"/>
        <v>48.460017910000012</v>
      </c>
      <c r="CL148" s="28">
        <f t="shared" si="278"/>
        <v>39.574393040000004</v>
      </c>
      <c r="CM148" s="28">
        <f t="shared" si="278"/>
        <v>182.43441095</v>
      </c>
      <c r="CN148" s="28">
        <f t="shared" si="278"/>
        <v>55.199999999999989</v>
      </c>
      <c r="CO148" s="28">
        <f t="shared" si="278"/>
        <v>70.200000000000017</v>
      </c>
      <c r="CP148" s="28">
        <f t="shared" si="278"/>
        <v>58.7</v>
      </c>
      <c r="CQ148" s="28">
        <f t="shared" si="278"/>
        <v>51.899999999999977</v>
      </c>
      <c r="CR148" s="28">
        <f t="shared" si="278"/>
        <v>235.99999999999997</v>
      </c>
      <c r="CS148" s="28">
        <f t="shared" si="278"/>
        <v>62.954809529999984</v>
      </c>
      <c r="CT148" s="28">
        <f t="shared" ref="CT148:DT148" si="279">CT123-CT79</f>
        <v>73.932980620000038</v>
      </c>
      <c r="CU148" s="28">
        <f t="shared" si="279"/>
        <v>67.739389749999987</v>
      </c>
      <c r="CV148" s="28">
        <f t="shared" si="279"/>
        <v>60.223138320000025</v>
      </c>
      <c r="CW148" s="28">
        <f t="shared" si="279"/>
        <v>264.85031822000002</v>
      </c>
      <c r="CX148" s="28">
        <f t="shared" si="279"/>
        <v>67.425000000000011</v>
      </c>
      <c r="CY148" s="28">
        <f t="shared" si="279"/>
        <v>71.988</v>
      </c>
      <c r="CZ148" s="28">
        <f t="shared" si="279"/>
        <v>75.831999999999994</v>
      </c>
      <c r="DA148" s="28">
        <f t="shared" si="279"/>
        <v>70.194999999999993</v>
      </c>
      <c r="DB148" s="28">
        <f t="shared" si="279"/>
        <v>285.44</v>
      </c>
      <c r="DC148" s="28">
        <f t="shared" si="279"/>
        <v>67.925999999999988</v>
      </c>
      <c r="DD148" s="28">
        <f t="shared" si="279"/>
        <v>81.052999999999997</v>
      </c>
      <c r="DE148" s="28">
        <f t="shared" si="279"/>
        <v>81.637999999999991</v>
      </c>
      <c r="DF148" s="28">
        <f t="shared" si="279"/>
        <v>78.332999999999998</v>
      </c>
      <c r="DG148" s="28">
        <f t="shared" si="279"/>
        <v>308.95</v>
      </c>
      <c r="DH148" s="28">
        <f t="shared" si="279"/>
        <v>70.018999999999991</v>
      </c>
      <c r="DI148" s="28">
        <f t="shared" si="279"/>
        <v>81.424000000000007</v>
      </c>
      <c r="DJ148" s="28">
        <f t="shared" si="279"/>
        <v>71.418999999999997</v>
      </c>
      <c r="DK148" s="28">
        <f t="shared" si="279"/>
        <v>65.750999999999991</v>
      </c>
      <c r="DL148" s="28">
        <f t="shared" si="279"/>
        <v>288.61299999999994</v>
      </c>
      <c r="DM148" s="28">
        <f t="shared" si="279"/>
        <v>66.037999999999997</v>
      </c>
      <c r="DN148" s="28">
        <f t="shared" si="279"/>
        <v>91.558999999999997</v>
      </c>
      <c r="DO148" s="28">
        <f t="shared" si="279"/>
        <v>86.991</v>
      </c>
      <c r="DP148" s="28">
        <f t="shared" si="279"/>
        <v>80.215000000000003</v>
      </c>
      <c r="DQ148" s="28">
        <f t="shared" si="279"/>
        <v>324.803</v>
      </c>
      <c r="DR148" s="28">
        <f t="shared" si="279"/>
        <v>74.549000000000007</v>
      </c>
      <c r="DS148" s="28">
        <f t="shared" si="279"/>
        <v>72.173000000000002</v>
      </c>
      <c r="DT148" s="28">
        <f t="shared" si="279"/>
        <v>76.521000000000001</v>
      </c>
      <c r="DU148" s="28">
        <f t="shared" ref="DU148:ED148" si="280">DU123-DU79</f>
        <v>162.43599999999998</v>
      </c>
      <c r="DV148" s="28">
        <f t="shared" si="280"/>
        <v>385.67899999999997</v>
      </c>
      <c r="DW148" s="28">
        <f t="shared" si="280"/>
        <v>110.994</v>
      </c>
      <c r="DX148" s="28">
        <f t="shared" si="280"/>
        <v>116.777</v>
      </c>
      <c r="DY148" s="28">
        <f t="shared" si="280"/>
        <v>129.41627671000003</v>
      </c>
      <c r="DZ148" s="28">
        <f t="shared" si="280"/>
        <v>123.41637630999995</v>
      </c>
      <c r="EA148" s="28">
        <f t="shared" si="280"/>
        <v>480.60365301999991</v>
      </c>
      <c r="EB148" s="28">
        <f t="shared" si="280"/>
        <v>126.84153861999999</v>
      </c>
      <c r="EC148" s="28">
        <f t="shared" si="280"/>
        <v>128.88450840000002</v>
      </c>
      <c r="ED148" s="28">
        <f t="shared" si="280"/>
        <v>146.28700000000001</v>
      </c>
      <c r="EE148" s="28">
        <f t="shared" ref="EE148" si="281">EE123-EE79</f>
        <v>151.28739329999999</v>
      </c>
      <c r="EF148" s="28">
        <f t="shared" ref="EF148:EG148" si="282">EF123-EF79</f>
        <v>553.30044032000001</v>
      </c>
      <c r="EG148" s="28">
        <f t="shared" si="282"/>
        <v>152.98497000999998</v>
      </c>
      <c r="EH148" s="28">
        <f t="shared" ref="EH148" si="283">EH123-EH79</f>
        <v>146.46355831000002</v>
      </c>
      <c r="EI148" s="28">
        <f>EI123-EI79</f>
        <v>164.41757559999999</v>
      </c>
    </row>
    <row r="149" spans="1:139" ht="15" thickTop="1" x14ac:dyDescent="0.3">
      <c r="A149" s="1" t="s">
        <v>442</v>
      </c>
      <c r="B149" s="30">
        <f t="shared" ref="B149:AG149" si="284">B124-B80</f>
        <v>0</v>
      </c>
      <c r="C149" s="30">
        <f t="shared" si="284"/>
        <v>0</v>
      </c>
      <c r="D149" s="30">
        <f t="shared" si="284"/>
        <v>0</v>
      </c>
      <c r="E149" s="30">
        <f t="shared" si="284"/>
        <v>0</v>
      </c>
      <c r="F149" s="30">
        <f t="shared" si="284"/>
        <v>0</v>
      </c>
      <c r="G149" s="30">
        <f t="shared" si="284"/>
        <v>0</v>
      </c>
      <c r="H149" s="30">
        <f t="shared" si="284"/>
        <v>0</v>
      </c>
      <c r="I149" s="30">
        <f t="shared" si="284"/>
        <v>0</v>
      </c>
      <c r="J149" s="30">
        <f t="shared" si="284"/>
        <v>0</v>
      </c>
      <c r="K149" s="30">
        <f t="shared" si="284"/>
        <v>0</v>
      </c>
      <c r="L149" s="30">
        <f t="shared" si="284"/>
        <v>0</v>
      </c>
      <c r="M149" s="30">
        <f t="shared" si="284"/>
        <v>0</v>
      </c>
      <c r="N149" s="30">
        <f t="shared" si="284"/>
        <v>0</v>
      </c>
      <c r="O149" s="30">
        <f t="shared" si="284"/>
        <v>0</v>
      </c>
      <c r="P149" s="30">
        <f t="shared" si="284"/>
        <v>0</v>
      </c>
      <c r="Q149" s="30">
        <f t="shared" si="284"/>
        <v>0</v>
      </c>
      <c r="R149" s="30">
        <f t="shared" si="284"/>
        <v>0</v>
      </c>
      <c r="S149" s="30">
        <f t="shared" si="284"/>
        <v>0</v>
      </c>
      <c r="T149" s="30">
        <f t="shared" si="284"/>
        <v>0</v>
      </c>
      <c r="U149" s="30">
        <f t="shared" si="284"/>
        <v>0</v>
      </c>
      <c r="V149" s="30">
        <f t="shared" si="284"/>
        <v>0</v>
      </c>
      <c r="W149" s="30">
        <f t="shared" si="284"/>
        <v>0</v>
      </c>
      <c r="X149" s="30">
        <f t="shared" si="284"/>
        <v>0</v>
      </c>
      <c r="Y149" s="30">
        <f t="shared" si="284"/>
        <v>0</v>
      </c>
      <c r="Z149" s="30">
        <f t="shared" si="284"/>
        <v>0</v>
      </c>
      <c r="AA149" s="30">
        <f t="shared" si="284"/>
        <v>0</v>
      </c>
      <c r="AB149" s="30">
        <f t="shared" si="284"/>
        <v>0</v>
      </c>
      <c r="AC149" s="30">
        <f t="shared" si="284"/>
        <v>0</v>
      </c>
      <c r="AD149" s="30">
        <f t="shared" si="284"/>
        <v>0</v>
      </c>
      <c r="AE149" s="30">
        <f t="shared" si="284"/>
        <v>0</v>
      </c>
      <c r="AF149" s="30">
        <f t="shared" si="284"/>
        <v>0</v>
      </c>
      <c r="AG149" s="30">
        <f t="shared" si="284"/>
        <v>0</v>
      </c>
      <c r="AH149" s="30">
        <f t="shared" ref="AH149:BM149" si="285">AH124-AH80</f>
        <v>0</v>
      </c>
      <c r="AI149" s="30">
        <f t="shared" si="285"/>
        <v>0</v>
      </c>
      <c r="AJ149" s="30">
        <f t="shared" si="285"/>
        <v>0</v>
      </c>
      <c r="AK149" s="30">
        <f t="shared" si="285"/>
        <v>0</v>
      </c>
      <c r="AL149" s="30">
        <f t="shared" si="285"/>
        <v>0</v>
      </c>
      <c r="AM149" s="30">
        <f t="shared" si="285"/>
        <v>0</v>
      </c>
      <c r="AN149" s="30">
        <f t="shared" si="285"/>
        <v>0</v>
      </c>
      <c r="AO149" s="30">
        <f t="shared" si="285"/>
        <v>0</v>
      </c>
      <c r="AP149" s="30">
        <f t="shared" si="285"/>
        <v>0</v>
      </c>
      <c r="AQ149" s="30">
        <f t="shared" si="285"/>
        <v>0</v>
      </c>
      <c r="AR149" s="30">
        <f t="shared" si="285"/>
        <v>0</v>
      </c>
      <c r="AS149" s="30">
        <f t="shared" si="285"/>
        <v>0</v>
      </c>
      <c r="AT149" s="30">
        <f t="shared" si="285"/>
        <v>0</v>
      </c>
      <c r="AU149" s="30">
        <f t="shared" si="285"/>
        <v>0</v>
      </c>
      <c r="AV149" s="30">
        <f t="shared" si="285"/>
        <v>0</v>
      </c>
      <c r="AW149" s="30">
        <f t="shared" si="285"/>
        <v>0</v>
      </c>
      <c r="AX149" s="30">
        <f t="shared" si="285"/>
        <v>0</v>
      </c>
      <c r="AY149" s="30">
        <f t="shared" si="285"/>
        <v>0</v>
      </c>
      <c r="AZ149" s="30">
        <f t="shared" si="285"/>
        <v>0</v>
      </c>
      <c r="BA149" s="30">
        <f t="shared" si="285"/>
        <v>0</v>
      </c>
      <c r="BB149" s="30">
        <f t="shared" si="285"/>
        <v>0</v>
      </c>
      <c r="BC149" s="30">
        <f t="shared" si="285"/>
        <v>0</v>
      </c>
      <c r="BD149" s="30">
        <f t="shared" si="285"/>
        <v>0</v>
      </c>
      <c r="BE149" s="30">
        <f t="shared" si="285"/>
        <v>0</v>
      </c>
      <c r="BF149" s="30">
        <f t="shared" si="285"/>
        <v>0</v>
      </c>
      <c r="BG149" s="30">
        <f t="shared" si="285"/>
        <v>0</v>
      </c>
      <c r="BH149" s="30">
        <f t="shared" si="285"/>
        <v>0</v>
      </c>
      <c r="BI149" s="30">
        <f t="shared" si="285"/>
        <v>0</v>
      </c>
      <c r="BJ149" s="27">
        <f t="shared" si="285"/>
        <v>154.90199999999999</v>
      </c>
      <c r="BK149" s="27">
        <f t="shared" si="285"/>
        <v>146.91437070999999</v>
      </c>
      <c r="BL149" s="27">
        <f t="shared" si="285"/>
        <v>165.08362928999998</v>
      </c>
      <c r="BM149" s="27">
        <f t="shared" si="285"/>
        <v>175.90000000000006</v>
      </c>
      <c r="BN149" s="27">
        <f t="shared" ref="BN149:CS149" si="286">BN124-BN80</f>
        <v>642.79999999999995</v>
      </c>
      <c r="BO149" s="27">
        <f t="shared" si="286"/>
        <v>170.17222910000001</v>
      </c>
      <c r="BP149" s="27">
        <f t="shared" si="286"/>
        <v>160.06425704999998</v>
      </c>
      <c r="BQ149" s="27">
        <f t="shared" si="286"/>
        <v>179.22501049999997</v>
      </c>
      <c r="BR149" s="27">
        <f t="shared" si="286"/>
        <v>188.8651629</v>
      </c>
      <c r="BS149" s="27">
        <f t="shared" si="286"/>
        <v>698.32665955000004</v>
      </c>
      <c r="BT149" s="27">
        <f t="shared" si="286"/>
        <v>185.5</v>
      </c>
      <c r="BU149" s="27">
        <f t="shared" si="286"/>
        <v>162.78644384999993</v>
      </c>
      <c r="BV149" s="27">
        <f t="shared" si="286"/>
        <v>197.68391920000013</v>
      </c>
      <c r="BW149" s="27">
        <f t="shared" si="286"/>
        <v>216.32417469999987</v>
      </c>
      <c r="BX149" s="27">
        <f t="shared" si="286"/>
        <v>762.2945377499999</v>
      </c>
      <c r="BY149" s="27">
        <f t="shared" si="286"/>
        <v>193.3</v>
      </c>
      <c r="BZ149" s="27">
        <f t="shared" si="286"/>
        <v>181.00000000000003</v>
      </c>
      <c r="CA149" s="27">
        <f t="shared" si="286"/>
        <v>206.49999999999997</v>
      </c>
      <c r="CB149" s="27">
        <f t="shared" si="286"/>
        <v>211.89999999999998</v>
      </c>
      <c r="CC149" s="27">
        <f t="shared" si="286"/>
        <v>792.69999999999993</v>
      </c>
      <c r="CD149" s="27">
        <f t="shared" si="286"/>
        <v>212.3</v>
      </c>
      <c r="CE149" s="27">
        <f t="shared" si="286"/>
        <v>181.44053490000007</v>
      </c>
      <c r="CF149" s="27">
        <f t="shared" si="286"/>
        <v>206.39999999999998</v>
      </c>
      <c r="CG149" s="27">
        <f t="shared" si="286"/>
        <v>222.8</v>
      </c>
      <c r="CH149" s="27">
        <f t="shared" si="286"/>
        <v>822.94053490000022</v>
      </c>
      <c r="CI149" s="27">
        <f t="shared" si="286"/>
        <v>212.60000000000002</v>
      </c>
      <c r="CJ149" s="27">
        <f t="shared" si="286"/>
        <v>198.1</v>
      </c>
      <c r="CK149" s="27">
        <f t="shared" si="286"/>
        <v>220.93282970999999</v>
      </c>
      <c r="CL149" s="27">
        <f t="shared" si="286"/>
        <v>234.5964291299999</v>
      </c>
      <c r="CM149" s="27">
        <f t="shared" si="286"/>
        <v>866.22925883999983</v>
      </c>
      <c r="CN149" s="27">
        <f t="shared" si="286"/>
        <v>222.8</v>
      </c>
      <c r="CO149" s="27">
        <f t="shared" si="286"/>
        <v>194.5</v>
      </c>
      <c r="CP149" s="27">
        <f t="shared" si="286"/>
        <v>212.3</v>
      </c>
      <c r="CQ149" s="27">
        <f t="shared" si="286"/>
        <v>234.39999999999989</v>
      </c>
      <c r="CR149" s="27">
        <f t="shared" si="286"/>
        <v>864</v>
      </c>
      <c r="CS149" s="27">
        <f t="shared" si="286"/>
        <v>246.79321340999996</v>
      </c>
      <c r="CT149" s="27">
        <f t="shared" ref="CT149:DT149" si="287">CT124-CT80</f>
        <v>222.96725256999997</v>
      </c>
      <c r="CU149" s="27">
        <f t="shared" si="287"/>
        <v>242.97879904999996</v>
      </c>
      <c r="CV149" s="27">
        <f t="shared" si="287"/>
        <v>254.09115282000008</v>
      </c>
      <c r="CW149" s="27">
        <f t="shared" si="287"/>
        <v>966.83041785</v>
      </c>
      <c r="CX149" s="27">
        <f t="shared" si="287"/>
        <v>259.56299999999999</v>
      </c>
      <c r="CY149" s="27">
        <f t="shared" si="287"/>
        <v>212.23299999999998</v>
      </c>
      <c r="CZ149" s="27">
        <f t="shared" si="287"/>
        <v>225.77499999999998</v>
      </c>
      <c r="DA149" s="27">
        <f t="shared" si="287"/>
        <v>244.77500000000003</v>
      </c>
      <c r="DB149" s="27">
        <f t="shared" si="287"/>
        <v>942.346</v>
      </c>
      <c r="DC149" s="27">
        <f t="shared" si="287"/>
        <v>245.43700000000001</v>
      </c>
      <c r="DD149" s="27">
        <f t="shared" si="287"/>
        <v>212.38499999999999</v>
      </c>
      <c r="DE149" s="27">
        <f t="shared" si="287"/>
        <v>234.83800000000002</v>
      </c>
      <c r="DF149" s="27">
        <f t="shared" si="287"/>
        <v>262.51</v>
      </c>
      <c r="DG149" s="27">
        <f t="shared" si="287"/>
        <v>955.17</v>
      </c>
      <c r="DH149" s="27">
        <f t="shared" si="287"/>
        <v>246.28800000000001</v>
      </c>
      <c r="DI149" s="27">
        <f t="shared" si="287"/>
        <v>191.34799999999998</v>
      </c>
      <c r="DJ149" s="27">
        <f t="shared" si="287"/>
        <v>246.32100000000003</v>
      </c>
      <c r="DK149" s="27">
        <f t="shared" si="287"/>
        <v>265.92299999999994</v>
      </c>
      <c r="DL149" s="27">
        <f t="shared" si="287"/>
        <v>949.88</v>
      </c>
      <c r="DM149" s="27">
        <f t="shared" si="287"/>
        <v>256.464</v>
      </c>
      <c r="DN149" s="27">
        <f t="shared" si="287"/>
        <v>242.82499999999999</v>
      </c>
      <c r="DO149" s="27">
        <f t="shared" si="287"/>
        <v>268.44600000000003</v>
      </c>
      <c r="DP149" s="27">
        <f t="shared" si="287"/>
        <v>283.14400000000001</v>
      </c>
      <c r="DQ149" s="27">
        <f t="shared" si="287"/>
        <v>1050.8790000000001</v>
      </c>
      <c r="DR149" s="27">
        <f t="shared" si="287"/>
        <v>296.61599999999999</v>
      </c>
      <c r="DS149" s="27">
        <f t="shared" si="287"/>
        <v>266.90300000000002</v>
      </c>
      <c r="DT149" s="27">
        <f t="shared" si="287"/>
        <v>312.39699999999999</v>
      </c>
      <c r="DU149" s="27">
        <f t="shared" ref="DU149:ED149" si="288">DU124-DU80</f>
        <v>334.76300000000003</v>
      </c>
      <c r="DV149" s="27">
        <f t="shared" si="288"/>
        <v>1210.6790000000001</v>
      </c>
      <c r="DW149" s="27">
        <f t="shared" si="288"/>
        <v>343.41199999999998</v>
      </c>
      <c r="DX149" s="27">
        <f t="shared" si="288"/>
        <v>328.279</v>
      </c>
      <c r="DY149" s="27">
        <f t="shared" si="288"/>
        <v>367.48235764000003</v>
      </c>
      <c r="DZ149" s="27">
        <f t="shared" si="288"/>
        <v>391.18318322999994</v>
      </c>
      <c r="EA149" s="27">
        <f t="shared" si="288"/>
        <v>1430.3565408699999</v>
      </c>
      <c r="EB149" s="27">
        <f t="shared" si="288"/>
        <v>388.37895029999999</v>
      </c>
      <c r="EC149" s="27">
        <f t="shared" si="288"/>
        <v>368.70861932000003</v>
      </c>
      <c r="ED149" s="27">
        <f t="shared" si="288"/>
        <v>386.00200000000001</v>
      </c>
      <c r="EE149" s="27">
        <f t="shared" ref="EE149" si="289">EE124-EE80</f>
        <v>388.99500115000006</v>
      </c>
      <c r="EF149" s="27">
        <f t="shared" ref="EF149:EG149" si="290">EF124-EF80</f>
        <v>1532.08457077</v>
      </c>
      <c r="EG149" s="27">
        <f t="shared" si="290"/>
        <v>407.14936699999998</v>
      </c>
      <c r="EH149" s="27">
        <f t="shared" ref="EH149" si="291">EH124-EH80</f>
        <v>382.8405669500001</v>
      </c>
      <c r="EI149" s="27">
        <f t="shared" ref="EI149" si="292">EI124-EI80</f>
        <v>415.51341102000009</v>
      </c>
    </row>
    <row r="150" spans="1:139" ht="15" thickBot="1" x14ac:dyDescent="0.35">
      <c r="A150" s="2" t="s">
        <v>3</v>
      </c>
      <c r="B150" s="31">
        <f t="shared" ref="B150:AG150" si="293">B125-B81</f>
        <v>0</v>
      </c>
      <c r="C150" s="31">
        <f t="shared" si="293"/>
        <v>0</v>
      </c>
      <c r="D150" s="31">
        <f t="shared" si="293"/>
        <v>0</v>
      </c>
      <c r="E150" s="31">
        <f t="shared" si="293"/>
        <v>0</v>
      </c>
      <c r="F150" s="31">
        <f t="shared" si="293"/>
        <v>0</v>
      </c>
      <c r="G150" s="31">
        <f t="shared" si="293"/>
        <v>0</v>
      </c>
      <c r="H150" s="31">
        <f t="shared" si="293"/>
        <v>0</v>
      </c>
      <c r="I150" s="31">
        <f t="shared" si="293"/>
        <v>0</v>
      </c>
      <c r="J150" s="31">
        <f t="shared" si="293"/>
        <v>0</v>
      </c>
      <c r="K150" s="31">
        <f t="shared" si="293"/>
        <v>0</v>
      </c>
      <c r="L150" s="31">
        <f t="shared" si="293"/>
        <v>0</v>
      </c>
      <c r="M150" s="31">
        <f t="shared" si="293"/>
        <v>0</v>
      </c>
      <c r="N150" s="31">
        <f t="shared" si="293"/>
        <v>0</v>
      </c>
      <c r="O150" s="31">
        <f t="shared" si="293"/>
        <v>0</v>
      </c>
      <c r="P150" s="31">
        <f t="shared" si="293"/>
        <v>0</v>
      </c>
      <c r="Q150" s="31">
        <f t="shared" si="293"/>
        <v>0</v>
      </c>
      <c r="R150" s="31">
        <f t="shared" si="293"/>
        <v>0</v>
      </c>
      <c r="S150" s="31">
        <f t="shared" si="293"/>
        <v>0</v>
      </c>
      <c r="T150" s="31">
        <f t="shared" si="293"/>
        <v>0</v>
      </c>
      <c r="U150" s="31">
        <f t="shared" si="293"/>
        <v>0</v>
      </c>
      <c r="V150" s="31">
        <f t="shared" si="293"/>
        <v>0</v>
      </c>
      <c r="W150" s="31">
        <f t="shared" si="293"/>
        <v>0</v>
      </c>
      <c r="X150" s="31">
        <f t="shared" si="293"/>
        <v>0</v>
      </c>
      <c r="Y150" s="31">
        <f t="shared" si="293"/>
        <v>0</v>
      </c>
      <c r="Z150" s="31">
        <f t="shared" si="293"/>
        <v>0</v>
      </c>
      <c r="AA150" s="31">
        <f t="shared" si="293"/>
        <v>0</v>
      </c>
      <c r="AB150" s="31">
        <f t="shared" si="293"/>
        <v>0</v>
      </c>
      <c r="AC150" s="31">
        <f t="shared" si="293"/>
        <v>0</v>
      </c>
      <c r="AD150" s="31">
        <f t="shared" si="293"/>
        <v>0</v>
      </c>
      <c r="AE150" s="31">
        <f t="shared" si="293"/>
        <v>0</v>
      </c>
      <c r="AF150" s="31">
        <f t="shared" si="293"/>
        <v>0</v>
      </c>
      <c r="AG150" s="31">
        <f t="shared" si="293"/>
        <v>0</v>
      </c>
      <c r="AH150" s="31">
        <f t="shared" ref="AH150:BM150" si="294">AH125-AH81</f>
        <v>0</v>
      </c>
      <c r="AI150" s="31">
        <f t="shared" si="294"/>
        <v>0</v>
      </c>
      <c r="AJ150" s="31">
        <f t="shared" si="294"/>
        <v>0</v>
      </c>
      <c r="AK150" s="31">
        <f t="shared" si="294"/>
        <v>0</v>
      </c>
      <c r="AL150" s="31">
        <f t="shared" si="294"/>
        <v>0</v>
      </c>
      <c r="AM150" s="31">
        <f t="shared" si="294"/>
        <v>0</v>
      </c>
      <c r="AN150" s="31">
        <f t="shared" si="294"/>
        <v>0</v>
      </c>
      <c r="AO150" s="31">
        <f t="shared" si="294"/>
        <v>0</v>
      </c>
      <c r="AP150" s="31">
        <f t="shared" si="294"/>
        <v>0</v>
      </c>
      <c r="AQ150" s="31">
        <f t="shared" si="294"/>
        <v>0</v>
      </c>
      <c r="AR150" s="31">
        <f t="shared" si="294"/>
        <v>0</v>
      </c>
      <c r="AS150" s="31">
        <f t="shared" si="294"/>
        <v>0</v>
      </c>
      <c r="AT150" s="31">
        <f t="shared" si="294"/>
        <v>0</v>
      </c>
      <c r="AU150" s="31">
        <f t="shared" si="294"/>
        <v>0</v>
      </c>
      <c r="AV150" s="31">
        <f t="shared" si="294"/>
        <v>0</v>
      </c>
      <c r="AW150" s="31">
        <f t="shared" si="294"/>
        <v>0</v>
      </c>
      <c r="AX150" s="31">
        <f t="shared" si="294"/>
        <v>0</v>
      </c>
      <c r="AY150" s="31">
        <f t="shared" si="294"/>
        <v>0</v>
      </c>
      <c r="AZ150" s="31">
        <f t="shared" si="294"/>
        <v>0</v>
      </c>
      <c r="BA150" s="31">
        <f t="shared" si="294"/>
        <v>0</v>
      </c>
      <c r="BB150" s="31">
        <f t="shared" si="294"/>
        <v>0</v>
      </c>
      <c r="BC150" s="31">
        <f t="shared" si="294"/>
        <v>0</v>
      </c>
      <c r="BD150" s="31">
        <f t="shared" si="294"/>
        <v>0</v>
      </c>
      <c r="BE150" s="31">
        <f t="shared" si="294"/>
        <v>0</v>
      </c>
      <c r="BF150" s="31">
        <f t="shared" si="294"/>
        <v>0</v>
      </c>
      <c r="BG150" s="31">
        <f t="shared" si="294"/>
        <v>0</v>
      </c>
      <c r="BH150" s="31">
        <f t="shared" si="294"/>
        <v>0</v>
      </c>
      <c r="BI150" s="31">
        <f t="shared" si="294"/>
        <v>0</v>
      </c>
      <c r="BJ150" s="28">
        <f t="shared" si="294"/>
        <v>40.661999999999999</v>
      </c>
      <c r="BK150" s="28">
        <f t="shared" si="294"/>
        <v>37.771078299999992</v>
      </c>
      <c r="BL150" s="28">
        <f t="shared" si="294"/>
        <v>41.766921700000005</v>
      </c>
      <c r="BM150" s="28">
        <f t="shared" si="294"/>
        <v>42.899999999999991</v>
      </c>
      <c r="BN150" s="28">
        <f t="shared" ref="BN150:CS150" si="295">BN125-BN81</f>
        <v>163.1</v>
      </c>
      <c r="BO150" s="28">
        <f t="shared" si="295"/>
        <v>46.052296000000005</v>
      </c>
      <c r="BP150" s="28">
        <f t="shared" si="295"/>
        <v>44.832466499999988</v>
      </c>
      <c r="BQ150" s="28">
        <f t="shared" si="295"/>
        <v>47.880819199999983</v>
      </c>
      <c r="BR150" s="28">
        <f t="shared" si="295"/>
        <v>48.69596660000002</v>
      </c>
      <c r="BS150" s="28">
        <f t="shared" si="295"/>
        <v>187.46154829999998</v>
      </c>
      <c r="BT150" s="28">
        <f t="shared" si="295"/>
        <v>51.300000000000011</v>
      </c>
      <c r="BU150" s="28">
        <f t="shared" si="295"/>
        <v>47.234647100000004</v>
      </c>
      <c r="BV150" s="28">
        <f t="shared" si="295"/>
        <v>50.091269599999983</v>
      </c>
      <c r="BW150" s="28">
        <f t="shared" si="295"/>
        <v>52.924183350000007</v>
      </c>
      <c r="BX150" s="28">
        <f t="shared" si="295"/>
        <v>201.55010005000003</v>
      </c>
      <c r="BY150" s="28">
        <f t="shared" si="295"/>
        <v>55.699999999999996</v>
      </c>
      <c r="BZ150" s="28">
        <f t="shared" si="295"/>
        <v>52.5</v>
      </c>
      <c r="CA150" s="28">
        <f t="shared" si="295"/>
        <v>55.599999999999987</v>
      </c>
      <c r="CB150" s="28">
        <f t="shared" si="295"/>
        <v>58.4</v>
      </c>
      <c r="CC150" s="28">
        <f t="shared" si="295"/>
        <v>222.20000000000005</v>
      </c>
      <c r="CD150" s="28">
        <f t="shared" si="295"/>
        <v>64.500000000000014</v>
      </c>
      <c r="CE150" s="28">
        <f t="shared" si="295"/>
        <v>60.475984499999981</v>
      </c>
      <c r="CF150" s="28">
        <f t="shared" si="295"/>
        <v>61.6</v>
      </c>
      <c r="CG150" s="28">
        <f t="shared" si="295"/>
        <v>63.099999999999994</v>
      </c>
      <c r="CH150" s="28">
        <f t="shared" si="295"/>
        <v>249.6759845</v>
      </c>
      <c r="CI150" s="28">
        <f t="shared" si="295"/>
        <v>65.3</v>
      </c>
      <c r="CJ150" s="28">
        <f t="shared" si="295"/>
        <v>59.400000000000006</v>
      </c>
      <c r="CK150" s="28">
        <f t="shared" si="295"/>
        <v>60.689692490000013</v>
      </c>
      <c r="CL150" s="28">
        <f t="shared" si="295"/>
        <v>64.757323380000003</v>
      </c>
      <c r="CM150" s="28">
        <f t="shared" si="295"/>
        <v>250.14701587000002</v>
      </c>
      <c r="CN150" s="28">
        <f t="shared" si="295"/>
        <v>73.3</v>
      </c>
      <c r="CO150" s="28">
        <f t="shared" si="295"/>
        <v>66.299999999999983</v>
      </c>
      <c r="CP150" s="28">
        <f t="shared" si="295"/>
        <v>69.200000000000017</v>
      </c>
      <c r="CQ150" s="28">
        <f t="shared" si="295"/>
        <v>70.799999999999969</v>
      </c>
      <c r="CR150" s="28">
        <f t="shared" si="295"/>
        <v>279.60000000000002</v>
      </c>
      <c r="CS150" s="28">
        <f t="shared" si="295"/>
        <v>78.685124389999999</v>
      </c>
      <c r="CT150" s="28">
        <f t="shared" ref="CT150:DT150" si="296">CT125-CT81</f>
        <v>74.082263899999987</v>
      </c>
      <c r="CU150" s="28">
        <f t="shared" si="296"/>
        <v>77.527888499999975</v>
      </c>
      <c r="CV150" s="28">
        <f t="shared" si="296"/>
        <v>74.401141020000097</v>
      </c>
      <c r="CW150" s="28">
        <f t="shared" si="296"/>
        <v>304.69641781000001</v>
      </c>
      <c r="CX150" s="28">
        <f t="shared" si="296"/>
        <v>80.460999999999999</v>
      </c>
      <c r="CY150" s="28">
        <f t="shared" si="296"/>
        <v>69.847000000000008</v>
      </c>
      <c r="CZ150" s="28">
        <f t="shared" si="296"/>
        <v>75.118000000000009</v>
      </c>
      <c r="DA150" s="28">
        <f t="shared" si="296"/>
        <v>76.882999999999996</v>
      </c>
      <c r="DB150" s="28">
        <f t="shared" si="296"/>
        <v>302.30899999999997</v>
      </c>
      <c r="DC150" s="28">
        <f t="shared" si="296"/>
        <v>82.86099999999999</v>
      </c>
      <c r="DD150" s="28">
        <f t="shared" si="296"/>
        <v>77.225999999999999</v>
      </c>
      <c r="DE150" s="28">
        <f t="shared" si="296"/>
        <v>81.76400000000001</v>
      </c>
      <c r="DF150" s="28">
        <f t="shared" si="296"/>
        <v>86.379000000000005</v>
      </c>
      <c r="DG150" s="28">
        <f t="shared" si="296"/>
        <v>328.23</v>
      </c>
      <c r="DH150" s="28">
        <f t="shared" si="296"/>
        <v>89.373999999999995</v>
      </c>
      <c r="DI150" s="28">
        <f t="shared" si="296"/>
        <v>65.349999999999994</v>
      </c>
      <c r="DJ150" s="28">
        <f t="shared" si="296"/>
        <v>76.302000000000007</v>
      </c>
      <c r="DK150" s="28">
        <f t="shared" si="296"/>
        <v>86.267999999999986</v>
      </c>
      <c r="DL150" s="28">
        <f t="shared" si="296"/>
        <v>317.29399999999998</v>
      </c>
      <c r="DM150" s="28">
        <f t="shared" si="296"/>
        <v>84.171000000000006</v>
      </c>
      <c r="DN150" s="28">
        <f t="shared" si="296"/>
        <v>89.497</v>
      </c>
      <c r="DO150" s="28">
        <f t="shared" si="296"/>
        <v>94.914000000000001</v>
      </c>
      <c r="DP150" s="28">
        <f t="shared" si="296"/>
        <v>63.027999999999999</v>
      </c>
      <c r="DQ150" s="28">
        <f t="shared" si="296"/>
        <v>331.61</v>
      </c>
      <c r="DR150" s="28">
        <f t="shared" si="296"/>
        <v>0</v>
      </c>
      <c r="DS150" s="28">
        <f t="shared" si="296"/>
        <v>0</v>
      </c>
      <c r="DT150" s="28">
        <f t="shared" si="296"/>
        <v>0</v>
      </c>
      <c r="DU150" s="28">
        <f t="shared" ref="DU150:ED150" si="297">DU125-DU81</f>
        <v>0</v>
      </c>
      <c r="DV150" s="28">
        <f t="shared" si="297"/>
        <v>0</v>
      </c>
      <c r="DW150" s="28">
        <f t="shared" si="297"/>
        <v>0</v>
      </c>
      <c r="DX150" s="28">
        <f t="shared" si="297"/>
        <v>0</v>
      </c>
      <c r="DY150" s="28">
        <f t="shared" si="297"/>
        <v>0</v>
      </c>
      <c r="DZ150" s="28">
        <f t="shared" si="297"/>
        <v>0</v>
      </c>
      <c r="EA150" s="28">
        <f t="shared" si="297"/>
        <v>0</v>
      </c>
      <c r="EB150" s="28">
        <f t="shared" si="297"/>
        <v>0</v>
      </c>
      <c r="EC150" s="28">
        <f t="shared" si="297"/>
        <v>0</v>
      </c>
      <c r="ED150" s="28">
        <f t="shared" si="297"/>
        <v>0</v>
      </c>
      <c r="EE150" s="28">
        <f t="shared" ref="EE150" si="298">EE125-EE81</f>
        <v>0</v>
      </c>
      <c r="EF150" s="28">
        <f t="shared" ref="EF150:EG150" si="299">EF125-EF81</f>
        <v>0</v>
      </c>
      <c r="EG150" s="28">
        <f t="shared" si="299"/>
        <v>0</v>
      </c>
      <c r="EH150" s="28">
        <f t="shared" ref="EH150" si="300">EH125-EH81</f>
        <v>0</v>
      </c>
      <c r="EI150" s="28">
        <f t="shared" ref="EI150" si="301">EI125-EI81</f>
        <v>0</v>
      </c>
    </row>
    <row r="151" spans="1:139" ht="15" thickTop="1" x14ac:dyDescent="0.3">
      <c r="A151" s="1" t="s">
        <v>443</v>
      </c>
      <c r="B151" s="30">
        <f t="shared" ref="B151:AG151" si="302">B126-B82</f>
        <v>0</v>
      </c>
      <c r="C151" s="30">
        <f t="shared" si="302"/>
        <v>0</v>
      </c>
      <c r="D151" s="30">
        <f t="shared" si="302"/>
        <v>0</v>
      </c>
      <c r="E151" s="30">
        <f t="shared" si="302"/>
        <v>0</v>
      </c>
      <c r="F151" s="30">
        <f t="shared" si="302"/>
        <v>0</v>
      </c>
      <c r="G151" s="30">
        <f t="shared" si="302"/>
        <v>0</v>
      </c>
      <c r="H151" s="30">
        <f t="shared" si="302"/>
        <v>0</v>
      </c>
      <c r="I151" s="30">
        <f t="shared" si="302"/>
        <v>0</v>
      </c>
      <c r="J151" s="30">
        <f t="shared" si="302"/>
        <v>0</v>
      </c>
      <c r="K151" s="30">
        <f t="shared" si="302"/>
        <v>0</v>
      </c>
      <c r="L151" s="30">
        <f t="shared" si="302"/>
        <v>0</v>
      </c>
      <c r="M151" s="30">
        <f t="shared" si="302"/>
        <v>0</v>
      </c>
      <c r="N151" s="30">
        <f t="shared" si="302"/>
        <v>0</v>
      </c>
      <c r="O151" s="30">
        <f t="shared" si="302"/>
        <v>0</v>
      </c>
      <c r="P151" s="30">
        <f t="shared" si="302"/>
        <v>0</v>
      </c>
      <c r="Q151" s="30">
        <f t="shared" si="302"/>
        <v>0</v>
      </c>
      <c r="R151" s="30">
        <f t="shared" si="302"/>
        <v>0</v>
      </c>
      <c r="S151" s="30">
        <f t="shared" si="302"/>
        <v>0</v>
      </c>
      <c r="T151" s="30">
        <f t="shared" si="302"/>
        <v>0</v>
      </c>
      <c r="U151" s="30">
        <f t="shared" si="302"/>
        <v>0</v>
      </c>
      <c r="V151" s="30">
        <f t="shared" si="302"/>
        <v>0</v>
      </c>
      <c r="W151" s="30">
        <f t="shared" si="302"/>
        <v>0</v>
      </c>
      <c r="X151" s="30">
        <f t="shared" si="302"/>
        <v>0</v>
      </c>
      <c r="Y151" s="30">
        <f t="shared" si="302"/>
        <v>0</v>
      </c>
      <c r="Z151" s="30">
        <f t="shared" si="302"/>
        <v>0</v>
      </c>
      <c r="AA151" s="30">
        <f t="shared" si="302"/>
        <v>0</v>
      </c>
      <c r="AB151" s="30">
        <f t="shared" si="302"/>
        <v>0</v>
      </c>
      <c r="AC151" s="30">
        <f t="shared" si="302"/>
        <v>0</v>
      </c>
      <c r="AD151" s="30">
        <f t="shared" si="302"/>
        <v>0</v>
      </c>
      <c r="AE151" s="30">
        <f t="shared" si="302"/>
        <v>0</v>
      </c>
      <c r="AF151" s="30">
        <f t="shared" si="302"/>
        <v>0</v>
      </c>
      <c r="AG151" s="30">
        <f t="shared" si="302"/>
        <v>0</v>
      </c>
      <c r="AH151" s="30">
        <f t="shared" ref="AH151:BM151" si="303">AH126-AH82</f>
        <v>0</v>
      </c>
      <c r="AI151" s="30">
        <f t="shared" si="303"/>
        <v>0</v>
      </c>
      <c r="AJ151" s="30">
        <f t="shared" si="303"/>
        <v>0</v>
      </c>
      <c r="AK151" s="30">
        <f t="shared" si="303"/>
        <v>0</v>
      </c>
      <c r="AL151" s="30">
        <f t="shared" si="303"/>
        <v>0</v>
      </c>
      <c r="AM151" s="30">
        <f t="shared" si="303"/>
        <v>0</v>
      </c>
      <c r="AN151" s="30">
        <f t="shared" si="303"/>
        <v>0</v>
      </c>
      <c r="AO151" s="30">
        <f t="shared" si="303"/>
        <v>0</v>
      </c>
      <c r="AP151" s="30">
        <f t="shared" si="303"/>
        <v>0</v>
      </c>
      <c r="AQ151" s="30">
        <f t="shared" si="303"/>
        <v>0</v>
      </c>
      <c r="AR151" s="30">
        <f t="shared" si="303"/>
        <v>0</v>
      </c>
      <c r="AS151" s="30">
        <f t="shared" si="303"/>
        <v>0</v>
      </c>
      <c r="AT151" s="30">
        <f t="shared" si="303"/>
        <v>0</v>
      </c>
      <c r="AU151" s="30">
        <f t="shared" si="303"/>
        <v>0</v>
      </c>
      <c r="AV151" s="30">
        <f t="shared" si="303"/>
        <v>0</v>
      </c>
      <c r="AW151" s="30">
        <f t="shared" si="303"/>
        <v>0</v>
      </c>
      <c r="AX151" s="30">
        <f t="shared" si="303"/>
        <v>0</v>
      </c>
      <c r="AY151" s="30">
        <f t="shared" si="303"/>
        <v>0</v>
      </c>
      <c r="AZ151" s="30">
        <f t="shared" si="303"/>
        <v>0</v>
      </c>
      <c r="BA151" s="30">
        <f t="shared" si="303"/>
        <v>0</v>
      </c>
      <c r="BB151" s="30">
        <f t="shared" si="303"/>
        <v>0</v>
      </c>
      <c r="BC151" s="30">
        <f t="shared" si="303"/>
        <v>0</v>
      </c>
      <c r="BD151" s="30">
        <f t="shared" si="303"/>
        <v>0</v>
      </c>
      <c r="BE151" s="30">
        <f t="shared" si="303"/>
        <v>0</v>
      </c>
      <c r="BF151" s="30">
        <f t="shared" si="303"/>
        <v>0</v>
      </c>
      <c r="BG151" s="30">
        <f t="shared" si="303"/>
        <v>0</v>
      </c>
      <c r="BH151" s="30">
        <f t="shared" si="303"/>
        <v>0</v>
      </c>
      <c r="BI151" s="30">
        <f t="shared" si="303"/>
        <v>0</v>
      </c>
      <c r="BJ151" s="27">
        <f t="shared" si="303"/>
        <v>35.888999999999989</v>
      </c>
      <c r="BK151" s="27">
        <f t="shared" si="303"/>
        <v>38.668689139999984</v>
      </c>
      <c r="BL151" s="27">
        <f t="shared" si="303"/>
        <v>40.9</v>
      </c>
      <c r="BM151" s="27">
        <f t="shared" si="303"/>
        <v>43.5</v>
      </c>
      <c r="BN151" s="27">
        <f t="shared" ref="BN151:CS151" si="304">BN126-BN82</f>
        <v>158.95768913999996</v>
      </c>
      <c r="BO151" s="27">
        <f t="shared" si="304"/>
        <v>43.682915800000004</v>
      </c>
      <c r="BP151" s="27">
        <f t="shared" si="304"/>
        <v>44.143264349999981</v>
      </c>
      <c r="BQ151" s="27">
        <f t="shared" si="304"/>
        <v>48.168627100000023</v>
      </c>
      <c r="BR151" s="27">
        <f t="shared" si="304"/>
        <v>50.087114109999987</v>
      </c>
      <c r="BS151" s="27">
        <f t="shared" si="304"/>
        <v>186.08192136000002</v>
      </c>
      <c r="BT151" s="27">
        <f t="shared" si="304"/>
        <v>49</v>
      </c>
      <c r="BU151" s="27">
        <f t="shared" si="304"/>
        <v>46.956708099999979</v>
      </c>
      <c r="BV151" s="27">
        <f t="shared" si="304"/>
        <v>52.474142400000019</v>
      </c>
      <c r="BW151" s="27">
        <f t="shared" si="304"/>
        <v>40.355926899999986</v>
      </c>
      <c r="BX151" s="27">
        <f t="shared" si="304"/>
        <v>188.78677740000001</v>
      </c>
      <c r="BY151" s="27">
        <f t="shared" si="304"/>
        <v>51.499999999999993</v>
      </c>
      <c r="BZ151" s="27">
        <f t="shared" si="304"/>
        <v>50.699999999999996</v>
      </c>
      <c r="CA151" s="27">
        <f t="shared" si="304"/>
        <v>56</v>
      </c>
      <c r="CB151" s="27">
        <f t="shared" si="304"/>
        <v>57.900000000000013</v>
      </c>
      <c r="CC151" s="27">
        <f t="shared" si="304"/>
        <v>216.09999999999997</v>
      </c>
      <c r="CD151" s="27">
        <f t="shared" si="304"/>
        <v>56.400000000000013</v>
      </c>
      <c r="CE151" s="27">
        <f t="shared" si="304"/>
        <v>54.423825750000006</v>
      </c>
      <c r="CF151" s="27">
        <f t="shared" si="304"/>
        <v>59.000000000000014</v>
      </c>
      <c r="CG151" s="27">
        <f t="shared" si="304"/>
        <v>63.699999999999989</v>
      </c>
      <c r="CH151" s="27">
        <f t="shared" si="304"/>
        <v>233.52382575000004</v>
      </c>
      <c r="CI151" s="27">
        <f t="shared" si="304"/>
        <v>60.900000000000006</v>
      </c>
      <c r="CJ151" s="27">
        <f t="shared" si="304"/>
        <v>57.7</v>
      </c>
      <c r="CK151" s="27">
        <f t="shared" si="304"/>
        <v>62.440334249999992</v>
      </c>
      <c r="CL151" s="27">
        <f t="shared" si="304"/>
        <v>63.97565175999997</v>
      </c>
      <c r="CM151" s="27">
        <f t="shared" si="304"/>
        <v>245.01598601000001</v>
      </c>
      <c r="CN151" s="27">
        <f t="shared" si="304"/>
        <v>60.300000000000004</v>
      </c>
      <c r="CO151" s="27">
        <f t="shared" si="304"/>
        <v>56.099999999999994</v>
      </c>
      <c r="CP151" s="27">
        <f t="shared" si="304"/>
        <v>62.800000000000004</v>
      </c>
      <c r="CQ151" s="27">
        <f t="shared" si="304"/>
        <v>65.900000000000006</v>
      </c>
      <c r="CR151" s="27">
        <f t="shared" si="304"/>
        <v>245.1</v>
      </c>
      <c r="CS151" s="27">
        <f t="shared" si="304"/>
        <v>64.66119372</v>
      </c>
      <c r="CT151" s="27">
        <f t="shared" ref="CT151:DT151" si="305">CT126-CT82</f>
        <v>62.243333220000018</v>
      </c>
      <c r="CU151" s="27">
        <f t="shared" si="305"/>
        <v>66.755670500000008</v>
      </c>
      <c r="CV151" s="27">
        <f t="shared" si="305"/>
        <v>71.323343249999979</v>
      </c>
      <c r="CW151" s="27">
        <f t="shared" si="305"/>
        <v>264.98354069000004</v>
      </c>
      <c r="CX151" s="27">
        <f t="shared" si="305"/>
        <v>69.736999999999995</v>
      </c>
      <c r="CY151" s="27">
        <f t="shared" si="305"/>
        <v>63.1</v>
      </c>
      <c r="CZ151" s="27">
        <f t="shared" si="305"/>
        <v>72.831999999999994</v>
      </c>
      <c r="DA151" s="27">
        <f t="shared" si="305"/>
        <v>76.495000000000005</v>
      </c>
      <c r="DB151" s="27">
        <f t="shared" si="305"/>
        <v>282.16399999999999</v>
      </c>
      <c r="DC151" s="27">
        <f t="shared" si="305"/>
        <v>76.303999999999988</v>
      </c>
      <c r="DD151" s="27">
        <f t="shared" si="305"/>
        <v>72.246000000000009</v>
      </c>
      <c r="DE151" s="27">
        <f t="shared" si="305"/>
        <v>76.754999999999995</v>
      </c>
      <c r="DF151" s="27">
        <f t="shared" si="305"/>
        <v>81.230999999999995</v>
      </c>
      <c r="DG151" s="27">
        <f t="shared" si="305"/>
        <v>306.536</v>
      </c>
      <c r="DH151" s="27">
        <f t="shared" si="305"/>
        <v>72.15100000000001</v>
      </c>
      <c r="DI151" s="27">
        <f t="shared" si="305"/>
        <v>44.937999999999995</v>
      </c>
      <c r="DJ151" s="27">
        <f t="shared" si="305"/>
        <v>67.8</v>
      </c>
      <c r="DK151" s="27">
        <f t="shared" si="305"/>
        <v>78.143000000000001</v>
      </c>
      <c r="DL151" s="27">
        <f t="shared" si="305"/>
        <v>263.03200000000004</v>
      </c>
      <c r="DM151" s="27">
        <f t="shared" si="305"/>
        <v>71.155000000000001</v>
      </c>
      <c r="DN151" s="27">
        <f t="shared" si="305"/>
        <v>67.228999999999999</v>
      </c>
      <c r="DO151" s="27">
        <f t="shared" si="305"/>
        <v>82.588000000000008</v>
      </c>
      <c r="DP151" s="27">
        <f t="shared" si="305"/>
        <v>87.597000000000008</v>
      </c>
      <c r="DQ151" s="27">
        <f t="shared" si="305"/>
        <v>308.56900000000007</v>
      </c>
      <c r="DR151" s="27">
        <f t="shared" si="305"/>
        <v>82.468999999999994</v>
      </c>
      <c r="DS151" s="27">
        <f t="shared" si="305"/>
        <v>80.207000000000008</v>
      </c>
      <c r="DT151" s="27">
        <f t="shared" si="305"/>
        <v>96.021000000000001</v>
      </c>
      <c r="DU151" s="27">
        <f t="shared" ref="DU151:ED151" si="306">DU126-DU82</f>
        <v>100.114</v>
      </c>
      <c r="DV151" s="27">
        <f t="shared" si="306"/>
        <v>358.81099999999992</v>
      </c>
      <c r="DW151" s="27">
        <f t="shared" si="306"/>
        <v>97.841999999999999</v>
      </c>
      <c r="DX151" s="27">
        <f t="shared" si="306"/>
        <v>95.293000000000006</v>
      </c>
      <c r="DY151" s="27">
        <f t="shared" si="306"/>
        <v>114.06752085000001</v>
      </c>
      <c r="DZ151" s="27">
        <f t="shared" si="306"/>
        <v>131.62899751999998</v>
      </c>
      <c r="EA151" s="27">
        <f t="shared" si="306"/>
        <v>438.83151837000008</v>
      </c>
      <c r="EB151" s="27">
        <f t="shared" si="306"/>
        <v>120.15064187</v>
      </c>
      <c r="EC151" s="27">
        <f t="shared" si="306"/>
        <v>122.36946070999998</v>
      </c>
      <c r="ED151" s="27">
        <f t="shared" si="306"/>
        <v>134.072</v>
      </c>
      <c r="EE151" s="27">
        <f t="shared" ref="EE151" si="307">EE126-EE82</f>
        <v>141.24081217999998</v>
      </c>
      <c r="EF151" s="27">
        <f t="shared" ref="EF151:EG151" si="308">EF126-EF82</f>
        <v>517.83291475999999</v>
      </c>
      <c r="EG151" s="27">
        <f t="shared" si="308"/>
        <v>138.97054178000002</v>
      </c>
      <c r="EH151" s="27">
        <f t="shared" ref="EH151" si="309">EH126-EH82</f>
        <v>130.15056205000002</v>
      </c>
      <c r="EI151" s="27">
        <f t="shared" ref="EI151" si="310">EI126-EI82</f>
        <v>146.89417490999992</v>
      </c>
    </row>
    <row r="152" spans="1:139" ht="15" thickBot="1" x14ac:dyDescent="0.35">
      <c r="A152" s="2" t="s">
        <v>481</v>
      </c>
      <c r="B152" s="31">
        <f t="shared" ref="B152:AG152" si="311">B127-B83</f>
        <v>0</v>
      </c>
      <c r="C152" s="31">
        <f t="shared" si="311"/>
        <v>0</v>
      </c>
      <c r="D152" s="31">
        <f t="shared" si="311"/>
        <v>0</v>
      </c>
      <c r="E152" s="31">
        <f t="shared" si="311"/>
        <v>0</v>
      </c>
      <c r="F152" s="31">
        <f t="shared" si="311"/>
        <v>0</v>
      </c>
      <c r="G152" s="31">
        <f t="shared" si="311"/>
        <v>0</v>
      </c>
      <c r="H152" s="31">
        <f t="shared" si="311"/>
        <v>0</v>
      </c>
      <c r="I152" s="31">
        <f t="shared" si="311"/>
        <v>0</v>
      </c>
      <c r="J152" s="31">
        <f t="shared" si="311"/>
        <v>0</v>
      </c>
      <c r="K152" s="31">
        <f t="shared" si="311"/>
        <v>0</v>
      </c>
      <c r="L152" s="31">
        <f t="shared" si="311"/>
        <v>0</v>
      </c>
      <c r="M152" s="31">
        <f t="shared" si="311"/>
        <v>0</v>
      </c>
      <c r="N152" s="31">
        <f t="shared" si="311"/>
        <v>0</v>
      </c>
      <c r="O152" s="31">
        <f t="shared" si="311"/>
        <v>0</v>
      </c>
      <c r="P152" s="31">
        <f t="shared" si="311"/>
        <v>0</v>
      </c>
      <c r="Q152" s="31">
        <f t="shared" si="311"/>
        <v>0</v>
      </c>
      <c r="R152" s="31">
        <f t="shared" si="311"/>
        <v>0</v>
      </c>
      <c r="S152" s="31">
        <f t="shared" si="311"/>
        <v>0</v>
      </c>
      <c r="T152" s="31">
        <f t="shared" si="311"/>
        <v>0</v>
      </c>
      <c r="U152" s="31">
        <f t="shared" si="311"/>
        <v>0</v>
      </c>
      <c r="V152" s="31">
        <f t="shared" si="311"/>
        <v>0</v>
      </c>
      <c r="W152" s="31">
        <f t="shared" si="311"/>
        <v>0</v>
      </c>
      <c r="X152" s="31">
        <f t="shared" si="311"/>
        <v>0</v>
      </c>
      <c r="Y152" s="31">
        <f t="shared" si="311"/>
        <v>0</v>
      </c>
      <c r="Z152" s="31">
        <f t="shared" si="311"/>
        <v>0</v>
      </c>
      <c r="AA152" s="31">
        <f t="shared" si="311"/>
        <v>0</v>
      </c>
      <c r="AB152" s="31">
        <f t="shared" si="311"/>
        <v>0</v>
      </c>
      <c r="AC152" s="31">
        <f t="shared" si="311"/>
        <v>0</v>
      </c>
      <c r="AD152" s="31">
        <f t="shared" si="311"/>
        <v>0</v>
      </c>
      <c r="AE152" s="31">
        <f t="shared" si="311"/>
        <v>0</v>
      </c>
      <c r="AF152" s="31">
        <f t="shared" si="311"/>
        <v>0</v>
      </c>
      <c r="AG152" s="31">
        <f t="shared" si="311"/>
        <v>0</v>
      </c>
      <c r="AH152" s="31">
        <f t="shared" ref="AH152:BM152" si="312">AH127-AH83</f>
        <v>0</v>
      </c>
      <c r="AI152" s="31">
        <f t="shared" si="312"/>
        <v>0</v>
      </c>
      <c r="AJ152" s="31">
        <f t="shared" si="312"/>
        <v>0</v>
      </c>
      <c r="AK152" s="31">
        <f t="shared" si="312"/>
        <v>0</v>
      </c>
      <c r="AL152" s="31">
        <f t="shared" si="312"/>
        <v>0</v>
      </c>
      <c r="AM152" s="31">
        <f t="shared" si="312"/>
        <v>0</v>
      </c>
      <c r="AN152" s="31">
        <f t="shared" si="312"/>
        <v>0</v>
      </c>
      <c r="AO152" s="31">
        <f t="shared" si="312"/>
        <v>0</v>
      </c>
      <c r="AP152" s="31">
        <f t="shared" si="312"/>
        <v>0</v>
      </c>
      <c r="AQ152" s="31">
        <f t="shared" si="312"/>
        <v>0</v>
      </c>
      <c r="AR152" s="31">
        <f t="shared" si="312"/>
        <v>0</v>
      </c>
      <c r="AS152" s="31">
        <f t="shared" si="312"/>
        <v>0</v>
      </c>
      <c r="AT152" s="31">
        <f t="shared" si="312"/>
        <v>0</v>
      </c>
      <c r="AU152" s="31">
        <f t="shared" si="312"/>
        <v>0</v>
      </c>
      <c r="AV152" s="31">
        <f t="shared" si="312"/>
        <v>0</v>
      </c>
      <c r="AW152" s="31">
        <f t="shared" si="312"/>
        <v>0</v>
      </c>
      <c r="AX152" s="31">
        <f t="shared" si="312"/>
        <v>0</v>
      </c>
      <c r="AY152" s="31">
        <f t="shared" si="312"/>
        <v>0</v>
      </c>
      <c r="AZ152" s="31">
        <f t="shared" si="312"/>
        <v>0</v>
      </c>
      <c r="BA152" s="31">
        <f t="shared" si="312"/>
        <v>0</v>
      </c>
      <c r="BB152" s="31">
        <f t="shared" si="312"/>
        <v>0</v>
      </c>
      <c r="BC152" s="31">
        <f t="shared" si="312"/>
        <v>0</v>
      </c>
      <c r="BD152" s="31">
        <f t="shared" si="312"/>
        <v>0</v>
      </c>
      <c r="BE152" s="31">
        <f t="shared" si="312"/>
        <v>0</v>
      </c>
      <c r="BF152" s="31">
        <f t="shared" si="312"/>
        <v>0</v>
      </c>
      <c r="BG152" s="31">
        <f t="shared" si="312"/>
        <v>0</v>
      </c>
      <c r="BH152" s="31">
        <f t="shared" si="312"/>
        <v>0</v>
      </c>
      <c r="BI152" s="31">
        <f t="shared" si="312"/>
        <v>0</v>
      </c>
      <c r="BJ152" s="28">
        <f t="shared" si="312"/>
        <v>0</v>
      </c>
      <c r="BK152" s="28">
        <f t="shared" si="312"/>
        <v>0</v>
      </c>
      <c r="BL152" s="28">
        <f t="shared" si="312"/>
        <v>0</v>
      </c>
      <c r="BM152" s="28">
        <f t="shared" si="312"/>
        <v>0</v>
      </c>
      <c r="BN152" s="28">
        <f t="shared" ref="BN152:CS152" si="313">BN127-BN83</f>
        <v>0</v>
      </c>
      <c r="BO152" s="28">
        <f t="shared" si="313"/>
        <v>0</v>
      </c>
      <c r="BP152" s="28">
        <f t="shared" si="313"/>
        <v>0</v>
      </c>
      <c r="BQ152" s="28">
        <f t="shared" si="313"/>
        <v>0</v>
      </c>
      <c r="BR152" s="28">
        <f t="shared" si="313"/>
        <v>0</v>
      </c>
      <c r="BS152" s="28">
        <f t="shared" si="313"/>
        <v>0</v>
      </c>
      <c r="BT152" s="28">
        <f t="shared" si="313"/>
        <v>0</v>
      </c>
      <c r="BU152" s="28">
        <f t="shared" si="313"/>
        <v>0</v>
      </c>
      <c r="BV152" s="28">
        <f t="shared" si="313"/>
        <v>0</v>
      </c>
      <c r="BW152" s="28">
        <f t="shared" si="313"/>
        <v>0</v>
      </c>
      <c r="BX152" s="28">
        <f t="shared" si="313"/>
        <v>0</v>
      </c>
      <c r="BY152" s="28">
        <f t="shared" si="313"/>
        <v>0</v>
      </c>
      <c r="BZ152" s="28">
        <f t="shared" si="313"/>
        <v>0</v>
      </c>
      <c r="CA152" s="28">
        <f t="shared" si="313"/>
        <v>0</v>
      </c>
      <c r="CB152" s="28">
        <f t="shared" si="313"/>
        <v>0</v>
      </c>
      <c r="CC152" s="28">
        <f t="shared" si="313"/>
        <v>0</v>
      </c>
      <c r="CD152" s="28">
        <f t="shared" si="313"/>
        <v>9.5000000000002416E-2</v>
      </c>
      <c r="CE152" s="28">
        <f t="shared" si="313"/>
        <v>18.979586350000005</v>
      </c>
      <c r="CF152" s="28">
        <f t="shared" si="313"/>
        <v>41.5</v>
      </c>
      <c r="CG152" s="28">
        <f t="shared" si="313"/>
        <v>42.800000000000004</v>
      </c>
      <c r="CH152" s="28">
        <f t="shared" si="313"/>
        <v>103.37458635000007</v>
      </c>
      <c r="CI152" s="28">
        <f t="shared" si="313"/>
        <v>41.3</v>
      </c>
      <c r="CJ152" s="28">
        <f t="shared" si="313"/>
        <v>39.600000000000009</v>
      </c>
      <c r="CK152" s="28">
        <f t="shared" si="313"/>
        <v>43.652053859999995</v>
      </c>
      <c r="CL152" s="28">
        <f t="shared" si="313"/>
        <v>48.686443799999978</v>
      </c>
      <c r="CM152" s="28">
        <f t="shared" si="313"/>
        <v>173.23849766000001</v>
      </c>
      <c r="CN152" s="28">
        <f t="shared" si="313"/>
        <v>41.6</v>
      </c>
      <c r="CO152" s="28">
        <f t="shared" si="313"/>
        <v>39.6</v>
      </c>
      <c r="CP152" s="28">
        <f t="shared" si="313"/>
        <v>43.099999999999994</v>
      </c>
      <c r="CQ152" s="28">
        <f t="shared" si="313"/>
        <v>43.4</v>
      </c>
      <c r="CR152" s="28">
        <f t="shared" si="313"/>
        <v>167.69999999999996</v>
      </c>
      <c r="CS152" s="28">
        <f t="shared" si="313"/>
        <v>43.120427839999991</v>
      </c>
      <c r="CT152" s="28">
        <f t="shared" ref="CT152:DT152" si="314">CT127-CT83</f>
        <v>43.929841879999998</v>
      </c>
      <c r="CU152" s="28">
        <f t="shared" si="314"/>
        <v>48.256512549999997</v>
      </c>
      <c r="CV152" s="28">
        <f t="shared" si="314"/>
        <v>49.142563760000058</v>
      </c>
      <c r="CW152" s="28">
        <f t="shared" si="314"/>
        <v>184.44934603000007</v>
      </c>
      <c r="CX152" s="28">
        <f t="shared" si="314"/>
        <v>49.237000000000002</v>
      </c>
      <c r="CY152" s="28">
        <f t="shared" si="314"/>
        <v>43.795000000000002</v>
      </c>
      <c r="CZ152" s="28">
        <f t="shared" si="314"/>
        <v>49.057000000000002</v>
      </c>
      <c r="DA152" s="28">
        <f t="shared" si="314"/>
        <v>48.551000000000002</v>
      </c>
      <c r="DB152" s="28">
        <f t="shared" si="314"/>
        <v>190.64</v>
      </c>
      <c r="DC152" s="28">
        <f t="shared" si="314"/>
        <v>47.995999999999995</v>
      </c>
      <c r="DD152" s="28">
        <f t="shared" si="314"/>
        <v>44.460999999999999</v>
      </c>
      <c r="DE152" s="28">
        <f t="shared" si="314"/>
        <v>45.339999999999989</v>
      </c>
      <c r="DF152" s="28">
        <f t="shared" si="314"/>
        <v>41.849999999999994</v>
      </c>
      <c r="DG152" s="28">
        <f t="shared" si="314"/>
        <v>179.64699999999993</v>
      </c>
      <c r="DH152" s="28">
        <f t="shared" si="314"/>
        <v>41.256999999999991</v>
      </c>
      <c r="DI152" s="28">
        <f t="shared" si="314"/>
        <v>34.518999999999998</v>
      </c>
      <c r="DJ152" s="28">
        <f t="shared" si="314"/>
        <v>43.615000000000002</v>
      </c>
      <c r="DK152" s="28">
        <f t="shared" si="314"/>
        <v>47.605999999999995</v>
      </c>
      <c r="DL152" s="28">
        <f t="shared" si="314"/>
        <v>166.99700000000001</v>
      </c>
      <c r="DM152" s="28">
        <f t="shared" si="314"/>
        <v>46.731999999999999</v>
      </c>
      <c r="DN152" s="28">
        <f t="shared" si="314"/>
        <v>44.155999999999999</v>
      </c>
      <c r="DO152" s="28">
        <f t="shared" si="314"/>
        <v>46.424999999999997</v>
      </c>
      <c r="DP152" s="28">
        <f t="shared" si="314"/>
        <v>47</v>
      </c>
      <c r="DQ152" s="28">
        <f t="shared" si="314"/>
        <v>184.31300000000005</v>
      </c>
      <c r="DR152" s="28">
        <f t="shared" si="314"/>
        <v>49.285999999999987</v>
      </c>
      <c r="DS152" s="28">
        <f t="shared" si="314"/>
        <v>52.641000000000005</v>
      </c>
      <c r="DT152" s="28">
        <f t="shared" si="314"/>
        <v>56.785000000000011</v>
      </c>
      <c r="DU152" s="28">
        <f t="shared" ref="DU152:ED152" si="315">DU127-DU83</f>
        <v>51.738999999999997</v>
      </c>
      <c r="DV152" s="28">
        <f t="shared" si="315"/>
        <v>210.45100000000002</v>
      </c>
      <c r="DW152" s="28">
        <f t="shared" si="315"/>
        <v>57.398999999999994</v>
      </c>
      <c r="DX152" s="28">
        <f t="shared" si="315"/>
        <v>54.944000000000003</v>
      </c>
      <c r="DY152" s="28">
        <f t="shared" si="315"/>
        <v>57.106795269999985</v>
      </c>
      <c r="DZ152" s="28">
        <f t="shared" si="315"/>
        <v>56.383345400000046</v>
      </c>
      <c r="EA152" s="28">
        <f t="shared" si="315"/>
        <v>225.83314067000006</v>
      </c>
      <c r="EB152" s="28">
        <f t="shared" si="315"/>
        <v>55.551048370000004</v>
      </c>
      <c r="EC152" s="28">
        <f t="shared" si="315"/>
        <v>54.655795159999954</v>
      </c>
      <c r="ED152" s="28">
        <f t="shared" si="315"/>
        <v>58.622000000000007</v>
      </c>
      <c r="EE152" s="28">
        <f t="shared" ref="EE152" si="316">EE127-EE83</f>
        <v>59.116934630000003</v>
      </c>
      <c r="EF152" s="28">
        <f t="shared" ref="EF152:EG152" si="317">EF127-EF83</f>
        <v>227.94577815999997</v>
      </c>
      <c r="EG152" s="28">
        <f t="shared" si="317"/>
        <v>58.167369829999998</v>
      </c>
      <c r="EH152" s="28">
        <f t="shared" ref="EH152" si="318">EH127-EH83</f>
        <v>57.209854039999996</v>
      </c>
      <c r="EI152" s="28">
        <f t="shared" ref="EI152" si="319">EI127-EI83</f>
        <v>60.234686670000023</v>
      </c>
    </row>
    <row r="153" spans="1:139" ht="15" thickTop="1" x14ac:dyDescent="0.3">
      <c r="A153" s="1" t="s">
        <v>445</v>
      </c>
      <c r="B153" s="30">
        <f t="shared" ref="B153:AG153" si="320">B128-B84</f>
        <v>0</v>
      </c>
      <c r="C153" s="30">
        <f t="shared" si="320"/>
        <v>0</v>
      </c>
      <c r="D153" s="30">
        <f t="shared" si="320"/>
        <v>0</v>
      </c>
      <c r="E153" s="30">
        <f t="shared" si="320"/>
        <v>0</v>
      </c>
      <c r="F153" s="30">
        <f t="shared" si="320"/>
        <v>0</v>
      </c>
      <c r="G153" s="30">
        <f t="shared" si="320"/>
        <v>0</v>
      </c>
      <c r="H153" s="30">
        <f t="shared" si="320"/>
        <v>0</v>
      </c>
      <c r="I153" s="30">
        <f t="shared" si="320"/>
        <v>0</v>
      </c>
      <c r="J153" s="30">
        <f t="shared" si="320"/>
        <v>0</v>
      </c>
      <c r="K153" s="30">
        <f t="shared" si="320"/>
        <v>0</v>
      </c>
      <c r="L153" s="30">
        <f t="shared" si="320"/>
        <v>0</v>
      </c>
      <c r="M153" s="30">
        <f t="shared" si="320"/>
        <v>0</v>
      </c>
      <c r="N153" s="30">
        <f t="shared" si="320"/>
        <v>0</v>
      </c>
      <c r="O153" s="30">
        <f t="shared" si="320"/>
        <v>0</v>
      </c>
      <c r="P153" s="30">
        <f t="shared" si="320"/>
        <v>0</v>
      </c>
      <c r="Q153" s="30">
        <f t="shared" si="320"/>
        <v>0</v>
      </c>
      <c r="R153" s="30">
        <f t="shared" si="320"/>
        <v>0</v>
      </c>
      <c r="S153" s="30">
        <f t="shared" si="320"/>
        <v>0</v>
      </c>
      <c r="T153" s="30">
        <f t="shared" si="320"/>
        <v>0</v>
      </c>
      <c r="U153" s="30">
        <f t="shared" si="320"/>
        <v>0</v>
      </c>
      <c r="V153" s="30">
        <f t="shared" si="320"/>
        <v>0</v>
      </c>
      <c r="W153" s="30">
        <f t="shared" si="320"/>
        <v>0</v>
      </c>
      <c r="X153" s="30">
        <f t="shared" si="320"/>
        <v>0</v>
      </c>
      <c r="Y153" s="30">
        <f t="shared" si="320"/>
        <v>0</v>
      </c>
      <c r="Z153" s="30">
        <f t="shared" si="320"/>
        <v>0</v>
      </c>
      <c r="AA153" s="30">
        <f t="shared" si="320"/>
        <v>0</v>
      </c>
      <c r="AB153" s="30">
        <f t="shared" si="320"/>
        <v>0</v>
      </c>
      <c r="AC153" s="30">
        <f t="shared" si="320"/>
        <v>0</v>
      </c>
      <c r="AD153" s="30">
        <f t="shared" si="320"/>
        <v>0</v>
      </c>
      <c r="AE153" s="30">
        <f t="shared" si="320"/>
        <v>0</v>
      </c>
      <c r="AF153" s="30">
        <f t="shared" si="320"/>
        <v>0</v>
      </c>
      <c r="AG153" s="30">
        <f t="shared" si="320"/>
        <v>0</v>
      </c>
      <c r="AH153" s="30">
        <f t="shared" ref="AH153:BM153" si="321">AH128-AH84</f>
        <v>0</v>
      </c>
      <c r="AI153" s="30">
        <f t="shared" si="321"/>
        <v>0</v>
      </c>
      <c r="AJ153" s="30">
        <f t="shared" si="321"/>
        <v>0</v>
      </c>
      <c r="AK153" s="30">
        <f t="shared" si="321"/>
        <v>0</v>
      </c>
      <c r="AL153" s="30">
        <f t="shared" si="321"/>
        <v>0</v>
      </c>
      <c r="AM153" s="30">
        <f t="shared" si="321"/>
        <v>0</v>
      </c>
      <c r="AN153" s="30">
        <f t="shared" si="321"/>
        <v>0</v>
      </c>
      <c r="AO153" s="30">
        <f t="shared" si="321"/>
        <v>0</v>
      </c>
      <c r="AP153" s="30">
        <f t="shared" si="321"/>
        <v>0</v>
      </c>
      <c r="AQ153" s="30">
        <f t="shared" si="321"/>
        <v>0</v>
      </c>
      <c r="AR153" s="30">
        <f t="shared" si="321"/>
        <v>0</v>
      </c>
      <c r="AS153" s="30">
        <f t="shared" si="321"/>
        <v>0</v>
      </c>
      <c r="AT153" s="30">
        <f t="shared" si="321"/>
        <v>0</v>
      </c>
      <c r="AU153" s="30">
        <f t="shared" si="321"/>
        <v>0</v>
      </c>
      <c r="AV153" s="30">
        <f t="shared" si="321"/>
        <v>0</v>
      </c>
      <c r="AW153" s="30">
        <f t="shared" si="321"/>
        <v>0</v>
      </c>
      <c r="AX153" s="30">
        <f t="shared" si="321"/>
        <v>0</v>
      </c>
      <c r="AY153" s="30">
        <f t="shared" si="321"/>
        <v>0</v>
      </c>
      <c r="AZ153" s="30">
        <f t="shared" si="321"/>
        <v>0</v>
      </c>
      <c r="BA153" s="30">
        <f t="shared" si="321"/>
        <v>0</v>
      </c>
      <c r="BB153" s="30">
        <f t="shared" si="321"/>
        <v>0</v>
      </c>
      <c r="BC153" s="30">
        <f t="shared" si="321"/>
        <v>0</v>
      </c>
      <c r="BD153" s="30">
        <f t="shared" si="321"/>
        <v>0</v>
      </c>
      <c r="BE153" s="30">
        <f t="shared" si="321"/>
        <v>0</v>
      </c>
      <c r="BF153" s="30">
        <f t="shared" si="321"/>
        <v>0</v>
      </c>
      <c r="BG153" s="30">
        <f t="shared" si="321"/>
        <v>0</v>
      </c>
      <c r="BH153" s="30">
        <f t="shared" si="321"/>
        <v>0</v>
      </c>
      <c r="BI153" s="30">
        <f t="shared" si="321"/>
        <v>0</v>
      </c>
      <c r="BJ153" s="27">
        <f t="shared" si="321"/>
        <v>0</v>
      </c>
      <c r="BK153" s="27">
        <f t="shared" si="321"/>
        <v>0</v>
      </c>
      <c r="BL153" s="27">
        <f t="shared" si="321"/>
        <v>0</v>
      </c>
      <c r="BM153" s="27">
        <f t="shared" si="321"/>
        <v>0</v>
      </c>
      <c r="BN153" s="27">
        <f t="shared" ref="BN153:CS153" si="322">BN128-BN84</f>
        <v>0</v>
      </c>
      <c r="BO153" s="27">
        <f t="shared" si="322"/>
        <v>0</v>
      </c>
      <c r="BP153" s="27">
        <f t="shared" si="322"/>
        <v>0</v>
      </c>
      <c r="BQ153" s="27">
        <f t="shared" si="322"/>
        <v>0</v>
      </c>
      <c r="BR153" s="27">
        <f t="shared" si="322"/>
        <v>0</v>
      </c>
      <c r="BS153" s="27">
        <f t="shared" si="322"/>
        <v>0</v>
      </c>
      <c r="BT153" s="27">
        <f t="shared" si="322"/>
        <v>0</v>
      </c>
      <c r="BU153" s="27">
        <f t="shared" si="322"/>
        <v>0</v>
      </c>
      <c r="BV153" s="27">
        <f t="shared" si="322"/>
        <v>0</v>
      </c>
      <c r="BW153" s="27">
        <f t="shared" si="322"/>
        <v>0</v>
      </c>
      <c r="BX153" s="27">
        <f t="shared" si="322"/>
        <v>0</v>
      </c>
      <c r="BY153" s="27">
        <f t="shared" si="322"/>
        <v>0</v>
      </c>
      <c r="BZ153" s="27">
        <f t="shared" si="322"/>
        <v>0</v>
      </c>
      <c r="CA153" s="27">
        <f t="shared" si="322"/>
        <v>0</v>
      </c>
      <c r="CB153" s="27">
        <f t="shared" si="322"/>
        <v>0</v>
      </c>
      <c r="CC153" s="27">
        <f t="shared" si="322"/>
        <v>0</v>
      </c>
      <c r="CD153" s="27">
        <f t="shared" si="322"/>
        <v>0</v>
      </c>
      <c r="CE153" s="27">
        <f t="shared" si="322"/>
        <v>0</v>
      </c>
      <c r="CF153" s="27">
        <f t="shared" si="322"/>
        <v>0</v>
      </c>
      <c r="CG153" s="27">
        <f t="shared" si="322"/>
        <v>0</v>
      </c>
      <c r="CH153" s="27">
        <f t="shared" si="322"/>
        <v>0</v>
      </c>
      <c r="CI153" s="27">
        <f t="shared" si="322"/>
        <v>0</v>
      </c>
      <c r="CJ153" s="27">
        <f t="shared" si="322"/>
        <v>7.9999999999999991</v>
      </c>
      <c r="CK153" s="27">
        <f t="shared" si="322"/>
        <v>24.938066299999999</v>
      </c>
      <c r="CL153" s="27">
        <f t="shared" si="322"/>
        <v>25.646078289999995</v>
      </c>
      <c r="CM153" s="27">
        <f t="shared" si="322"/>
        <v>58.584144589999994</v>
      </c>
      <c r="CN153" s="27">
        <f t="shared" si="322"/>
        <v>24.400000000000002</v>
      </c>
      <c r="CO153" s="27">
        <f t="shared" si="322"/>
        <v>25</v>
      </c>
      <c r="CP153" s="27">
        <f t="shared" si="322"/>
        <v>27.199999999999992</v>
      </c>
      <c r="CQ153" s="27">
        <f t="shared" si="322"/>
        <v>27.900000000000016</v>
      </c>
      <c r="CR153" s="27">
        <f t="shared" si="322"/>
        <v>104.49999999999997</v>
      </c>
      <c r="CS153" s="27">
        <f t="shared" si="322"/>
        <v>29.10707004999999</v>
      </c>
      <c r="CT153" s="27">
        <f t="shared" ref="CT153:DT153" si="323">CT128-CT84</f>
        <v>28.337276979999992</v>
      </c>
      <c r="CU153" s="27">
        <f t="shared" si="323"/>
        <v>31.036251059999991</v>
      </c>
      <c r="CV153" s="27">
        <f t="shared" si="323"/>
        <v>29.82197530000002</v>
      </c>
      <c r="CW153" s="27">
        <f t="shared" si="323"/>
        <v>118.30257338999999</v>
      </c>
      <c r="CX153" s="27">
        <f t="shared" si="323"/>
        <v>31.170999999999999</v>
      </c>
      <c r="CY153" s="27">
        <f t="shared" si="323"/>
        <v>30.659999999999997</v>
      </c>
      <c r="CZ153" s="27">
        <f t="shared" si="323"/>
        <v>31.181999999999999</v>
      </c>
      <c r="DA153" s="27">
        <f t="shared" si="323"/>
        <v>32.291000000000004</v>
      </c>
      <c r="DB153" s="27">
        <f t="shared" si="323"/>
        <v>125.30400000000002</v>
      </c>
      <c r="DC153" s="27">
        <f t="shared" si="323"/>
        <v>30.209999999999994</v>
      </c>
      <c r="DD153" s="27">
        <f t="shared" si="323"/>
        <v>29.820999999999998</v>
      </c>
      <c r="DE153" s="27">
        <f t="shared" si="323"/>
        <v>30.946000000000012</v>
      </c>
      <c r="DF153" s="27">
        <f t="shared" si="323"/>
        <v>31.423999999999992</v>
      </c>
      <c r="DG153" s="27">
        <f t="shared" si="323"/>
        <v>122.40099999999995</v>
      </c>
      <c r="DH153" s="27">
        <f t="shared" si="323"/>
        <v>27.799999999999997</v>
      </c>
      <c r="DI153" s="27">
        <f t="shared" si="323"/>
        <v>19.104000000000006</v>
      </c>
      <c r="DJ153" s="27">
        <f t="shared" si="323"/>
        <v>27.332000000000004</v>
      </c>
      <c r="DK153" s="27">
        <f t="shared" si="323"/>
        <v>30.750000000000004</v>
      </c>
      <c r="DL153" s="27">
        <f t="shared" si="323"/>
        <v>104.98599999999999</v>
      </c>
      <c r="DM153" s="27">
        <f t="shared" si="323"/>
        <v>29.972999999999995</v>
      </c>
      <c r="DN153" s="27">
        <f t="shared" si="323"/>
        <v>29.399000000000001</v>
      </c>
      <c r="DO153" s="27">
        <f t="shared" si="323"/>
        <v>34.411000000000001</v>
      </c>
      <c r="DP153" s="27">
        <f t="shared" si="323"/>
        <v>34.843000000000004</v>
      </c>
      <c r="DQ153" s="27">
        <f t="shared" si="323"/>
        <v>128.62599999999998</v>
      </c>
      <c r="DR153" s="27">
        <f t="shared" si="323"/>
        <v>32.865000000000002</v>
      </c>
      <c r="DS153" s="27">
        <f t="shared" si="323"/>
        <v>33.316999999999993</v>
      </c>
      <c r="DT153" s="27">
        <f t="shared" si="323"/>
        <v>41.451000000000001</v>
      </c>
      <c r="DU153" s="27">
        <f t="shared" ref="DU153:ED153" si="324">DU128-DU84</f>
        <v>41.955999999999996</v>
      </c>
      <c r="DV153" s="27">
        <f t="shared" si="324"/>
        <v>149.589</v>
      </c>
      <c r="DW153" s="27">
        <f t="shared" si="324"/>
        <v>40.352999999999994</v>
      </c>
      <c r="DX153" s="27">
        <f t="shared" si="324"/>
        <v>40.694999999999993</v>
      </c>
      <c r="DY153" s="27">
        <f t="shared" si="324"/>
        <v>43.186384050000015</v>
      </c>
      <c r="DZ153" s="27">
        <f t="shared" si="324"/>
        <v>44.961932390000001</v>
      </c>
      <c r="EA153" s="27">
        <f t="shared" si="324"/>
        <v>169.19631644</v>
      </c>
      <c r="EB153" s="27">
        <f t="shared" si="324"/>
        <v>41.640697270000004</v>
      </c>
      <c r="EC153" s="27">
        <f t="shared" si="324"/>
        <v>42.829403760000005</v>
      </c>
      <c r="ED153" s="27">
        <f t="shared" si="324"/>
        <v>44.246999999999993</v>
      </c>
      <c r="EE153" s="27">
        <f t="shared" ref="EE153" si="325">EE128-EE84</f>
        <v>44.163809770000015</v>
      </c>
      <c r="EF153" s="27">
        <f t="shared" ref="EF153:EG153" si="326">EF128-EF84</f>
        <v>172.88091080000004</v>
      </c>
      <c r="EG153" s="27">
        <f t="shared" si="326"/>
        <v>43.262213750000001</v>
      </c>
      <c r="EH153" s="27">
        <f t="shared" ref="EH153" si="327">EH128-EH84</f>
        <v>43.38591864</v>
      </c>
      <c r="EI153" s="27">
        <f>EI128-EI84</f>
        <v>45.366396909999999</v>
      </c>
    </row>
    <row r="154" spans="1:139" ht="15" thickBot="1" x14ac:dyDescent="0.35">
      <c r="A154" s="2" t="s">
        <v>444</v>
      </c>
      <c r="B154" s="31">
        <f t="shared" ref="B154:AG154" si="328">B129-B85</f>
        <v>0</v>
      </c>
      <c r="C154" s="31">
        <f t="shared" si="328"/>
        <v>0</v>
      </c>
      <c r="D154" s="31">
        <f t="shared" si="328"/>
        <v>0</v>
      </c>
      <c r="E154" s="31">
        <f t="shared" si="328"/>
        <v>0</v>
      </c>
      <c r="F154" s="31">
        <f t="shared" si="328"/>
        <v>0</v>
      </c>
      <c r="G154" s="31">
        <f t="shared" si="328"/>
        <v>0</v>
      </c>
      <c r="H154" s="31">
        <f t="shared" si="328"/>
        <v>0</v>
      </c>
      <c r="I154" s="31">
        <f t="shared" si="328"/>
        <v>0</v>
      </c>
      <c r="J154" s="31">
        <f t="shared" si="328"/>
        <v>0</v>
      </c>
      <c r="K154" s="31">
        <f t="shared" si="328"/>
        <v>0</v>
      </c>
      <c r="L154" s="31">
        <f t="shared" si="328"/>
        <v>0</v>
      </c>
      <c r="M154" s="31">
        <f t="shared" si="328"/>
        <v>0</v>
      </c>
      <c r="N154" s="31">
        <f t="shared" si="328"/>
        <v>0</v>
      </c>
      <c r="O154" s="31">
        <f t="shared" si="328"/>
        <v>0</v>
      </c>
      <c r="P154" s="31">
        <f t="shared" si="328"/>
        <v>0</v>
      </c>
      <c r="Q154" s="31">
        <f t="shared" si="328"/>
        <v>0</v>
      </c>
      <c r="R154" s="31">
        <f t="shared" si="328"/>
        <v>0</v>
      </c>
      <c r="S154" s="31">
        <f t="shared" si="328"/>
        <v>0</v>
      </c>
      <c r="T154" s="31">
        <f t="shared" si="328"/>
        <v>0</v>
      </c>
      <c r="U154" s="31">
        <f t="shared" si="328"/>
        <v>0</v>
      </c>
      <c r="V154" s="31">
        <f t="shared" si="328"/>
        <v>0</v>
      </c>
      <c r="W154" s="31">
        <f t="shared" si="328"/>
        <v>0</v>
      </c>
      <c r="X154" s="31">
        <f t="shared" si="328"/>
        <v>0</v>
      </c>
      <c r="Y154" s="31">
        <f t="shared" si="328"/>
        <v>0</v>
      </c>
      <c r="Z154" s="31">
        <f t="shared" si="328"/>
        <v>0</v>
      </c>
      <c r="AA154" s="31">
        <f t="shared" si="328"/>
        <v>0</v>
      </c>
      <c r="AB154" s="31">
        <f t="shared" si="328"/>
        <v>0</v>
      </c>
      <c r="AC154" s="31">
        <f t="shared" si="328"/>
        <v>0</v>
      </c>
      <c r="AD154" s="31">
        <f t="shared" si="328"/>
        <v>0</v>
      </c>
      <c r="AE154" s="31">
        <f t="shared" si="328"/>
        <v>0</v>
      </c>
      <c r="AF154" s="31">
        <f t="shared" si="328"/>
        <v>0</v>
      </c>
      <c r="AG154" s="31">
        <f t="shared" si="328"/>
        <v>0</v>
      </c>
      <c r="AH154" s="31">
        <f t="shared" ref="AH154:BM154" si="329">AH129-AH85</f>
        <v>0</v>
      </c>
      <c r="AI154" s="31">
        <f t="shared" si="329"/>
        <v>0</v>
      </c>
      <c r="AJ154" s="31">
        <f t="shared" si="329"/>
        <v>0</v>
      </c>
      <c r="AK154" s="31">
        <f t="shared" si="329"/>
        <v>0</v>
      </c>
      <c r="AL154" s="31">
        <f t="shared" si="329"/>
        <v>0</v>
      </c>
      <c r="AM154" s="31">
        <f t="shared" si="329"/>
        <v>0</v>
      </c>
      <c r="AN154" s="31">
        <f t="shared" si="329"/>
        <v>0</v>
      </c>
      <c r="AO154" s="31">
        <f t="shared" si="329"/>
        <v>0</v>
      </c>
      <c r="AP154" s="31">
        <f t="shared" si="329"/>
        <v>0</v>
      </c>
      <c r="AQ154" s="31">
        <f t="shared" si="329"/>
        <v>0</v>
      </c>
      <c r="AR154" s="31">
        <f t="shared" si="329"/>
        <v>0</v>
      </c>
      <c r="AS154" s="31">
        <f t="shared" si="329"/>
        <v>0</v>
      </c>
      <c r="AT154" s="31">
        <f t="shared" si="329"/>
        <v>0</v>
      </c>
      <c r="AU154" s="31">
        <f t="shared" si="329"/>
        <v>0</v>
      </c>
      <c r="AV154" s="31">
        <f t="shared" si="329"/>
        <v>0</v>
      </c>
      <c r="AW154" s="31">
        <f t="shared" si="329"/>
        <v>0</v>
      </c>
      <c r="AX154" s="31">
        <f t="shared" si="329"/>
        <v>0</v>
      </c>
      <c r="AY154" s="31">
        <f t="shared" si="329"/>
        <v>0</v>
      </c>
      <c r="AZ154" s="31">
        <f t="shared" si="329"/>
        <v>0</v>
      </c>
      <c r="BA154" s="31">
        <f t="shared" si="329"/>
        <v>0</v>
      </c>
      <c r="BB154" s="31">
        <f t="shared" si="329"/>
        <v>0</v>
      </c>
      <c r="BC154" s="31">
        <f t="shared" si="329"/>
        <v>0</v>
      </c>
      <c r="BD154" s="31">
        <f t="shared" si="329"/>
        <v>0</v>
      </c>
      <c r="BE154" s="31">
        <f t="shared" si="329"/>
        <v>0</v>
      </c>
      <c r="BF154" s="31">
        <f t="shared" si="329"/>
        <v>0</v>
      </c>
      <c r="BG154" s="31">
        <f t="shared" si="329"/>
        <v>0</v>
      </c>
      <c r="BH154" s="31">
        <f t="shared" si="329"/>
        <v>0</v>
      </c>
      <c r="BI154" s="31">
        <f t="shared" si="329"/>
        <v>0</v>
      </c>
      <c r="BJ154" s="28">
        <f t="shared" si="329"/>
        <v>0</v>
      </c>
      <c r="BK154" s="28">
        <f t="shared" si="329"/>
        <v>0</v>
      </c>
      <c r="BL154" s="28">
        <f t="shared" si="329"/>
        <v>0</v>
      </c>
      <c r="BM154" s="28">
        <f t="shared" si="329"/>
        <v>0</v>
      </c>
      <c r="BN154" s="28">
        <f t="shared" ref="BN154:CS154" si="330">BN129-BN85</f>
        <v>0</v>
      </c>
      <c r="BO154" s="28">
        <f t="shared" si="330"/>
        <v>0</v>
      </c>
      <c r="BP154" s="28">
        <f t="shared" si="330"/>
        <v>0</v>
      </c>
      <c r="BQ154" s="28">
        <f t="shared" si="330"/>
        <v>0</v>
      </c>
      <c r="BR154" s="28">
        <f t="shared" si="330"/>
        <v>0</v>
      </c>
      <c r="BS154" s="28">
        <f t="shared" si="330"/>
        <v>0</v>
      </c>
      <c r="BT154" s="28">
        <f t="shared" si="330"/>
        <v>0</v>
      </c>
      <c r="BU154" s="28">
        <f t="shared" si="330"/>
        <v>0</v>
      </c>
      <c r="BV154" s="28">
        <f t="shared" si="330"/>
        <v>0</v>
      </c>
      <c r="BW154" s="28">
        <f t="shared" si="330"/>
        <v>0</v>
      </c>
      <c r="BX154" s="28">
        <f t="shared" si="330"/>
        <v>0</v>
      </c>
      <c r="BY154" s="28">
        <f t="shared" si="330"/>
        <v>0</v>
      </c>
      <c r="BZ154" s="28">
        <f t="shared" si="330"/>
        <v>0</v>
      </c>
      <c r="CA154" s="28">
        <f t="shared" si="330"/>
        <v>0</v>
      </c>
      <c r="CB154" s="28">
        <f t="shared" si="330"/>
        <v>0</v>
      </c>
      <c r="CC154" s="28">
        <f t="shared" si="330"/>
        <v>0</v>
      </c>
      <c r="CD154" s="28">
        <f t="shared" si="330"/>
        <v>0</v>
      </c>
      <c r="CE154" s="28">
        <f t="shared" si="330"/>
        <v>0</v>
      </c>
      <c r="CF154" s="28">
        <f t="shared" si="330"/>
        <v>0</v>
      </c>
      <c r="CG154" s="28">
        <f t="shared" si="330"/>
        <v>0</v>
      </c>
      <c r="CH154" s="28">
        <f t="shared" si="330"/>
        <v>0</v>
      </c>
      <c r="CI154" s="28">
        <f t="shared" si="330"/>
        <v>0</v>
      </c>
      <c r="CJ154" s="28">
        <f t="shared" si="330"/>
        <v>0</v>
      </c>
      <c r="CK154" s="28">
        <f t="shared" si="330"/>
        <v>0</v>
      </c>
      <c r="CL154" s="28">
        <f t="shared" si="330"/>
        <v>0</v>
      </c>
      <c r="CM154" s="28">
        <f t="shared" si="330"/>
        <v>0</v>
      </c>
      <c r="CN154" s="28">
        <f t="shared" si="330"/>
        <v>0</v>
      </c>
      <c r="CO154" s="28">
        <f t="shared" si="330"/>
        <v>0</v>
      </c>
      <c r="CP154" s="28">
        <f t="shared" si="330"/>
        <v>0</v>
      </c>
      <c r="CQ154" s="28">
        <f t="shared" si="330"/>
        <v>0</v>
      </c>
      <c r="CR154" s="28">
        <f t="shared" si="330"/>
        <v>0</v>
      </c>
      <c r="CS154" s="28">
        <f t="shared" si="330"/>
        <v>0</v>
      </c>
      <c r="CT154" s="28">
        <f t="shared" ref="CT154:DT154" si="331">CT129-CT85</f>
        <v>0</v>
      </c>
      <c r="CU154" s="28">
        <f t="shared" si="331"/>
        <v>0</v>
      </c>
      <c r="CV154" s="28">
        <f t="shared" si="331"/>
        <v>0</v>
      </c>
      <c r="CW154" s="28">
        <f t="shared" si="331"/>
        <v>0</v>
      </c>
      <c r="CX154" s="28">
        <f t="shared" si="331"/>
        <v>0</v>
      </c>
      <c r="CY154" s="28">
        <f t="shared" si="331"/>
        <v>0</v>
      </c>
      <c r="CZ154" s="28">
        <f t="shared" si="331"/>
        <v>0</v>
      </c>
      <c r="DA154" s="28">
        <f t="shared" si="331"/>
        <v>0</v>
      </c>
      <c r="DB154" s="28">
        <f t="shared" si="331"/>
        <v>0</v>
      </c>
      <c r="DC154" s="28">
        <f t="shared" si="331"/>
        <v>0</v>
      </c>
      <c r="DD154" s="28">
        <f t="shared" si="331"/>
        <v>16.695</v>
      </c>
      <c r="DE154" s="28">
        <f t="shared" si="331"/>
        <v>56.488</v>
      </c>
      <c r="DF154" s="28">
        <f t="shared" si="331"/>
        <v>52.815000000000005</v>
      </c>
      <c r="DG154" s="28">
        <f t="shared" si="331"/>
        <v>125.998</v>
      </c>
      <c r="DH154" s="28">
        <f t="shared" si="331"/>
        <v>47.885999999999996</v>
      </c>
      <c r="DI154" s="28">
        <f t="shared" si="331"/>
        <v>49.102999999999994</v>
      </c>
      <c r="DJ154" s="28">
        <f t="shared" si="331"/>
        <v>57.446000000000005</v>
      </c>
      <c r="DK154" s="28">
        <f t="shared" si="331"/>
        <v>56.839999999999996</v>
      </c>
      <c r="DL154" s="28">
        <f t="shared" si="331"/>
        <v>211.27499999999998</v>
      </c>
      <c r="DM154" s="28">
        <f t="shared" si="331"/>
        <v>55.135999999999996</v>
      </c>
      <c r="DN154" s="28">
        <f t="shared" si="331"/>
        <v>56.296999999999997</v>
      </c>
      <c r="DO154" s="28">
        <f t="shared" si="331"/>
        <v>62.950999999999993</v>
      </c>
      <c r="DP154" s="28">
        <f t="shared" si="331"/>
        <v>63.237999999999992</v>
      </c>
      <c r="DQ154" s="28">
        <f t="shared" si="331"/>
        <v>237.62199999999999</v>
      </c>
      <c r="DR154" s="28">
        <f t="shared" si="331"/>
        <v>63.349999999999994</v>
      </c>
      <c r="DS154" s="28">
        <f t="shared" si="331"/>
        <v>69.305000000000007</v>
      </c>
      <c r="DT154" s="28">
        <f t="shared" si="331"/>
        <v>86.261999999999986</v>
      </c>
      <c r="DU154" s="28">
        <f t="shared" ref="DU154:ED154" si="332">DU129-DU85</f>
        <v>79.966000000000022</v>
      </c>
      <c r="DV154" s="28">
        <f t="shared" si="332"/>
        <v>298.88300000000004</v>
      </c>
      <c r="DW154" s="28">
        <f t="shared" si="332"/>
        <v>80.344000000000008</v>
      </c>
      <c r="DX154" s="28">
        <f t="shared" si="332"/>
        <v>90.187000000000012</v>
      </c>
      <c r="DY154" s="28">
        <f t="shared" si="332"/>
        <v>92.082847980000011</v>
      </c>
      <c r="DZ154" s="28">
        <f t="shared" si="332"/>
        <v>89.389642420000044</v>
      </c>
      <c r="EA154" s="28">
        <f t="shared" si="332"/>
        <v>352.00349040000003</v>
      </c>
      <c r="EB154" s="28">
        <f t="shared" si="332"/>
        <v>85.145033470000016</v>
      </c>
      <c r="EC154" s="28">
        <f t="shared" si="332"/>
        <v>92.163966939999995</v>
      </c>
      <c r="ED154" s="28">
        <f t="shared" si="332"/>
        <v>96.426999999999992</v>
      </c>
      <c r="EE154" s="28">
        <f t="shared" ref="EE154" si="333">EE129-EE85</f>
        <v>98.181963060000072</v>
      </c>
      <c r="EF154" s="28">
        <f t="shared" ref="EF154:EG154" si="334">EF129-EF85</f>
        <v>371.91796347000013</v>
      </c>
      <c r="EG154" s="28">
        <f t="shared" si="334"/>
        <v>88.151077040000004</v>
      </c>
      <c r="EH154" s="28">
        <f t="shared" ref="EH154" si="335">EH129-EH85</f>
        <v>93.468959679999983</v>
      </c>
      <c r="EI154" s="28">
        <f t="shared" ref="EI154" si="336">EI129-EI85</f>
        <v>107.08319658000002</v>
      </c>
    </row>
    <row r="155" spans="1:139" ht="15" thickTop="1" x14ac:dyDescent="0.3">
      <c r="A155" s="1" t="s">
        <v>456</v>
      </c>
      <c r="B155" s="30">
        <f t="shared" ref="B155:AG155" si="337">B130-B86</f>
        <v>0</v>
      </c>
      <c r="C155" s="30">
        <f t="shared" si="337"/>
        <v>0</v>
      </c>
      <c r="D155" s="30">
        <f t="shared" si="337"/>
        <v>0</v>
      </c>
      <c r="E155" s="30">
        <f t="shared" si="337"/>
        <v>0</v>
      </c>
      <c r="F155" s="30">
        <f t="shared" si="337"/>
        <v>0</v>
      </c>
      <c r="G155" s="30">
        <f t="shared" si="337"/>
        <v>0</v>
      </c>
      <c r="H155" s="30">
        <f t="shared" si="337"/>
        <v>0</v>
      </c>
      <c r="I155" s="30">
        <f t="shared" si="337"/>
        <v>0</v>
      </c>
      <c r="J155" s="30">
        <f t="shared" si="337"/>
        <v>0</v>
      </c>
      <c r="K155" s="30">
        <f t="shared" si="337"/>
        <v>0</v>
      </c>
      <c r="L155" s="30">
        <f t="shared" si="337"/>
        <v>0</v>
      </c>
      <c r="M155" s="30">
        <f t="shared" si="337"/>
        <v>0</v>
      </c>
      <c r="N155" s="30">
        <f t="shared" si="337"/>
        <v>0</v>
      </c>
      <c r="O155" s="30">
        <f t="shared" si="337"/>
        <v>0</v>
      </c>
      <c r="P155" s="30">
        <f t="shared" si="337"/>
        <v>0</v>
      </c>
      <c r="Q155" s="30">
        <f t="shared" si="337"/>
        <v>0</v>
      </c>
      <c r="R155" s="30">
        <f t="shared" si="337"/>
        <v>0</v>
      </c>
      <c r="S155" s="30">
        <f t="shared" si="337"/>
        <v>0</v>
      </c>
      <c r="T155" s="30">
        <f t="shared" si="337"/>
        <v>0</v>
      </c>
      <c r="U155" s="30">
        <f t="shared" si="337"/>
        <v>0</v>
      </c>
      <c r="V155" s="30">
        <f t="shared" si="337"/>
        <v>0</v>
      </c>
      <c r="W155" s="30">
        <f t="shared" si="337"/>
        <v>0</v>
      </c>
      <c r="X155" s="30">
        <f t="shared" si="337"/>
        <v>0</v>
      </c>
      <c r="Y155" s="30">
        <f t="shared" si="337"/>
        <v>0</v>
      </c>
      <c r="Z155" s="30">
        <f t="shared" si="337"/>
        <v>0</v>
      </c>
      <c r="AA155" s="30">
        <f t="shared" si="337"/>
        <v>0</v>
      </c>
      <c r="AB155" s="30">
        <f t="shared" si="337"/>
        <v>0</v>
      </c>
      <c r="AC155" s="30">
        <f t="shared" si="337"/>
        <v>0</v>
      </c>
      <c r="AD155" s="30">
        <f t="shared" si="337"/>
        <v>0</v>
      </c>
      <c r="AE155" s="30">
        <f t="shared" si="337"/>
        <v>0</v>
      </c>
      <c r="AF155" s="30">
        <f t="shared" si="337"/>
        <v>0</v>
      </c>
      <c r="AG155" s="30">
        <f t="shared" si="337"/>
        <v>0</v>
      </c>
      <c r="AH155" s="30">
        <f t="shared" ref="AH155:BM155" si="338">AH130-AH86</f>
        <v>0</v>
      </c>
      <c r="AI155" s="30">
        <f t="shared" si="338"/>
        <v>0</v>
      </c>
      <c r="AJ155" s="30">
        <f t="shared" si="338"/>
        <v>0</v>
      </c>
      <c r="AK155" s="30">
        <f t="shared" si="338"/>
        <v>0</v>
      </c>
      <c r="AL155" s="30">
        <f t="shared" si="338"/>
        <v>0</v>
      </c>
      <c r="AM155" s="30">
        <f t="shared" si="338"/>
        <v>0</v>
      </c>
      <c r="AN155" s="30">
        <f t="shared" si="338"/>
        <v>0</v>
      </c>
      <c r="AO155" s="30">
        <f t="shared" si="338"/>
        <v>0</v>
      </c>
      <c r="AP155" s="30">
        <f t="shared" si="338"/>
        <v>0</v>
      </c>
      <c r="AQ155" s="30">
        <f t="shared" si="338"/>
        <v>0</v>
      </c>
      <c r="AR155" s="30">
        <f t="shared" si="338"/>
        <v>0</v>
      </c>
      <c r="AS155" s="30">
        <f t="shared" si="338"/>
        <v>0</v>
      </c>
      <c r="AT155" s="30">
        <f t="shared" si="338"/>
        <v>0</v>
      </c>
      <c r="AU155" s="30">
        <f t="shared" si="338"/>
        <v>0</v>
      </c>
      <c r="AV155" s="30">
        <f t="shared" si="338"/>
        <v>0</v>
      </c>
      <c r="AW155" s="30">
        <f t="shared" si="338"/>
        <v>0</v>
      </c>
      <c r="AX155" s="30">
        <f t="shared" si="338"/>
        <v>0</v>
      </c>
      <c r="AY155" s="30">
        <f t="shared" si="338"/>
        <v>0</v>
      </c>
      <c r="AZ155" s="30">
        <f t="shared" si="338"/>
        <v>0</v>
      </c>
      <c r="BA155" s="30">
        <f t="shared" si="338"/>
        <v>0</v>
      </c>
      <c r="BB155" s="30">
        <f t="shared" si="338"/>
        <v>0</v>
      </c>
      <c r="BC155" s="30">
        <f t="shared" si="338"/>
        <v>0</v>
      </c>
      <c r="BD155" s="30">
        <f t="shared" si="338"/>
        <v>0</v>
      </c>
      <c r="BE155" s="30">
        <f t="shared" si="338"/>
        <v>0</v>
      </c>
      <c r="BF155" s="30">
        <f t="shared" si="338"/>
        <v>0</v>
      </c>
      <c r="BG155" s="30">
        <f t="shared" si="338"/>
        <v>0</v>
      </c>
      <c r="BH155" s="30">
        <f t="shared" si="338"/>
        <v>0</v>
      </c>
      <c r="BI155" s="30">
        <f t="shared" si="338"/>
        <v>0</v>
      </c>
      <c r="BJ155" s="27">
        <f t="shared" si="338"/>
        <v>0</v>
      </c>
      <c r="BK155" s="27">
        <f t="shared" si="338"/>
        <v>0</v>
      </c>
      <c r="BL155" s="27">
        <f t="shared" si="338"/>
        <v>0</v>
      </c>
      <c r="BM155" s="27">
        <f t="shared" si="338"/>
        <v>0</v>
      </c>
      <c r="BN155" s="27">
        <f t="shared" ref="BN155:CS155" si="339">BN130-BN86</f>
        <v>0</v>
      </c>
      <c r="BO155" s="27">
        <f t="shared" si="339"/>
        <v>0</v>
      </c>
      <c r="BP155" s="27">
        <f t="shared" si="339"/>
        <v>0</v>
      </c>
      <c r="BQ155" s="27">
        <f t="shared" si="339"/>
        <v>0</v>
      </c>
      <c r="BR155" s="27">
        <f t="shared" si="339"/>
        <v>0</v>
      </c>
      <c r="BS155" s="27">
        <f t="shared" si="339"/>
        <v>0</v>
      </c>
      <c r="BT155" s="27">
        <f t="shared" si="339"/>
        <v>0</v>
      </c>
      <c r="BU155" s="27">
        <f t="shared" si="339"/>
        <v>0</v>
      </c>
      <c r="BV155" s="27">
        <f t="shared" si="339"/>
        <v>0</v>
      </c>
      <c r="BW155" s="27">
        <f t="shared" si="339"/>
        <v>0</v>
      </c>
      <c r="BX155" s="27">
        <f t="shared" si="339"/>
        <v>0</v>
      </c>
      <c r="BY155" s="27">
        <f t="shared" si="339"/>
        <v>0</v>
      </c>
      <c r="BZ155" s="27">
        <f t="shared" si="339"/>
        <v>0</v>
      </c>
      <c r="CA155" s="27">
        <f t="shared" si="339"/>
        <v>0</v>
      </c>
      <c r="CB155" s="27">
        <f t="shared" si="339"/>
        <v>0</v>
      </c>
      <c r="CC155" s="27">
        <f t="shared" si="339"/>
        <v>0</v>
      </c>
      <c r="CD155" s="27">
        <f t="shared" si="339"/>
        <v>0</v>
      </c>
      <c r="CE155" s="27">
        <f t="shared" si="339"/>
        <v>0</v>
      </c>
      <c r="CF155" s="27">
        <f t="shared" si="339"/>
        <v>0</v>
      </c>
      <c r="CG155" s="27">
        <f t="shared" si="339"/>
        <v>0</v>
      </c>
      <c r="CH155" s="27">
        <f t="shared" si="339"/>
        <v>0</v>
      </c>
      <c r="CI155" s="27">
        <f t="shared" si="339"/>
        <v>0</v>
      </c>
      <c r="CJ155" s="27">
        <f t="shared" si="339"/>
        <v>0</v>
      </c>
      <c r="CK155" s="27">
        <f t="shared" si="339"/>
        <v>0</v>
      </c>
      <c r="CL155" s="27">
        <f t="shared" si="339"/>
        <v>0</v>
      </c>
      <c r="CM155" s="27">
        <f t="shared" si="339"/>
        <v>0</v>
      </c>
      <c r="CN155" s="27">
        <f t="shared" si="339"/>
        <v>0</v>
      </c>
      <c r="CO155" s="27">
        <f t="shared" si="339"/>
        <v>0</v>
      </c>
      <c r="CP155" s="27">
        <f t="shared" si="339"/>
        <v>0</v>
      </c>
      <c r="CQ155" s="27">
        <f t="shared" si="339"/>
        <v>0</v>
      </c>
      <c r="CR155" s="27">
        <f t="shared" si="339"/>
        <v>0</v>
      </c>
      <c r="CS155" s="27">
        <f t="shared" si="339"/>
        <v>0</v>
      </c>
      <c r="CT155" s="27">
        <f t="shared" ref="CT155:DT155" si="340">CT130-CT86</f>
        <v>0</v>
      </c>
      <c r="CU155" s="27">
        <f t="shared" si="340"/>
        <v>0</v>
      </c>
      <c r="CV155" s="27">
        <f t="shared" si="340"/>
        <v>0</v>
      </c>
      <c r="CW155" s="27">
        <f t="shared" si="340"/>
        <v>0</v>
      </c>
      <c r="CX155" s="27">
        <f t="shared" si="340"/>
        <v>0</v>
      </c>
      <c r="CY155" s="27">
        <f t="shared" si="340"/>
        <v>0</v>
      </c>
      <c r="CZ155" s="27">
        <f t="shared" si="340"/>
        <v>0</v>
      </c>
      <c r="DA155" s="27">
        <f t="shared" si="340"/>
        <v>0</v>
      </c>
      <c r="DB155" s="27">
        <f t="shared" si="340"/>
        <v>0</v>
      </c>
      <c r="DC155" s="27">
        <f t="shared" si="340"/>
        <v>0</v>
      </c>
      <c r="DD155" s="27">
        <f t="shared" si="340"/>
        <v>52.730999999999987</v>
      </c>
      <c r="DE155" s="27">
        <f t="shared" si="340"/>
        <v>56.241999999999997</v>
      </c>
      <c r="DF155" s="27">
        <f t="shared" si="340"/>
        <v>59.409000000000006</v>
      </c>
      <c r="DG155" s="27">
        <f t="shared" si="340"/>
        <v>168.38200000000001</v>
      </c>
      <c r="DH155" s="27">
        <f t="shared" si="340"/>
        <v>53.652000000000008</v>
      </c>
      <c r="DI155" s="27">
        <f t="shared" si="340"/>
        <v>43.686</v>
      </c>
      <c r="DJ155" s="27">
        <f t="shared" si="340"/>
        <v>60.502999999999986</v>
      </c>
      <c r="DK155" s="27">
        <f t="shared" si="340"/>
        <v>65.918000000000006</v>
      </c>
      <c r="DL155" s="27">
        <f t="shared" si="340"/>
        <v>223.75899999999996</v>
      </c>
      <c r="DM155" s="27">
        <f t="shared" si="340"/>
        <v>59.777000000000008</v>
      </c>
      <c r="DN155" s="27">
        <f t="shared" si="340"/>
        <v>60.968000000000004</v>
      </c>
      <c r="DO155" s="27">
        <f t="shared" si="340"/>
        <v>69.449999999999989</v>
      </c>
      <c r="DP155" s="27">
        <f t="shared" si="340"/>
        <v>73.007999999999981</v>
      </c>
      <c r="DQ155" s="27">
        <f t="shared" si="340"/>
        <v>263.20299999999997</v>
      </c>
      <c r="DR155" s="27">
        <f t="shared" si="340"/>
        <v>69.785000000000011</v>
      </c>
      <c r="DS155" s="27">
        <f t="shared" si="340"/>
        <v>77.221000000000004</v>
      </c>
      <c r="DT155" s="27">
        <f t="shared" si="340"/>
        <v>80.443999999999988</v>
      </c>
      <c r="DU155" s="27">
        <f t="shared" ref="DU155:ED155" si="341">DU130-DU86</f>
        <v>78.265000000000015</v>
      </c>
      <c r="DV155" s="27">
        <f t="shared" si="341"/>
        <v>305.71500000000003</v>
      </c>
      <c r="DW155" s="27">
        <f t="shared" si="341"/>
        <v>75.167999999999992</v>
      </c>
      <c r="DX155" s="27">
        <f t="shared" si="341"/>
        <v>79.077999999999975</v>
      </c>
      <c r="DY155" s="27">
        <f t="shared" si="341"/>
        <v>84.689374860000044</v>
      </c>
      <c r="DZ155" s="27">
        <f t="shared" si="341"/>
        <v>85.658069079999962</v>
      </c>
      <c r="EA155" s="27">
        <f t="shared" si="341"/>
        <v>324.59344394000004</v>
      </c>
      <c r="EB155" s="27">
        <f t="shared" si="341"/>
        <v>83.679530889999995</v>
      </c>
      <c r="EC155" s="27">
        <f t="shared" si="341"/>
        <v>88.295272490000002</v>
      </c>
      <c r="ED155" s="27">
        <f t="shared" si="341"/>
        <v>97.185000000000031</v>
      </c>
      <c r="EE155" s="27">
        <f t="shared" ref="EE155" si="342">EE130-EE86</f>
        <v>96.85026879000003</v>
      </c>
      <c r="EF155" s="27">
        <f t="shared" ref="EF155:EG155" si="343">EF130-EF86</f>
        <v>366.01007217000006</v>
      </c>
      <c r="EG155" s="27">
        <f t="shared" si="343"/>
        <v>97.921391859999986</v>
      </c>
      <c r="EH155" s="27">
        <f t="shared" ref="EH155" si="344">EH130-EH86</f>
        <v>105.11372605000003</v>
      </c>
      <c r="EI155" s="27">
        <f t="shared" ref="EI155" si="345">EI130-EI86</f>
        <v>111.58806209000008</v>
      </c>
    </row>
    <row r="156" spans="1:139" ht="15" thickBot="1" x14ac:dyDescent="0.35">
      <c r="A156" s="2" t="s">
        <v>446</v>
      </c>
      <c r="B156" s="31">
        <f t="shared" ref="B156:AG156" si="346">B131-B87</f>
        <v>0</v>
      </c>
      <c r="C156" s="31">
        <f t="shared" si="346"/>
        <v>0</v>
      </c>
      <c r="D156" s="31">
        <f t="shared" si="346"/>
        <v>0</v>
      </c>
      <c r="E156" s="31">
        <f t="shared" si="346"/>
        <v>0</v>
      </c>
      <c r="F156" s="31">
        <f t="shared" si="346"/>
        <v>0</v>
      </c>
      <c r="G156" s="31">
        <f t="shared" si="346"/>
        <v>0</v>
      </c>
      <c r="H156" s="31">
        <f t="shared" si="346"/>
        <v>0</v>
      </c>
      <c r="I156" s="31">
        <f t="shared" si="346"/>
        <v>0</v>
      </c>
      <c r="J156" s="31">
        <f t="shared" si="346"/>
        <v>0</v>
      </c>
      <c r="K156" s="31">
        <f t="shared" si="346"/>
        <v>0</v>
      </c>
      <c r="L156" s="31">
        <f t="shared" si="346"/>
        <v>0</v>
      </c>
      <c r="M156" s="31">
        <f t="shared" si="346"/>
        <v>0</v>
      </c>
      <c r="N156" s="31">
        <f t="shared" si="346"/>
        <v>0</v>
      </c>
      <c r="O156" s="31">
        <f t="shared" si="346"/>
        <v>0</v>
      </c>
      <c r="P156" s="31">
        <f t="shared" si="346"/>
        <v>0</v>
      </c>
      <c r="Q156" s="31">
        <f t="shared" si="346"/>
        <v>0</v>
      </c>
      <c r="R156" s="31">
        <f t="shared" si="346"/>
        <v>0</v>
      </c>
      <c r="S156" s="31">
        <f t="shared" si="346"/>
        <v>0</v>
      </c>
      <c r="T156" s="31">
        <f t="shared" si="346"/>
        <v>0</v>
      </c>
      <c r="U156" s="31">
        <f t="shared" si="346"/>
        <v>0</v>
      </c>
      <c r="V156" s="31">
        <f t="shared" si="346"/>
        <v>0</v>
      </c>
      <c r="W156" s="31">
        <f t="shared" si="346"/>
        <v>0</v>
      </c>
      <c r="X156" s="31">
        <f t="shared" si="346"/>
        <v>0</v>
      </c>
      <c r="Y156" s="31">
        <f t="shared" si="346"/>
        <v>0</v>
      </c>
      <c r="Z156" s="31">
        <f t="shared" si="346"/>
        <v>0</v>
      </c>
      <c r="AA156" s="31">
        <f t="shared" si="346"/>
        <v>0</v>
      </c>
      <c r="AB156" s="31">
        <f t="shared" si="346"/>
        <v>0</v>
      </c>
      <c r="AC156" s="31">
        <f t="shared" si="346"/>
        <v>0</v>
      </c>
      <c r="AD156" s="31">
        <f t="shared" si="346"/>
        <v>0</v>
      </c>
      <c r="AE156" s="31">
        <f t="shared" si="346"/>
        <v>0</v>
      </c>
      <c r="AF156" s="31">
        <f t="shared" si="346"/>
        <v>0</v>
      </c>
      <c r="AG156" s="31">
        <f t="shared" si="346"/>
        <v>0</v>
      </c>
      <c r="AH156" s="31">
        <f t="shared" ref="AH156:BM156" si="347">AH131-AH87</f>
        <v>0</v>
      </c>
      <c r="AI156" s="31">
        <f t="shared" si="347"/>
        <v>0</v>
      </c>
      <c r="AJ156" s="31">
        <f t="shared" si="347"/>
        <v>0</v>
      </c>
      <c r="AK156" s="31">
        <f t="shared" si="347"/>
        <v>0</v>
      </c>
      <c r="AL156" s="31">
        <f t="shared" si="347"/>
        <v>0</v>
      </c>
      <c r="AM156" s="31">
        <f t="shared" si="347"/>
        <v>0</v>
      </c>
      <c r="AN156" s="31">
        <f t="shared" si="347"/>
        <v>0</v>
      </c>
      <c r="AO156" s="31">
        <f t="shared" si="347"/>
        <v>0</v>
      </c>
      <c r="AP156" s="31">
        <f t="shared" si="347"/>
        <v>0</v>
      </c>
      <c r="AQ156" s="31">
        <f t="shared" si="347"/>
        <v>0</v>
      </c>
      <c r="AR156" s="31">
        <f t="shared" si="347"/>
        <v>0</v>
      </c>
      <c r="AS156" s="31">
        <f t="shared" si="347"/>
        <v>0</v>
      </c>
      <c r="AT156" s="31">
        <f t="shared" si="347"/>
        <v>0</v>
      </c>
      <c r="AU156" s="31">
        <f t="shared" si="347"/>
        <v>0</v>
      </c>
      <c r="AV156" s="31">
        <f t="shared" si="347"/>
        <v>0</v>
      </c>
      <c r="AW156" s="31">
        <f t="shared" si="347"/>
        <v>0</v>
      </c>
      <c r="AX156" s="31">
        <f t="shared" si="347"/>
        <v>0</v>
      </c>
      <c r="AY156" s="31">
        <f t="shared" si="347"/>
        <v>0</v>
      </c>
      <c r="AZ156" s="31">
        <f t="shared" si="347"/>
        <v>0</v>
      </c>
      <c r="BA156" s="31">
        <f t="shared" si="347"/>
        <v>0</v>
      </c>
      <c r="BB156" s="31">
        <f t="shared" si="347"/>
        <v>0</v>
      </c>
      <c r="BC156" s="31">
        <f t="shared" si="347"/>
        <v>0</v>
      </c>
      <c r="BD156" s="31">
        <f t="shared" si="347"/>
        <v>0</v>
      </c>
      <c r="BE156" s="31">
        <f t="shared" si="347"/>
        <v>0</v>
      </c>
      <c r="BF156" s="31">
        <f t="shared" si="347"/>
        <v>0</v>
      </c>
      <c r="BG156" s="31">
        <f t="shared" si="347"/>
        <v>0</v>
      </c>
      <c r="BH156" s="31">
        <f t="shared" si="347"/>
        <v>0</v>
      </c>
      <c r="BI156" s="31">
        <f t="shared" si="347"/>
        <v>0</v>
      </c>
      <c r="BJ156" s="28">
        <f t="shared" si="347"/>
        <v>0</v>
      </c>
      <c r="BK156" s="28">
        <f t="shared" si="347"/>
        <v>0</v>
      </c>
      <c r="BL156" s="28">
        <f t="shared" si="347"/>
        <v>0</v>
      </c>
      <c r="BM156" s="28">
        <f t="shared" si="347"/>
        <v>0</v>
      </c>
      <c r="BN156" s="28">
        <f t="shared" ref="BN156:CS156" si="348">BN131-BN87</f>
        <v>0</v>
      </c>
      <c r="BO156" s="28">
        <f t="shared" si="348"/>
        <v>0</v>
      </c>
      <c r="BP156" s="28">
        <f t="shared" si="348"/>
        <v>0</v>
      </c>
      <c r="BQ156" s="28">
        <f t="shared" si="348"/>
        <v>0</v>
      </c>
      <c r="BR156" s="28">
        <f t="shared" si="348"/>
        <v>0</v>
      </c>
      <c r="BS156" s="28">
        <f t="shared" si="348"/>
        <v>0</v>
      </c>
      <c r="BT156" s="28">
        <f t="shared" si="348"/>
        <v>0</v>
      </c>
      <c r="BU156" s="28">
        <f t="shared" si="348"/>
        <v>0</v>
      </c>
      <c r="BV156" s="28">
        <f t="shared" si="348"/>
        <v>0</v>
      </c>
      <c r="BW156" s="28">
        <f t="shared" si="348"/>
        <v>0</v>
      </c>
      <c r="BX156" s="28">
        <f t="shared" si="348"/>
        <v>0</v>
      </c>
      <c r="BY156" s="28">
        <f t="shared" si="348"/>
        <v>0</v>
      </c>
      <c r="BZ156" s="28">
        <f t="shared" si="348"/>
        <v>0</v>
      </c>
      <c r="CA156" s="28">
        <f t="shared" si="348"/>
        <v>0</v>
      </c>
      <c r="CB156" s="28">
        <f t="shared" si="348"/>
        <v>0</v>
      </c>
      <c r="CC156" s="28">
        <f t="shared" si="348"/>
        <v>0</v>
      </c>
      <c r="CD156" s="28">
        <f t="shared" si="348"/>
        <v>0</v>
      </c>
      <c r="CE156" s="28">
        <f t="shared" si="348"/>
        <v>0</v>
      </c>
      <c r="CF156" s="28">
        <f t="shared" si="348"/>
        <v>0</v>
      </c>
      <c r="CG156" s="28">
        <f t="shared" si="348"/>
        <v>0</v>
      </c>
      <c r="CH156" s="28">
        <f t="shared" si="348"/>
        <v>0</v>
      </c>
      <c r="CI156" s="28">
        <f t="shared" si="348"/>
        <v>0</v>
      </c>
      <c r="CJ156" s="28">
        <f t="shared" si="348"/>
        <v>0</v>
      </c>
      <c r="CK156" s="28">
        <f t="shared" si="348"/>
        <v>0</v>
      </c>
      <c r="CL156" s="28">
        <f t="shared" si="348"/>
        <v>0</v>
      </c>
      <c r="CM156" s="28">
        <f t="shared" si="348"/>
        <v>0</v>
      </c>
      <c r="CN156" s="28">
        <f t="shared" si="348"/>
        <v>0</v>
      </c>
      <c r="CO156" s="28">
        <f t="shared" si="348"/>
        <v>0</v>
      </c>
      <c r="CP156" s="28">
        <f t="shared" si="348"/>
        <v>0</v>
      </c>
      <c r="CQ156" s="28">
        <f t="shared" si="348"/>
        <v>0</v>
      </c>
      <c r="CR156" s="28">
        <f t="shared" si="348"/>
        <v>0</v>
      </c>
      <c r="CS156" s="28">
        <f t="shared" si="348"/>
        <v>0</v>
      </c>
      <c r="CT156" s="28">
        <f t="shared" ref="CT156:DT156" si="349">CT131-CT87</f>
        <v>0</v>
      </c>
      <c r="CU156" s="28">
        <f t="shared" si="349"/>
        <v>0</v>
      </c>
      <c r="CV156" s="28">
        <f t="shared" si="349"/>
        <v>0</v>
      </c>
      <c r="CW156" s="28">
        <f t="shared" si="349"/>
        <v>0</v>
      </c>
      <c r="CX156" s="28">
        <f t="shared" si="349"/>
        <v>0</v>
      </c>
      <c r="CY156" s="28">
        <f t="shared" si="349"/>
        <v>0</v>
      </c>
      <c r="CZ156" s="28">
        <f t="shared" si="349"/>
        <v>0</v>
      </c>
      <c r="DA156" s="28">
        <f t="shared" si="349"/>
        <v>0</v>
      </c>
      <c r="DB156" s="28">
        <f t="shared" si="349"/>
        <v>0</v>
      </c>
      <c r="DC156" s="28">
        <f t="shared" si="349"/>
        <v>0</v>
      </c>
      <c r="DD156" s="28">
        <f t="shared" si="349"/>
        <v>0</v>
      </c>
      <c r="DE156" s="28">
        <f t="shared" si="349"/>
        <v>0</v>
      </c>
      <c r="DF156" s="28">
        <f t="shared" si="349"/>
        <v>0</v>
      </c>
      <c r="DG156" s="28">
        <f t="shared" si="349"/>
        <v>0</v>
      </c>
      <c r="DH156" s="28">
        <f t="shared" si="349"/>
        <v>0</v>
      </c>
      <c r="DI156" s="28">
        <f t="shared" si="349"/>
        <v>0</v>
      </c>
      <c r="DJ156" s="28">
        <f t="shared" si="349"/>
        <v>0</v>
      </c>
      <c r="DK156" s="28">
        <f t="shared" si="349"/>
        <v>11.677999999999997</v>
      </c>
      <c r="DL156" s="28">
        <f t="shared" si="349"/>
        <v>11.678000000000026</v>
      </c>
      <c r="DM156" s="28">
        <f t="shared" si="349"/>
        <v>31.555</v>
      </c>
      <c r="DN156" s="28">
        <f t="shared" si="349"/>
        <v>39.655000000000001</v>
      </c>
      <c r="DO156" s="28">
        <f t="shared" si="349"/>
        <v>40.502999999999993</v>
      </c>
      <c r="DP156" s="28">
        <f t="shared" si="349"/>
        <v>36.021000000000015</v>
      </c>
      <c r="DQ156" s="28">
        <f t="shared" si="349"/>
        <v>147.73400000000001</v>
      </c>
      <c r="DR156" s="28">
        <f t="shared" si="349"/>
        <v>37.668999999999997</v>
      </c>
      <c r="DS156" s="28">
        <f t="shared" si="349"/>
        <v>40.849000000000004</v>
      </c>
      <c r="DT156" s="28">
        <f t="shared" si="349"/>
        <v>42.711000000000013</v>
      </c>
      <c r="DU156" s="28">
        <f t="shared" ref="DU156:ED156" si="350">DU131-DU87</f>
        <v>39.363</v>
      </c>
      <c r="DV156" s="28">
        <f t="shared" si="350"/>
        <v>160.59200000000004</v>
      </c>
      <c r="DW156" s="28">
        <f t="shared" si="350"/>
        <v>41.375</v>
      </c>
      <c r="DX156" s="28">
        <f t="shared" si="350"/>
        <v>44.996000000000002</v>
      </c>
      <c r="DY156" s="28">
        <f t="shared" si="350"/>
        <v>50.184723000000012</v>
      </c>
      <c r="DZ156" s="28">
        <f t="shared" si="350"/>
        <v>49.669495550000008</v>
      </c>
      <c r="EA156" s="28">
        <f t="shared" si="350"/>
        <v>186.22521855000002</v>
      </c>
      <c r="EB156" s="28">
        <f t="shared" si="350"/>
        <v>46.991727549999993</v>
      </c>
      <c r="EC156" s="28">
        <f t="shared" si="350"/>
        <v>48.853469930000017</v>
      </c>
      <c r="ED156" s="28">
        <f t="shared" si="350"/>
        <v>52.316000000000017</v>
      </c>
      <c r="EE156" s="28">
        <f t="shared" ref="EE156" si="351">EE131-EE87</f>
        <v>49.639227880000035</v>
      </c>
      <c r="EF156" s="28">
        <f t="shared" ref="EF156:EG156" si="352">EF131-EF87</f>
        <v>197.80042536000002</v>
      </c>
      <c r="EG156" s="28">
        <f t="shared" si="352"/>
        <v>49.094737519999995</v>
      </c>
      <c r="EH156" s="28">
        <f t="shared" ref="EH156" si="353">EH131-EH87</f>
        <v>52.381327270000014</v>
      </c>
      <c r="EI156" s="28">
        <f t="shared" ref="EI156" si="354">EI131-EI87</f>
        <v>56.434874440000037</v>
      </c>
    </row>
    <row r="157" spans="1:139" ht="15" thickTop="1" x14ac:dyDescent="0.3">
      <c r="A157" s="1" t="s">
        <v>447</v>
      </c>
      <c r="B157" s="30">
        <f t="shared" ref="B157:AG157" si="355">B132-B88</f>
        <v>0</v>
      </c>
      <c r="C157" s="30">
        <f t="shared" si="355"/>
        <v>0</v>
      </c>
      <c r="D157" s="30">
        <f t="shared" si="355"/>
        <v>0</v>
      </c>
      <c r="E157" s="30">
        <f t="shared" si="355"/>
        <v>0</v>
      </c>
      <c r="F157" s="30">
        <f t="shared" si="355"/>
        <v>0</v>
      </c>
      <c r="G157" s="30">
        <f t="shared" si="355"/>
        <v>0</v>
      </c>
      <c r="H157" s="30">
        <f t="shared" si="355"/>
        <v>0</v>
      </c>
      <c r="I157" s="30">
        <f t="shared" si="355"/>
        <v>0</v>
      </c>
      <c r="J157" s="30">
        <f t="shared" si="355"/>
        <v>0</v>
      </c>
      <c r="K157" s="30">
        <f t="shared" si="355"/>
        <v>0</v>
      </c>
      <c r="L157" s="30">
        <f t="shared" si="355"/>
        <v>0</v>
      </c>
      <c r="M157" s="30">
        <f t="shared" si="355"/>
        <v>0</v>
      </c>
      <c r="N157" s="30">
        <f t="shared" si="355"/>
        <v>0</v>
      </c>
      <c r="O157" s="30">
        <f t="shared" si="355"/>
        <v>0</v>
      </c>
      <c r="P157" s="30">
        <f t="shared" si="355"/>
        <v>0</v>
      </c>
      <c r="Q157" s="30">
        <f t="shared" si="355"/>
        <v>0</v>
      </c>
      <c r="R157" s="30">
        <f t="shared" si="355"/>
        <v>0</v>
      </c>
      <c r="S157" s="30">
        <f t="shared" si="355"/>
        <v>0</v>
      </c>
      <c r="T157" s="30">
        <f t="shared" si="355"/>
        <v>0</v>
      </c>
      <c r="U157" s="30">
        <f t="shared" si="355"/>
        <v>0</v>
      </c>
      <c r="V157" s="30">
        <f t="shared" si="355"/>
        <v>0</v>
      </c>
      <c r="W157" s="30">
        <f t="shared" si="355"/>
        <v>0</v>
      </c>
      <c r="X157" s="30">
        <f t="shared" si="355"/>
        <v>0</v>
      </c>
      <c r="Y157" s="30">
        <f t="shared" si="355"/>
        <v>0</v>
      </c>
      <c r="Z157" s="30">
        <f t="shared" si="355"/>
        <v>0</v>
      </c>
      <c r="AA157" s="30">
        <f t="shared" si="355"/>
        <v>0</v>
      </c>
      <c r="AB157" s="30">
        <f t="shared" si="355"/>
        <v>0</v>
      </c>
      <c r="AC157" s="30">
        <f t="shared" si="355"/>
        <v>0</v>
      </c>
      <c r="AD157" s="30">
        <f t="shared" si="355"/>
        <v>0</v>
      </c>
      <c r="AE157" s="30">
        <f t="shared" si="355"/>
        <v>0</v>
      </c>
      <c r="AF157" s="30">
        <f t="shared" si="355"/>
        <v>0</v>
      </c>
      <c r="AG157" s="30">
        <f t="shared" si="355"/>
        <v>0</v>
      </c>
      <c r="AH157" s="30">
        <f t="shared" ref="AH157:BM157" si="356">AH132-AH88</f>
        <v>0</v>
      </c>
      <c r="AI157" s="30">
        <f t="shared" si="356"/>
        <v>0</v>
      </c>
      <c r="AJ157" s="30">
        <f t="shared" si="356"/>
        <v>0</v>
      </c>
      <c r="AK157" s="30">
        <f t="shared" si="356"/>
        <v>0</v>
      </c>
      <c r="AL157" s="30">
        <f t="shared" si="356"/>
        <v>0</v>
      </c>
      <c r="AM157" s="30">
        <f t="shared" si="356"/>
        <v>0</v>
      </c>
      <c r="AN157" s="30">
        <f t="shared" si="356"/>
        <v>0</v>
      </c>
      <c r="AO157" s="30">
        <f t="shared" si="356"/>
        <v>0</v>
      </c>
      <c r="AP157" s="30">
        <f t="shared" si="356"/>
        <v>0</v>
      </c>
      <c r="AQ157" s="30">
        <f t="shared" si="356"/>
        <v>0</v>
      </c>
      <c r="AR157" s="30">
        <f t="shared" si="356"/>
        <v>0</v>
      </c>
      <c r="AS157" s="30">
        <f t="shared" si="356"/>
        <v>0</v>
      </c>
      <c r="AT157" s="30">
        <f t="shared" si="356"/>
        <v>0</v>
      </c>
      <c r="AU157" s="30">
        <f t="shared" si="356"/>
        <v>0</v>
      </c>
      <c r="AV157" s="30">
        <f t="shared" si="356"/>
        <v>0</v>
      </c>
      <c r="AW157" s="30">
        <f t="shared" si="356"/>
        <v>0</v>
      </c>
      <c r="AX157" s="30">
        <f t="shared" si="356"/>
        <v>0</v>
      </c>
      <c r="AY157" s="30">
        <f t="shared" si="356"/>
        <v>0</v>
      </c>
      <c r="AZ157" s="30">
        <f t="shared" si="356"/>
        <v>0</v>
      </c>
      <c r="BA157" s="30">
        <f t="shared" si="356"/>
        <v>0</v>
      </c>
      <c r="BB157" s="30">
        <f t="shared" si="356"/>
        <v>0</v>
      </c>
      <c r="BC157" s="30">
        <f t="shared" si="356"/>
        <v>0</v>
      </c>
      <c r="BD157" s="30">
        <f t="shared" si="356"/>
        <v>0</v>
      </c>
      <c r="BE157" s="30">
        <f t="shared" si="356"/>
        <v>0</v>
      </c>
      <c r="BF157" s="30">
        <f t="shared" si="356"/>
        <v>0</v>
      </c>
      <c r="BG157" s="30">
        <f t="shared" si="356"/>
        <v>0</v>
      </c>
      <c r="BH157" s="30">
        <f t="shared" si="356"/>
        <v>0</v>
      </c>
      <c r="BI157" s="30">
        <f t="shared" si="356"/>
        <v>0</v>
      </c>
      <c r="BJ157" s="27">
        <f t="shared" si="356"/>
        <v>0</v>
      </c>
      <c r="BK157" s="27">
        <f t="shared" si="356"/>
        <v>0</v>
      </c>
      <c r="BL157" s="27">
        <f t="shared" si="356"/>
        <v>0</v>
      </c>
      <c r="BM157" s="27">
        <f t="shared" si="356"/>
        <v>0</v>
      </c>
      <c r="BN157" s="27">
        <f t="shared" ref="BN157:CS157" si="357">BN132-BN88</f>
        <v>0</v>
      </c>
      <c r="BO157" s="27">
        <f t="shared" si="357"/>
        <v>0</v>
      </c>
      <c r="BP157" s="27">
        <f t="shared" si="357"/>
        <v>0</v>
      </c>
      <c r="BQ157" s="27">
        <f t="shared" si="357"/>
        <v>0</v>
      </c>
      <c r="BR157" s="27">
        <f t="shared" si="357"/>
        <v>0</v>
      </c>
      <c r="BS157" s="27">
        <f t="shared" si="357"/>
        <v>0</v>
      </c>
      <c r="BT157" s="27">
        <f t="shared" si="357"/>
        <v>0</v>
      </c>
      <c r="BU157" s="27">
        <f t="shared" si="357"/>
        <v>0</v>
      </c>
      <c r="BV157" s="27">
        <f t="shared" si="357"/>
        <v>0</v>
      </c>
      <c r="BW157" s="27">
        <f t="shared" si="357"/>
        <v>0</v>
      </c>
      <c r="BX157" s="27">
        <f t="shared" si="357"/>
        <v>0</v>
      </c>
      <c r="BY157" s="27">
        <f t="shared" si="357"/>
        <v>0</v>
      </c>
      <c r="BZ157" s="27">
        <f t="shared" si="357"/>
        <v>0</v>
      </c>
      <c r="CA157" s="27">
        <f t="shared" si="357"/>
        <v>0</v>
      </c>
      <c r="CB157" s="27">
        <f t="shared" si="357"/>
        <v>0</v>
      </c>
      <c r="CC157" s="27">
        <f t="shared" si="357"/>
        <v>0</v>
      </c>
      <c r="CD157" s="27">
        <f t="shared" si="357"/>
        <v>0</v>
      </c>
      <c r="CE157" s="27">
        <f t="shared" si="357"/>
        <v>0</v>
      </c>
      <c r="CF157" s="27">
        <f t="shared" si="357"/>
        <v>0</v>
      </c>
      <c r="CG157" s="27">
        <f t="shared" si="357"/>
        <v>0</v>
      </c>
      <c r="CH157" s="27">
        <f t="shared" si="357"/>
        <v>0</v>
      </c>
      <c r="CI157" s="27">
        <f t="shared" si="357"/>
        <v>0</v>
      </c>
      <c r="CJ157" s="27">
        <f t="shared" si="357"/>
        <v>0</v>
      </c>
      <c r="CK157" s="27">
        <f t="shared" si="357"/>
        <v>0</v>
      </c>
      <c r="CL157" s="27">
        <f t="shared" si="357"/>
        <v>0</v>
      </c>
      <c r="CM157" s="27">
        <f t="shared" si="357"/>
        <v>0</v>
      </c>
      <c r="CN157" s="27">
        <f t="shared" si="357"/>
        <v>0</v>
      </c>
      <c r="CO157" s="27">
        <f t="shared" si="357"/>
        <v>0</v>
      </c>
      <c r="CP157" s="27">
        <f t="shared" si="357"/>
        <v>0</v>
      </c>
      <c r="CQ157" s="27">
        <f t="shared" si="357"/>
        <v>0</v>
      </c>
      <c r="CR157" s="27">
        <f t="shared" si="357"/>
        <v>0</v>
      </c>
      <c r="CS157" s="27">
        <f t="shared" si="357"/>
        <v>0</v>
      </c>
      <c r="CT157" s="27">
        <f t="shared" ref="CT157:DT157" si="358">CT132-CT88</f>
        <v>0</v>
      </c>
      <c r="CU157" s="27">
        <f t="shared" si="358"/>
        <v>0</v>
      </c>
      <c r="CV157" s="27">
        <f t="shared" si="358"/>
        <v>0</v>
      </c>
      <c r="CW157" s="27">
        <f t="shared" si="358"/>
        <v>0</v>
      </c>
      <c r="CX157" s="27">
        <f t="shared" si="358"/>
        <v>0</v>
      </c>
      <c r="CY157" s="27">
        <f t="shared" si="358"/>
        <v>0</v>
      </c>
      <c r="CZ157" s="27">
        <f t="shared" si="358"/>
        <v>0</v>
      </c>
      <c r="DA157" s="27">
        <f t="shared" si="358"/>
        <v>0</v>
      </c>
      <c r="DB157" s="27">
        <f t="shared" si="358"/>
        <v>0</v>
      </c>
      <c r="DC157" s="27">
        <f t="shared" si="358"/>
        <v>0</v>
      </c>
      <c r="DD157" s="27">
        <f t="shared" si="358"/>
        <v>0</v>
      </c>
      <c r="DE157" s="27">
        <f t="shared" si="358"/>
        <v>0</v>
      </c>
      <c r="DF157" s="27">
        <f t="shared" si="358"/>
        <v>0</v>
      </c>
      <c r="DG157" s="27">
        <f t="shared" si="358"/>
        <v>0</v>
      </c>
      <c r="DH157" s="27">
        <f t="shared" si="358"/>
        <v>0</v>
      </c>
      <c r="DI157" s="27">
        <f t="shared" si="358"/>
        <v>0</v>
      </c>
      <c r="DJ157" s="27">
        <f t="shared" si="358"/>
        <v>0</v>
      </c>
      <c r="DK157" s="27">
        <f t="shared" si="358"/>
        <v>0</v>
      </c>
      <c r="DL157" s="27">
        <f t="shared" si="358"/>
        <v>0</v>
      </c>
      <c r="DM157" s="27">
        <f t="shared" si="358"/>
        <v>0</v>
      </c>
      <c r="DN157" s="27">
        <f t="shared" si="358"/>
        <v>0</v>
      </c>
      <c r="DO157" s="27">
        <f t="shared" si="358"/>
        <v>0</v>
      </c>
      <c r="DP157" s="27">
        <f t="shared" si="358"/>
        <v>0</v>
      </c>
      <c r="DQ157" s="27">
        <f t="shared" si="358"/>
        <v>0</v>
      </c>
      <c r="DR157" s="27">
        <f t="shared" si="358"/>
        <v>0</v>
      </c>
      <c r="DS157" s="27">
        <f t="shared" si="358"/>
        <v>0</v>
      </c>
      <c r="DT157" s="27">
        <f t="shared" si="358"/>
        <v>0</v>
      </c>
      <c r="DU157" s="27">
        <f t="shared" ref="DU157:ED157" si="359">DU132-DU88</f>
        <v>107.03199999999998</v>
      </c>
      <c r="DV157" s="27">
        <f t="shared" si="359"/>
        <v>107.03199999999993</v>
      </c>
      <c r="DW157" s="27">
        <f t="shared" si="359"/>
        <v>105.54200000000002</v>
      </c>
      <c r="DX157" s="27">
        <f t="shared" si="359"/>
        <v>117.23100000000002</v>
      </c>
      <c r="DY157" s="27">
        <f t="shared" si="359"/>
        <v>127.15168099999997</v>
      </c>
      <c r="DZ157" s="27">
        <f t="shared" si="359"/>
        <v>127.80888054000005</v>
      </c>
      <c r="EA157" s="27">
        <f t="shared" si="359"/>
        <v>477.73356153999987</v>
      </c>
      <c r="EB157" s="27">
        <f t="shared" si="359"/>
        <v>116.50784625</v>
      </c>
      <c r="EC157" s="27">
        <f t="shared" si="359"/>
        <v>126.54053833000005</v>
      </c>
      <c r="ED157" s="27">
        <f t="shared" si="359"/>
        <v>139.25999999999996</v>
      </c>
      <c r="EE157" s="27">
        <f t="shared" ref="EE157" si="360">EE132-EE88</f>
        <v>142.02262634999994</v>
      </c>
      <c r="EF157" s="27">
        <f t="shared" ref="EF157:EG157" si="361">EF132-EF88</f>
        <v>524.33101093000005</v>
      </c>
      <c r="EG157" s="27">
        <f t="shared" si="361"/>
        <v>122.60072845000002</v>
      </c>
      <c r="EH157" s="27">
        <f t="shared" ref="EH157" si="362">EH132-EH88</f>
        <v>131.78348492000001</v>
      </c>
      <c r="EI157" s="27">
        <f t="shared" ref="EI157" si="363">EI132-EI88</f>
        <v>144.96420850000004</v>
      </c>
    </row>
    <row r="158" spans="1:139" ht="15" thickBot="1" x14ac:dyDescent="0.35">
      <c r="A158" s="2" t="s">
        <v>448</v>
      </c>
      <c r="B158" s="31">
        <f t="shared" ref="B158:AG158" si="364">B133-B89</f>
        <v>0</v>
      </c>
      <c r="C158" s="31">
        <f t="shared" si="364"/>
        <v>0</v>
      </c>
      <c r="D158" s="31">
        <f t="shared" si="364"/>
        <v>0</v>
      </c>
      <c r="E158" s="31">
        <f t="shared" si="364"/>
        <v>0</v>
      </c>
      <c r="F158" s="31">
        <f t="shared" si="364"/>
        <v>0</v>
      </c>
      <c r="G158" s="31">
        <f t="shared" si="364"/>
        <v>0</v>
      </c>
      <c r="H158" s="31">
        <f t="shared" si="364"/>
        <v>0</v>
      </c>
      <c r="I158" s="31">
        <f t="shared" si="364"/>
        <v>0</v>
      </c>
      <c r="J158" s="31">
        <f t="shared" si="364"/>
        <v>0</v>
      </c>
      <c r="K158" s="31">
        <f t="shared" si="364"/>
        <v>0</v>
      </c>
      <c r="L158" s="31">
        <f t="shared" si="364"/>
        <v>0</v>
      </c>
      <c r="M158" s="31">
        <f t="shared" si="364"/>
        <v>0</v>
      </c>
      <c r="N158" s="31">
        <f t="shared" si="364"/>
        <v>0</v>
      </c>
      <c r="O158" s="31">
        <f t="shared" si="364"/>
        <v>0</v>
      </c>
      <c r="P158" s="31">
        <f t="shared" si="364"/>
        <v>0</v>
      </c>
      <c r="Q158" s="31">
        <f t="shared" si="364"/>
        <v>0</v>
      </c>
      <c r="R158" s="31">
        <f t="shared" si="364"/>
        <v>0</v>
      </c>
      <c r="S158" s="31">
        <f t="shared" si="364"/>
        <v>0</v>
      </c>
      <c r="T158" s="31">
        <f t="shared" si="364"/>
        <v>0</v>
      </c>
      <c r="U158" s="31">
        <f t="shared" si="364"/>
        <v>0</v>
      </c>
      <c r="V158" s="31">
        <f t="shared" si="364"/>
        <v>0</v>
      </c>
      <c r="W158" s="31">
        <f t="shared" si="364"/>
        <v>0</v>
      </c>
      <c r="X158" s="31">
        <f t="shared" si="364"/>
        <v>0</v>
      </c>
      <c r="Y158" s="31">
        <f t="shared" si="364"/>
        <v>0</v>
      </c>
      <c r="Z158" s="31">
        <f t="shared" si="364"/>
        <v>0</v>
      </c>
      <c r="AA158" s="31">
        <f t="shared" si="364"/>
        <v>0</v>
      </c>
      <c r="AB158" s="31">
        <f t="shared" si="364"/>
        <v>0</v>
      </c>
      <c r="AC158" s="31">
        <f t="shared" si="364"/>
        <v>0</v>
      </c>
      <c r="AD158" s="31">
        <f t="shared" si="364"/>
        <v>0</v>
      </c>
      <c r="AE158" s="31">
        <f t="shared" si="364"/>
        <v>0</v>
      </c>
      <c r="AF158" s="31">
        <f t="shared" si="364"/>
        <v>0</v>
      </c>
      <c r="AG158" s="31">
        <f t="shared" si="364"/>
        <v>0</v>
      </c>
      <c r="AH158" s="31">
        <f t="shared" ref="AH158:BM158" si="365">AH133-AH89</f>
        <v>0</v>
      </c>
      <c r="AI158" s="31">
        <f t="shared" si="365"/>
        <v>0</v>
      </c>
      <c r="AJ158" s="31">
        <f t="shared" si="365"/>
        <v>0</v>
      </c>
      <c r="AK158" s="31">
        <f t="shared" si="365"/>
        <v>0</v>
      </c>
      <c r="AL158" s="31">
        <f t="shared" si="365"/>
        <v>0</v>
      </c>
      <c r="AM158" s="31">
        <f t="shared" si="365"/>
        <v>0</v>
      </c>
      <c r="AN158" s="31">
        <f t="shared" si="365"/>
        <v>0</v>
      </c>
      <c r="AO158" s="31">
        <f t="shared" si="365"/>
        <v>0</v>
      </c>
      <c r="AP158" s="31">
        <f t="shared" si="365"/>
        <v>0</v>
      </c>
      <c r="AQ158" s="31">
        <f t="shared" si="365"/>
        <v>0</v>
      </c>
      <c r="AR158" s="31">
        <f t="shared" si="365"/>
        <v>0</v>
      </c>
      <c r="AS158" s="31">
        <f t="shared" si="365"/>
        <v>0</v>
      </c>
      <c r="AT158" s="31">
        <f t="shared" si="365"/>
        <v>0</v>
      </c>
      <c r="AU158" s="31">
        <f t="shared" si="365"/>
        <v>0</v>
      </c>
      <c r="AV158" s="31">
        <f t="shared" si="365"/>
        <v>0</v>
      </c>
      <c r="AW158" s="31">
        <f t="shared" si="365"/>
        <v>0</v>
      </c>
      <c r="AX158" s="31">
        <f t="shared" si="365"/>
        <v>0</v>
      </c>
      <c r="AY158" s="31">
        <f t="shared" si="365"/>
        <v>0</v>
      </c>
      <c r="AZ158" s="31">
        <f t="shared" si="365"/>
        <v>0</v>
      </c>
      <c r="BA158" s="31">
        <f t="shared" si="365"/>
        <v>0</v>
      </c>
      <c r="BB158" s="31">
        <f t="shared" si="365"/>
        <v>0</v>
      </c>
      <c r="BC158" s="31">
        <f t="shared" si="365"/>
        <v>0</v>
      </c>
      <c r="BD158" s="31">
        <f t="shared" si="365"/>
        <v>0</v>
      </c>
      <c r="BE158" s="31">
        <f t="shared" si="365"/>
        <v>0</v>
      </c>
      <c r="BF158" s="31">
        <f t="shared" si="365"/>
        <v>0</v>
      </c>
      <c r="BG158" s="31">
        <f t="shared" si="365"/>
        <v>0</v>
      </c>
      <c r="BH158" s="31">
        <f t="shared" si="365"/>
        <v>0</v>
      </c>
      <c r="BI158" s="31">
        <f t="shared" si="365"/>
        <v>0</v>
      </c>
      <c r="BJ158" s="28">
        <f t="shared" si="365"/>
        <v>0</v>
      </c>
      <c r="BK158" s="28">
        <f t="shared" si="365"/>
        <v>0</v>
      </c>
      <c r="BL158" s="28">
        <f t="shared" si="365"/>
        <v>0</v>
      </c>
      <c r="BM158" s="28">
        <f t="shared" si="365"/>
        <v>0</v>
      </c>
      <c r="BN158" s="28">
        <f t="shared" ref="BN158:CS158" si="366">BN133-BN89</f>
        <v>0</v>
      </c>
      <c r="BO158" s="28">
        <f t="shared" si="366"/>
        <v>0</v>
      </c>
      <c r="BP158" s="28">
        <f t="shared" si="366"/>
        <v>0</v>
      </c>
      <c r="BQ158" s="28">
        <f t="shared" si="366"/>
        <v>0</v>
      </c>
      <c r="BR158" s="28">
        <f t="shared" si="366"/>
        <v>0</v>
      </c>
      <c r="BS158" s="28">
        <f t="shared" si="366"/>
        <v>0</v>
      </c>
      <c r="BT158" s="28">
        <f t="shared" si="366"/>
        <v>0</v>
      </c>
      <c r="BU158" s="28">
        <f t="shared" si="366"/>
        <v>0</v>
      </c>
      <c r="BV158" s="28">
        <f t="shared" si="366"/>
        <v>0</v>
      </c>
      <c r="BW158" s="28">
        <f t="shared" si="366"/>
        <v>0</v>
      </c>
      <c r="BX158" s="28">
        <f t="shared" si="366"/>
        <v>0</v>
      </c>
      <c r="BY158" s="28">
        <f t="shared" si="366"/>
        <v>0</v>
      </c>
      <c r="BZ158" s="28">
        <f t="shared" si="366"/>
        <v>0</v>
      </c>
      <c r="CA158" s="28">
        <f t="shared" si="366"/>
        <v>0</v>
      </c>
      <c r="CB158" s="28">
        <f t="shared" si="366"/>
        <v>0</v>
      </c>
      <c r="CC158" s="28">
        <f t="shared" si="366"/>
        <v>0</v>
      </c>
      <c r="CD158" s="28">
        <f t="shared" si="366"/>
        <v>0</v>
      </c>
      <c r="CE158" s="28">
        <f t="shared" si="366"/>
        <v>0</v>
      </c>
      <c r="CF158" s="28">
        <f t="shared" si="366"/>
        <v>0</v>
      </c>
      <c r="CG158" s="28">
        <f t="shared" si="366"/>
        <v>0</v>
      </c>
      <c r="CH158" s="28">
        <f t="shared" si="366"/>
        <v>0</v>
      </c>
      <c r="CI158" s="28">
        <f t="shared" si="366"/>
        <v>0</v>
      </c>
      <c r="CJ158" s="28">
        <f t="shared" si="366"/>
        <v>0</v>
      </c>
      <c r="CK158" s="28">
        <f t="shared" si="366"/>
        <v>0</v>
      </c>
      <c r="CL158" s="28">
        <f t="shared" si="366"/>
        <v>0</v>
      </c>
      <c r="CM158" s="28">
        <f t="shared" si="366"/>
        <v>0</v>
      </c>
      <c r="CN158" s="28">
        <f t="shared" si="366"/>
        <v>0</v>
      </c>
      <c r="CO158" s="28">
        <f t="shared" si="366"/>
        <v>0</v>
      </c>
      <c r="CP158" s="28">
        <f t="shared" si="366"/>
        <v>0</v>
      </c>
      <c r="CQ158" s="28">
        <f t="shared" si="366"/>
        <v>0</v>
      </c>
      <c r="CR158" s="28">
        <f t="shared" si="366"/>
        <v>0</v>
      </c>
      <c r="CS158" s="28">
        <f t="shared" si="366"/>
        <v>0</v>
      </c>
      <c r="CT158" s="28">
        <f t="shared" ref="CT158:DT158" si="367">CT133-CT89</f>
        <v>0</v>
      </c>
      <c r="CU158" s="28">
        <f t="shared" si="367"/>
        <v>0</v>
      </c>
      <c r="CV158" s="28">
        <f t="shared" si="367"/>
        <v>0</v>
      </c>
      <c r="CW158" s="28">
        <f t="shared" si="367"/>
        <v>0</v>
      </c>
      <c r="CX158" s="28">
        <f t="shared" si="367"/>
        <v>0</v>
      </c>
      <c r="CY158" s="28">
        <f t="shared" si="367"/>
        <v>0</v>
      </c>
      <c r="CZ158" s="28">
        <f t="shared" si="367"/>
        <v>0</v>
      </c>
      <c r="DA158" s="28">
        <f t="shared" si="367"/>
        <v>0</v>
      </c>
      <c r="DB158" s="28">
        <f t="shared" si="367"/>
        <v>0</v>
      </c>
      <c r="DC158" s="28">
        <f t="shared" si="367"/>
        <v>0</v>
      </c>
      <c r="DD158" s="28">
        <f t="shared" si="367"/>
        <v>0</v>
      </c>
      <c r="DE158" s="28">
        <f t="shared" si="367"/>
        <v>0</v>
      </c>
      <c r="DF158" s="28">
        <f t="shared" si="367"/>
        <v>0</v>
      </c>
      <c r="DG158" s="28">
        <f t="shared" si="367"/>
        <v>0</v>
      </c>
      <c r="DH158" s="28">
        <f t="shared" si="367"/>
        <v>0</v>
      </c>
      <c r="DI158" s="28">
        <f t="shared" si="367"/>
        <v>0</v>
      </c>
      <c r="DJ158" s="28">
        <f t="shared" si="367"/>
        <v>0</v>
      </c>
      <c r="DK158" s="28">
        <f t="shared" si="367"/>
        <v>0</v>
      </c>
      <c r="DL158" s="28">
        <f t="shared" si="367"/>
        <v>0</v>
      </c>
      <c r="DM158" s="28">
        <f t="shared" si="367"/>
        <v>0</v>
      </c>
      <c r="DN158" s="28">
        <f t="shared" si="367"/>
        <v>0</v>
      </c>
      <c r="DO158" s="28">
        <f t="shared" si="367"/>
        <v>0</v>
      </c>
      <c r="DP158" s="28">
        <f t="shared" si="367"/>
        <v>0</v>
      </c>
      <c r="DQ158" s="28">
        <f t="shared" si="367"/>
        <v>0</v>
      </c>
      <c r="DR158" s="28">
        <f t="shared" si="367"/>
        <v>0</v>
      </c>
      <c r="DS158" s="28">
        <f t="shared" si="367"/>
        <v>0</v>
      </c>
      <c r="DT158" s="28">
        <f t="shared" si="367"/>
        <v>5.5449999999999999</v>
      </c>
      <c r="DU158" s="28">
        <f t="shared" ref="DU158:ED158" si="368">DU133-DU89</f>
        <v>59.311000000000007</v>
      </c>
      <c r="DV158" s="28">
        <f t="shared" si="368"/>
        <v>64.855999999999995</v>
      </c>
      <c r="DW158" s="28">
        <f t="shared" si="368"/>
        <v>82.837000000000003</v>
      </c>
      <c r="DX158" s="28">
        <f t="shared" si="368"/>
        <v>129.37899999999999</v>
      </c>
      <c r="DY158" s="28">
        <f t="shared" si="368"/>
        <v>138.54303830000009</v>
      </c>
      <c r="DZ158" s="28">
        <f t="shared" si="368"/>
        <v>197.30780764999992</v>
      </c>
      <c r="EA158" s="28">
        <f t="shared" si="368"/>
        <v>548.0668459499999</v>
      </c>
      <c r="EB158" s="28">
        <f t="shared" si="368"/>
        <v>221.04940963000007</v>
      </c>
      <c r="EC158" s="28">
        <f t="shared" si="368"/>
        <v>227.18619298000004</v>
      </c>
      <c r="ED158" s="28">
        <f t="shared" si="368"/>
        <v>243.90999999999997</v>
      </c>
      <c r="EE158" s="28">
        <f t="shared" ref="EE158" si="369">EE133-EE89</f>
        <v>249.48613491000003</v>
      </c>
      <c r="EF158" s="28">
        <f t="shared" ref="EF158:EG158" si="370">EF133-EF89</f>
        <v>941.63173752000012</v>
      </c>
      <c r="EG158" s="28">
        <f t="shared" si="370"/>
        <v>235.97838359999997</v>
      </c>
      <c r="EH158" s="28">
        <f t="shared" ref="EH158:EH160" si="371">EH133-EH89</f>
        <v>236.74142177000004</v>
      </c>
      <c r="EI158" s="28">
        <f t="shared" ref="EI158" si="372">EI133-EI89</f>
        <v>251.7300454899999</v>
      </c>
    </row>
    <row r="159" spans="1:139" ht="15" thickTop="1" x14ac:dyDescent="0.3">
      <c r="A159" s="1" t="s">
        <v>449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27">
        <f t="shared" ref="BJ159:CO159" si="373">BJ134-BJ90</f>
        <v>0</v>
      </c>
      <c r="BK159" s="27">
        <f t="shared" si="373"/>
        <v>0</v>
      </c>
      <c r="BL159" s="27">
        <f t="shared" si="373"/>
        <v>0</v>
      </c>
      <c r="BM159" s="27">
        <f t="shared" si="373"/>
        <v>0</v>
      </c>
      <c r="BN159" s="27">
        <f t="shared" si="373"/>
        <v>0</v>
      </c>
      <c r="BO159" s="27">
        <f t="shared" si="373"/>
        <v>0</v>
      </c>
      <c r="BP159" s="27">
        <f t="shared" si="373"/>
        <v>0</v>
      </c>
      <c r="BQ159" s="27">
        <f t="shared" si="373"/>
        <v>0</v>
      </c>
      <c r="BR159" s="27">
        <f t="shared" si="373"/>
        <v>0</v>
      </c>
      <c r="BS159" s="27">
        <f t="shared" si="373"/>
        <v>0</v>
      </c>
      <c r="BT159" s="27">
        <f t="shared" si="373"/>
        <v>0</v>
      </c>
      <c r="BU159" s="27">
        <f t="shared" si="373"/>
        <v>0</v>
      </c>
      <c r="BV159" s="27">
        <f t="shared" si="373"/>
        <v>0</v>
      </c>
      <c r="BW159" s="27">
        <f t="shared" si="373"/>
        <v>0</v>
      </c>
      <c r="BX159" s="27">
        <f t="shared" si="373"/>
        <v>0</v>
      </c>
      <c r="BY159" s="27">
        <f t="shared" si="373"/>
        <v>0</v>
      </c>
      <c r="BZ159" s="27">
        <f t="shared" si="373"/>
        <v>0</v>
      </c>
      <c r="CA159" s="27">
        <f t="shared" si="373"/>
        <v>0</v>
      </c>
      <c r="CB159" s="27">
        <f t="shared" si="373"/>
        <v>0</v>
      </c>
      <c r="CC159" s="27">
        <f t="shared" si="373"/>
        <v>0</v>
      </c>
      <c r="CD159" s="27">
        <f t="shared" si="373"/>
        <v>0</v>
      </c>
      <c r="CE159" s="27">
        <f t="shared" si="373"/>
        <v>0</v>
      </c>
      <c r="CF159" s="27">
        <f t="shared" si="373"/>
        <v>0</v>
      </c>
      <c r="CG159" s="27">
        <f t="shared" si="373"/>
        <v>0</v>
      </c>
      <c r="CH159" s="27">
        <f t="shared" si="373"/>
        <v>0</v>
      </c>
      <c r="CI159" s="27">
        <f t="shared" si="373"/>
        <v>0</v>
      </c>
      <c r="CJ159" s="27">
        <f t="shared" si="373"/>
        <v>0</v>
      </c>
      <c r="CK159" s="27">
        <f t="shared" si="373"/>
        <v>0</v>
      </c>
      <c r="CL159" s="27">
        <f t="shared" si="373"/>
        <v>0</v>
      </c>
      <c r="CM159" s="27">
        <f t="shared" si="373"/>
        <v>0</v>
      </c>
      <c r="CN159" s="27">
        <f t="shared" si="373"/>
        <v>0</v>
      </c>
      <c r="CO159" s="27">
        <f t="shared" si="373"/>
        <v>0</v>
      </c>
      <c r="CP159" s="27">
        <f t="shared" ref="CP159:DT159" si="374">CP134-CP90</f>
        <v>0</v>
      </c>
      <c r="CQ159" s="27">
        <f t="shared" si="374"/>
        <v>0</v>
      </c>
      <c r="CR159" s="27">
        <f t="shared" si="374"/>
        <v>0</v>
      </c>
      <c r="CS159" s="27">
        <f t="shared" si="374"/>
        <v>0</v>
      </c>
      <c r="CT159" s="27">
        <f t="shared" si="374"/>
        <v>0</v>
      </c>
      <c r="CU159" s="27">
        <f t="shared" si="374"/>
        <v>0</v>
      </c>
      <c r="CV159" s="27">
        <f t="shared" si="374"/>
        <v>0</v>
      </c>
      <c r="CW159" s="27">
        <f t="shared" si="374"/>
        <v>0</v>
      </c>
      <c r="CX159" s="27">
        <f t="shared" si="374"/>
        <v>0</v>
      </c>
      <c r="CY159" s="27">
        <f t="shared" si="374"/>
        <v>0</v>
      </c>
      <c r="CZ159" s="27">
        <f t="shared" si="374"/>
        <v>0</v>
      </c>
      <c r="DA159" s="27">
        <f t="shared" si="374"/>
        <v>0</v>
      </c>
      <c r="DB159" s="27">
        <f t="shared" si="374"/>
        <v>0</v>
      </c>
      <c r="DC159" s="27">
        <f t="shared" si="374"/>
        <v>0</v>
      </c>
      <c r="DD159" s="27">
        <f t="shared" si="374"/>
        <v>0</v>
      </c>
      <c r="DE159" s="27">
        <f t="shared" si="374"/>
        <v>0</v>
      </c>
      <c r="DF159" s="27">
        <f t="shared" si="374"/>
        <v>0</v>
      </c>
      <c r="DG159" s="27">
        <f t="shared" si="374"/>
        <v>0</v>
      </c>
      <c r="DH159" s="27">
        <f t="shared" si="374"/>
        <v>0</v>
      </c>
      <c r="DI159" s="27">
        <f t="shared" si="374"/>
        <v>0</v>
      </c>
      <c r="DJ159" s="27">
        <f t="shared" si="374"/>
        <v>0</v>
      </c>
      <c r="DK159" s="27">
        <f t="shared" si="374"/>
        <v>0</v>
      </c>
      <c r="DL159" s="27">
        <f t="shared" si="374"/>
        <v>0</v>
      </c>
      <c r="DM159" s="27">
        <f t="shared" si="374"/>
        <v>0</v>
      </c>
      <c r="DN159" s="27">
        <f t="shared" si="374"/>
        <v>0</v>
      </c>
      <c r="DO159" s="27">
        <f t="shared" si="374"/>
        <v>0</v>
      </c>
      <c r="DP159" s="27">
        <f t="shared" si="374"/>
        <v>0</v>
      </c>
      <c r="DQ159" s="27">
        <f t="shared" si="374"/>
        <v>0</v>
      </c>
      <c r="DR159" s="27">
        <f t="shared" si="374"/>
        <v>0</v>
      </c>
      <c r="DS159" s="27">
        <f t="shared" si="374"/>
        <v>0</v>
      </c>
      <c r="DT159" s="27">
        <f t="shared" si="374"/>
        <v>0</v>
      </c>
      <c r="DU159" s="27">
        <f t="shared" ref="DU159:ED159" si="375">DU134-DU90</f>
        <v>0</v>
      </c>
      <c r="DV159" s="27">
        <f t="shared" si="375"/>
        <v>0</v>
      </c>
      <c r="DW159" s="27">
        <f t="shared" si="375"/>
        <v>0</v>
      </c>
      <c r="DX159" s="27">
        <f t="shared" si="375"/>
        <v>102.703</v>
      </c>
      <c r="DY159" s="27">
        <f t="shared" si="375"/>
        <v>170.03155218000006</v>
      </c>
      <c r="DZ159" s="27">
        <f t="shared" si="375"/>
        <v>173.58874536999997</v>
      </c>
      <c r="EA159" s="27">
        <f t="shared" si="375"/>
        <v>446.32329755000001</v>
      </c>
      <c r="EB159" s="27">
        <f t="shared" si="375"/>
        <v>158.20984042000003</v>
      </c>
      <c r="EC159" s="27">
        <f t="shared" si="375"/>
        <v>166.00930726999997</v>
      </c>
      <c r="ED159" s="27">
        <f t="shared" si="375"/>
        <v>186.01500000000004</v>
      </c>
      <c r="EE159" s="27">
        <f t="shared" ref="EE159" si="376">EE134-EE90</f>
        <v>193.50292292000012</v>
      </c>
      <c r="EF159" s="27">
        <f t="shared" ref="EF159:EG159" si="377">EF134-EF90</f>
        <v>703.73707061000005</v>
      </c>
      <c r="EG159" s="27">
        <f t="shared" si="377"/>
        <v>177.81114471999996</v>
      </c>
      <c r="EH159" s="27">
        <f t="shared" ref="EH159" si="378">EH134-EH90</f>
        <v>208.77910186000003</v>
      </c>
      <c r="EI159" s="27">
        <f t="shared" ref="EI159" si="379">EI134-EI90</f>
        <v>232.3968521699999</v>
      </c>
    </row>
    <row r="160" spans="1:139" ht="15" thickBot="1" x14ac:dyDescent="0.35">
      <c r="A160" s="2" t="s">
        <v>460</v>
      </c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>
        <f t="shared" ref="EG160" si="380">EG135-EG91</f>
        <v>2.5474590999999998</v>
      </c>
      <c r="EH160" s="28">
        <f t="shared" si="371"/>
        <v>136.04200017000002</v>
      </c>
      <c r="EI160" s="28">
        <f t="shared" ref="EI160" si="381">EI135-EI91</f>
        <v>140.93836416999997</v>
      </c>
    </row>
    <row r="161" spans="1:139" ht="15" thickTop="1" x14ac:dyDescent="0.3">
      <c r="A161" s="1" t="s">
        <v>304</v>
      </c>
      <c r="B161" s="30">
        <f t="shared" ref="B161:AG161" si="382">B136</f>
        <v>0</v>
      </c>
      <c r="C161" s="30">
        <f t="shared" si="382"/>
        <v>0</v>
      </c>
      <c r="D161" s="30">
        <f t="shared" si="382"/>
        <v>0</v>
      </c>
      <c r="E161" s="30">
        <f t="shared" si="382"/>
        <v>0</v>
      </c>
      <c r="F161" s="30">
        <f t="shared" si="382"/>
        <v>0</v>
      </c>
      <c r="G161" s="30">
        <f t="shared" si="382"/>
        <v>0</v>
      </c>
      <c r="H161" s="30">
        <f t="shared" si="382"/>
        <v>0</v>
      </c>
      <c r="I161" s="30">
        <f t="shared" si="382"/>
        <v>0</v>
      </c>
      <c r="J161" s="30">
        <f t="shared" si="382"/>
        <v>0</v>
      </c>
      <c r="K161" s="30">
        <f t="shared" si="382"/>
        <v>0</v>
      </c>
      <c r="L161" s="30">
        <f t="shared" si="382"/>
        <v>0</v>
      </c>
      <c r="M161" s="30">
        <f t="shared" si="382"/>
        <v>0</v>
      </c>
      <c r="N161" s="30">
        <f t="shared" si="382"/>
        <v>0</v>
      </c>
      <c r="O161" s="30">
        <f t="shared" si="382"/>
        <v>0</v>
      </c>
      <c r="P161" s="30">
        <f t="shared" si="382"/>
        <v>0</v>
      </c>
      <c r="Q161" s="30">
        <f t="shared" si="382"/>
        <v>0</v>
      </c>
      <c r="R161" s="30">
        <f t="shared" si="382"/>
        <v>0</v>
      </c>
      <c r="S161" s="30">
        <f t="shared" si="382"/>
        <v>0</v>
      </c>
      <c r="T161" s="30">
        <f t="shared" si="382"/>
        <v>0</v>
      </c>
      <c r="U161" s="30">
        <f t="shared" si="382"/>
        <v>0</v>
      </c>
      <c r="V161" s="30">
        <f t="shared" si="382"/>
        <v>0</v>
      </c>
      <c r="W161" s="30">
        <f t="shared" si="382"/>
        <v>0</v>
      </c>
      <c r="X161" s="30">
        <f t="shared" si="382"/>
        <v>0</v>
      </c>
      <c r="Y161" s="30">
        <f t="shared" si="382"/>
        <v>0</v>
      </c>
      <c r="Z161" s="30">
        <f t="shared" si="382"/>
        <v>0</v>
      </c>
      <c r="AA161" s="30">
        <f t="shared" si="382"/>
        <v>0</v>
      </c>
      <c r="AB161" s="30">
        <f t="shared" si="382"/>
        <v>0</v>
      </c>
      <c r="AC161" s="30">
        <f t="shared" si="382"/>
        <v>0</v>
      </c>
      <c r="AD161" s="30">
        <f t="shared" si="382"/>
        <v>0</v>
      </c>
      <c r="AE161" s="30">
        <f t="shared" si="382"/>
        <v>0</v>
      </c>
      <c r="AF161" s="30">
        <f t="shared" si="382"/>
        <v>0</v>
      </c>
      <c r="AG161" s="30">
        <f t="shared" si="382"/>
        <v>0</v>
      </c>
      <c r="AH161" s="30">
        <f t="shared" ref="AH161:BM161" si="383">AH136</f>
        <v>0</v>
      </c>
      <c r="AI161" s="30">
        <f t="shared" si="383"/>
        <v>0</v>
      </c>
      <c r="AJ161" s="30">
        <f t="shared" si="383"/>
        <v>0</v>
      </c>
      <c r="AK161" s="30">
        <f t="shared" si="383"/>
        <v>0</v>
      </c>
      <c r="AL161" s="30">
        <f t="shared" si="383"/>
        <v>0</v>
      </c>
      <c r="AM161" s="30">
        <f t="shared" si="383"/>
        <v>0</v>
      </c>
      <c r="AN161" s="30">
        <f t="shared" si="383"/>
        <v>0</v>
      </c>
      <c r="AO161" s="30">
        <f t="shared" si="383"/>
        <v>0</v>
      </c>
      <c r="AP161" s="30">
        <f t="shared" si="383"/>
        <v>0</v>
      </c>
      <c r="AQ161" s="30">
        <f t="shared" si="383"/>
        <v>0</v>
      </c>
      <c r="AR161" s="30">
        <f t="shared" si="383"/>
        <v>0</v>
      </c>
      <c r="AS161" s="30">
        <f t="shared" si="383"/>
        <v>0</v>
      </c>
      <c r="AT161" s="30">
        <f t="shared" si="383"/>
        <v>0</v>
      </c>
      <c r="AU161" s="30">
        <f t="shared" si="383"/>
        <v>0</v>
      </c>
      <c r="AV161" s="30">
        <f t="shared" si="383"/>
        <v>0</v>
      </c>
      <c r="AW161" s="30">
        <f t="shared" si="383"/>
        <v>0</v>
      </c>
      <c r="AX161" s="30">
        <f t="shared" si="383"/>
        <v>0</v>
      </c>
      <c r="AY161" s="30">
        <f t="shared" si="383"/>
        <v>0</v>
      </c>
      <c r="AZ161" s="30">
        <f t="shared" si="383"/>
        <v>0</v>
      </c>
      <c r="BA161" s="30">
        <f t="shared" si="383"/>
        <v>0</v>
      </c>
      <c r="BB161" s="30">
        <f t="shared" si="383"/>
        <v>0</v>
      </c>
      <c r="BC161" s="30">
        <f t="shared" si="383"/>
        <v>0</v>
      </c>
      <c r="BD161" s="30">
        <f t="shared" si="383"/>
        <v>0</v>
      </c>
      <c r="BE161" s="30">
        <f t="shared" si="383"/>
        <v>0</v>
      </c>
      <c r="BF161" s="30">
        <f t="shared" si="383"/>
        <v>0</v>
      </c>
      <c r="BG161" s="30">
        <f t="shared" si="383"/>
        <v>0</v>
      </c>
      <c r="BH161" s="30">
        <f t="shared" si="383"/>
        <v>0</v>
      </c>
      <c r="BI161" s="30">
        <f t="shared" si="383"/>
        <v>0</v>
      </c>
      <c r="BJ161" s="27">
        <f t="shared" si="383"/>
        <v>0</v>
      </c>
      <c r="BK161" s="27">
        <f t="shared" si="383"/>
        <v>0</v>
      </c>
      <c r="BL161" s="27">
        <f t="shared" si="383"/>
        <v>0</v>
      </c>
      <c r="BM161" s="27">
        <f t="shared" si="383"/>
        <v>0</v>
      </c>
      <c r="BN161" s="27">
        <f t="shared" ref="BN161:CS161" si="384">BN136</f>
        <v>0</v>
      </c>
      <c r="BO161" s="27">
        <f t="shared" si="384"/>
        <v>0</v>
      </c>
      <c r="BP161" s="27">
        <f t="shared" si="384"/>
        <v>0</v>
      </c>
      <c r="BQ161" s="27">
        <f t="shared" si="384"/>
        <v>0</v>
      </c>
      <c r="BR161" s="27">
        <f t="shared" si="384"/>
        <v>0</v>
      </c>
      <c r="BS161" s="27">
        <f t="shared" si="384"/>
        <v>0</v>
      </c>
      <c r="BT161" s="27">
        <f t="shared" si="384"/>
        <v>0</v>
      </c>
      <c r="BU161" s="27">
        <f t="shared" si="384"/>
        <v>45.099999999999994</v>
      </c>
      <c r="BV161" s="27">
        <f t="shared" si="384"/>
        <v>140.00000000000003</v>
      </c>
      <c r="BW161" s="27">
        <f t="shared" si="384"/>
        <v>143.70000000000002</v>
      </c>
      <c r="BX161" s="27">
        <f t="shared" si="384"/>
        <v>328.80000000000007</v>
      </c>
      <c r="BY161" s="27">
        <f t="shared" si="384"/>
        <v>127.30000000000004</v>
      </c>
      <c r="BZ161" s="27">
        <f t="shared" si="384"/>
        <v>145.19999999999999</v>
      </c>
      <c r="CA161" s="27">
        <f t="shared" si="384"/>
        <v>145.80000000000001</v>
      </c>
      <c r="CB161" s="27">
        <f t="shared" si="384"/>
        <v>132.30000000000001</v>
      </c>
      <c r="CC161" s="27">
        <f t="shared" si="384"/>
        <v>550.60000000000014</v>
      </c>
      <c r="CD161" s="27">
        <f t="shared" si="384"/>
        <v>115.60000000000001</v>
      </c>
      <c r="CE161" s="27">
        <f t="shared" si="384"/>
        <v>111.40000000000002</v>
      </c>
      <c r="CF161" s="27">
        <f t="shared" si="384"/>
        <v>116.69999999999999</v>
      </c>
      <c r="CG161" s="27">
        <f t="shared" si="384"/>
        <v>108.89999999999999</v>
      </c>
      <c r="CH161" s="27">
        <f t="shared" si="384"/>
        <v>452.59999999999997</v>
      </c>
      <c r="CI161" s="27">
        <f t="shared" si="384"/>
        <v>99.8</v>
      </c>
      <c r="CJ161" s="27">
        <f t="shared" si="384"/>
        <v>84</v>
      </c>
      <c r="CK161" s="27">
        <f t="shared" si="384"/>
        <v>70.591680090000011</v>
      </c>
      <c r="CL161" s="27">
        <f t="shared" si="384"/>
        <v>58.662543599999978</v>
      </c>
      <c r="CM161" s="27">
        <f t="shared" si="384"/>
        <v>313.05422368999996</v>
      </c>
      <c r="CN161" s="27">
        <f t="shared" si="384"/>
        <v>56.300000000000004</v>
      </c>
      <c r="CO161" s="27">
        <f t="shared" si="384"/>
        <v>62.5</v>
      </c>
      <c r="CP161" s="27">
        <f t="shared" si="384"/>
        <v>66.8</v>
      </c>
      <c r="CQ161" s="27">
        <f t="shared" si="384"/>
        <v>68.8</v>
      </c>
      <c r="CR161" s="27">
        <f t="shared" si="384"/>
        <v>254.4</v>
      </c>
      <c r="CS161" s="27">
        <f t="shared" si="384"/>
        <v>27.822699</v>
      </c>
      <c r="CT161" s="27">
        <f t="shared" ref="CT161:DT161" si="385">CT136</f>
        <v>25.676301000000002</v>
      </c>
      <c r="CU161" s="27">
        <f t="shared" si="385"/>
        <v>24.956000000000003</v>
      </c>
      <c r="CV161" s="27">
        <f t="shared" si="385"/>
        <v>30.315999999999974</v>
      </c>
      <c r="CW161" s="27">
        <f t="shared" si="385"/>
        <v>108.77099999999996</v>
      </c>
      <c r="CX161" s="27">
        <f t="shared" si="385"/>
        <v>28.999000000000009</v>
      </c>
      <c r="CY161" s="27">
        <f t="shared" si="385"/>
        <v>32.869</v>
      </c>
      <c r="CZ161" s="27">
        <f t="shared" si="385"/>
        <v>38.606999999999999</v>
      </c>
      <c r="DA161" s="27">
        <f t="shared" si="385"/>
        <v>33.691999999999993</v>
      </c>
      <c r="DB161" s="27">
        <f t="shared" si="385"/>
        <v>134.167</v>
      </c>
      <c r="DC161" s="27">
        <f t="shared" si="385"/>
        <v>38.938999999999993</v>
      </c>
      <c r="DD161" s="27">
        <f t="shared" si="385"/>
        <v>47.881</v>
      </c>
      <c r="DE161" s="27">
        <f t="shared" si="385"/>
        <v>43.241000000000007</v>
      </c>
      <c r="DF161" s="27">
        <f t="shared" si="385"/>
        <v>37.419999999999995</v>
      </c>
      <c r="DG161" s="27">
        <f t="shared" si="385"/>
        <v>167.48099999999997</v>
      </c>
      <c r="DH161" s="27">
        <f t="shared" si="385"/>
        <v>34.542999999999992</v>
      </c>
      <c r="DI161" s="27">
        <f t="shared" si="385"/>
        <v>40.877000000000002</v>
      </c>
      <c r="DJ161" s="27">
        <f t="shared" si="385"/>
        <v>43.395000000000003</v>
      </c>
      <c r="DK161" s="27">
        <f t="shared" si="385"/>
        <v>50.813000000000002</v>
      </c>
      <c r="DL161" s="27">
        <f t="shared" si="385"/>
        <v>169.62799999999999</v>
      </c>
      <c r="DM161" s="27">
        <f t="shared" si="385"/>
        <v>57.262999999999991</v>
      </c>
      <c r="DN161" s="27">
        <f t="shared" si="385"/>
        <v>57.269999999999996</v>
      </c>
      <c r="DO161" s="27">
        <f t="shared" si="385"/>
        <v>60.465999999999994</v>
      </c>
      <c r="DP161" s="27">
        <f t="shared" si="385"/>
        <v>59.63600000000001</v>
      </c>
      <c r="DQ161" s="27">
        <f t="shared" si="385"/>
        <v>234.63500000000005</v>
      </c>
      <c r="DR161" s="27">
        <f t="shared" si="385"/>
        <v>62.686000000000007</v>
      </c>
      <c r="DS161" s="27">
        <f t="shared" si="385"/>
        <v>69.431000000000012</v>
      </c>
      <c r="DT161" s="27">
        <f t="shared" si="385"/>
        <v>87.40100000000001</v>
      </c>
      <c r="DU161" s="27">
        <f t="shared" ref="DU161:ED161" si="386">DU136</f>
        <v>97.313999999999993</v>
      </c>
      <c r="DV161" s="27">
        <f t="shared" si="386"/>
        <v>316.83199999999999</v>
      </c>
      <c r="DW161" s="27">
        <f t="shared" si="386"/>
        <v>94.243999999999986</v>
      </c>
      <c r="DX161" s="27">
        <f t="shared" si="386"/>
        <v>77.425999999999988</v>
      </c>
      <c r="DY161" s="27">
        <f t="shared" si="386"/>
        <v>61.449690620000005</v>
      </c>
      <c r="DZ161" s="27">
        <f t="shared" si="386"/>
        <v>67.391459089999984</v>
      </c>
      <c r="EA161" s="27">
        <f t="shared" si="386"/>
        <v>300.51114970999998</v>
      </c>
      <c r="EB161" s="27">
        <f t="shared" si="386"/>
        <v>74.565555209999999</v>
      </c>
      <c r="EC161" s="27">
        <f t="shared" si="386"/>
        <v>86.051441299999993</v>
      </c>
      <c r="ED161" s="27">
        <f t="shared" si="386"/>
        <v>78.742999999999995</v>
      </c>
      <c r="EE161" s="27">
        <f t="shared" ref="EE161" si="387">EE136</f>
        <v>90.786814399999969</v>
      </c>
      <c r="EF161" s="27">
        <f t="shared" ref="EF161:EG161" si="388">EF136</f>
        <v>330.14681090999994</v>
      </c>
      <c r="EG161" s="27">
        <f t="shared" si="388"/>
        <v>97.943733229999992</v>
      </c>
      <c r="EH161" s="27">
        <f t="shared" ref="EH161" si="389">EH136</f>
        <v>91.574254309999986</v>
      </c>
      <c r="EI161" s="27">
        <f t="shared" ref="EI161" si="390">EI136</f>
        <v>92.90902081000003</v>
      </c>
    </row>
    <row r="162" spans="1:139" ht="15" thickBot="1" x14ac:dyDescent="0.35">
      <c r="A162" s="2" t="s">
        <v>305</v>
      </c>
      <c r="B162" s="31">
        <f t="shared" ref="B162:AG162" si="391">B137</f>
        <v>0</v>
      </c>
      <c r="C162" s="31">
        <f t="shared" si="391"/>
        <v>0</v>
      </c>
      <c r="D162" s="31">
        <f t="shared" si="391"/>
        <v>0</v>
      </c>
      <c r="E162" s="31">
        <f t="shared" si="391"/>
        <v>0</v>
      </c>
      <c r="F162" s="31">
        <f t="shared" si="391"/>
        <v>0</v>
      </c>
      <c r="G162" s="31">
        <f t="shared" si="391"/>
        <v>0</v>
      </c>
      <c r="H162" s="31">
        <f t="shared" si="391"/>
        <v>0</v>
      </c>
      <c r="I162" s="31">
        <f t="shared" si="391"/>
        <v>0</v>
      </c>
      <c r="J162" s="31">
        <f t="shared" si="391"/>
        <v>0</v>
      </c>
      <c r="K162" s="31">
        <f t="shared" si="391"/>
        <v>0</v>
      </c>
      <c r="L162" s="31">
        <f t="shared" si="391"/>
        <v>0</v>
      </c>
      <c r="M162" s="31">
        <f t="shared" si="391"/>
        <v>0</v>
      </c>
      <c r="N162" s="31">
        <f t="shared" si="391"/>
        <v>0</v>
      </c>
      <c r="O162" s="31">
        <f t="shared" si="391"/>
        <v>0</v>
      </c>
      <c r="P162" s="31">
        <f t="shared" si="391"/>
        <v>0</v>
      </c>
      <c r="Q162" s="31">
        <f t="shared" si="391"/>
        <v>0</v>
      </c>
      <c r="R162" s="31">
        <f t="shared" si="391"/>
        <v>0</v>
      </c>
      <c r="S162" s="31">
        <f t="shared" si="391"/>
        <v>0</v>
      </c>
      <c r="T162" s="31">
        <f t="shared" si="391"/>
        <v>0</v>
      </c>
      <c r="U162" s="31">
        <f t="shared" si="391"/>
        <v>0</v>
      </c>
      <c r="V162" s="31">
        <f t="shared" si="391"/>
        <v>0</v>
      </c>
      <c r="W162" s="31">
        <f t="shared" si="391"/>
        <v>0</v>
      </c>
      <c r="X162" s="31">
        <f t="shared" si="391"/>
        <v>0</v>
      </c>
      <c r="Y162" s="31">
        <f t="shared" si="391"/>
        <v>0</v>
      </c>
      <c r="Z162" s="31">
        <f t="shared" si="391"/>
        <v>0</v>
      </c>
      <c r="AA162" s="31">
        <f t="shared" si="391"/>
        <v>0</v>
      </c>
      <c r="AB162" s="31">
        <f t="shared" si="391"/>
        <v>0</v>
      </c>
      <c r="AC162" s="31">
        <f t="shared" si="391"/>
        <v>0</v>
      </c>
      <c r="AD162" s="31">
        <f t="shared" si="391"/>
        <v>0</v>
      </c>
      <c r="AE162" s="31">
        <f t="shared" si="391"/>
        <v>0</v>
      </c>
      <c r="AF162" s="31">
        <f t="shared" si="391"/>
        <v>0</v>
      </c>
      <c r="AG162" s="31">
        <f t="shared" si="391"/>
        <v>0</v>
      </c>
      <c r="AH162" s="31">
        <f t="shared" ref="AH162:BM162" si="392">AH137</f>
        <v>0</v>
      </c>
      <c r="AI162" s="31">
        <f t="shared" si="392"/>
        <v>0</v>
      </c>
      <c r="AJ162" s="31">
        <f t="shared" si="392"/>
        <v>0</v>
      </c>
      <c r="AK162" s="31">
        <f t="shared" si="392"/>
        <v>0</v>
      </c>
      <c r="AL162" s="31">
        <f t="shared" si="392"/>
        <v>0</v>
      </c>
      <c r="AM162" s="31">
        <f t="shared" si="392"/>
        <v>0</v>
      </c>
      <c r="AN162" s="31">
        <f t="shared" si="392"/>
        <v>0</v>
      </c>
      <c r="AO162" s="31">
        <f t="shared" si="392"/>
        <v>0</v>
      </c>
      <c r="AP162" s="31">
        <f t="shared" si="392"/>
        <v>0</v>
      </c>
      <c r="AQ162" s="31">
        <f t="shared" si="392"/>
        <v>0</v>
      </c>
      <c r="AR162" s="31">
        <f t="shared" si="392"/>
        <v>0</v>
      </c>
      <c r="AS162" s="31">
        <f t="shared" si="392"/>
        <v>0</v>
      </c>
      <c r="AT162" s="31">
        <f t="shared" si="392"/>
        <v>0</v>
      </c>
      <c r="AU162" s="31">
        <f t="shared" si="392"/>
        <v>0</v>
      </c>
      <c r="AV162" s="31">
        <f t="shared" si="392"/>
        <v>0</v>
      </c>
      <c r="AW162" s="31">
        <f t="shared" si="392"/>
        <v>0</v>
      </c>
      <c r="AX162" s="31">
        <f t="shared" si="392"/>
        <v>0</v>
      </c>
      <c r="AY162" s="31">
        <f t="shared" si="392"/>
        <v>0</v>
      </c>
      <c r="AZ162" s="31">
        <f t="shared" si="392"/>
        <v>0</v>
      </c>
      <c r="BA162" s="31">
        <f t="shared" si="392"/>
        <v>0</v>
      </c>
      <c r="BB162" s="31">
        <f t="shared" si="392"/>
        <v>0</v>
      </c>
      <c r="BC162" s="31">
        <f t="shared" si="392"/>
        <v>0</v>
      </c>
      <c r="BD162" s="31">
        <f t="shared" si="392"/>
        <v>0</v>
      </c>
      <c r="BE162" s="31">
        <f t="shared" si="392"/>
        <v>0</v>
      </c>
      <c r="BF162" s="31">
        <f t="shared" si="392"/>
        <v>0</v>
      </c>
      <c r="BG162" s="31">
        <f t="shared" si="392"/>
        <v>0</v>
      </c>
      <c r="BH162" s="31">
        <f t="shared" si="392"/>
        <v>0</v>
      </c>
      <c r="BI162" s="31">
        <f t="shared" si="392"/>
        <v>0</v>
      </c>
      <c r="BJ162" s="28">
        <f t="shared" si="392"/>
        <v>0</v>
      </c>
      <c r="BK162" s="28">
        <f t="shared" si="392"/>
        <v>0</v>
      </c>
      <c r="BL162" s="28">
        <f t="shared" si="392"/>
        <v>0</v>
      </c>
      <c r="BM162" s="28">
        <f t="shared" si="392"/>
        <v>0</v>
      </c>
      <c r="BN162" s="28">
        <f t="shared" ref="BN162:CS162" si="393">BN137</f>
        <v>0</v>
      </c>
      <c r="BO162" s="28">
        <f t="shared" si="393"/>
        <v>0</v>
      </c>
      <c r="BP162" s="28">
        <f t="shared" si="393"/>
        <v>0</v>
      </c>
      <c r="BQ162" s="28">
        <f t="shared" si="393"/>
        <v>0</v>
      </c>
      <c r="BR162" s="28">
        <f t="shared" si="393"/>
        <v>0</v>
      </c>
      <c r="BS162" s="28">
        <f t="shared" si="393"/>
        <v>0</v>
      </c>
      <c r="BT162" s="28">
        <f t="shared" si="393"/>
        <v>0</v>
      </c>
      <c r="BU162" s="28">
        <f t="shared" si="393"/>
        <v>0</v>
      </c>
      <c r="BV162" s="28">
        <f t="shared" si="393"/>
        <v>0</v>
      </c>
      <c r="BW162" s="28">
        <f t="shared" si="393"/>
        <v>0</v>
      </c>
      <c r="BX162" s="28">
        <f t="shared" si="393"/>
        <v>0</v>
      </c>
      <c r="BY162" s="28">
        <f t="shared" si="393"/>
        <v>0</v>
      </c>
      <c r="BZ162" s="28">
        <f t="shared" si="393"/>
        <v>0</v>
      </c>
      <c r="CA162" s="28">
        <f t="shared" si="393"/>
        <v>0</v>
      </c>
      <c r="CB162" s="28">
        <f t="shared" si="393"/>
        <v>0</v>
      </c>
      <c r="CC162" s="28">
        <f t="shared" si="393"/>
        <v>0</v>
      </c>
      <c r="CD162" s="28">
        <f t="shared" si="393"/>
        <v>0</v>
      </c>
      <c r="CE162" s="28">
        <f t="shared" si="393"/>
        <v>0</v>
      </c>
      <c r="CF162" s="28">
        <f t="shared" si="393"/>
        <v>0</v>
      </c>
      <c r="CG162" s="28">
        <f t="shared" si="393"/>
        <v>0</v>
      </c>
      <c r="CH162" s="28">
        <f t="shared" si="393"/>
        <v>0</v>
      </c>
      <c r="CI162" s="28">
        <f t="shared" si="393"/>
        <v>0</v>
      </c>
      <c r="CJ162" s="28">
        <f t="shared" si="393"/>
        <v>0</v>
      </c>
      <c r="CK162" s="28">
        <f t="shared" si="393"/>
        <v>0</v>
      </c>
      <c r="CL162" s="28">
        <f t="shared" si="393"/>
        <v>0</v>
      </c>
      <c r="CM162" s="28">
        <f t="shared" si="393"/>
        <v>0</v>
      </c>
      <c r="CN162" s="28">
        <f t="shared" si="393"/>
        <v>0</v>
      </c>
      <c r="CO162" s="28">
        <f t="shared" si="393"/>
        <v>0</v>
      </c>
      <c r="CP162" s="28">
        <f t="shared" si="393"/>
        <v>0</v>
      </c>
      <c r="CQ162" s="28">
        <f t="shared" si="393"/>
        <v>0</v>
      </c>
      <c r="CR162" s="28">
        <f t="shared" si="393"/>
        <v>0</v>
      </c>
      <c r="CS162" s="28">
        <f t="shared" si="393"/>
        <v>0</v>
      </c>
      <c r="CT162" s="28">
        <f t="shared" ref="CT162:DT162" si="394">CT137</f>
        <v>0</v>
      </c>
      <c r="CU162" s="28">
        <f t="shared" si="394"/>
        <v>0</v>
      </c>
      <c r="CV162" s="28">
        <f t="shared" si="394"/>
        <v>0</v>
      </c>
      <c r="CW162" s="28">
        <f t="shared" si="394"/>
        <v>0</v>
      </c>
      <c r="CX162" s="28">
        <f t="shared" si="394"/>
        <v>0</v>
      </c>
      <c r="CY162" s="28">
        <f t="shared" si="394"/>
        <v>0</v>
      </c>
      <c r="CZ162" s="28">
        <f t="shared" si="394"/>
        <v>0</v>
      </c>
      <c r="DA162" s="28">
        <f t="shared" si="394"/>
        <v>0</v>
      </c>
      <c r="DB162" s="28">
        <f t="shared" si="394"/>
        <v>0</v>
      </c>
      <c r="DC162" s="28">
        <f t="shared" si="394"/>
        <v>7.3360000000000003</v>
      </c>
      <c r="DD162" s="28">
        <f t="shared" si="394"/>
        <v>5.1369999999999996</v>
      </c>
      <c r="DE162" s="28">
        <f t="shared" si="394"/>
        <v>5.1780000000000008</v>
      </c>
      <c r="DF162" s="28">
        <f t="shared" si="394"/>
        <v>3.1930000000000001</v>
      </c>
      <c r="DG162" s="28">
        <f t="shared" si="394"/>
        <v>20.844000000000001</v>
      </c>
      <c r="DH162" s="28">
        <f t="shared" si="394"/>
        <v>5.9590000000000005</v>
      </c>
      <c r="DI162" s="28">
        <f t="shared" si="394"/>
        <v>10.512</v>
      </c>
      <c r="DJ162" s="28">
        <f t="shared" si="394"/>
        <v>7.5710000000000006</v>
      </c>
      <c r="DK162" s="28">
        <f t="shared" si="394"/>
        <v>3.726</v>
      </c>
      <c r="DL162" s="28">
        <f t="shared" si="394"/>
        <v>27.768000000000001</v>
      </c>
      <c r="DM162" s="28">
        <f t="shared" si="394"/>
        <v>6.3570000000000002</v>
      </c>
      <c r="DN162" s="28">
        <f t="shared" si="394"/>
        <v>9.7590000000000003</v>
      </c>
      <c r="DO162" s="28">
        <f t="shared" si="394"/>
        <v>4.2530000000000001</v>
      </c>
      <c r="DP162" s="28">
        <f t="shared" si="394"/>
        <v>2.9909999999999997</v>
      </c>
      <c r="DQ162" s="28">
        <f t="shared" si="394"/>
        <v>23.36</v>
      </c>
      <c r="DR162" s="28">
        <f t="shared" si="394"/>
        <v>6.5779999999999994</v>
      </c>
      <c r="DS162" s="28">
        <f t="shared" si="394"/>
        <v>8.1359999999999992</v>
      </c>
      <c r="DT162" s="28">
        <f t="shared" si="394"/>
        <v>7.3960000000000008</v>
      </c>
      <c r="DU162" s="28">
        <f t="shared" ref="DU162:ED162" si="395">DU137</f>
        <v>6.4239999999999995</v>
      </c>
      <c r="DV162" s="28">
        <f t="shared" si="395"/>
        <v>28.533999999999999</v>
      </c>
      <c r="DW162" s="28">
        <f t="shared" si="395"/>
        <v>9.4090000000000007</v>
      </c>
      <c r="DX162" s="28">
        <f t="shared" si="395"/>
        <v>14.798000000000002</v>
      </c>
      <c r="DY162" s="28">
        <f t="shared" si="395"/>
        <v>14.77487704</v>
      </c>
      <c r="DZ162" s="28">
        <f t="shared" si="395"/>
        <v>13.424326460000003</v>
      </c>
      <c r="EA162" s="28">
        <f t="shared" si="395"/>
        <v>52.406203500000004</v>
      </c>
      <c r="EB162" s="28">
        <f t="shared" si="395"/>
        <v>14.153718829999999</v>
      </c>
      <c r="EC162" s="28">
        <f t="shared" si="395"/>
        <v>12.805796540000001</v>
      </c>
      <c r="ED162" s="28">
        <f t="shared" si="395"/>
        <v>12.335000000000001</v>
      </c>
      <c r="EE162" s="28">
        <f t="shared" ref="EE162" si="396">EE137</f>
        <v>6.627022199999999</v>
      </c>
      <c r="EF162" s="28">
        <f t="shared" ref="EF162:EG162" si="397">EF137</f>
        <v>45.921537569999998</v>
      </c>
      <c r="EG162" s="28">
        <f t="shared" si="397"/>
        <v>10.1473564</v>
      </c>
      <c r="EH162" s="28">
        <f t="shared" ref="EH162" si="398">EH137</f>
        <v>16.555491440000001</v>
      </c>
      <c r="EI162" s="28">
        <f t="shared" ref="EI162" si="399">EI137</f>
        <v>15.549412100000001</v>
      </c>
    </row>
    <row r="163" spans="1:139" ht="15" thickTop="1" x14ac:dyDescent="0.3">
      <c r="A163" s="1" t="s">
        <v>306</v>
      </c>
      <c r="B163" s="30">
        <f t="shared" ref="B163:AG163" si="400">B138</f>
        <v>0</v>
      </c>
      <c r="C163" s="30">
        <f t="shared" si="400"/>
        <v>0</v>
      </c>
      <c r="D163" s="30">
        <f t="shared" si="400"/>
        <v>0</v>
      </c>
      <c r="E163" s="30">
        <f t="shared" si="400"/>
        <v>0</v>
      </c>
      <c r="F163" s="30">
        <f t="shared" si="400"/>
        <v>0</v>
      </c>
      <c r="G163" s="30">
        <f t="shared" si="400"/>
        <v>0</v>
      </c>
      <c r="H163" s="30">
        <f t="shared" si="400"/>
        <v>0</v>
      </c>
      <c r="I163" s="30">
        <f t="shared" si="400"/>
        <v>0</v>
      </c>
      <c r="J163" s="30">
        <f t="shared" si="400"/>
        <v>0</v>
      </c>
      <c r="K163" s="30">
        <f t="shared" si="400"/>
        <v>0</v>
      </c>
      <c r="L163" s="30">
        <f t="shared" si="400"/>
        <v>0</v>
      </c>
      <c r="M163" s="30">
        <f t="shared" si="400"/>
        <v>0</v>
      </c>
      <c r="N163" s="30">
        <f t="shared" si="400"/>
        <v>0</v>
      </c>
      <c r="O163" s="30">
        <f t="shared" si="400"/>
        <v>0</v>
      </c>
      <c r="P163" s="30">
        <f t="shared" si="400"/>
        <v>0</v>
      </c>
      <c r="Q163" s="30">
        <f t="shared" si="400"/>
        <v>0</v>
      </c>
      <c r="R163" s="30">
        <f t="shared" si="400"/>
        <v>0</v>
      </c>
      <c r="S163" s="30">
        <f t="shared" si="400"/>
        <v>0</v>
      </c>
      <c r="T163" s="30">
        <f t="shared" si="400"/>
        <v>0</v>
      </c>
      <c r="U163" s="30">
        <f t="shared" si="400"/>
        <v>0</v>
      </c>
      <c r="V163" s="30">
        <f t="shared" si="400"/>
        <v>0</v>
      </c>
      <c r="W163" s="30">
        <f t="shared" si="400"/>
        <v>0</v>
      </c>
      <c r="X163" s="30">
        <f t="shared" si="400"/>
        <v>0</v>
      </c>
      <c r="Y163" s="30">
        <f t="shared" si="400"/>
        <v>0</v>
      </c>
      <c r="Z163" s="30">
        <f t="shared" si="400"/>
        <v>0</v>
      </c>
      <c r="AA163" s="30">
        <f t="shared" si="400"/>
        <v>0</v>
      </c>
      <c r="AB163" s="30">
        <f t="shared" si="400"/>
        <v>0</v>
      </c>
      <c r="AC163" s="30">
        <f t="shared" si="400"/>
        <v>0</v>
      </c>
      <c r="AD163" s="30">
        <f t="shared" si="400"/>
        <v>0</v>
      </c>
      <c r="AE163" s="30">
        <f t="shared" si="400"/>
        <v>0</v>
      </c>
      <c r="AF163" s="30">
        <f t="shared" si="400"/>
        <v>0</v>
      </c>
      <c r="AG163" s="30">
        <f t="shared" si="400"/>
        <v>0</v>
      </c>
      <c r="AH163" s="30">
        <f t="shared" ref="AH163:BM163" si="401">AH138</f>
        <v>0</v>
      </c>
      <c r="AI163" s="30">
        <f t="shared" si="401"/>
        <v>0</v>
      </c>
      <c r="AJ163" s="30">
        <f t="shared" si="401"/>
        <v>0</v>
      </c>
      <c r="AK163" s="30">
        <f t="shared" si="401"/>
        <v>0</v>
      </c>
      <c r="AL163" s="30">
        <f t="shared" si="401"/>
        <v>0</v>
      </c>
      <c r="AM163" s="30">
        <f t="shared" si="401"/>
        <v>0</v>
      </c>
      <c r="AN163" s="30">
        <f t="shared" si="401"/>
        <v>0</v>
      </c>
      <c r="AO163" s="30">
        <f t="shared" si="401"/>
        <v>0</v>
      </c>
      <c r="AP163" s="30">
        <f t="shared" si="401"/>
        <v>0</v>
      </c>
      <c r="AQ163" s="30">
        <f t="shared" si="401"/>
        <v>0</v>
      </c>
      <c r="AR163" s="30">
        <f t="shared" si="401"/>
        <v>0</v>
      </c>
      <c r="AS163" s="30">
        <f t="shared" si="401"/>
        <v>0</v>
      </c>
      <c r="AT163" s="30">
        <f t="shared" si="401"/>
        <v>0</v>
      </c>
      <c r="AU163" s="30">
        <f t="shared" si="401"/>
        <v>0</v>
      </c>
      <c r="AV163" s="30">
        <f t="shared" si="401"/>
        <v>0</v>
      </c>
      <c r="AW163" s="30">
        <f t="shared" si="401"/>
        <v>0</v>
      </c>
      <c r="AX163" s="30">
        <f t="shared" si="401"/>
        <v>0</v>
      </c>
      <c r="AY163" s="30">
        <f t="shared" si="401"/>
        <v>0</v>
      </c>
      <c r="AZ163" s="30">
        <f t="shared" si="401"/>
        <v>0</v>
      </c>
      <c r="BA163" s="30">
        <f t="shared" si="401"/>
        <v>0</v>
      </c>
      <c r="BB163" s="30">
        <f t="shared" si="401"/>
        <v>0</v>
      </c>
      <c r="BC163" s="30">
        <f t="shared" si="401"/>
        <v>0</v>
      </c>
      <c r="BD163" s="30">
        <f t="shared" si="401"/>
        <v>0</v>
      </c>
      <c r="BE163" s="30">
        <f t="shared" si="401"/>
        <v>0</v>
      </c>
      <c r="BF163" s="30">
        <f t="shared" si="401"/>
        <v>0</v>
      </c>
      <c r="BG163" s="30">
        <f t="shared" si="401"/>
        <v>0</v>
      </c>
      <c r="BH163" s="30">
        <f t="shared" si="401"/>
        <v>0</v>
      </c>
      <c r="BI163" s="30">
        <f t="shared" si="401"/>
        <v>0</v>
      </c>
      <c r="BJ163" s="27">
        <f t="shared" si="401"/>
        <v>22.8</v>
      </c>
      <c r="BK163" s="27">
        <f t="shared" si="401"/>
        <v>22.9</v>
      </c>
      <c r="BL163" s="27">
        <f t="shared" si="401"/>
        <v>23.8</v>
      </c>
      <c r="BM163" s="27">
        <f t="shared" si="401"/>
        <v>22.8</v>
      </c>
      <c r="BN163" s="27">
        <f t="shared" ref="BN163:CS163" si="402">BN138</f>
        <v>92.3</v>
      </c>
      <c r="BO163" s="27">
        <f t="shared" si="402"/>
        <v>26</v>
      </c>
      <c r="BP163" s="27">
        <f t="shared" si="402"/>
        <v>24.1</v>
      </c>
      <c r="BQ163" s="27">
        <f t="shared" si="402"/>
        <v>28</v>
      </c>
      <c r="BR163" s="27">
        <f t="shared" si="402"/>
        <v>25.8</v>
      </c>
      <c r="BS163" s="27">
        <f t="shared" si="402"/>
        <v>103.89999999999999</v>
      </c>
      <c r="BT163" s="27">
        <f t="shared" si="402"/>
        <v>27.9</v>
      </c>
      <c r="BU163" s="27">
        <f t="shared" si="402"/>
        <v>27.5</v>
      </c>
      <c r="BV163" s="27">
        <f t="shared" si="402"/>
        <v>26.599999999999998</v>
      </c>
      <c r="BW163" s="27">
        <f t="shared" si="402"/>
        <v>27.4</v>
      </c>
      <c r="BX163" s="27">
        <f t="shared" si="402"/>
        <v>109.4</v>
      </c>
      <c r="BY163" s="27">
        <f t="shared" si="402"/>
        <v>28</v>
      </c>
      <c r="BZ163" s="27">
        <f t="shared" si="402"/>
        <v>28</v>
      </c>
      <c r="CA163" s="27">
        <f t="shared" si="402"/>
        <v>28.1</v>
      </c>
      <c r="CB163" s="27">
        <f t="shared" si="402"/>
        <v>33.1</v>
      </c>
      <c r="CC163" s="27">
        <f t="shared" si="402"/>
        <v>117.19999999999999</v>
      </c>
      <c r="CD163" s="27">
        <f t="shared" si="402"/>
        <v>37.799999999999997</v>
      </c>
      <c r="CE163" s="27">
        <f t="shared" si="402"/>
        <v>49.199999999999996</v>
      </c>
      <c r="CF163" s="27">
        <f t="shared" si="402"/>
        <v>45.5</v>
      </c>
      <c r="CG163" s="27">
        <f t="shared" si="402"/>
        <v>46.1</v>
      </c>
      <c r="CH163" s="27">
        <f t="shared" si="402"/>
        <v>178.59999999999997</v>
      </c>
      <c r="CI163" s="27">
        <f t="shared" si="402"/>
        <v>47.2</v>
      </c>
      <c r="CJ163" s="27">
        <f t="shared" si="402"/>
        <v>47.9</v>
      </c>
      <c r="CK163" s="27">
        <f t="shared" si="402"/>
        <v>52.303076039999986</v>
      </c>
      <c r="CL163" s="27">
        <f t="shared" si="402"/>
        <v>52.974305619999996</v>
      </c>
      <c r="CM163" s="27">
        <f t="shared" si="402"/>
        <v>200.37738166</v>
      </c>
      <c r="CN163" s="27">
        <f t="shared" si="402"/>
        <v>46.2</v>
      </c>
      <c r="CO163" s="27">
        <f t="shared" si="402"/>
        <v>45.099999999999994</v>
      </c>
      <c r="CP163" s="27">
        <f t="shared" si="402"/>
        <v>47.400000000000006</v>
      </c>
      <c r="CQ163" s="27">
        <f t="shared" si="402"/>
        <v>25.22999999999999</v>
      </c>
      <c r="CR163" s="27">
        <f t="shared" si="402"/>
        <v>163.92999999999995</v>
      </c>
      <c r="CS163" s="27">
        <f t="shared" si="402"/>
        <v>43.527100510000004</v>
      </c>
      <c r="CT163" s="27">
        <f t="shared" ref="CT163:DT163" si="403">CT138</f>
        <v>43.590718439999996</v>
      </c>
      <c r="CU163" s="27">
        <f t="shared" si="403"/>
        <v>42.810181050000004</v>
      </c>
      <c r="CV163" s="27">
        <f t="shared" si="403"/>
        <v>42.536999999999999</v>
      </c>
      <c r="CW163" s="27">
        <f t="shared" si="403"/>
        <v>172.465</v>
      </c>
      <c r="CX163" s="27">
        <f t="shared" si="403"/>
        <v>42.167000000000002</v>
      </c>
      <c r="CY163" s="27">
        <f t="shared" si="403"/>
        <v>41.632000000000005</v>
      </c>
      <c r="CZ163" s="27">
        <f t="shared" si="403"/>
        <v>40.614000000000004</v>
      </c>
      <c r="DA163" s="27">
        <f t="shared" si="403"/>
        <v>40.103999999999999</v>
      </c>
      <c r="DB163" s="27">
        <f t="shared" si="403"/>
        <v>164.51699999999997</v>
      </c>
      <c r="DC163" s="27">
        <f t="shared" si="403"/>
        <v>41.513999999999996</v>
      </c>
      <c r="DD163" s="27">
        <f t="shared" si="403"/>
        <v>41.453000000000003</v>
      </c>
      <c r="DE163" s="27">
        <f t="shared" si="403"/>
        <v>47.235999999999997</v>
      </c>
      <c r="DF163" s="27">
        <f t="shared" si="403"/>
        <v>49.271000000000001</v>
      </c>
      <c r="DG163" s="27">
        <f t="shared" si="403"/>
        <v>179.47399999999999</v>
      </c>
      <c r="DH163" s="27">
        <f t="shared" si="403"/>
        <v>59.673999999999999</v>
      </c>
      <c r="DI163" s="27">
        <f t="shared" si="403"/>
        <v>61.495000000000005</v>
      </c>
      <c r="DJ163" s="27">
        <f t="shared" si="403"/>
        <v>60.933</v>
      </c>
      <c r="DK163" s="27">
        <f t="shared" si="403"/>
        <v>64.459999999999994</v>
      </c>
      <c r="DL163" s="27">
        <f t="shared" si="403"/>
        <v>246.56199999999995</v>
      </c>
      <c r="DM163" s="27">
        <f t="shared" si="403"/>
        <v>71.86399999999999</v>
      </c>
      <c r="DN163" s="27">
        <f t="shared" si="403"/>
        <v>71.464100000000002</v>
      </c>
      <c r="DO163" s="27">
        <f t="shared" si="403"/>
        <v>71.748999999999995</v>
      </c>
      <c r="DP163" s="27">
        <f t="shared" si="403"/>
        <v>72.941999999999993</v>
      </c>
      <c r="DQ163" s="27">
        <f t="shared" si="403"/>
        <v>288.01909999999998</v>
      </c>
      <c r="DR163" s="27">
        <f t="shared" si="403"/>
        <v>74.436000000000007</v>
      </c>
      <c r="DS163" s="27">
        <f t="shared" si="403"/>
        <v>74.463999999999999</v>
      </c>
      <c r="DT163" s="27">
        <f t="shared" si="403"/>
        <v>73.938000000000002</v>
      </c>
      <c r="DU163" s="27">
        <f t="shared" ref="DU163:ED163" si="404">DU138</f>
        <v>90.954999999999998</v>
      </c>
      <c r="DV163" s="27">
        <f t="shared" si="404"/>
        <v>313.79300000000001</v>
      </c>
      <c r="DW163" s="27">
        <f t="shared" si="404"/>
        <v>85.405999999999992</v>
      </c>
      <c r="DX163" s="27">
        <f t="shared" si="404"/>
        <v>84.302999999999997</v>
      </c>
      <c r="DY163" s="27">
        <f t="shared" si="404"/>
        <v>91.579587919999994</v>
      </c>
      <c r="DZ163" s="27">
        <f t="shared" si="404"/>
        <v>92.277279900000025</v>
      </c>
      <c r="EA163" s="27">
        <f t="shared" si="404"/>
        <v>353.56586782000005</v>
      </c>
      <c r="EB163" s="27">
        <f t="shared" si="404"/>
        <v>102.56859341000001</v>
      </c>
      <c r="EC163" s="27">
        <f t="shared" si="404"/>
        <v>105.81369938000002</v>
      </c>
      <c r="ED163" s="27">
        <f t="shared" si="404"/>
        <v>102.36699999999999</v>
      </c>
      <c r="EE163" s="27">
        <f t="shared" ref="EE163" si="405">EE138</f>
        <v>104.98919367000001</v>
      </c>
      <c r="EF163" s="27">
        <f t="shared" ref="EF163:EG163" si="406">EF138</f>
        <v>415.73848646000005</v>
      </c>
      <c r="EG163" s="27">
        <f t="shared" si="406"/>
        <v>122.78157888999999</v>
      </c>
      <c r="EH163" s="27">
        <f t="shared" ref="EH163" si="407">EH138</f>
        <v>131.17674742999998</v>
      </c>
      <c r="EI163" s="27">
        <f t="shared" ref="EI163" si="408">EI138</f>
        <v>131.21951265000001</v>
      </c>
    </row>
    <row r="164" spans="1:139" ht="15" thickBot="1" x14ac:dyDescent="0.35">
      <c r="A164" s="2" t="s">
        <v>370</v>
      </c>
      <c r="B164" s="31">
        <f t="shared" ref="B164:AG164" si="409">B139</f>
        <v>0</v>
      </c>
      <c r="C164" s="31">
        <f t="shared" si="409"/>
        <v>0</v>
      </c>
      <c r="D164" s="31">
        <f t="shared" si="409"/>
        <v>0</v>
      </c>
      <c r="E164" s="31">
        <f t="shared" si="409"/>
        <v>0</v>
      </c>
      <c r="F164" s="31">
        <f t="shared" si="409"/>
        <v>0</v>
      </c>
      <c r="G164" s="31">
        <f t="shared" si="409"/>
        <v>0</v>
      </c>
      <c r="H164" s="31">
        <f t="shared" si="409"/>
        <v>0</v>
      </c>
      <c r="I164" s="31">
        <f t="shared" si="409"/>
        <v>0</v>
      </c>
      <c r="J164" s="31">
        <f t="shared" si="409"/>
        <v>0</v>
      </c>
      <c r="K164" s="31">
        <f t="shared" si="409"/>
        <v>0</v>
      </c>
      <c r="L164" s="31">
        <f t="shared" si="409"/>
        <v>0</v>
      </c>
      <c r="M164" s="31">
        <f t="shared" si="409"/>
        <v>0</v>
      </c>
      <c r="N164" s="31">
        <f t="shared" si="409"/>
        <v>0</v>
      </c>
      <c r="O164" s="31">
        <f t="shared" si="409"/>
        <v>0</v>
      </c>
      <c r="P164" s="31">
        <f t="shared" si="409"/>
        <v>0</v>
      </c>
      <c r="Q164" s="31">
        <f t="shared" si="409"/>
        <v>0</v>
      </c>
      <c r="R164" s="31">
        <f t="shared" si="409"/>
        <v>0</v>
      </c>
      <c r="S164" s="31">
        <f t="shared" si="409"/>
        <v>0</v>
      </c>
      <c r="T164" s="31">
        <f t="shared" si="409"/>
        <v>0</v>
      </c>
      <c r="U164" s="31">
        <f t="shared" si="409"/>
        <v>0</v>
      </c>
      <c r="V164" s="31">
        <f t="shared" si="409"/>
        <v>0</v>
      </c>
      <c r="W164" s="31">
        <f t="shared" si="409"/>
        <v>0</v>
      </c>
      <c r="X164" s="31">
        <f t="shared" si="409"/>
        <v>0</v>
      </c>
      <c r="Y164" s="31">
        <f t="shared" si="409"/>
        <v>0</v>
      </c>
      <c r="Z164" s="31">
        <f t="shared" si="409"/>
        <v>0</v>
      </c>
      <c r="AA164" s="31">
        <f t="shared" si="409"/>
        <v>0</v>
      </c>
      <c r="AB164" s="31">
        <f t="shared" si="409"/>
        <v>0</v>
      </c>
      <c r="AC164" s="31">
        <f t="shared" si="409"/>
        <v>0</v>
      </c>
      <c r="AD164" s="31">
        <f t="shared" si="409"/>
        <v>0</v>
      </c>
      <c r="AE164" s="31">
        <f t="shared" si="409"/>
        <v>0</v>
      </c>
      <c r="AF164" s="31">
        <f t="shared" si="409"/>
        <v>0</v>
      </c>
      <c r="AG164" s="31">
        <f t="shared" si="409"/>
        <v>0</v>
      </c>
      <c r="AH164" s="31">
        <f t="shared" ref="AH164:BM164" si="410">AH139</f>
        <v>0</v>
      </c>
      <c r="AI164" s="31">
        <f t="shared" si="410"/>
        <v>0</v>
      </c>
      <c r="AJ164" s="31">
        <f t="shared" si="410"/>
        <v>0</v>
      </c>
      <c r="AK164" s="31">
        <f t="shared" si="410"/>
        <v>0</v>
      </c>
      <c r="AL164" s="31">
        <f t="shared" si="410"/>
        <v>0</v>
      </c>
      <c r="AM164" s="31">
        <f t="shared" si="410"/>
        <v>0</v>
      </c>
      <c r="AN164" s="31">
        <f t="shared" si="410"/>
        <v>0</v>
      </c>
      <c r="AO164" s="31">
        <f t="shared" si="410"/>
        <v>0</v>
      </c>
      <c r="AP164" s="31">
        <f t="shared" si="410"/>
        <v>0</v>
      </c>
      <c r="AQ164" s="31">
        <f t="shared" si="410"/>
        <v>0</v>
      </c>
      <c r="AR164" s="31">
        <f t="shared" si="410"/>
        <v>0</v>
      </c>
      <c r="AS164" s="31">
        <f t="shared" si="410"/>
        <v>0</v>
      </c>
      <c r="AT164" s="31">
        <f t="shared" si="410"/>
        <v>0</v>
      </c>
      <c r="AU164" s="31">
        <f t="shared" si="410"/>
        <v>0</v>
      </c>
      <c r="AV164" s="31">
        <f t="shared" si="410"/>
        <v>0</v>
      </c>
      <c r="AW164" s="31">
        <f t="shared" si="410"/>
        <v>0</v>
      </c>
      <c r="AX164" s="31">
        <f t="shared" si="410"/>
        <v>0</v>
      </c>
      <c r="AY164" s="31">
        <f t="shared" si="410"/>
        <v>0</v>
      </c>
      <c r="AZ164" s="31">
        <f t="shared" si="410"/>
        <v>0</v>
      </c>
      <c r="BA164" s="31">
        <f t="shared" si="410"/>
        <v>0</v>
      </c>
      <c r="BB164" s="31">
        <f t="shared" si="410"/>
        <v>0</v>
      </c>
      <c r="BC164" s="31">
        <f t="shared" si="410"/>
        <v>0</v>
      </c>
      <c r="BD164" s="31">
        <f t="shared" si="410"/>
        <v>0</v>
      </c>
      <c r="BE164" s="31">
        <f t="shared" si="410"/>
        <v>0</v>
      </c>
      <c r="BF164" s="31">
        <f t="shared" si="410"/>
        <v>0</v>
      </c>
      <c r="BG164" s="31">
        <f t="shared" si="410"/>
        <v>0</v>
      </c>
      <c r="BH164" s="31">
        <f t="shared" si="410"/>
        <v>0</v>
      </c>
      <c r="BI164" s="31">
        <f t="shared" si="410"/>
        <v>0</v>
      </c>
      <c r="BJ164" s="28">
        <f t="shared" si="410"/>
        <v>5.3999999999999995</v>
      </c>
      <c r="BK164" s="28">
        <f t="shared" si="410"/>
        <v>6.3999999999999995</v>
      </c>
      <c r="BL164" s="28">
        <f t="shared" si="410"/>
        <v>6.9</v>
      </c>
      <c r="BM164" s="28">
        <f t="shared" si="410"/>
        <v>5.2050899999999984</v>
      </c>
      <c r="BN164" s="28">
        <f t="shared" ref="BN164:CS164" si="411">BN139</f>
        <v>23.905089999999998</v>
      </c>
      <c r="BO164" s="28">
        <f t="shared" si="411"/>
        <v>53.668275848</v>
      </c>
      <c r="BP164" s="28">
        <f t="shared" si="411"/>
        <v>57.330340190000022</v>
      </c>
      <c r="BQ164" s="28">
        <f t="shared" si="411"/>
        <v>67.545056689999996</v>
      </c>
      <c r="BR164" s="28">
        <f t="shared" si="411"/>
        <v>63.806268139999993</v>
      </c>
      <c r="BS164" s="28">
        <f t="shared" si="411"/>
        <v>242.349940868</v>
      </c>
      <c r="BT164" s="28">
        <f t="shared" si="411"/>
        <v>0</v>
      </c>
      <c r="BU164" s="28">
        <f t="shared" si="411"/>
        <v>0</v>
      </c>
      <c r="BV164" s="28">
        <f t="shared" si="411"/>
        <v>0</v>
      </c>
      <c r="BW164" s="28">
        <f t="shared" si="411"/>
        <v>0</v>
      </c>
      <c r="BX164" s="28">
        <f t="shared" si="411"/>
        <v>0</v>
      </c>
      <c r="BY164" s="28">
        <f t="shared" si="411"/>
        <v>0</v>
      </c>
      <c r="BZ164" s="28">
        <f t="shared" si="411"/>
        <v>0</v>
      </c>
      <c r="CA164" s="28">
        <f t="shared" si="411"/>
        <v>0</v>
      </c>
      <c r="CB164" s="28">
        <f t="shared" si="411"/>
        <v>0</v>
      </c>
      <c r="CC164" s="28">
        <f t="shared" si="411"/>
        <v>0</v>
      </c>
      <c r="CD164" s="28">
        <f t="shared" si="411"/>
        <v>0</v>
      </c>
      <c r="CE164" s="28">
        <f t="shared" si="411"/>
        <v>0</v>
      </c>
      <c r="CF164" s="28">
        <f t="shared" si="411"/>
        <v>0</v>
      </c>
      <c r="CG164" s="28">
        <f t="shared" si="411"/>
        <v>0</v>
      </c>
      <c r="CH164" s="28">
        <f t="shared" si="411"/>
        <v>0</v>
      </c>
      <c r="CI164" s="28">
        <f t="shared" si="411"/>
        <v>0</v>
      </c>
      <c r="CJ164" s="28">
        <f t="shared" si="411"/>
        <v>0</v>
      </c>
      <c r="CK164" s="28">
        <f t="shared" si="411"/>
        <v>0</v>
      </c>
      <c r="CL164" s="28">
        <f t="shared" si="411"/>
        <v>0</v>
      </c>
      <c r="CM164" s="28">
        <f t="shared" si="411"/>
        <v>0</v>
      </c>
      <c r="CN164" s="28">
        <f t="shared" si="411"/>
        <v>0</v>
      </c>
      <c r="CO164" s="28">
        <f t="shared" si="411"/>
        <v>0</v>
      </c>
      <c r="CP164" s="28">
        <f t="shared" si="411"/>
        <v>0</v>
      </c>
      <c r="CQ164" s="28">
        <f t="shared" si="411"/>
        <v>0</v>
      </c>
      <c r="CR164" s="28">
        <f t="shared" si="411"/>
        <v>0</v>
      </c>
      <c r="CS164" s="28">
        <f t="shared" si="411"/>
        <v>0</v>
      </c>
      <c r="CT164" s="28">
        <f t="shared" ref="CT164:DT164" si="412">CT139</f>
        <v>0</v>
      </c>
      <c r="CU164" s="28">
        <f t="shared" si="412"/>
        <v>0</v>
      </c>
      <c r="CV164" s="28">
        <f t="shared" si="412"/>
        <v>0</v>
      </c>
      <c r="CW164" s="28">
        <f t="shared" si="412"/>
        <v>0</v>
      </c>
      <c r="CX164" s="28">
        <f t="shared" si="412"/>
        <v>0</v>
      </c>
      <c r="CY164" s="28">
        <f t="shared" si="412"/>
        <v>0</v>
      </c>
      <c r="CZ164" s="28">
        <f t="shared" si="412"/>
        <v>0</v>
      </c>
      <c r="DA164" s="28">
        <f t="shared" si="412"/>
        <v>0</v>
      </c>
      <c r="DB164" s="28">
        <f t="shared" si="412"/>
        <v>0</v>
      </c>
      <c r="DC164" s="28">
        <f t="shared" si="412"/>
        <v>0</v>
      </c>
      <c r="DD164" s="28">
        <f t="shared" si="412"/>
        <v>0</v>
      </c>
      <c r="DE164" s="28">
        <f t="shared" si="412"/>
        <v>0</v>
      </c>
      <c r="DF164" s="28">
        <f t="shared" si="412"/>
        <v>0</v>
      </c>
      <c r="DG164" s="28">
        <f t="shared" si="412"/>
        <v>0</v>
      </c>
      <c r="DH164" s="28">
        <f t="shared" si="412"/>
        <v>0</v>
      </c>
      <c r="DI164" s="28">
        <f t="shared" si="412"/>
        <v>0</v>
      </c>
      <c r="DJ164" s="28">
        <f t="shared" si="412"/>
        <v>0</v>
      </c>
      <c r="DK164" s="28">
        <f t="shared" si="412"/>
        <v>0</v>
      </c>
      <c r="DL164" s="28">
        <f t="shared" si="412"/>
        <v>0</v>
      </c>
      <c r="DM164" s="28">
        <f t="shared" si="412"/>
        <v>0</v>
      </c>
      <c r="DN164" s="28">
        <f t="shared" si="412"/>
        <v>0</v>
      </c>
      <c r="DO164" s="28">
        <f t="shared" si="412"/>
        <v>0</v>
      </c>
      <c r="DP164" s="28">
        <f t="shared" si="412"/>
        <v>0</v>
      </c>
      <c r="DQ164" s="28">
        <f t="shared" si="412"/>
        <v>0</v>
      </c>
      <c r="DR164" s="28">
        <f t="shared" si="412"/>
        <v>0</v>
      </c>
      <c r="DS164" s="28">
        <f t="shared" si="412"/>
        <v>0</v>
      </c>
      <c r="DT164" s="28">
        <f t="shared" si="412"/>
        <v>0</v>
      </c>
      <c r="DU164" s="28">
        <f t="shared" ref="DU164:ED164" si="413">DU139</f>
        <v>0</v>
      </c>
      <c r="DV164" s="28">
        <f t="shared" si="413"/>
        <v>0</v>
      </c>
      <c r="DW164" s="28">
        <f t="shared" si="413"/>
        <v>0</v>
      </c>
      <c r="DX164" s="28">
        <f t="shared" si="413"/>
        <v>0</v>
      </c>
      <c r="DY164" s="28">
        <f t="shared" si="413"/>
        <v>0</v>
      </c>
      <c r="DZ164" s="28">
        <f t="shared" si="413"/>
        <v>0</v>
      </c>
      <c r="EA164" s="28">
        <f t="shared" si="413"/>
        <v>0</v>
      </c>
      <c r="EB164" s="28">
        <f t="shared" si="413"/>
        <v>0</v>
      </c>
      <c r="EC164" s="28">
        <f t="shared" si="413"/>
        <v>0</v>
      </c>
      <c r="ED164" s="28">
        <f t="shared" si="413"/>
        <v>0</v>
      </c>
      <c r="EE164" s="28">
        <f t="shared" ref="EE164" si="414">EE139</f>
        <v>0</v>
      </c>
      <c r="EF164" s="28">
        <f t="shared" ref="EF164:EG164" si="415">EF139</f>
        <v>0</v>
      </c>
      <c r="EG164" s="28">
        <f t="shared" si="415"/>
        <v>0</v>
      </c>
      <c r="EH164" s="28">
        <f t="shared" ref="EH164" si="416">EH139</f>
        <v>0</v>
      </c>
      <c r="EI164" s="28">
        <f t="shared" ref="EI164" si="417">EI139</f>
        <v>0</v>
      </c>
    </row>
    <row r="165" spans="1:139" ht="15" thickTop="1" x14ac:dyDescent="0.3">
      <c r="A165" s="1" t="s">
        <v>338</v>
      </c>
      <c r="B165" s="30">
        <f t="shared" ref="B165:AG165" si="418">B140</f>
        <v>0</v>
      </c>
      <c r="C165" s="30">
        <f t="shared" si="418"/>
        <v>0</v>
      </c>
      <c r="D165" s="30">
        <f t="shared" si="418"/>
        <v>0</v>
      </c>
      <c r="E165" s="30">
        <f t="shared" si="418"/>
        <v>0</v>
      </c>
      <c r="F165" s="30">
        <f t="shared" si="418"/>
        <v>0</v>
      </c>
      <c r="G165" s="30">
        <f t="shared" si="418"/>
        <v>0</v>
      </c>
      <c r="H165" s="30">
        <f t="shared" si="418"/>
        <v>0</v>
      </c>
      <c r="I165" s="30">
        <f t="shared" si="418"/>
        <v>0</v>
      </c>
      <c r="J165" s="30">
        <f t="shared" si="418"/>
        <v>0</v>
      </c>
      <c r="K165" s="30">
        <f t="shared" si="418"/>
        <v>0</v>
      </c>
      <c r="L165" s="30">
        <f t="shared" si="418"/>
        <v>0</v>
      </c>
      <c r="M165" s="30">
        <f t="shared" si="418"/>
        <v>0</v>
      </c>
      <c r="N165" s="30">
        <f t="shared" si="418"/>
        <v>0</v>
      </c>
      <c r="O165" s="30">
        <f t="shared" si="418"/>
        <v>0</v>
      </c>
      <c r="P165" s="30">
        <f t="shared" si="418"/>
        <v>0</v>
      </c>
      <c r="Q165" s="30">
        <f t="shared" si="418"/>
        <v>0</v>
      </c>
      <c r="R165" s="30">
        <f t="shared" si="418"/>
        <v>0</v>
      </c>
      <c r="S165" s="30">
        <f t="shared" si="418"/>
        <v>0</v>
      </c>
      <c r="T165" s="30">
        <f t="shared" si="418"/>
        <v>0</v>
      </c>
      <c r="U165" s="30">
        <f t="shared" si="418"/>
        <v>0</v>
      </c>
      <c r="V165" s="30">
        <f t="shared" si="418"/>
        <v>0</v>
      </c>
      <c r="W165" s="30">
        <f t="shared" si="418"/>
        <v>0</v>
      </c>
      <c r="X165" s="30">
        <f t="shared" si="418"/>
        <v>0</v>
      </c>
      <c r="Y165" s="30">
        <f t="shared" si="418"/>
        <v>0</v>
      </c>
      <c r="Z165" s="30">
        <f t="shared" si="418"/>
        <v>0</v>
      </c>
      <c r="AA165" s="30">
        <f t="shared" si="418"/>
        <v>0</v>
      </c>
      <c r="AB165" s="30">
        <f t="shared" si="418"/>
        <v>0</v>
      </c>
      <c r="AC165" s="30">
        <f t="shared" si="418"/>
        <v>0</v>
      </c>
      <c r="AD165" s="30">
        <f t="shared" si="418"/>
        <v>0</v>
      </c>
      <c r="AE165" s="30">
        <f t="shared" si="418"/>
        <v>0</v>
      </c>
      <c r="AF165" s="30">
        <f t="shared" si="418"/>
        <v>0</v>
      </c>
      <c r="AG165" s="30">
        <f t="shared" si="418"/>
        <v>0</v>
      </c>
      <c r="AH165" s="30">
        <f t="shared" ref="AH165:BM165" si="419">AH140</f>
        <v>0</v>
      </c>
      <c r="AI165" s="30">
        <f t="shared" si="419"/>
        <v>0</v>
      </c>
      <c r="AJ165" s="30">
        <f t="shared" si="419"/>
        <v>0</v>
      </c>
      <c r="AK165" s="30">
        <f t="shared" si="419"/>
        <v>0</v>
      </c>
      <c r="AL165" s="30">
        <f t="shared" si="419"/>
        <v>0</v>
      </c>
      <c r="AM165" s="30">
        <f t="shared" si="419"/>
        <v>0</v>
      </c>
      <c r="AN165" s="30">
        <f t="shared" si="419"/>
        <v>0</v>
      </c>
      <c r="AO165" s="30">
        <f t="shared" si="419"/>
        <v>0</v>
      </c>
      <c r="AP165" s="30">
        <f t="shared" si="419"/>
        <v>0</v>
      </c>
      <c r="AQ165" s="30">
        <f t="shared" si="419"/>
        <v>0</v>
      </c>
      <c r="AR165" s="30">
        <f t="shared" si="419"/>
        <v>0</v>
      </c>
      <c r="AS165" s="30">
        <f t="shared" si="419"/>
        <v>0</v>
      </c>
      <c r="AT165" s="30">
        <f t="shared" si="419"/>
        <v>0</v>
      </c>
      <c r="AU165" s="30">
        <f t="shared" si="419"/>
        <v>0</v>
      </c>
      <c r="AV165" s="30">
        <f t="shared" si="419"/>
        <v>0</v>
      </c>
      <c r="AW165" s="30">
        <f t="shared" si="419"/>
        <v>0</v>
      </c>
      <c r="AX165" s="30">
        <f t="shared" si="419"/>
        <v>0</v>
      </c>
      <c r="AY165" s="30">
        <f t="shared" si="419"/>
        <v>0</v>
      </c>
      <c r="AZ165" s="30">
        <f t="shared" si="419"/>
        <v>0</v>
      </c>
      <c r="BA165" s="30">
        <f t="shared" si="419"/>
        <v>0</v>
      </c>
      <c r="BB165" s="30">
        <f t="shared" si="419"/>
        <v>0</v>
      </c>
      <c r="BC165" s="30">
        <f t="shared" si="419"/>
        <v>0</v>
      </c>
      <c r="BD165" s="30">
        <f t="shared" si="419"/>
        <v>0</v>
      </c>
      <c r="BE165" s="30">
        <f t="shared" si="419"/>
        <v>0</v>
      </c>
      <c r="BF165" s="30">
        <f t="shared" si="419"/>
        <v>0</v>
      </c>
      <c r="BG165" s="30">
        <f t="shared" si="419"/>
        <v>0</v>
      </c>
      <c r="BH165" s="30">
        <f t="shared" si="419"/>
        <v>0</v>
      </c>
      <c r="BI165" s="30">
        <f t="shared" si="419"/>
        <v>0</v>
      </c>
      <c r="BJ165" s="27">
        <f t="shared" si="419"/>
        <v>11.8</v>
      </c>
      <c r="BK165" s="27">
        <f t="shared" si="419"/>
        <v>9.1962917199999996</v>
      </c>
      <c r="BL165" s="27">
        <f t="shared" si="419"/>
        <v>10.12170828</v>
      </c>
      <c r="BM165" s="27">
        <f t="shared" si="419"/>
        <v>7.2</v>
      </c>
      <c r="BN165" s="27">
        <f t="shared" ref="BN165:CS165" si="420">BN140</f>
        <v>38.317999999999998</v>
      </c>
      <c r="BO165" s="27">
        <f t="shared" si="420"/>
        <v>10.809878449999999</v>
      </c>
      <c r="BP165" s="27">
        <f t="shared" si="420"/>
        <v>11.123752929999998</v>
      </c>
      <c r="BQ165" s="27">
        <f t="shared" si="420"/>
        <v>12.340520080000001</v>
      </c>
      <c r="BR165" s="27">
        <f t="shared" si="420"/>
        <v>12.859618429999994</v>
      </c>
      <c r="BS165" s="27">
        <f t="shared" si="420"/>
        <v>47.133769889999996</v>
      </c>
      <c r="BT165" s="27">
        <f t="shared" si="420"/>
        <v>0</v>
      </c>
      <c r="BU165" s="27">
        <f t="shared" si="420"/>
        <v>0</v>
      </c>
      <c r="BV165" s="27">
        <f t="shared" si="420"/>
        <v>0</v>
      </c>
      <c r="BW165" s="27">
        <f t="shared" si="420"/>
        <v>0</v>
      </c>
      <c r="BX165" s="27">
        <f t="shared" si="420"/>
        <v>0</v>
      </c>
      <c r="BY165" s="27">
        <f t="shared" si="420"/>
        <v>0</v>
      </c>
      <c r="BZ165" s="27">
        <f t="shared" si="420"/>
        <v>0</v>
      </c>
      <c r="CA165" s="27">
        <f t="shared" si="420"/>
        <v>0</v>
      </c>
      <c r="CB165" s="27">
        <f t="shared" si="420"/>
        <v>0</v>
      </c>
      <c r="CC165" s="27">
        <f t="shared" si="420"/>
        <v>0</v>
      </c>
      <c r="CD165" s="27">
        <f t="shared" si="420"/>
        <v>0</v>
      </c>
      <c r="CE165" s="27">
        <f t="shared" si="420"/>
        <v>0</v>
      </c>
      <c r="CF165" s="27">
        <f t="shared" si="420"/>
        <v>0</v>
      </c>
      <c r="CG165" s="27">
        <f t="shared" si="420"/>
        <v>0</v>
      </c>
      <c r="CH165" s="27">
        <f t="shared" si="420"/>
        <v>0</v>
      </c>
      <c r="CI165" s="27">
        <f t="shared" si="420"/>
        <v>0</v>
      </c>
      <c r="CJ165" s="27">
        <f t="shared" si="420"/>
        <v>0</v>
      </c>
      <c r="CK165" s="27">
        <f t="shared" si="420"/>
        <v>0</v>
      </c>
      <c r="CL165" s="27">
        <f t="shared" si="420"/>
        <v>0</v>
      </c>
      <c r="CM165" s="27">
        <f t="shared" si="420"/>
        <v>0</v>
      </c>
      <c r="CN165" s="27">
        <f t="shared" si="420"/>
        <v>0</v>
      </c>
      <c r="CO165" s="27">
        <f t="shared" si="420"/>
        <v>0</v>
      </c>
      <c r="CP165" s="27">
        <f t="shared" si="420"/>
        <v>0</v>
      </c>
      <c r="CQ165" s="27">
        <f t="shared" si="420"/>
        <v>0</v>
      </c>
      <c r="CR165" s="27">
        <f t="shared" si="420"/>
        <v>0</v>
      </c>
      <c r="CS165" s="27">
        <f t="shared" si="420"/>
        <v>6.0000000000000001E-3</v>
      </c>
      <c r="CT165" s="27">
        <f t="shared" ref="CT165:DT165" si="421">CT140</f>
        <v>6.9999999999999993E-3</v>
      </c>
      <c r="CU165" s="27">
        <f t="shared" si="421"/>
        <v>6.0000000000000001E-3</v>
      </c>
      <c r="CV165" s="27">
        <f t="shared" si="421"/>
        <v>6.0000000000000019E-3</v>
      </c>
      <c r="CW165" s="27">
        <f t="shared" si="421"/>
        <v>2.5000000000000001E-2</v>
      </c>
      <c r="CX165" s="27">
        <f t="shared" si="421"/>
        <v>1E-3</v>
      </c>
      <c r="CY165" s="27">
        <f t="shared" si="421"/>
        <v>1E-3</v>
      </c>
      <c r="CZ165" s="27">
        <f t="shared" si="421"/>
        <v>1E-3</v>
      </c>
      <c r="DA165" s="27">
        <f t="shared" si="421"/>
        <v>0</v>
      </c>
      <c r="DB165" s="27">
        <f t="shared" si="421"/>
        <v>3.0000000000000001E-3</v>
      </c>
      <c r="DC165" s="27">
        <f t="shared" si="421"/>
        <v>7.0000000000000001E-3</v>
      </c>
      <c r="DD165" s="27">
        <f t="shared" si="421"/>
        <v>6.0000000000000001E-3</v>
      </c>
      <c r="DE165" s="27">
        <f t="shared" si="421"/>
        <v>6.0000000000000001E-3</v>
      </c>
      <c r="DF165" s="27">
        <f t="shared" si="421"/>
        <v>8.0000000000000002E-3</v>
      </c>
      <c r="DG165" s="27">
        <f t="shared" si="421"/>
        <v>2.7E-2</v>
      </c>
      <c r="DH165" s="27">
        <f t="shared" si="421"/>
        <v>0</v>
      </c>
      <c r="DI165" s="27">
        <f t="shared" si="421"/>
        <v>0</v>
      </c>
      <c r="DJ165" s="27">
        <f t="shared" si="421"/>
        <v>0</v>
      </c>
      <c r="DK165" s="27">
        <f t="shared" si="421"/>
        <v>1.9999999999999997E-2</v>
      </c>
      <c r="DL165" s="27">
        <f t="shared" si="421"/>
        <v>1.9999999999999997E-2</v>
      </c>
      <c r="DM165" s="27">
        <f t="shared" si="421"/>
        <v>1.0999999999999999E-2</v>
      </c>
      <c r="DN165" s="27">
        <f t="shared" si="421"/>
        <v>1.0999999999999999E-2</v>
      </c>
      <c r="DO165" s="27">
        <f t="shared" si="421"/>
        <v>1.0999999999999999E-2</v>
      </c>
      <c r="DP165" s="27">
        <f t="shared" si="421"/>
        <v>1.4E-2</v>
      </c>
      <c r="DQ165" s="27">
        <f t="shared" si="421"/>
        <v>4.7000000000000007E-2</v>
      </c>
      <c r="DR165" s="27">
        <f t="shared" si="421"/>
        <v>1.6E-2</v>
      </c>
      <c r="DS165" s="27">
        <f t="shared" si="421"/>
        <v>1.5000000000000001E-2</v>
      </c>
      <c r="DT165" s="27">
        <f t="shared" si="421"/>
        <v>1.5000000000000001E-2</v>
      </c>
      <c r="DU165" s="27">
        <f t="shared" ref="DU165:ED165" si="422">DU140</f>
        <v>1.5000000000000001E-2</v>
      </c>
      <c r="DV165" s="27">
        <f t="shared" si="422"/>
        <v>6.1000000000000006E-2</v>
      </c>
      <c r="DW165" s="27">
        <f t="shared" si="422"/>
        <v>1.6E-2</v>
      </c>
      <c r="DX165" s="27">
        <f t="shared" si="422"/>
        <v>1.6E-2</v>
      </c>
      <c r="DY165" s="27">
        <f t="shared" si="422"/>
        <v>1.6435140000000004E-2</v>
      </c>
      <c r="DZ165" s="27">
        <f t="shared" si="422"/>
        <v>9.4704600000000069E-3</v>
      </c>
      <c r="EA165" s="27">
        <f t="shared" si="422"/>
        <v>5.7905600000000015E-2</v>
      </c>
      <c r="EB165" s="27">
        <f t="shared" si="422"/>
        <v>0.20130652999999998</v>
      </c>
      <c r="EC165" s="27">
        <f t="shared" si="422"/>
        <v>0.13027682999999995</v>
      </c>
      <c r="ED165" s="27">
        <f t="shared" si="422"/>
        <v>1.1890000000000001</v>
      </c>
      <c r="EE165" s="27">
        <f t="shared" ref="EE165" si="423">EE140</f>
        <v>0.60576201999999979</v>
      </c>
      <c r="EF165" s="27">
        <f t="shared" ref="EF165:EG165" si="424">EF140</f>
        <v>2.1263453800000001</v>
      </c>
      <c r="EG165" s="27">
        <f t="shared" si="424"/>
        <v>0.57257570000000002</v>
      </c>
      <c r="EH165" s="27">
        <f t="shared" ref="EH165" si="425">EH140</f>
        <v>0.54910112</v>
      </c>
      <c r="EI165" s="27">
        <f t="shared" ref="EI165" si="426">EI140</f>
        <v>0.59581302000000014</v>
      </c>
    </row>
    <row r="166" spans="1:139" x14ac:dyDescent="0.3">
      <c r="A166" s="2" t="s">
        <v>308</v>
      </c>
      <c r="B166" s="31">
        <f t="shared" ref="B166:AG166" si="427">B141</f>
        <v>0</v>
      </c>
      <c r="C166" s="31">
        <f t="shared" si="427"/>
        <v>0</v>
      </c>
      <c r="D166" s="31">
        <f t="shared" si="427"/>
        <v>0</v>
      </c>
      <c r="E166" s="31">
        <f t="shared" si="427"/>
        <v>0</v>
      </c>
      <c r="F166" s="31">
        <f t="shared" si="427"/>
        <v>0</v>
      </c>
      <c r="G166" s="31">
        <f t="shared" si="427"/>
        <v>0</v>
      </c>
      <c r="H166" s="31">
        <f t="shared" si="427"/>
        <v>0</v>
      </c>
      <c r="I166" s="31">
        <f t="shared" si="427"/>
        <v>0</v>
      </c>
      <c r="J166" s="31">
        <f t="shared" si="427"/>
        <v>0</v>
      </c>
      <c r="K166" s="31">
        <f t="shared" si="427"/>
        <v>0</v>
      </c>
      <c r="L166" s="31">
        <f t="shared" si="427"/>
        <v>0</v>
      </c>
      <c r="M166" s="31">
        <f t="shared" si="427"/>
        <v>0</v>
      </c>
      <c r="N166" s="31">
        <f t="shared" si="427"/>
        <v>0</v>
      </c>
      <c r="O166" s="31">
        <f t="shared" si="427"/>
        <v>0</v>
      </c>
      <c r="P166" s="31">
        <f t="shared" si="427"/>
        <v>0</v>
      </c>
      <c r="Q166" s="31">
        <f t="shared" si="427"/>
        <v>0</v>
      </c>
      <c r="R166" s="31">
        <f t="shared" si="427"/>
        <v>0</v>
      </c>
      <c r="S166" s="31">
        <f t="shared" si="427"/>
        <v>0</v>
      </c>
      <c r="T166" s="31">
        <f t="shared" si="427"/>
        <v>0</v>
      </c>
      <c r="U166" s="31">
        <f t="shared" si="427"/>
        <v>0</v>
      </c>
      <c r="V166" s="31">
        <f t="shared" si="427"/>
        <v>0</v>
      </c>
      <c r="W166" s="31">
        <f t="shared" si="427"/>
        <v>0</v>
      </c>
      <c r="X166" s="31">
        <f t="shared" si="427"/>
        <v>0</v>
      </c>
      <c r="Y166" s="31">
        <f t="shared" si="427"/>
        <v>0</v>
      </c>
      <c r="Z166" s="31">
        <f t="shared" si="427"/>
        <v>0</v>
      </c>
      <c r="AA166" s="31">
        <f t="shared" si="427"/>
        <v>0</v>
      </c>
      <c r="AB166" s="31">
        <f t="shared" si="427"/>
        <v>0</v>
      </c>
      <c r="AC166" s="31">
        <f t="shared" si="427"/>
        <v>0</v>
      </c>
      <c r="AD166" s="31">
        <f t="shared" si="427"/>
        <v>0</v>
      </c>
      <c r="AE166" s="31">
        <f t="shared" si="427"/>
        <v>0</v>
      </c>
      <c r="AF166" s="31">
        <f t="shared" si="427"/>
        <v>0</v>
      </c>
      <c r="AG166" s="31">
        <f t="shared" si="427"/>
        <v>0</v>
      </c>
      <c r="AH166" s="31">
        <f t="shared" ref="AH166:BM166" si="428">AH141</f>
        <v>0</v>
      </c>
      <c r="AI166" s="31">
        <f t="shared" si="428"/>
        <v>0</v>
      </c>
      <c r="AJ166" s="31">
        <f t="shared" si="428"/>
        <v>0</v>
      </c>
      <c r="AK166" s="31">
        <f t="shared" si="428"/>
        <v>0</v>
      </c>
      <c r="AL166" s="31">
        <f t="shared" si="428"/>
        <v>0</v>
      </c>
      <c r="AM166" s="31">
        <f t="shared" si="428"/>
        <v>0</v>
      </c>
      <c r="AN166" s="31">
        <f t="shared" si="428"/>
        <v>0</v>
      </c>
      <c r="AO166" s="31">
        <f t="shared" si="428"/>
        <v>0</v>
      </c>
      <c r="AP166" s="31">
        <f t="shared" si="428"/>
        <v>0</v>
      </c>
      <c r="AQ166" s="31">
        <f t="shared" si="428"/>
        <v>0</v>
      </c>
      <c r="AR166" s="31">
        <f t="shared" si="428"/>
        <v>0</v>
      </c>
      <c r="AS166" s="31">
        <f t="shared" si="428"/>
        <v>0</v>
      </c>
      <c r="AT166" s="31">
        <f t="shared" si="428"/>
        <v>0</v>
      </c>
      <c r="AU166" s="31">
        <f t="shared" si="428"/>
        <v>0</v>
      </c>
      <c r="AV166" s="31">
        <f t="shared" si="428"/>
        <v>0</v>
      </c>
      <c r="AW166" s="31">
        <f t="shared" si="428"/>
        <v>0</v>
      </c>
      <c r="AX166" s="31">
        <f t="shared" si="428"/>
        <v>0</v>
      </c>
      <c r="AY166" s="31">
        <f t="shared" si="428"/>
        <v>0</v>
      </c>
      <c r="AZ166" s="31">
        <f t="shared" si="428"/>
        <v>0</v>
      </c>
      <c r="BA166" s="31">
        <f t="shared" si="428"/>
        <v>0</v>
      </c>
      <c r="BB166" s="31">
        <f t="shared" si="428"/>
        <v>0</v>
      </c>
      <c r="BC166" s="31">
        <f t="shared" si="428"/>
        <v>0</v>
      </c>
      <c r="BD166" s="31">
        <f t="shared" si="428"/>
        <v>0</v>
      </c>
      <c r="BE166" s="31">
        <f t="shared" si="428"/>
        <v>0</v>
      </c>
      <c r="BF166" s="31">
        <f t="shared" si="428"/>
        <v>0</v>
      </c>
      <c r="BG166" s="31">
        <f t="shared" si="428"/>
        <v>0</v>
      </c>
      <c r="BH166" s="31">
        <f t="shared" si="428"/>
        <v>0</v>
      </c>
      <c r="BI166" s="31">
        <f t="shared" si="428"/>
        <v>0</v>
      </c>
      <c r="BJ166" s="28">
        <f t="shared" si="428"/>
        <v>-25.8</v>
      </c>
      <c r="BK166" s="28">
        <f t="shared" si="428"/>
        <v>-25.9</v>
      </c>
      <c r="BL166" s="28">
        <f t="shared" si="428"/>
        <v>-27.1</v>
      </c>
      <c r="BM166" s="28">
        <f t="shared" si="428"/>
        <v>-26.4</v>
      </c>
      <c r="BN166" s="28">
        <f t="shared" ref="BN166:DT166" si="429">BN141</f>
        <v>-105.20000000000002</v>
      </c>
      <c r="BO166" s="28">
        <f t="shared" si="429"/>
        <v>-29</v>
      </c>
      <c r="BP166" s="28">
        <f t="shared" si="429"/>
        <v>-28.3</v>
      </c>
      <c r="BQ166" s="28">
        <f t="shared" si="429"/>
        <v>-31.3</v>
      </c>
      <c r="BR166" s="28">
        <f t="shared" si="429"/>
        <v>-29.3</v>
      </c>
      <c r="BS166" s="28">
        <f t="shared" si="429"/>
        <v>-117.89999999999999</v>
      </c>
      <c r="BT166" s="28">
        <f t="shared" si="429"/>
        <v>-28.7</v>
      </c>
      <c r="BU166" s="28">
        <f t="shared" si="429"/>
        <v>-29.6</v>
      </c>
      <c r="BV166" s="28">
        <f t="shared" si="429"/>
        <v>-29</v>
      </c>
      <c r="BW166" s="28">
        <f t="shared" si="429"/>
        <v>-29.9</v>
      </c>
      <c r="BX166" s="28">
        <f t="shared" si="429"/>
        <v>-117.19999999999999</v>
      </c>
      <c r="BY166" s="28">
        <f t="shared" si="429"/>
        <v>-30.8</v>
      </c>
      <c r="BZ166" s="28">
        <f t="shared" si="429"/>
        <v>-30.8</v>
      </c>
      <c r="CA166" s="28">
        <f t="shared" si="429"/>
        <v>-30.9</v>
      </c>
      <c r="CB166" s="28">
        <f t="shared" si="429"/>
        <v>-36.5</v>
      </c>
      <c r="CC166" s="28">
        <f t="shared" si="429"/>
        <v>-129</v>
      </c>
      <c r="CD166" s="28">
        <f t="shared" si="429"/>
        <v>-41.159000000000006</v>
      </c>
      <c r="CE166" s="28">
        <f t="shared" si="429"/>
        <v>-52.300000000000004</v>
      </c>
      <c r="CF166" s="28">
        <f t="shared" si="429"/>
        <v>-47.6</v>
      </c>
      <c r="CG166" s="28">
        <f t="shared" si="429"/>
        <v>-48.9</v>
      </c>
      <c r="CH166" s="28">
        <f t="shared" si="429"/>
        <v>-189.959</v>
      </c>
      <c r="CI166" s="28">
        <f t="shared" si="429"/>
        <v>-49.5</v>
      </c>
      <c r="CJ166" s="28">
        <f t="shared" si="429"/>
        <v>-50.4</v>
      </c>
      <c r="CK166" s="28">
        <f t="shared" si="429"/>
        <v>-55.5</v>
      </c>
      <c r="CL166" s="28">
        <f t="shared" si="429"/>
        <v>-56.599999999999994</v>
      </c>
      <c r="CM166" s="28">
        <f t="shared" si="429"/>
        <v>-212</v>
      </c>
      <c r="CN166" s="28">
        <f t="shared" si="429"/>
        <v>-49.7</v>
      </c>
      <c r="CO166" s="28">
        <f t="shared" si="429"/>
        <v>-49</v>
      </c>
      <c r="CP166" s="28">
        <f t="shared" si="429"/>
        <v>-49.3</v>
      </c>
      <c r="CQ166" s="28">
        <f t="shared" si="429"/>
        <v>-25.800000000000011</v>
      </c>
      <c r="CR166" s="28">
        <f t="shared" si="429"/>
        <v>-173.8</v>
      </c>
      <c r="CS166" s="28">
        <f t="shared" si="429"/>
        <v>-46.466582000000002</v>
      </c>
      <c r="CT166" s="28">
        <f t="shared" si="429"/>
        <v>-46.402043189999993</v>
      </c>
      <c r="CU166" s="28">
        <f t="shared" si="429"/>
        <v>-45.861374810000001</v>
      </c>
      <c r="CV166" s="28">
        <f t="shared" si="429"/>
        <v>-44.855000000000018</v>
      </c>
      <c r="CW166" s="28">
        <f t="shared" si="429"/>
        <v>-183.58500000000001</v>
      </c>
      <c r="CX166" s="28">
        <f t="shared" si="429"/>
        <v>-44.674999999999997</v>
      </c>
      <c r="CY166" s="28">
        <f t="shared" si="429"/>
        <v>-44.625999999999998</v>
      </c>
      <c r="CZ166" s="28">
        <f t="shared" si="429"/>
        <v>-43.896000000000001</v>
      </c>
      <c r="DA166" s="28">
        <f t="shared" si="429"/>
        <v>-44.118000000000002</v>
      </c>
      <c r="DB166" s="28">
        <f t="shared" si="429"/>
        <v>-177.315</v>
      </c>
      <c r="DC166" s="28">
        <f t="shared" si="429"/>
        <v>-45.161999999999999</v>
      </c>
      <c r="DD166" s="28">
        <f t="shared" si="429"/>
        <v>-44.896999999999998</v>
      </c>
      <c r="DE166" s="28">
        <f t="shared" si="429"/>
        <v>-51.14</v>
      </c>
      <c r="DF166" s="28">
        <f t="shared" si="429"/>
        <v>-54.000999999999998</v>
      </c>
      <c r="DG166" s="28">
        <f t="shared" si="429"/>
        <v>-195.20000000000002</v>
      </c>
      <c r="DH166" s="28">
        <f t="shared" si="429"/>
        <v>-64.647999999999996</v>
      </c>
      <c r="DI166" s="28">
        <f t="shared" si="429"/>
        <v>-67.296999999999997</v>
      </c>
      <c r="DJ166" s="28">
        <f t="shared" si="429"/>
        <v>-66.685000000000002</v>
      </c>
      <c r="DK166" s="28">
        <f t="shared" si="429"/>
        <v>-70.454999999999998</v>
      </c>
      <c r="DL166" s="28">
        <f t="shared" si="429"/>
        <v>-269.08499999999998</v>
      </c>
      <c r="DM166" s="28">
        <f t="shared" si="429"/>
        <v>-78.36</v>
      </c>
      <c r="DN166" s="28">
        <f t="shared" si="429"/>
        <v>-78.358999999999995</v>
      </c>
      <c r="DO166" s="28">
        <f t="shared" si="429"/>
        <v>-78.450999999999993</v>
      </c>
      <c r="DP166" s="28">
        <f t="shared" si="429"/>
        <v>-79.195999999999998</v>
      </c>
      <c r="DQ166" s="28">
        <f t="shared" si="429"/>
        <v>-314.36599999999999</v>
      </c>
      <c r="DR166" s="28">
        <f t="shared" si="429"/>
        <v>-80.658000000000001</v>
      </c>
      <c r="DS166" s="28">
        <f t="shared" si="429"/>
        <v>-80.585999999999999</v>
      </c>
      <c r="DT166" s="28">
        <f t="shared" si="429"/>
        <v>-80.620999999999995</v>
      </c>
      <c r="DU166" s="28">
        <f t="shared" ref="DU166:ED166" si="430">DU141</f>
        <v>-97.284000000000006</v>
      </c>
      <c r="DV166" s="28">
        <f t="shared" si="430"/>
        <v>-339.149</v>
      </c>
      <c r="DW166" s="28">
        <f t="shared" si="430"/>
        <v>-94.436000000000007</v>
      </c>
      <c r="DX166" s="28">
        <f t="shared" si="430"/>
        <v>-93.713999999999999</v>
      </c>
      <c r="DY166" s="28">
        <f t="shared" si="430"/>
        <v>-101.83794063999999</v>
      </c>
      <c r="DZ166" s="28">
        <f t="shared" si="430"/>
        <v>-101.66898402000004</v>
      </c>
      <c r="EA166" s="28">
        <f t="shared" si="430"/>
        <v>-391.65692466000002</v>
      </c>
      <c r="EB166" s="28">
        <f t="shared" si="430"/>
        <v>-113.96709801999999</v>
      </c>
      <c r="EC166" s="28">
        <f t="shared" si="430"/>
        <v>-117.54317264999999</v>
      </c>
      <c r="ED166" s="28">
        <f t="shared" si="430"/>
        <v>-114.337</v>
      </c>
      <c r="EE166" s="28">
        <f t="shared" ref="EE166" si="431">EE141</f>
        <v>-117.79515328999996</v>
      </c>
      <c r="EF166" s="28">
        <f t="shared" ref="EF166:EG166" si="432">EF141</f>
        <v>-463.64242395999997</v>
      </c>
      <c r="EG166" s="28">
        <f t="shared" si="432"/>
        <v>-137.23599231</v>
      </c>
      <c r="EH166" s="28">
        <f t="shared" ref="EH166" si="433">EH141</f>
        <v>-145.35580216000002</v>
      </c>
      <c r="EI166" s="28">
        <f t="shared" ref="EI166" si="434">EI141</f>
        <v>-145.07803521999998</v>
      </c>
    </row>
    <row r="167" spans="1:139" x14ac:dyDescent="0.3">
      <c r="A167" s="5" t="s">
        <v>311</v>
      </c>
      <c r="B167" s="29">
        <f t="shared" ref="B167:AG167" si="435">SUM(B147:B166)</f>
        <v>0</v>
      </c>
      <c r="C167" s="29">
        <f t="shared" si="435"/>
        <v>0</v>
      </c>
      <c r="D167" s="29">
        <f t="shared" si="435"/>
        <v>0</v>
      </c>
      <c r="E167" s="29">
        <f t="shared" si="435"/>
        <v>0</v>
      </c>
      <c r="F167" s="29">
        <f t="shared" si="435"/>
        <v>0</v>
      </c>
      <c r="G167" s="29">
        <f t="shared" si="435"/>
        <v>0</v>
      </c>
      <c r="H167" s="29">
        <f t="shared" si="435"/>
        <v>0</v>
      </c>
      <c r="I167" s="29">
        <f t="shared" si="435"/>
        <v>0</v>
      </c>
      <c r="J167" s="29">
        <f t="shared" si="435"/>
        <v>0</v>
      </c>
      <c r="K167" s="29">
        <f t="shared" si="435"/>
        <v>0</v>
      </c>
      <c r="L167" s="29">
        <f t="shared" si="435"/>
        <v>0</v>
      </c>
      <c r="M167" s="29">
        <f t="shared" si="435"/>
        <v>0</v>
      </c>
      <c r="N167" s="29">
        <f t="shared" si="435"/>
        <v>0</v>
      </c>
      <c r="O167" s="29">
        <f t="shared" si="435"/>
        <v>0</v>
      </c>
      <c r="P167" s="29">
        <f t="shared" si="435"/>
        <v>0</v>
      </c>
      <c r="Q167" s="29">
        <f t="shared" si="435"/>
        <v>0</v>
      </c>
      <c r="R167" s="29">
        <f t="shared" si="435"/>
        <v>0</v>
      </c>
      <c r="S167" s="29">
        <f t="shared" si="435"/>
        <v>0</v>
      </c>
      <c r="T167" s="29">
        <f t="shared" si="435"/>
        <v>0</v>
      </c>
      <c r="U167" s="29">
        <f t="shared" si="435"/>
        <v>0</v>
      </c>
      <c r="V167" s="29">
        <f t="shared" si="435"/>
        <v>0</v>
      </c>
      <c r="W167" s="29">
        <f t="shared" si="435"/>
        <v>0</v>
      </c>
      <c r="X167" s="29">
        <f t="shared" si="435"/>
        <v>0</v>
      </c>
      <c r="Y167" s="29">
        <f t="shared" si="435"/>
        <v>0</v>
      </c>
      <c r="Z167" s="29">
        <f t="shared" si="435"/>
        <v>0</v>
      </c>
      <c r="AA167" s="29">
        <f t="shared" si="435"/>
        <v>0</v>
      </c>
      <c r="AB167" s="29">
        <f t="shared" si="435"/>
        <v>0</v>
      </c>
      <c r="AC167" s="29">
        <f t="shared" si="435"/>
        <v>0</v>
      </c>
      <c r="AD167" s="29">
        <f t="shared" si="435"/>
        <v>0</v>
      </c>
      <c r="AE167" s="29">
        <f t="shared" si="435"/>
        <v>0</v>
      </c>
      <c r="AF167" s="29">
        <f t="shared" si="435"/>
        <v>0</v>
      </c>
      <c r="AG167" s="29">
        <f t="shared" si="435"/>
        <v>0</v>
      </c>
      <c r="AH167" s="29">
        <f t="shared" ref="AH167:BM167" si="436">SUM(AH147:AH166)</f>
        <v>0</v>
      </c>
      <c r="AI167" s="29">
        <f t="shared" si="436"/>
        <v>0</v>
      </c>
      <c r="AJ167" s="29">
        <f t="shared" si="436"/>
        <v>0</v>
      </c>
      <c r="AK167" s="29">
        <f t="shared" si="436"/>
        <v>0</v>
      </c>
      <c r="AL167" s="29">
        <f t="shared" si="436"/>
        <v>0</v>
      </c>
      <c r="AM167" s="29">
        <f t="shared" si="436"/>
        <v>0</v>
      </c>
      <c r="AN167" s="29">
        <f t="shared" si="436"/>
        <v>0</v>
      </c>
      <c r="AO167" s="29">
        <f t="shared" si="436"/>
        <v>0</v>
      </c>
      <c r="AP167" s="29">
        <f t="shared" si="436"/>
        <v>0</v>
      </c>
      <c r="AQ167" s="29">
        <f t="shared" si="436"/>
        <v>0</v>
      </c>
      <c r="AR167" s="29">
        <f t="shared" si="436"/>
        <v>0</v>
      </c>
      <c r="AS167" s="29">
        <f t="shared" si="436"/>
        <v>0</v>
      </c>
      <c r="AT167" s="29">
        <f t="shared" si="436"/>
        <v>0</v>
      </c>
      <c r="AU167" s="29">
        <f t="shared" si="436"/>
        <v>0</v>
      </c>
      <c r="AV167" s="29">
        <f t="shared" si="436"/>
        <v>0</v>
      </c>
      <c r="AW167" s="29">
        <f t="shared" si="436"/>
        <v>0</v>
      </c>
      <c r="AX167" s="29">
        <f t="shared" si="436"/>
        <v>0</v>
      </c>
      <c r="AY167" s="29">
        <f t="shared" si="436"/>
        <v>0</v>
      </c>
      <c r="AZ167" s="29">
        <f t="shared" si="436"/>
        <v>0</v>
      </c>
      <c r="BA167" s="29">
        <f t="shared" si="436"/>
        <v>0</v>
      </c>
      <c r="BB167" s="29">
        <f t="shared" si="436"/>
        <v>0</v>
      </c>
      <c r="BC167" s="29">
        <f t="shared" si="436"/>
        <v>0</v>
      </c>
      <c r="BD167" s="29">
        <f t="shared" si="436"/>
        <v>0</v>
      </c>
      <c r="BE167" s="29">
        <f t="shared" si="436"/>
        <v>0</v>
      </c>
      <c r="BF167" s="29">
        <f t="shared" si="436"/>
        <v>0</v>
      </c>
      <c r="BG167" s="29">
        <f t="shared" si="436"/>
        <v>0</v>
      </c>
      <c r="BH167" s="29">
        <f t="shared" si="436"/>
        <v>0</v>
      </c>
      <c r="BI167" s="29">
        <f t="shared" si="436"/>
        <v>0</v>
      </c>
      <c r="BJ167" s="29">
        <f t="shared" si="436"/>
        <v>304.40899999999999</v>
      </c>
      <c r="BK167" s="29">
        <f t="shared" si="436"/>
        <v>295.9913791699999</v>
      </c>
      <c r="BL167" s="29">
        <f t="shared" si="436"/>
        <v>322.11530996999994</v>
      </c>
      <c r="BM167" s="29">
        <f t="shared" si="436"/>
        <v>330.30509000000006</v>
      </c>
      <c r="BN167" s="29">
        <f t="shared" ref="BN167:CS167" si="437">SUM(BN147:BN166)</f>
        <v>1252.8207791399998</v>
      </c>
      <c r="BO167" s="29">
        <f t="shared" si="437"/>
        <v>390.28302019799997</v>
      </c>
      <c r="BP167" s="29">
        <f t="shared" si="437"/>
        <v>386.64201331000004</v>
      </c>
      <c r="BQ167" s="29">
        <f t="shared" si="437"/>
        <v>421.98386566999989</v>
      </c>
      <c r="BR167" s="29">
        <f t="shared" si="437"/>
        <v>429.00623616000007</v>
      </c>
      <c r="BS167" s="29">
        <f t="shared" si="437"/>
        <v>1627.915135338</v>
      </c>
      <c r="BT167" s="29">
        <f t="shared" si="437"/>
        <v>365.3</v>
      </c>
      <c r="BU167" s="29">
        <f t="shared" si="437"/>
        <v>379.08113764999985</v>
      </c>
      <c r="BV167" s="29">
        <f t="shared" si="437"/>
        <v>517.63655120000021</v>
      </c>
      <c r="BW167" s="29">
        <f t="shared" si="437"/>
        <v>527.16325974999995</v>
      </c>
      <c r="BX167" s="29">
        <f t="shared" si="437"/>
        <v>1789.1809486</v>
      </c>
      <c r="BY167" s="29">
        <f t="shared" si="437"/>
        <v>510.3</v>
      </c>
      <c r="BZ167" s="29">
        <f t="shared" si="437"/>
        <v>523.80000000000007</v>
      </c>
      <c r="CA167" s="29">
        <f t="shared" si="437"/>
        <v>555.70000000000005</v>
      </c>
      <c r="CB167" s="29">
        <f t="shared" si="437"/>
        <v>543.5</v>
      </c>
      <c r="CC167" s="29">
        <f t="shared" si="437"/>
        <v>2133.3000000000002</v>
      </c>
      <c r="CD167" s="29">
        <f t="shared" si="437"/>
        <v>542.33600000000001</v>
      </c>
      <c r="CE167" s="29">
        <f t="shared" si="437"/>
        <v>521.45532700000012</v>
      </c>
      <c r="CF167" s="29">
        <f t="shared" si="437"/>
        <v>573.80000000000007</v>
      </c>
      <c r="CG167" s="29">
        <f t="shared" si="437"/>
        <v>585.80000000000007</v>
      </c>
      <c r="CH167" s="29">
        <f t="shared" si="437"/>
        <v>2223.3913270000003</v>
      </c>
      <c r="CI167" s="29">
        <f t="shared" si="437"/>
        <v>577.30000000000007</v>
      </c>
      <c r="CJ167" s="29">
        <f t="shared" si="437"/>
        <v>547.90000000000009</v>
      </c>
      <c r="CK167" s="29">
        <f t="shared" si="437"/>
        <v>581.81836922999992</v>
      </c>
      <c r="CL167" s="29">
        <f t="shared" si="437"/>
        <v>585.60210304999976</v>
      </c>
      <c r="CM167" s="29">
        <f t="shared" si="437"/>
        <v>2292.6204722799998</v>
      </c>
      <c r="CN167" s="29">
        <f t="shared" si="437"/>
        <v>598.79999999999995</v>
      </c>
      <c r="CO167" s="29">
        <f t="shared" si="437"/>
        <v>568.70000000000005</v>
      </c>
      <c r="CP167" s="29">
        <f t="shared" si="437"/>
        <v>592.80000000000007</v>
      </c>
      <c r="CQ167" s="29">
        <f t="shared" si="437"/>
        <v>617.3299999999997</v>
      </c>
      <c r="CR167" s="29">
        <f t="shared" si="437"/>
        <v>2377.6299999999992</v>
      </c>
      <c r="CS167" s="29">
        <f t="shared" si="437"/>
        <v>625.73488355999984</v>
      </c>
      <c r="CT167" s="29">
        <f t="shared" ref="CT167:DT167" si="438">SUM(CT147:CT166)</f>
        <v>594.18280383999991</v>
      </c>
      <c r="CU167" s="29">
        <f t="shared" si="438"/>
        <v>630.0554027899999</v>
      </c>
      <c r="CV167" s="29">
        <f t="shared" si="438"/>
        <v>629.85184567000022</v>
      </c>
      <c r="CW167" s="29">
        <f t="shared" si="438"/>
        <v>2479.8249358600001</v>
      </c>
      <c r="CX167" s="29">
        <f t="shared" si="438"/>
        <v>661.55200000000013</v>
      </c>
      <c r="CY167" s="29">
        <f t="shared" si="438"/>
        <v>584.03</v>
      </c>
      <c r="CZ167" s="29">
        <f t="shared" si="438"/>
        <v>629.83600000000001</v>
      </c>
      <c r="DA167" s="29">
        <f t="shared" si="438"/>
        <v>640.79200000000003</v>
      </c>
      <c r="DB167" s="29">
        <f t="shared" si="438"/>
        <v>2516.21</v>
      </c>
      <c r="DC167" s="29">
        <f t="shared" si="438"/>
        <v>664.36799999999994</v>
      </c>
      <c r="DD167" s="29">
        <f t="shared" si="438"/>
        <v>699.96499999999992</v>
      </c>
      <c r="DE167" s="29">
        <f t="shared" si="438"/>
        <v>777.21800000000007</v>
      </c>
      <c r="DF167" s="29">
        <f t="shared" si="438"/>
        <v>803.61199999999997</v>
      </c>
      <c r="DG167" s="29">
        <f t="shared" si="438"/>
        <v>2945.163</v>
      </c>
      <c r="DH167" s="29">
        <f t="shared" si="438"/>
        <v>767.99799999999982</v>
      </c>
      <c r="DI167" s="29">
        <f t="shared" si="438"/>
        <v>647.322</v>
      </c>
      <c r="DJ167" s="29">
        <f t="shared" si="438"/>
        <v>771.22</v>
      </c>
      <c r="DK167" s="29">
        <f t="shared" si="438"/>
        <v>831.77099999999984</v>
      </c>
      <c r="DL167" s="29">
        <f t="shared" si="438"/>
        <v>3018.3109999999997</v>
      </c>
      <c r="DM167" s="29">
        <f t="shared" si="438"/>
        <v>836.31899999999985</v>
      </c>
      <c r="DN167" s="29">
        <f t="shared" si="438"/>
        <v>856.5610999999999</v>
      </c>
      <c r="DO167" s="29">
        <f t="shared" si="438"/>
        <v>922.97200000000009</v>
      </c>
      <c r="DP167" s="29">
        <f t="shared" si="438"/>
        <v>872.46699999999987</v>
      </c>
      <c r="DQ167" s="29">
        <f t="shared" si="438"/>
        <v>3488.3191000000006</v>
      </c>
      <c r="DR167" s="29">
        <f t="shared" si="438"/>
        <v>769.64699999999993</v>
      </c>
      <c r="DS167" s="29">
        <f t="shared" si="438"/>
        <v>764.07600000000014</v>
      </c>
      <c r="DT167" s="29">
        <f t="shared" si="438"/>
        <v>886.26599999999996</v>
      </c>
      <c r="DU167" s="29">
        <f t="shared" ref="DU167:ED167" si="439">SUM(DU147:DU166)</f>
        <v>1152.3689999999999</v>
      </c>
      <c r="DV167" s="29">
        <f t="shared" si="439"/>
        <v>3572.3579999999997</v>
      </c>
      <c r="DW167" s="29">
        <f t="shared" si="439"/>
        <v>1129.9050000000002</v>
      </c>
      <c r="DX167" s="29">
        <f t="shared" si="439"/>
        <v>1282.3909999999996</v>
      </c>
      <c r="DY167" s="29">
        <f t="shared" si="439"/>
        <v>1439.9252019200005</v>
      </c>
      <c r="DZ167" s="29">
        <f t="shared" si="439"/>
        <v>1542.4300273499998</v>
      </c>
      <c r="EA167" s="29">
        <f t="shared" si="439"/>
        <v>5394.651229269999</v>
      </c>
      <c r="EB167" s="29">
        <f t="shared" si="439"/>
        <v>1521.6683406</v>
      </c>
      <c r="EC167" s="29">
        <f t="shared" si="439"/>
        <v>1553.75457669</v>
      </c>
      <c r="ED167" s="29">
        <f t="shared" si="439"/>
        <v>1664.64</v>
      </c>
      <c r="EE167" s="29">
        <f t="shared" ref="EE167" si="440">SUM(EE147:EE166)</f>
        <v>1699.7007339400004</v>
      </c>
      <c r="EF167" s="29">
        <f t="shared" ref="EF167" si="441">SUM(EF147:EF166)</f>
        <v>6439.7636512299996</v>
      </c>
      <c r="EG167" s="29">
        <f t="shared" ref="EG167:EH167" si="442">SUM(EG147:EG166)</f>
        <v>1668.8486365699998</v>
      </c>
      <c r="EH167" s="29">
        <f t="shared" si="442"/>
        <v>1818.8602738500001</v>
      </c>
      <c r="EI167" s="29">
        <f t="shared" ref="EI167" si="443">SUM(EI147:EI166)</f>
        <v>1972.75757191</v>
      </c>
    </row>
    <row r="168" spans="1:139" x14ac:dyDescent="0.3">
      <c r="CC168" s="33"/>
      <c r="CH168" s="33"/>
    </row>
    <row r="169" spans="1:139" x14ac:dyDescent="0.3">
      <c r="A169" s="43"/>
    </row>
    <row r="170" spans="1:139" x14ac:dyDescent="0.3">
      <c r="A170" s="40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DB60:DB65 DB85:DB89 DB104:DB10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015-31C0-48EF-8FD6-B3EBBDA27E51}">
  <sheetPr codeName="Planilha3">
    <tabColor theme="4" tint="-0.499984740745262"/>
  </sheetPr>
  <dimension ref="A1:EI235"/>
  <sheetViews>
    <sheetView showGridLines="0" zoomScale="85" zoomScaleNormal="85" workbookViewId="0">
      <pane xSplit="1" topLeftCell="DU1" activePane="topRight" state="frozen"/>
      <selection activeCell="EK144" sqref="EK144"/>
      <selection pane="topRight" activeCell="EI1" sqref="EI1"/>
    </sheetView>
  </sheetViews>
  <sheetFormatPr defaultRowHeight="14.4" x14ac:dyDescent="0.3"/>
  <cols>
    <col min="1" max="1" width="48.77734375" customWidth="1"/>
    <col min="2" max="5" width="5.5546875" hidden="1" customWidth="1"/>
    <col min="6" max="6" width="5.21875" hidden="1" customWidth="1"/>
    <col min="7" max="10" width="5.5546875" hidden="1" customWidth="1"/>
    <col min="11" max="11" width="5.21875" hidden="1" customWidth="1"/>
    <col min="12" max="15" width="5.5546875" hidden="1" customWidth="1"/>
    <col min="16" max="16" width="5.21875" hidden="1" customWidth="1"/>
    <col min="17" max="20" width="5.5546875" hidden="1" customWidth="1"/>
    <col min="21" max="21" width="5.21875" hidden="1" customWidth="1"/>
    <col min="22" max="25" width="5.5546875" hidden="1" customWidth="1"/>
    <col min="26" max="26" width="5.21875" hidden="1" customWidth="1"/>
    <col min="27" max="30" width="5.5546875" hidden="1" customWidth="1"/>
    <col min="31" max="31" width="5.21875" hidden="1" customWidth="1"/>
    <col min="32" max="35" width="5.5546875" hidden="1" customWidth="1"/>
    <col min="36" max="36" width="5.21875" hidden="1" customWidth="1"/>
    <col min="37" max="40" width="5.5546875" hidden="1" customWidth="1"/>
    <col min="41" max="41" width="5.21875" hidden="1" customWidth="1"/>
    <col min="42" max="45" width="5.5546875" hidden="1" customWidth="1"/>
    <col min="46" max="46" width="5.21875" hidden="1" customWidth="1"/>
    <col min="47" max="50" width="5.5546875" hidden="1" customWidth="1"/>
    <col min="51" max="51" width="5.21875" hidden="1" customWidth="1"/>
    <col min="52" max="55" width="5.5546875" hidden="1" customWidth="1"/>
    <col min="56" max="56" width="5.21875" hidden="1" customWidth="1"/>
    <col min="57" max="60" width="5.5546875" hidden="1" customWidth="1"/>
    <col min="61" max="61" width="5.21875" hidden="1" customWidth="1"/>
    <col min="62" max="70" width="7" hidden="1" customWidth="1"/>
    <col min="71" max="71" width="7.77734375" hidden="1" customWidth="1"/>
    <col min="72" max="75" width="7" hidden="1" customWidth="1"/>
    <col min="76" max="76" width="8.5546875" hidden="1" customWidth="1"/>
    <col min="77" max="80" width="7" hidden="1" customWidth="1"/>
    <col min="81" max="81" width="8.5546875" hidden="1" customWidth="1"/>
    <col min="82" max="85" width="7" hidden="1" customWidth="1"/>
    <col min="86" max="86" width="8.5546875" hidden="1" customWidth="1"/>
    <col min="87" max="90" width="7" hidden="1" customWidth="1"/>
    <col min="91" max="91" width="8.5546875" hidden="1" customWidth="1"/>
    <col min="92" max="95" width="7" hidden="1" customWidth="1"/>
    <col min="96" max="96" width="8.5546875" hidden="1" customWidth="1"/>
    <col min="97" max="100" width="7" hidden="1" customWidth="1"/>
    <col min="101" max="101" width="8.5546875" hidden="1" customWidth="1"/>
    <col min="102" max="105" width="7" hidden="1" customWidth="1"/>
    <col min="106" max="106" width="8.5546875" hidden="1" customWidth="1"/>
    <col min="107" max="110" width="7" hidden="1" customWidth="1"/>
    <col min="111" max="111" width="8.5546875" hidden="1" customWidth="1"/>
    <col min="112" max="115" width="7" customWidth="1"/>
    <col min="116" max="116" width="8.5546875" customWidth="1"/>
    <col min="117" max="120" width="7" customWidth="1"/>
    <col min="121" max="121" width="8.5546875" customWidth="1"/>
    <col min="122" max="123" width="7" customWidth="1"/>
    <col min="124" max="126" width="8.5546875" customWidth="1"/>
    <col min="127" max="127" width="7" customWidth="1"/>
    <col min="128" max="130" width="8.44140625" customWidth="1"/>
    <col min="131" max="131" width="8.5546875" customWidth="1"/>
    <col min="132" max="134" width="8.44140625" customWidth="1"/>
    <col min="135" max="135" width="8.44140625" bestFit="1" customWidth="1"/>
    <col min="136" max="136" width="8.6640625" bestFit="1" customWidth="1"/>
    <col min="137" max="140" width="8.5546875" customWidth="1"/>
    <col min="141" max="141" width="8.21875" bestFit="1" customWidth="1"/>
    <col min="142" max="142" width="6.5546875" customWidth="1"/>
    <col min="144" max="144" width="12" customWidth="1"/>
    <col min="145" max="145" width="13.77734375" customWidth="1"/>
    <col min="146" max="146" width="8.77734375" customWidth="1"/>
  </cols>
  <sheetData>
    <row r="1" spans="1:139" x14ac:dyDescent="0.3">
      <c r="A1" s="3" t="s">
        <v>332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333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f>EF1</f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27">
        <v>28.328739530000004</v>
      </c>
      <c r="BK3" s="27">
        <v>13.344006480000001</v>
      </c>
      <c r="BL3" s="27">
        <v>16.027837709999996</v>
      </c>
      <c r="BM3" s="27">
        <v>15.996776800000001</v>
      </c>
      <c r="BN3" s="27">
        <f t="shared" ref="BN3:BN14" si="0">SUM(BJ3:BM3)</f>
        <v>73.697360520000004</v>
      </c>
      <c r="BO3" s="27">
        <v>16.969762610000004</v>
      </c>
      <c r="BP3" s="27">
        <v>16.523357389999997</v>
      </c>
      <c r="BQ3" s="27">
        <v>21.98222088</v>
      </c>
      <c r="BR3" s="27">
        <v>22.082730869999999</v>
      </c>
      <c r="BS3" s="27">
        <f t="shared" ref="BS3:BS14" si="1">SUM(BO3:BR3)</f>
        <v>77.558071750000011</v>
      </c>
      <c r="BT3" s="27">
        <v>16.198916149999999</v>
      </c>
      <c r="BU3" s="27">
        <v>21.757170139999999</v>
      </c>
      <c r="BV3" s="27">
        <v>23.705685230000004</v>
      </c>
      <c r="BW3" s="27">
        <v>26.064185500000004</v>
      </c>
      <c r="BX3" s="27">
        <f t="shared" ref="BX3:BX14" si="2">SUM(BT3:BW3)</f>
        <v>87.72595702000001</v>
      </c>
      <c r="BY3" s="27">
        <v>19.730094589999997</v>
      </c>
      <c r="BZ3" s="27">
        <v>33.159269729999998</v>
      </c>
      <c r="CA3" s="27">
        <v>21.470917900000003</v>
      </c>
      <c r="CB3" s="27">
        <v>28.162935060000002</v>
      </c>
      <c r="CC3" s="27">
        <f t="shared" ref="CC3:CC14" si="3">SUM(BY3:CB3)</f>
        <v>102.52321728000001</v>
      </c>
      <c r="CD3" s="27">
        <v>24.899356470000001</v>
      </c>
      <c r="CE3" s="27">
        <v>29.502376899999998</v>
      </c>
      <c r="CF3" s="27">
        <v>28.6970505</v>
      </c>
      <c r="CG3" s="27">
        <v>30.391704850000011</v>
      </c>
      <c r="CH3" s="27">
        <f t="shared" ref="CH3:CH14" si="4">SUM(CD3:CG3)</f>
        <v>113.49048872000002</v>
      </c>
      <c r="CI3" s="27">
        <v>34.600572839999998</v>
      </c>
      <c r="CJ3" s="27">
        <v>37.891888809999998</v>
      </c>
      <c r="CK3" s="27">
        <v>32.530625179999994</v>
      </c>
      <c r="CL3" s="27">
        <v>30.480270700000009</v>
      </c>
      <c r="CM3" s="27">
        <f t="shared" ref="CM3:CM14" si="5">SUM(CI3:CL3)</f>
        <v>135.50335752999999</v>
      </c>
      <c r="CN3" s="27">
        <v>27.24050081</v>
      </c>
      <c r="CO3" s="27">
        <v>22.403739829999999</v>
      </c>
      <c r="CP3" s="27">
        <v>23.28279491</v>
      </c>
      <c r="CQ3" s="27">
        <f>93.048-SUM(CN3:CP3)</f>
        <v>20.120964450000002</v>
      </c>
      <c r="CR3" s="27">
        <f t="shared" ref="CR3:CR14" si="6">SUM(CN3:CQ3)</f>
        <v>93.048000000000002</v>
      </c>
      <c r="CS3" s="27">
        <v>24.646520419999998</v>
      </c>
      <c r="CT3" s="27">
        <v>27.531458030000007</v>
      </c>
      <c r="CU3" s="27">
        <v>30.105068619999994</v>
      </c>
      <c r="CV3" s="27">
        <v>32.720327479999995</v>
      </c>
      <c r="CW3" s="27">
        <f t="shared" ref="CW3:CW14" si="7">SUM(CS3:CV3)</f>
        <v>115.00337454999999</v>
      </c>
      <c r="CX3" s="27">
        <v>29.219000000000001</v>
      </c>
      <c r="CY3" s="27">
        <v>32.591999999999999</v>
      </c>
      <c r="CZ3" s="27">
        <v>33.598999999999997</v>
      </c>
      <c r="DA3" s="27">
        <v>57.570999999999998</v>
      </c>
      <c r="DB3" s="27">
        <f t="shared" ref="DB3:DB14" si="8">SUM(CX3:DA3)</f>
        <v>152.98099999999999</v>
      </c>
      <c r="DC3" s="27">
        <v>26.859000000000002</v>
      </c>
      <c r="DD3" s="27">
        <v>26.88</v>
      </c>
      <c r="DE3" s="27">
        <v>36.116999999999997</v>
      </c>
      <c r="DF3" s="27">
        <v>52.572000000000003</v>
      </c>
      <c r="DG3" s="27">
        <f t="shared" ref="DG3:DG14" si="9">SUM(DC3:DF3)</f>
        <v>142.428</v>
      </c>
      <c r="DH3" s="27">
        <v>28.719000000000001</v>
      </c>
      <c r="DI3" s="27">
        <v>29.173999999999999</v>
      </c>
      <c r="DJ3" s="27">
        <v>31.562000000000001</v>
      </c>
      <c r="DK3" s="27">
        <v>49.018000000000001</v>
      </c>
      <c r="DL3" s="27">
        <f t="shared" ref="DL3:DL14" si="10">SUM(DH3:DK3)</f>
        <v>138.47300000000001</v>
      </c>
      <c r="DM3" s="27">
        <v>29.952999999999999</v>
      </c>
      <c r="DN3" s="27">
        <v>33.542999999999999</v>
      </c>
      <c r="DO3" s="27">
        <v>36.021999999999998</v>
      </c>
      <c r="DP3" s="27">
        <v>42.469000000000001</v>
      </c>
      <c r="DQ3" s="27">
        <f t="shared" ref="DQ3:DQ14" si="11">SUM(DM3:DP3)</f>
        <v>141.98699999999999</v>
      </c>
      <c r="DR3" s="27">
        <v>4.0949999999999998</v>
      </c>
      <c r="DS3" s="27">
        <v>3.2559999999999998</v>
      </c>
      <c r="DT3" s="27">
        <v>2.9180000000000001</v>
      </c>
      <c r="DU3" s="27">
        <f>-SUM(DR3:DT3)</f>
        <v>-10.268999999999998</v>
      </c>
      <c r="DV3" s="27">
        <f t="shared" ref="DV3:DV14" si="12">SUM(DR3:DU3)</f>
        <v>0</v>
      </c>
      <c r="DW3" s="27">
        <v>0</v>
      </c>
      <c r="DX3" s="27">
        <v>0</v>
      </c>
      <c r="DY3" s="27">
        <v>0</v>
      </c>
      <c r="DZ3" s="27">
        <v>0</v>
      </c>
      <c r="EA3" s="27">
        <f t="shared" ref="EA3:EA15" si="13">SUM(DW3:DZ3)</f>
        <v>0</v>
      </c>
      <c r="EB3" s="27">
        <v>0</v>
      </c>
      <c r="EC3" s="27">
        <v>0</v>
      </c>
      <c r="ED3" s="27">
        <v>0</v>
      </c>
      <c r="EE3" s="27">
        <v>0</v>
      </c>
      <c r="EF3" s="27">
        <f t="shared" ref="EF3:EF15" si="14">SUM(EB3:EE3)</f>
        <v>0</v>
      </c>
      <c r="EG3" s="27">
        <v>0</v>
      </c>
      <c r="EH3" s="27">
        <v>0</v>
      </c>
      <c r="EI3" s="27">
        <v>0</v>
      </c>
    </row>
    <row r="4" spans="1:139" ht="15" thickBot="1" x14ac:dyDescent="0.35">
      <c r="A4" s="2" t="s">
        <v>454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28">
        <v>12.573391579999999</v>
      </c>
      <c r="BK4" s="28">
        <v>12.59119664</v>
      </c>
      <c r="BL4" s="28">
        <v>13.728610820000004</v>
      </c>
      <c r="BM4" s="28">
        <v>12.044496759999998</v>
      </c>
      <c r="BN4" s="28">
        <f t="shared" si="0"/>
        <v>50.9376958</v>
      </c>
      <c r="BO4" s="28">
        <v>14.188850449999999</v>
      </c>
      <c r="BP4" s="28">
        <v>22.277305210000002</v>
      </c>
      <c r="BQ4" s="28">
        <v>18.493048490000003</v>
      </c>
      <c r="BR4" s="28">
        <v>17.550770720000003</v>
      </c>
      <c r="BS4" s="28">
        <f t="shared" si="1"/>
        <v>72.509974870000008</v>
      </c>
      <c r="BT4" s="28">
        <v>15.192445540000001</v>
      </c>
      <c r="BU4" s="28">
        <v>17.866838729999998</v>
      </c>
      <c r="BV4" s="28">
        <v>17.474542500000002</v>
      </c>
      <c r="BW4" s="28">
        <v>15.956061010000001</v>
      </c>
      <c r="BX4" s="28">
        <f t="shared" si="2"/>
        <v>66.489887780000004</v>
      </c>
      <c r="BY4" s="28">
        <v>13.55625745</v>
      </c>
      <c r="BZ4" s="28">
        <v>23.646850610000001</v>
      </c>
      <c r="CA4" s="28">
        <v>22.288247090000002</v>
      </c>
      <c r="CB4" s="28">
        <v>26.459697210000009</v>
      </c>
      <c r="CC4" s="28">
        <f t="shared" si="3"/>
        <v>85.951052360000006</v>
      </c>
      <c r="CD4" s="28">
        <v>19.538219070000004</v>
      </c>
      <c r="CE4" s="28">
        <v>20.23157368</v>
      </c>
      <c r="CF4" s="28">
        <v>26.690653569999998</v>
      </c>
      <c r="CG4" s="28">
        <v>29.336356680000005</v>
      </c>
      <c r="CH4" s="28">
        <f t="shared" si="4"/>
        <v>95.796803000000011</v>
      </c>
      <c r="CI4" s="28">
        <v>18.558360049999997</v>
      </c>
      <c r="CJ4" s="28">
        <v>23.259325659999995</v>
      </c>
      <c r="CK4" s="28">
        <v>24.82097182</v>
      </c>
      <c r="CL4" s="28">
        <v>26.714631069999999</v>
      </c>
      <c r="CM4" s="28">
        <f t="shared" si="5"/>
        <v>93.353288599999985</v>
      </c>
      <c r="CN4" s="28">
        <v>31.038491320000002</v>
      </c>
      <c r="CO4" s="28">
        <v>34.270073330000002</v>
      </c>
      <c r="CP4" s="28">
        <v>39.118651679999999</v>
      </c>
      <c r="CQ4" s="28">
        <f>134.224-SUM(CN4:CP4)</f>
        <v>29.796783669999982</v>
      </c>
      <c r="CR4" s="28">
        <f t="shared" si="6"/>
        <v>134.22399999999999</v>
      </c>
      <c r="CS4" s="28">
        <v>29.01003553</v>
      </c>
      <c r="CT4" s="28">
        <v>39.815016489999998</v>
      </c>
      <c r="CU4" s="28">
        <v>40.963552839999991</v>
      </c>
      <c r="CV4" s="28">
        <v>53.678895609999991</v>
      </c>
      <c r="CW4" s="28">
        <f t="shared" si="7"/>
        <v>163.46750046999998</v>
      </c>
      <c r="CX4" s="28">
        <v>37.759</v>
      </c>
      <c r="CY4" s="28">
        <v>49.13</v>
      </c>
      <c r="CZ4" s="28">
        <v>41.813000000000002</v>
      </c>
      <c r="DA4" s="28">
        <v>45.701999999999998</v>
      </c>
      <c r="DB4" s="28">
        <f t="shared" si="8"/>
        <v>174.404</v>
      </c>
      <c r="DC4" s="28">
        <v>41.814</v>
      </c>
      <c r="DD4" s="28">
        <v>45.152000000000001</v>
      </c>
      <c r="DE4" s="28">
        <v>42.924999999999997</v>
      </c>
      <c r="DF4" s="28">
        <v>49.439</v>
      </c>
      <c r="DG4" s="28">
        <f t="shared" si="9"/>
        <v>179.33</v>
      </c>
      <c r="DH4" s="28">
        <v>39.752000000000002</v>
      </c>
      <c r="DI4" s="28">
        <v>46.133000000000003</v>
      </c>
      <c r="DJ4" s="28">
        <v>46.008000000000003</v>
      </c>
      <c r="DK4" s="28">
        <v>57.335000000000001</v>
      </c>
      <c r="DL4" s="28">
        <f t="shared" si="10"/>
        <v>189.22800000000001</v>
      </c>
      <c r="DM4" s="28">
        <v>67.951999999999998</v>
      </c>
      <c r="DN4" s="28">
        <v>75.893000000000001</v>
      </c>
      <c r="DO4" s="28">
        <v>78.350999999999999</v>
      </c>
      <c r="DP4" s="28">
        <v>83.599000000000004</v>
      </c>
      <c r="DQ4" s="28">
        <f t="shared" si="11"/>
        <v>305.79500000000002</v>
      </c>
      <c r="DR4" s="28">
        <v>55.296999999999997</v>
      </c>
      <c r="DS4" s="28">
        <v>56.911000000000001</v>
      </c>
      <c r="DT4" s="28">
        <v>59.465000000000003</v>
      </c>
      <c r="DU4" s="28">
        <v>57.862000000000002</v>
      </c>
      <c r="DV4" s="28">
        <f t="shared" si="12"/>
        <v>229.535</v>
      </c>
      <c r="DW4" s="28">
        <v>61.957999999999998</v>
      </c>
      <c r="DX4" s="28">
        <v>65.022000000000006</v>
      </c>
      <c r="DY4" s="28">
        <v>65.859546299999977</v>
      </c>
      <c r="DZ4" s="28">
        <v>64.088922150000002</v>
      </c>
      <c r="EA4" s="28">
        <f t="shared" si="13"/>
        <v>256.92846844999997</v>
      </c>
      <c r="EB4" s="28">
        <v>78.35959484</v>
      </c>
      <c r="EC4" s="28">
        <v>74.643448599999999</v>
      </c>
      <c r="ED4" s="28">
        <v>76.807000000000002</v>
      </c>
      <c r="EE4" s="28">
        <v>78.135302379999999</v>
      </c>
      <c r="EF4" s="28">
        <f t="shared" si="14"/>
        <v>307.94534582</v>
      </c>
      <c r="EG4" s="28">
        <v>92.964924379999999</v>
      </c>
      <c r="EH4" s="28">
        <v>86.006159599999989</v>
      </c>
      <c r="EI4" s="28">
        <v>85.769773779999994</v>
      </c>
    </row>
    <row r="5" spans="1:139" ht="15" thickTop="1" x14ac:dyDescent="0.3">
      <c r="A5" s="1" t="s">
        <v>442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27">
        <v>48.721490070000002</v>
      </c>
      <c r="BK5" s="27">
        <v>53.860413500000007</v>
      </c>
      <c r="BL5" s="27">
        <v>61.638576280000002</v>
      </c>
      <c r="BM5" s="27">
        <v>70.637516429999991</v>
      </c>
      <c r="BN5" s="27">
        <f t="shared" si="0"/>
        <v>234.85799628000001</v>
      </c>
      <c r="BO5" s="27">
        <v>63.933852469999998</v>
      </c>
      <c r="BP5" s="27">
        <v>75.554212339999992</v>
      </c>
      <c r="BQ5" s="27">
        <v>80.866106550000012</v>
      </c>
      <c r="BR5" s="27">
        <v>87.073021349999991</v>
      </c>
      <c r="BS5" s="27">
        <f t="shared" si="1"/>
        <v>307.42719270999999</v>
      </c>
      <c r="BT5" s="27">
        <v>65.605627800000008</v>
      </c>
      <c r="BU5" s="27">
        <v>64.880446769999992</v>
      </c>
      <c r="BV5" s="27">
        <v>84.396094569999974</v>
      </c>
      <c r="BW5" s="27">
        <v>106.02258001000001</v>
      </c>
      <c r="BX5" s="27">
        <f t="shared" si="2"/>
        <v>320.90474914999999</v>
      </c>
      <c r="BY5" s="27">
        <v>78.566923830000007</v>
      </c>
      <c r="BZ5" s="27">
        <v>108.99681741000002</v>
      </c>
      <c r="CA5" s="27">
        <v>108.46002052999997</v>
      </c>
      <c r="CB5" s="27">
        <v>170.35245927</v>
      </c>
      <c r="CC5" s="27">
        <f t="shared" si="3"/>
        <v>466.37622103999996</v>
      </c>
      <c r="CD5" s="27">
        <v>111.30899185999999</v>
      </c>
      <c r="CE5" s="27">
        <v>202.14809749000005</v>
      </c>
      <c r="CF5" s="27">
        <v>135.90408328999999</v>
      </c>
      <c r="CG5" s="27">
        <v>151.56574033000001</v>
      </c>
      <c r="CH5" s="27">
        <f t="shared" si="4"/>
        <v>600.9269129700001</v>
      </c>
      <c r="CI5" s="27">
        <v>93.133868989999996</v>
      </c>
      <c r="CJ5" s="27">
        <v>91.99745562999999</v>
      </c>
      <c r="CK5" s="27">
        <v>96.296595900000014</v>
      </c>
      <c r="CL5" s="27">
        <v>97.26952344999998</v>
      </c>
      <c r="CM5" s="27">
        <f t="shared" si="5"/>
        <v>378.69744396999999</v>
      </c>
      <c r="CN5" s="27">
        <v>76.314195179999984</v>
      </c>
      <c r="CO5" s="27">
        <v>96.201268209999995</v>
      </c>
      <c r="CP5" s="27">
        <v>104.73785906999998</v>
      </c>
      <c r="CQ5" s="27">
        <f>379.738-SUM(CN5:CP5)</f>
        <v>102.48467754000006</v>
      </c>
      <c r="CR5" s="27">
        <f t="shared" si="6"/>
        <v>379.738</v>
      </c>
      <c r="CS5" s="27">
        <v>84.850891770000004</v>
      </c>
      <c r="CT5" s="27">
        <v>90.71515952</v>
      </c>
      <c r="CU5" s="27">
        <v>105.70118148</v>
      </c>
      <c r="CV5" s="27">
        <v>105.92648451999999</v>
      </c>
      <c r="CW5" s="27">
        <f t="shared" si="7"/>
        <v>387.19371729</v>
      </c>
      <c r="CX5" s="27">
        <v>104.273</v>
      </c>
      <c r="CY5" s="27">
        <v>89.91</v>
      </c>
      <c r="CZ5" s="27">
        <v>114.587</v>
      </c>
      <c r="DA5" s="27">
        <v>94.25</v>
      </c>
      <c r="DB5" s="27">
        <f t="shared" si="8"/>
        <v>403.02</v>
      </c>
      <c r="DC5" s="27">
        <v>114.486</v>
      </c>
      <c r="DD5" s="27">
        <v>119.67100000000001</v>
      </c>
      <c r="DE5" s="27">
        <v>132.54900000000001</v>
      </c>
      <c r="DF5" s="27">
        <v>109.286</v>
      </c>
      <c r="DG5" s="27">
        <f t="shared" si="9"/>
        <v>475.99200000000002</v>
      </c>
      <c r="DH5" s="27">
        <v>101.614</v>
      </c>
      <c r="DI5" s="27">
        <v>86.832999999999998</v>
      </c>
      <c r="DJ5" s="27">
        <v>95.245999999999995</v>
      </c>
      <c r="DK5" s="27">
        <v>57.546999999999997</v>
      </c>
      <c r="DL5" s="27">
        <f t="shared" si="10"/>
        <v>341.24</v>
      </c>
      <c r="DM5" s="27">
        <v>76.734999999999999</v>
      </c>
      <c r="DN5" s="27">
        <v>78.986000000000004</v>
      </c>
      <c r="DO5" s="27">
        <v>90.754000000000005</v>
      </c>
      <c r="DP5" s="27">
        <v>67.076999999999998</v>
      </c>
      <c r="DQ5" s="27">
        <f t="shared" si="11"/>
        <v>313.55200000000002</v>
      </c>
      <c r="DR5" s="27">
        <v>102.86799999999999</v>
      </c>
      <c r="DS5" s="27">
        <v>121.821</v>
      </c>
      <c r="DT5" s="27">
        <v>149.56299999999999</v>
      </c>
      <c r="DU5" s="27">
        <v>141.53200000000001</v>
      </c>
      <c r="DV5" s="27">
        <f t="shared" si="12"/>
        <v>515.78399999999999</v>
      </c>
      <c r="DW5" s="27">
        <v>140.178</v>
      </c>
      <c r="DX5" s="27">
        <v>175.89099999999999</v>
      </c>
      <c r="DY5" s="27">
        <v>175.21277452999996</v>
      </c>
      <c r="DZ5" s="27">
        <v>169.54663338</v>
      </c>
      <c r="EA5" s="27">
        <f t="shared" si="13"/>
        <v>660.8284079099999</v>
      </c>
      <c r="EB5" s="27">
        <v>139.47078705000001</v>
      </c>
      <c r="EC5" s="27">
        <v>185.35392812000001</v>
      </c>
      <c r="ED5" s="27">
        <v>177.898</v>
      </c>
      <c r="EE5" s="27">
        <v>193.06992110999997</v>
      </c>
      <c r="EF5" s="27">
        <f t="shared" si="14"/>
        <v>695.79263628000001</v>
      </c>
      <c r="EG5" s="27">
        <v>148.64945090000001</v>
      </c>
      <c r="EH5" s="27">
        <v>188.67379874999997</v>
      </c>
      <c r="EI5" s="27">
        <v>213.16666408000003</v>
      </c>
    </row>
    <row r="6" spans="1:139" ht="15" thickBot="1" x14ac:dyDescent="0.35">
      <c r="A6" s="2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28">
        <v>16.943067030000002</v>
      </c>
      <c r="BK6" s="28">
        <v>17.235570430000003</v>
      </c>
      <c r="BL6" s="28">
        <v>16.623794570000001</v>
      </c>
      <c r="BM6" s="28">
        <v>28.887371229999996</v>
      </c>
      <c r="BN6" s="28">
        <f t="shared" si="0"/>
        <v>79.689803260000005</v>
      </c>
      <c r="BO6" s="28">
        <v>26.342531620000003</v>
      </c>
      <c r="BP6" s="28">
        <v>27.353626119999998</v>
      </c>
      <c r="BQ6" s="28">
        <v>25.052156929999999</v>
      </c>
      <c r="BR6" s="28">
        <v>30.500647479999994</v>
      </c>
      <c r="BS6" s="28">
        <f t="shared" si="1"/>
        <v>109.24896215</v>
      </c>
      <c r="BT6" s="28">
        <v>44.393246169999998</v>
      </c>
      <c r="BU6" s="28">
        <v>25.121476289999997</v>
      </c>
      <c r="BV6" s="28">
        <v>34.365719119999994</v>
      </c>
      <c r="BW6" s="28">
        <v>54.203872780000012</v>
      </c>
      <c r="BX6" s="28">
        <f t="shared" si="2"/>
        <v>158.08431436000001</v>
      </c>
      <c r="BY6" s="28">
        <v>34.742998159999999</v>
      </c>
      <c r="BZ6" s="28">
        <v>45.15017452</v>
      </c>
      <c r="CA6" s="28">
        <v>36.587336979999989</v>
      </c>
      <c r="CB6" s="28">
        <v>33.837949540000004</v>
      </c>
      <c r="CC6" s="28">
        <f t="shared" si="3"/>
        <v>150.31845919999998</v>
      </c>
      <c r="CD6" s="28">
        <v>32.24001784</v>
      </c>
      <c r="CE6" s="28">
        <v>40.657423629999997</v>
      </c>
      <c r="CF6" s="28">
        <v>36.122474309999994</v>
      </c>
      <c r="CG6" s="28">
        <v>50.539710100000015</v>
      </c>
      <c r="CH6" s="28">
        <f t="shared" si="4"/>
        <v>159.55962588</v>
      </c>
      <c r="CI6" s="28">
        <v>34.393011680000001</v>
      </c>
      <c r="CJ6" s="28">
        <v>38.703175259999995</v>
      </c>
      <c r="CK6" s="28">
        <v>46.015359119999985</v>
      </c>
      <c r="CL6" s="28">
        <v>49.451348180000011</v>
      </c>
      <c r="CM6" s="28">
        <f t="shared" si="5"/>
        <v>168.56289423999999</v>
      </c>
      <c r="CN6" s="28">
        <v>34.780861970000004</v>
      </c>
      <c r="CO6" s="28">
        <v>42.521882090000005</v>
      </c>
      <c r="CP6" s="28">
        <v>47.141892150000011</v>
      </c>
      <c r="CQ6" s="28">
        <f>168.128-SUM(CN6:CP6)</f>
        <v>43.683363789999959</v>
      </c>
      <c r="CR6" s="28">
        <f t="shared" si="6"/>
        <v>168.12799999999999</v>
      </c>
      <c r="CS6" s="28">
        <v>43.513765159999998</v>
      </c>
      <c r="CT6" s="28">
        <v>42.054166260000002</v>
      </c>
      <c r="CU6" s="28">
        <v>54.818931739999989</v>
      </c>
      <c r="CV6" s="28">
        <v>77.615508599999984</v>
      </c>
      <c r="CW6" s="28">
        <f t="shared" si="7"/>
        <v>218.00237175999996</v>
      </c>
      <c r="CX6" s="28">
        <v>56.442999999999998</v>
      </c>
      <c r="CY6" s="28">
        <v>59.887999999999998</v>
      </c>
      <c r="CZ6" s="28">
        <v>61.161999999999999</v>
      </c>
      <c r="DA6" s="28">
        <v>101.78400000000001</v>
      </c>
      <c r="DB6" s="28">
        <f t="shared" si="8"/>
        <v>279.27699999999999</v>
      </c>
      <c r="DC6" s="28">
        <v>45.372</v>
      </c>
      <c r="DD6" s="28">
        <v>45.793999999999997</v>
      </c>
      <c r="DE6" s="28">
        <v>51.683999999999997</v>
      </c>
      <c r="DF6" s="28">
        <v>79.715000000000003</v>
      </c>
      <c r="DG6" s="28">
        <f t="shared" si="9"/>
        <v>222.565</v>
      </c>
      <c r="DH6" s="28">
        <v>44.637999999999998</v>
      </c>
      <c r="DI6" s="28">
        <v>45.015999999999998</v>
      </c>
      <c r="DJ6" s="28">
        <v>47.341999999999999</v>
      </c>
      <c r="DK6" s="28">
        <v>67.212000000000003</v>
      </c>
      <c r="DL6" s="28">
        <f t="shared" si="10"/>
        <v>204.20799999999997</v>
      </c>
      <c r="DM6" s="28">
        <v>59.881</v>
      </c>
      <c r="DN6" s="28">
        <v>67.739999999999995</v>
      </c>
      <c r="DO6" s="28">
        <v>76.653999999999996</v>
      </c>
      <c r="DP6" s="28">
        <v>34.718000000000004</v>
      </c>
      <c r="DQ6" s="28">
        <f t="shared" si="11"/>
        <v>238.99299999999999</v>
      </c>
      <c r="DR6" s="28">
        <v>1.143</v>
      </c>
      <c r="DS6" s="28">
        <v>0.22800000000000001</v>
      </c>
      <c r="DT6" s="28">
        <v>0.33100000000000002</v>
      </c>
      <c r="DU6" s="28">
        <f>-SUM(DR6:DT6)</f>
        <v>-1.702</v>
      </c>
      <c r="DV6" s="28">
        <f t="shared" si="12"/>
        <v>0</v>
      </c>
      <c r="DW6" s="28">
        <v>0</v>
      </c>
      <c r="DX6" s="28">
        <v>0</v>
      </c>
      <c r="DY6" s="28">
        <v>0</v>
      </c>
      <c r="DZ6" s="28">
        <v>0</v>
      </c>
      <c r="EA6" s="28">
        <f t="shared" si="13"/>
        <v>0</v>
      </c>
      <c r="EB6" s="28">
        <v>0</v>
      </c>
      <c r="EC6" s="28">
        <v>0</v>
      </c>
      <c r="ED6" s="28">
        <v>0</v>
      </c>
      <c r="EE6" s="28">
        <v>-3.4425100000000002E-3</v>
      </c>
      <c r="EF6" s="28">
        <f t="shared" si="14"/>
        <v>-3.4425100000000002E-3</v>
      </c>
      <c r="EG6" s="28">
        <v>0</v>
      </c>
      <c r="EH6" s="28">
        <v>0</v>
      </c>
      <c r="EI6" s="28">
        <v>0</v>
      </c>
    </row>
    <row r="7" spans="1:139" ht="15" thickTop="1" x14ac:dyDescent="0.3">
      <c r="A7" s="1" t="s">
        <v>443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27">
        <v>55.12671970000001</v>
      </c>
      <c r="BK7" s="27">
        <v>39.752512859999996</v>
      </c>
      <c r="BL7" s="27">
        <v>28.654707090000006</v>
      </c>
      <c r="BM7" s="27">
        <v>29.407590319999997</v>
      </c>
      <c r="BN7" s="27">
        <f t="shared" si="0"/>
        <v>152.94152997</v>
      </c>
      <c r="BO7" s="27">
        <v>30.338571200000001</v>
      </c>
      <c r="BP7" s="27">
        <v>38.308967920000001</v>
      </c>
      <c r="BQ7" s="27">
        <v>28.835062519999997</v>
      </c>
      <c r="BR7" s="27">
        <v>38.925067630000001</v>
      </c>
      <c r="BS7" s="27">
        <f t="shared" si="1"/>
        <v>136.40766926999999</v>
      </c>
      <c r="BT7" s="27">
        <v>30.226932900000005</v>
      </c>
      <c r="BU7" s="27">
        <v>51.876144890000013</v>
      </c>
      <c r="BV7" s="27">
        <v>54.297306819999989</v>
      </c>
      <c r="BW7" s="27">
        <v>51.898285380000011</v>
      </c>
      <c r="BX7" s="27">
        <f t="shared" si="2"/>
        <v>188.29866999000001</v>
      </c>
      <c r="BY7" s="27">
        <v>42.802679259999998</v>
      </c>
      <c r="BZ7" s="27">
        <v>62.264427430000005</v>
      </c>
      <c r="CA7" s="27">
        <v>73.620190480000005</v>
      </c>
      <c r="CB7" s="27">
        <v>73.251666879999974</v>
      </c>
      <c r="CC7" s="27">
        <f t="shared" si="3"/>
        <v>251.93896404999998</v>
      </c>
      <c r="CD7" s="27">
        <v>49.984681850000001</v>
      </c>
      <c r="CE7" s="27">
        <v>63.718466889999995</v>
      </c>
      <c r="CF7" s="27">
        <v>61.221805660000015</v>
      </c>
      <c r="CG7" s="27">
        <v>62.854265910000002</v>
      </c>
      <c r="CH7" s="27">
        <f t="shared" si="4"/>
        <v>237.77922031</v>
      </c>
      <c r="CI7" s="27">
        <v>84.942211999999998</v>
      </c>
      <c r="CJ7" s="27">
        <v>73.850147870000001</v>
      </c>
      <c r="CK7" s="27">
        <v>56.231134060000009</v>
      </c>
      <c r="CL7" s="27">
        <v>54.661417870000015</v>
      </c>
      <c r="CM7" s="27">
        <f t="shared" si="5"/>
        <v>269.68491180000001</v>
      </c>
      <c r="CN7" s="27">
        <v>38.750891600000003</v>
      </c>
      <c r="CO7" s="27">
        <v>47.696920119999994</v>
      </c>
      <c r="CP7" s="27">
        <v>81.678368269999993</v>
      </c>
      <c r="CQ7" s="27">
        <f>214.594-SUM(CN7:CP7)</f>
        <v>46.467820009999997</v>
      </c>
      <c r="CR7" s="27">
        <f t="shared" si="6"/>
        <v>214.59399999999999</v>
      </c>
      <c r="CS7" s="27">
        <v>54.123724609999996</v>
      </c>
      <c r="CT7" s="27">
        <v>86.685790499999996</v>
      </c>
      <c r="CU7" s="27">
        <v>92.862378480000004</v>
      </c>
      <c r="CV7" s="27">
        <v>85.877514079999997</v>
      </c>
      <c r="CW7" s="27">
        <f t="shared" si="7"/>
        <v>319.54940767000005</v>
      </c>
      <c r="CX7" s="27">
        <v>60.74</v>
      </c>
      <c r="CY7" s="27">
        <v>41.665999999999997</v>
      </c>
      <c r="CZ7" s="27">
        <v>36.643999999999998</v>
      </c>
      <c r="DA7" s="27">
        <v>36.994999999999997</v>
      </c>
      <c r="DB7" s="27">
        <f t="shared" si="8"/>
        <v>176.04500000000002</v>
      </c>
      <c r="DC7" s="27">
        <v>52.304000000000002</v>
      </c>
      <c r="DD7" s="27">
        <v>59.665999999999997</v>
      </c>
      <c r="DE7" s="27">
        <v>51.606999999999999</v>
      </c>
      <c r="DF7" s="27">
        <v>32.448</v>
      </c>
      <c r="DG7" s="27">
        <f t="shared" si="9"/>
        <v>196.02500000000001</v>
      </c>
      <c r="DH7" s="27">
        <v>35.180999999999997</v>
      </c>
      <c r="DI7" s="27">
        <v>35.448999999999998</v>
      </c>
      <c r="DJ7" s="27">
        <v>35.51</v>
      </c>
      <c r="DK7" s="27">
        <v>51.308</v>
      </c>
      <c r="DL7" s="27">
        <f t="shared" si="10"/>
        <v>157.44799999999998</v>
      </c>
      <c r="DM7" s="27">
        <v>43.191000000000003</v>
      </c>
      <c r="DN7" s="27">
        <v>57.286999999999999</v>
      </c>
      <c r="DO7" s="27">
        <v>61.151000000000003</v>
      </c>
      <c r="DP7" s="27">
        <v>31.16</v>
      </c>
      <c r="DQ7" s="27">
        <f t="shared" si="11"/>
        <v>192.78900000000002</v>
      </c>
      <c r="DR7" s="27">
        <v>41.084000000000003</v>
      </c>
      <c r="DS7" s="27">
        <v>46.814</v>
      </c>
      <c r="DT7" s="27">
        <v>66.075999999999993</v>
      </c>
      <c r="DU7" s="27">
        <v>82.772999999999996</v>
      </c>
      <c r="DV7" s="27">
        <f t="shared" si="12"/>
        <v>236.74699999999999</v>
      </c>
      <c r="DW7" s="27">
        <v>45.567999999999998</v>
      </c>
      <c r="DX7" s="27">
        <v>57.267000000000003</v>
      </c>
      <c r="DY7" s="27">
        <v>63.353011889999998</v>
      </c>
      <c r="DZ7" s="27">
        <v>54.163658789999992</v>
      </c>
      <c r="EA7" s="27">
        <f t="shared" si="13"/>
        <v>220.35167068000001</v>
      </c>
      <c r="EB7" s="27">
        <v>69.978072670000003</v>
      </c>
      <c r="EC7" s="27">
        <v>71.68104738000001</v>
      </c>
      <c r="ED7" s="27">
        <v>91.826999999999998</v>
      </c>
      <c r="EE7" s="27">
        <v>106.87890538999999</v>
      </c>
      <c r="EF7" s="27">
        <f t="shared" si="14"/>
        <v>340.36502544000001</v>
      </c>
      <c r="EG7" s="27">
        <v>87.656796010000008</v>
      </c>
      <c r="EH7" s="27">
        <v>106.08924767999999</v>
      </c>
      <c r="EI7" s="27">
        <v>78.282997690000002</v>
      </c>
    </row>
    <row r="8" spans="1:139" ht="15" thickBot="1" x14ac:dyDescent="0.35">
      <c r="A8" s="2" t="s">
        <v>481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28">
        <v>0</v>
      </c>
      <c r="BK8" s="28">
        <v>0</v>
      </c>
      <c r="BL8" s="28">
        <v>0</v>
      </c>
      <c r="BM8" s="28">
        <v>0</v>
      </c>
      <c r="BN8" s="28">
        <f t="shared" si="0"/>
        <v>0</v>
      </c>
      <c r="BO8" s="28">
        <v>0</v>
      </c>
      <c r="BP8" s="28">
        <v>0</v>
      </c>
      <c r="BQ8" s="28">
        <v>0</v>
      </c>
      <c r="BR8" s="28">
        <v>0</v>
      </c>
      <c r="BS8" s="28">
        <f t="shared" si="1"/>
        <v>0</v>
      </c>
      <c r="BT8" s="28">
        <v>0</v>
      </c>
      <c r="BU8" s="28">
        <v>0</v>
      </c>
      <c r="BV8" s="28">
        <v>0.68712497999999977</v>
      </c>
      <c r="BW8" s="28">
        <v>0.68725763000000029</v>
      </c>
      <c r="BX8" s="28">
        <f t="shared" si="2"/>
        <v>1.3743826100000001</v>
      </c>
      <c r="BY8" s="28">
        <v>1.2531621399999997</v>
      </c>
      <c r="BZ8" s="28">
        <v>4.46014336</v>
      </c>
      <c r="CA8" s="28">
        <v>9.2385326999999986</v>
      </c>
      <c r="CB8" s="28">
        <v>25.83226531</v>
      </c>
      <c r="CC8" s="28">
        <f t="shared" si="3"/>
        <v>40.784103509999994</v>
      </c>
      <c r="CD8" s="28">
        <v>42.86265384</v>
      </c>
      <c r="CE8" s="28">
        <v>144.60011275000002</v>
      </c>
      <c r="CF8" s="28">
        <v>36.640082129999961</v>
      </c>
      <c r="CG8" s="28">
        <v>37.436630049999998</v>
      </c>
      <c r="CH8" s="28">
        <f t="shared" si="4"/>
        <v>261.53947877000002</v>
      </c>
      <c r="CI8" s="28">
        <v>36.675861449999999</v>
      </c>
      <c r="CJ8" s="28">
        <v>57.850327380000003</v>
      </c>
      <c r="CK8" s="28">
        <v>61.753844070000014</v>
      </c>
      <c r="CL8" s="28">
        <v>51.885253380000002</v>
      </c>
      <c r="CM8" s="28">
        <f t="shared" si="5"/>
        <v>208.16528628</v>
      </c>
      <c r="CN8" s="28">
        <v>38.571252889999997</v>
      </c>
      <c r="CO8" s="28">
        <v>43.7631047</v>
      </c>
      <c r="CP8" s="28">
        <v>57.438097129999996</v>
      </c>
      <c r="CQ8" s="28">
        <f>200.166-SUM(CN8:CP8)</f>
        <v>60.393545280000012</v>
      </c>
      <c r="CR8" s="28">
        <f t="shared" si="6"/>
        <v>200.166</v>
      </c>
      <c r="CS8" s="28">
        <v>45.424390109999997</v>
      </c>
      <c r="CT8" s="28">
        <v>54.039779289999998</v>
      </c>
      <c r="CU8" s="28">
        <v>53.24179955000001</v>
      </c>
      <c r="CV8" s="28">
        <v>51.19159433999998</v>
      </c>
      <c r="CW8" s="28">
        <f t="shared" si="7"/>
        <v>203.89756328999999</v>
      </c>
      <c r="CX8" s="28">
        <v>75.512</v>
      </c>
      <c r="CY8" s="28">
        <v>83.652000000000001</v>
      </c>
      <c r="CZ8" s="28">
        <v>73.926000000000002</v>
      </c>
      <c r="DA8" s="28">
        <v>78.358999999999995</v>
      </c>
      <c r="DB8" s="28">
        <f t="shared" si="8"/>
        <v>311.44899999999996</v>
      </c>
      <c r="DC8" s="28">
        <v>83.132000000000005</v>
      </c>
      <c r="DD8" s="28">
        <v>91.156999999999996</v>
      </c>
      <c r="DE8" s="28">
        <v>107.812</v>
      </c>
      <c r="DF8" s="28">
        <v>120.669</v>
      </c>
      <c r="DG8" s="28">
        <f t="shared" si="9"/>
        <v>402.77</v>
      </c>
      <c r="DH8" s="28">
        <v>86.858999999999995</v>
      </c>
      <c r="DI8" s="28">
        <v>70.941000000000003</v>
      </c>
      <c r="DJ8" s="28">
        <v>70.198999999999998</v>
      </c>
      <c r="DK8" s="28">
        <v>82.924000000000007</v>
      </c>
      <c r="DL8" s="28">
        <f t="shared" si="10"/>
        <v>310.923</v>
      </c>
      <c r="DM8" s="28">
        <v>84.156000000000006</v>
      </c>
      <c r="DN8" s="28">
        <v>109.497</v>
      </c>
      <c r="DO8" s="28">
        <v>127.79600000000001</v>
      </c>
      <c r="DP8" s="28">
        <v>115.879</v>
      </c>
      <c r="DQ8" s="28">
        <f t="shared" si="11"/>
        <v>437.32800000000003</v>
      </c>
      <c r="DR8" s="28">
        <v>114.172</v>
      </c>
      <c r="DS8" s="28">
        <v>130.78</v>
      </c>
      <c r="DT8" s="28">
        <v>142.38999999999999</v>
      </c>
      <c r="DU8" s="28">
        <v>96.191999999999993</v>
      </c>
      <c r="DV8" s="28">
        <f t="shared" si="12"/>
        <v>483.53399999999999</v>
      </c>
      <c r="DW8" s="28">
        <v>104.89400000000001</v>
      </c>
      <c r="DX8" s="28">
        <v>115.233</v>
      </c>
      <c r="DY8" s="28">
        <v>112.82792083999998</v>
      </c>
      <c r="DZ8" s="28">
        <v>105.94792711000001</v>
      </c>
      <c r="EA8" s="28">
        <f t="shared" si="13"/>
        <v>438.90284795000002</v>
      </c>
      <c r="EB8" s="28">
        <v>109.69164620000001</v>
      </c>
      <c r="EC8" s="28">
        <v>140.28554932999998</v>
      </c>
      <c r="ED8" s="28">
        <v>114.90900000000001</v>
      </c>
      <c r="EE8" s="28">
        <v>131.78897888999998</v>
      </c>
      <c r="EF8" s="28">
        <f t="shared" si="14"/>
        <v>496.67517441999996</v>
      </c>
      <c r="EG8" s="28">
        <v>110.9219063</v>
      </c>
      <c r="EH8" s="28">
        <v>108.04531410000001</v>
      </c>
      <c r="EI8" s="28">
        <v>123.45031320000002</v>
      </c>
    </row>
    <row r="9" spans="1:139" ht="15" thickTop="1" x14ac:dyDescent="0.3">
      <c r="A9" s="1" t="s">
        <v>445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27">
        <v>0</v>
      </c>
      <c r="BK9" s="27">
        <v>0</v>
      </c>
      <c r="BL9" s="27">
        <v>0</v>
      </c>
      <c r="BM9" s="27">
        <v>0</v>
      </c>
      <c r="BN9" s="27">
        <f t="shared" si="0"/>
        <v>0</v>
      </c>
      <c r="BO9" s="27">
        <v>0</v>
      </c>
      <c r="BP9" s="27">
        <v>0</v>
      </c>
      <c r="BQ9" s="27">
        <v>0</v>
      </c>
      <c r="BR9" s="27">
        <v>0</v>
      </c>
      <c r="BS9" s="27">
        <f t="shared" si="1"/>
        <v>0</v>
      </c>
      <c r="BT9" s="27">
        <v>0</v>
      </c>
      <c r="BU9" s="27">
        <v>0</v>
      </c>
      <c r="BV9" s="27">
        <v>0</v>
      </c>
      <c r="BW9" s="27">
        <v>0</v>
      </c>
      <c r="BX9" s="27">
        <f t="shared" si="2"/>
        <v>0</v>
      </c>
      <c r="BY9" s="27">
        <v>0</v>
      </c>
      <c r="BZ9" s="27">
        <v>0</v>
      </c>
      <c r="CA9" s="27">
        <v>0</v>
      </c>
      <c r="CB9" s="27">
        <v>0</v>
      </c>
      <c r="CC9" s="27">
        <f t="shared" si="3"/>
        <v>0</v>
      </c>
      <c r="CD9" s="27">
        <v>0</v>
      </c>
      <c r="CE9" s="27">
        <v>0</v>
      </c>
      <c r="CF9" s="27">
        <v>0</v>
      </c>
      <c r="CG9" s="27">
        <v>0</v>
      </c>
      <c r="CH9" s="27">
        <f t="shared" si="4"/>
        <v>0</v>
      </c>
      <c r="CI9" s="27">
        <v>0</v>
      </c>
      <c r="CJ9" s="27">
        <v>2.4601935200000002</v>
      </c>
      <c r="CK9" s="27">
        <v>8.68933234</v>
      </c>
      <c r="CL9" s="27">
        <v>17.220175999999999</v>
      </c>
      <c r="CM9" s="27">
        <f t="shared" si="5"/>
        <v>28.369701859999999</v>
      </c>
      <c r="CN9" s="27">
        <v>16.412698169999999</v>
      </c>
      <c r="CO9" s="27">
        <v>22.094388049999999</v>
      </c>
      <c r="CP9" s="27">
        <v>24.1242454</v>
      </c>
      <c r="CQ9" s="27">
        <f>96.713-SUM(CN9:CP9)</f>
        <v>34.081668379999996</v>
      </c>
      <c r="CR9" s="27">
        <f t="shared" si="6"/>
        <v>96.712999999999994</v>
      </c>
      <c r="CS9" s="27">
        <v>33.636089349999999</v>
      </c>
      <c r="CT9" s="27">
        <f>75.693-CS9</f>
        <v>42.056910649999999</v>
      </c>
      <c r="CU9" s="27">
        <v>33.508272789999985</v>
      </c>
      <c r="CV9" s="27">
        <v>33.150032060000022</v>
      </c>
      <c r="CW9" s="27">
        <f t="shared" si="7"/>
        <v>142.35130485000002</v>
      </c>
      <c r="CX9" s="27">
        <v>12.368</v>
      </c>
      <c r="CY9" s="27">
        <v>15.768000000000001</v>
      </c>
      <c r="CZ9" s="27">
        <v>31.417999999999999</v>
      </c>
      <c r="DA9" s="27">
        <v>48.145000000000003</v>
      </c>
      <c r="DB9" s="27">
        <f t="shared" si="8"/>
        <v>107.69900000000001</v>
      </c>
      <c r="DC9" s="27">
        <v>59.844000000000001</v>
      </c>
      <c r="DD9" s="27">
        <v>85.744</v>
      </c>
      <c r="DE9" s="27">
        <v>81.805000000000007</v>
      </c>
      <c r="DF9" s="27">
        <v>86.320999999999998</v>
      </c>
      <c r="DG9" s="27">
        <f t="shared" si="9"/>
        <v>313.714</v>
      </c>
      <c r="DH9" s="27">
        <v>59.747</v>
      </c>
      <c r="DI9" s="27">
        <v>39.917000000000002</v>
      </c>
      <c r="DJ9" s="27">
        <v>44.296999999999997</v>
      </c>
      <c r="DK9" s="27">
        <v>44.939</v>
      </c>
      <c r="DL9" s="27">
        <f t="shared" si="10"/>
        <v>188.9</v>
      </c>
      <c r="DM9" s="27">
        <v>29.353999999999999</v>
      </c>
      <c r="DN9" s="27">
        <v>22.088999999999999</v>
      </c>
      <c r="DO9" s="27">
        <v>19.238</v>
      </c>
      <c r="DP9" s="27">
        <v>12.433999999999999</v>
      </c>
      <c r="DQ9" s="27">
        <f t="shared" si="11"/>
        <v>83.114999999999995</v>
      </c>
      <c r="DR9" s="27">
        <v>27.623999999999999</v>
      </c>
      <c r="DS9" s="27">
        <v>21.347999999999999</v>
      </c>
      <c r="DT9" s="27">
        <v>19.016999999999999</v>
      </c>
      <c r="DU9" s="27">
        <v>9.7149999999999999</v>
      </c>
      <c r="DV9" s="27">
        <f t="shared" si="12"/>
        <v>77.703999999999994</v>
      </c>
      <c r="DW9" s="27">
        <v>19.041</v>
      </c>
      <c r="DX9" s="27">
        <v>20.811</v>
      </c>
      <c r="DY9" s="27">
        <v>29.825521640000002</v>
      </c>
      <c r="DZ9" s="27">
        <v>23.929123539999992</v>
      </c>
      <c r="EA9" s="27">
        <f t="shared" si="13"/>
        <v>93.606645180000001</v>
      </c>
      <c r="EB9" s="27">
        <v>32.7601722</v>
      </c>
      <c r="EC9" s="27">
        <v>39.010756389999997</v>
      </c>
      <c r="ED9" s="27">
        <v>35.155999999999999</v>
      </c>
      <c r="EE9" s="27">
        <v>34.436395529999999</v>
      </c>
      <c r="EF9" s="27">
        <f t="shared" si="14"/>
        <v>141.36332411999999</v>
      </c>
      <c r="EG9" s="27">
        <v>28.725927089999999</v>
      </c>
      <c r="EH9" s="27">
        <v>40.54371561</v>
      </c>
      <c r="EI9" s="27">
        <v>30.615348219999998</v>
      </c>
    </row>
    <row r="10" spans="1:139" ht="15" thickBot="1" x14ac:dyDescent="0.35">
      <c r="A10" s="2" t="s">
        <v>444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28">
        <v>0</v>
      </c>
      <c r="BK10" s="28">
        <v>0</v>
      </c>
      <c r="BL10" s="28">
        <v>0</v>
      </c>
      <c r="BM10" s="28">
        <v>0</v>
      </c>
      <c r="BN10" s="28">
        <f t="shared" si="0"/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f t="shared" si="1"/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f t="shared" si="2"/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f t="shared" si="3"/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f t="shared" si="4"/>
        <v>0</v>
      </c>
      <c r="CI10" s="28">
        <v>0</v>
      </c>
      <c r="CJ10" s="28">
        <v>0</v>
      </c>
      <c r="CK10" s="28">
        <v>0</v>
      </c>
      <c r="CL10" s="28">
        <v>0</v>
      </c>
      <c r="CM10" s="28">
        <f t="shared" si="5"/>
        <v>0</v>
      </c>
      <c r="CN10" s="28">
        <v>0</v>
      </c>
      <c r="CO10" s="28">
        <v>0</v>
      </c>
      <c r="CP10" s="28">
        <v>0</v>
      </c>
      <c r="CQ10" s="28">
        <v>0</v>
      </c>
      <c r="CR10" s="28">
        <f t="shared" si="6"/>
        <v>0</v>
      </c>
      <c r="CS10" s="28">
        <v>0</v>
      </c>
      <c r="CT10" s="28">
        <v>0</v>
      </c>
      <c r="CU10" s="28">
        <v>0</v>
      </c>
      <c r="CV10" s="28">
        <v>0</v>
      </c>
      <c r="CW10" s="28">
        <f t="shared" si="7"/>
        <v>0</v>
      </c>
      <c r="CX10" s="28">
        <v>0</v>
      </c>
      <c r="CY10" s="28">
        <v>0</v>
      </c>
      <c r="CZ10" s="28">
        <v>0</v>
      </c>
      <c r="DA10" s="28">
        <v>0</v>
      </c>
      <c r="DB10" s="28">
        <f t="shared" si="8"/>
        <v>0</v>
      </c>
      <c r="DC10" s="28">
        <v>0</v>
      </c>
      <c r="DD10" s="28">
        <v>61.932000000000002</v>
      </c>
      <c r="DE10" s="28">
        <v>21.088999999999999</v>
      </c>
      <c r="DF10" s="28">
        <v>80.635999999999996</v>
      </c>
      <c r="DG10" s="28">
        <f t="shared" si="9"/>
        <v>163.65699999999998</v>
      </c>
      <c r="DH10" s="28">
        <v>81.486000000000004</v>
      </c>
      <c r="DI10" s="28">
        <v>67.141000000000005</v>
      </c>
      <c r="DJ10" s="28">
        <v>70.843000000000004</v>
      </c>
      <c r="DK10" s="28">
        <v>82.864000000000004</v>
      </c>
      <c r="DL10" s="28">
        <f t="shared" si="10"/>
        <v>302.33400000000006</v>
      </c>
      <c r="DM10" s="28">
        <v>62.098999999999997</v>
      </c>
      <c r="DN10" s="28">
        <v>97.876999999999995</v>
      </c>
      <c r="DO10" s="28">
        <v>109.78700000000001</v>
      </c>
      <c r="DP10" s="28">
        <v>99.191000000000003</v>
      </c>
      <c r="DQ10" s="28">
        <f t="shared" si="11"/>
        <v>368.95400000000006</v>
      </c>
      <c r="DR10" s="28">
        <v>71.234999999999999</v>
      </c>
      <c r="DS10" s="28">
        <v>67.614999999999995</v>
      </c>
      <c r="DT10" s="28">
        <v>110.373</v>
      </c>
      <c r="DU10" s="28">
        <v>135.209</v>
      </c>
      <c r="DV10" s="28">
        <f t="shared" si="12"/>
        <v>384.43200000000002</v>
      </c>
      <c r="DW10" s="28">
        <v>69.147999999999996</v>
      </c>
      <c r="DX10" s="28">
        <v>93.706000000000003</v>
      </c>
      <c r="DY10" s="28">
        <v>117.89429976000002</v>
      </c>
      <c r="DZ10" s="28">
        <v>115.91423096999996</v>
      </c>
      <c r="EA10" s="28">
        <f t="shared" si="13"/>
        <v>396.66253072999996</v>
      </c>
      <c r="EB10" s="28">
        <v>104.79926107999999</v>
      </c>
      <c r="EC10" s="28">
        <v>127.55865527</v>
      </c>
      <c r="ED10" s="28">
        <v>118.33799999999999</v>
      </c>
      <c r="EE10" s="28">
        <v>116.53244241999995</v>
      </c>
      <c r="EF10" s="28">
        <f t="shared" si="14"/>
        <v>467.22835876999989</v>
      </c>
      <c r="EG10" s="28">
        <v>89.228817359999994</v>
      </c>
      <c r="EH10" s="28">
        <v>87.00730261999999</v>
      </c>
      <c r="EI10" s="28">
        <v>106.06769795000002</v>
      </c>
    </row>
    <row r="11" spans="1:139" ht="15" thickTop="1" x14ac:dyDescent="0.3">
      <c r="A11" s="1" t="s">
        <v>456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27">
        <v>0</v>
      </c>
      <c r="BK11" s="27">
        <v>0</v>
      </c>
      <c r="BL11" s="27">
        <v>0</v>
      </c>
      <c r="BM11" s="27">
        <v>0</v>
      </c>
      <c r="BN11" s="27">
        <f t="shared" si="0"/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f t="shared" si="1"/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f t="shared" si="2"/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f t="shared" si="3"/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f t="shared" si="4"/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f t="shared" si="5"/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f t="shared" si="6"/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f t="shared" si="7"/>
        <v>0</v>
      </c>
      <c r="CX11" s="27">
        <v>0</v>
      </c>
      <c r="CY11" s="27">
        <v>0.45500000000000002</v>
      </c>
      <c r="CZ11" s="27">
        <v>4.4429999999999996</v>
      </c>
      <c r="DA11" s="27">
        <v>55.314</v>
      </c>
      <c r="DB11" s="27">
        <f t="shared" si="8"/>
        <v>60.212000000000003</v>
      </c>
      <c r="DC11" s="27">
        <v>77.745000000000005</v>
      </c>
      <c r="DD11" s="27">
        <v>37.088000000000001</v>
      </c>
      <c r="DE11" s="27">
        <v>21.460999999999999</v>
      </c>
      <c r="DF11" s="27">
        <v>32.357999999999997</v>
      </c>
      <c r="DG11" s="27">
        <f t="shared" si="9"/>
        <v>168.65199999999999</v>
      </c>
      <c r="DH11" s="27">
        <v>26.606999999999999</v>
      </c>
      <c r="DI11" s="27">
        <v>33.195</v>
      </c>
      <c r="DJ11" s="27">
        <v>38.902999999999999</v>
      </c>
      <c r="DK11" s="27">
        <v>24.552</v>
      </c>
      <c r="DL11" s="27">
        <f t="shared" si="10"/>
        <v>123.25700000000001</v>
      </c>
      <c r="DM11" s="27">
        <v>25.643000000000001</v>
      </c>
      <c r="DN11" s="27">
        <v>41.296999999999997</v>
      </c>
      <c r="DO11" s="27">
        <v>66.23</v>
      </c>
      <c r="DP11" s="27">
        <v>133.786</v>
      </c>
      <c r="DQ11" s="27">
        <f t="shared" si="11"/>
        <v>266.95600000000002</v>
      </c>
      <c r="DR11" s="27">
        <v>101.65</v>
      </c>
      <c r="DS11" s="27">
        <v>112.235</v>
      </c>
      <c r="DT11" s="27">
        <v>149.84</v>
      </c>
      <c r="DU11" s="27">
        <v>171.798</v>
      </c>
      <c r="DV11" s="27">
        <f t="shared" si="12"/>
        <v>535.52300000000002</v>
      </c>
      <c r="DW11" s="27">
        <v>99.631</v>
      </c>
      <c r="DX11" s="27">
        <v>178.91200000000001</v>
      </c>
      <c r="DY11" s="27">
        <v>296.65791143000001</v>
      </c>
      <c r="DZ11" s="27">
        <v>297.68721672000004</v>
      </c>
      <c r="EA11" s="27">
        <f t="shared" si="13"/>
        <v>872.88812815000006</v>
      </c>
      <c r="EB11" s="27">
        <v>136.99594240000002</v>
      </c>
      <c r="EC11" s="27">
        <v>189.39808558000001</v>
      </c>
      <c r="ED11" s="27">
        <v>240.00399999999999</v>
      </c>
      <c r="EE11" s="27">
        <v>284.60167805999993</v>
      </c>
      <c r="EF11" s="27">
        <f t="shared" si="14"/>
        <v>850.99970603999998</v>
      </c>
      <c r="EG11" s="27">
        <v>132.10433817000001</v>
      </c>
      <c r="EH11" s="27">
        <v>155.37970995999999</v>
      </c>
      <c r="EI11" s="27">
        <v>181.92661635000002</v>
      </c>
    </row>
    <row r="12" spans="1:139" ht="15" thickBot="1" x14ac:dyDescent="0.35">
      <c r="A12" s="2" t="s">
        <v>446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28">
        <v>0</v>
      </c>
      <c r="BK12" s="28">
        <v>0</v>
      </c>
      <c r="BL12" s="28">
        <v>0</v>
      </c>
      <c r="BM12" s="28">
        <v>0</v>
      </c>
      <c r="BN12" s="28">
        <f t="shared" si="0"/>
        <v>0</v>
      </c>
      <c r="BO12" s="28">
        <v>0</v>
      </c>
      <c r="BP12" s="28">
        <v>0</v>
      </c>
      <c r="BQ12" s="28">
        <v>0</v>
      </c>
      <c r="BR12" s="28">
        <v>0</v>
      </c>
      <c r="BS12" s="28">
        <f t="shared" si="1"/>
        <v>0</v>
      </c>
      <c r="BT12" s="28">
        <v>0</v>
      </c>
      <c r="BU12" s="28">
        <v>0</v>
      </c>
      <c r="BV12" s="28">
        <v>0</v>
      </c>
      <c r="BW12" s="28">
        <v>0</v>
      </c>
      <c r="BX12" s="28">
        <f t="shared" si="2"/>
        <v>0</v>
      </c>
      <c r="BY12" s="28">
        <v>0</v>
      </c>
      <c r="BZ12" s="28">
        <v>0</v>
      </c>
      <c r="CA12" s="28">
        <v>0</v>
      </c>
      <c r="CB12" s="28">
        <v>0</v>
      </c>
      <c r="CC12" s="28">
        <f t="shared" si="3"/>
        <v>0</v>
      </c>
      <c r="CD12" s="28">
        <v>0</v>
      </c>
      <c r="CE12" s="28">
        <v>0</v>
      </c>
      <c r="CF12" s="28">
        <v>0</v>
      </c>
      <c r="CG12" s="28">
        <v>0</v>
      </c>
      <c r="CH12" s="28">
        <f t="shared" si="4"/>
        <v>0</v>
      </c>
      <c r="CI12" s="28">
        <v>0</v>
      </c>
      <c r="CJ12" s="28">
        <v>0</v>
      </c>
      <c r="CK12" s="28">
        <v>0</v>
      </c>
      <c r="CL12" s="28">
        <v>0</v>
      </c>
      <c r="CM12" s="28">
        <f t="shared" si="5"/>
        <v>0</v>
      </c>
      <c r="CN12" s="28">
        <v>0</v>
      </c>
      <c r="CO12" s="28">
        <v>0</v>
      </c>
      <c r="CP12" s="28">
        <v>0</v>
      </c>
      <c r="CQ12" s="28">
        <v>0</v>
      </c>
      <c r="CR12" s="28">
        <f t="shared" si="6"/>
        <v>0</v>
      </c>
      <c r="CS12" s="28">
        <v>0</v>
      </c>
      <c r="CT12" s="28">
        <v>0</v>
      </c>
      <c r="CU12" s="28">
        <v>0</v>
      </c>
      <c r="CV12" s="28">
        <v>0</v>
      </c>
      <c r="CW12" s="28">
        <f t="shared" si="7"/>
        <v>0</v>
      </c>
      <c r="CX12" s="28">
        <v>0</v>
      </c>
      <c r="CY12" s="28">
        <v>0</v>
      </c>
      <c r="CZ12" s="28">
        <v>0</v>
      </c>
      <c r="DA12" s="28">
        <v>0</v>
      </c>
      <c r="DB12" s="28">
        <f t="shared" si="8"/>
        <v>0</v>
      </c>
      <c r="DC12" s="28">
        <v>0</v>
      </c>
      <c r="DD12" s="28">
        <v>0</v>
      </c>
      <c r="DE12" s="28">
        <v>0</v>
      </c>
      <c r="DF12" s="28">
        <v>1.4999999999999999E-2</v>
      </c>
      <c r="DG12" s="28">
        <f t="shared" si="9"/>
        <v>1.4999999999999999E-2</v>
      </c>
      <c r="DH12" s="28">
        <v>1.5880000000000001</v>
      </c>
      <c r="DI12" s="28">
        <v>100.16200000000001</v>
      </c>
      <c r="DJ12" s="28">
        <v>112.91800000000001</v>
      </c>
      <c r="DK12" s="28">
        <v>59.917999999999999</v>
      </c>
      <c r="DL12" s="28">
        <f t="shared" si="10"/>
        <v>274.58600000000001</v>
      </c>
      <c r="DM12" s="28">
        <v>43.061</v>
      </c>
      <c r="DN12" s="28">
        <v>42.109000000000002</v>
      </c>
      <c r="DO12" s="28">
        <v>51.496000000000002</v>
      </c>
      <c r="DP12" s="28">
        <v>110.325</v>
      </c>
      <c r="DQ12" s="28">
        <f t="shared" si="11"/>
        <v>246.99099999999999</v>
      </c>
      <c r="DR12" s="28">
        <v>100.04900000000001</v>
      </c>
      <c r="DS12" s="28">
        <v>85.736000000000004</v>
      </c>
      <c r="DT12" s="28">
        <v>116.51</v>
      </c>
      <c r="DU12" s="28">
        <v>131.13200000000001</v>
      </c>
      <c r="DV12" s="28">
        <f t="shared" si="12"/>
        <v>433.42700000000002</v>
      </c>
      <c r="DW12" s="28">
        <v>86.247</v>
      </c>
      <c r="DX12" s="28">
        <v>54.356999999999999</v>
      </c>
      <c r="DY12" s="28">
        <v>58.295134289999993</v>
      </c>
      <c r="DZ12" s="28">
        <v>118.16979118</v>
      </c>
      <c r="EA12" s="28">
        <f t="shared" si="13"/>
        <v>317.06892546999995</v>
      </c>
      <c r="EB12" s="28">
        <v>107.74818605</v>
      </c>
      <c r="EC12" s="28">
        <v>105.84987716000001</v>
      </c>
      <c r="ED12" s="28">
        <v>112.276</v>
      </c>
      <c r="EE12" s="28">
        <v>106.10417081</v>
      </c>
      <c r="EF12" s="28">
        <f t="shared" si="14"/>
        <v>431.97823402000006</v>
      </c>
      <c r="EG12" s="28">
        <v>109.85088706000001</v>
      </c>
      <c r="EH12" s="28">
        <v>98.83404659</v>
      </c>
      <c r="EI12" s="28">
        <v>78.262580320000026</v>
      </c>
    </row>
    <row r="13" spans="1:139" ht="15" thickTop="1" x14ac:dyDescent="0.3">
      <c r="A13" s="1" t="s">
        <v>447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7">
        <v>0</v>
      </c>
      <c r="BK13" s="27">
        <v>0</v>
      </c>
      <c r="BL13" s="27">
        <v>0</v>
      </c>
      <c r="BM13" s="27">
        <v>0</v>
      </c>
      <c r="BN13" s="27">
        <f t="shared" si="0"/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f t="shared" si="1"/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f t="shared" si="2"/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f t="shared" si="3"/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f t="shared" si="4"/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f t="shared" si="5"/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f t="shared" si="6"/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f t="shared" si="7"/>
        <v>0</v>
      </c>
      <c r="CX13" s="27">
        <v>0</v>
      </c>
      <c r="CY13" s="27">
        <v>0</v>
      </c>
      <c r="CZ13" s="27">
        <v>0</v>
      </c>
      <c r="DA13" s="27">
        <v>0</v>
      </c>
      <c r="DB13" s="27">
        <f t="shared" si="8"/>
        <v>0</v>
      </c>
      <c r="DC13" s="27">
        <v>0</v>
      </c>
      <c r="DD13" s="27">
        <v>0</v>
      </c>
      <c r="DE13" s="27">
        <v>0</v>
      </c>
      <c r="DF13" s="27">
        <v>0</v>
      </c>
      <c r="DG13" s="27">
        <f t="shared" si="9"/>
        <v>0</v>
      </c>
      <c r="DH13" s="27">
        <v>0</v>
      </c>
      <c r="DI13" s="27">
        <v>0</v>
      </c>
      <c r="DJ13" s="27">
        <v>0</v>
      </c>
      <c r="DK13" s="27">
        <v>0</v>
      </c>
      <c r="DL13" s="27">
        <f t="shared" si="10"/>
        <v>0</v>
      </c>
      <c r="DM13" s="27">
        <v>0</v>
      </c>
      <c r="DN13" s="27">
        <v>0</v>
      </c>
      <c r="DO13" s="27">
        <v>0.27700000000000002</v>
      </c>
      <c r="DP13" s="27">
        <v>24.59</v>
      </c>
      <c r="DQ13" s="27">
        <f t="shared" si="11"/>
        <v>24.867000000000001</v>
      </c>
      <c r="DR13" s="27">
        <v>69.581999999999994</v>
      </c>
      <c r="DS13" s="27">
        <v>274.06299999999999</v>
      </c>
      <c r="DT13" s="27">
        <v>320.53800000000001</v>
      </c>
      <c r="DU13" s="27">
        <v>191.249</v>
      </c>
      <c r="DV13" s="27">
        <f t="shared" si="12"/>
        <v>855.43200000000002</v>
      </c>
      <c r="DW13" s="27">
        <v>106.908</v>
      </c>
      <c r="DX13" s="27">
        <v>133.75700000000001</v>
      </c>
      <c r="DY13" s="27">
        <v>161.96673973</v>
      </c>
      <c r="DZ13" s="27">
        <v>172.40781584999996</v>
      </c>
      <c r="EA13" s="27">
        <f t="shared" si="13"/>
        <v>575.03955558000007</v>
      </c>
      <c r="EB13" s="27">
        <v>97.827052090000009</v>
      </c>
      <c r="EC13" s="27">
        <v>125.14694284999999</v>
      </c>
      <c r="ED13" s="27">
        <v>179.91800000000001</v>
      </c>
      <c r="EE13" s="27">
        <v>215.49841635999996</v>
      </c>
      <c r="EF13" s="27">
        <f t="shared" si="14"/>
        <v>618.39041129999998</v>
      </c>
      <c r="EG13" s="27">
        <v>79.157129299999994</v>
      </c>
      <c r="EH13" s="27">
        <v>90.46715248000001</v>
      </c>
      <c r="EI13" s="27">
        <v>122.24092672</v>
      </c>
    </row>
    <row r="14" spans="1:139" ht="15" thickBot="1" x14ac:dyDescent="0.35">
      <c r="A14" s="2" t="s">
        <v>448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28">
        <v>0</v>
      </c>
      <c r="BK14" s="28">
        <v>0</v>
      </c>
      <c r="BL14" s="28">
        <v>0</v>
      </c>
      <c r="BM14" s="28">
        <v>0</v>
      </c>
      <c r="BN14" s="28">
        <f t="shared" si="0"/>
        <v>0</v>
      </c>
      <c r="BO14" s="28">
        <v>0</v>
      </c>
      <c r="BP14" s="28">
        <v>0</v>
      </c>
      <c r="BQ14" s="28">
        <v>0</v>
      </c>
      <c r="BR14" s="28">
        <v>0</v>
      </c>
      <c r="BS14" s="28">
        <f t="shared" si="1"/>
        <v>0</v>
      </c>
      <c r="BT14" s="28">
        <v>0</v>
      </c>
      <c r="BU14" s="28">
        <v>0</v>
      </c>
      <c r="BV14" s="28">
        <v>0</v>
      </c>
      <c r="BW14" s="28">
        <v>0</v>
      </c>
      <c r="BX14" s="28">
        <f t="shared" si="2"/>
        <v>0</v>
      </c>
      <c r="BY14" s="28">
        <v>0</v>
      </c>
      <c r="BZ14" s="28">
        <v>0</v>
      </c>
      <c r="CA14" s="28">
        <v>0</v>
      </c>
      <c r="CB14" s="28">
        <v>0</v>
      </c>
      <c r="CC14" s="28">
        <f t="shared" si="3"/>
        <v>0</v>
      </c>
      <c r="CD14" s="28">
        <v>0</v>
      </c>
      <c r="CE14" s="28">
        <v>0</v>
      </c>
      <c r="CF14" s="28">
        <v>0</v>
      </c>
      <c r="CG14" s="28">
        <v>0</v>
      </c>
      <c r="CH14" s="28">
        <f t="shared" si="4"/>
        <v>0</v>
      </c>
      <c r="CI14" s="28">
        <v>0</v>
      </c>
      <c r="CJ14" s="28">
        <v>0</v>
      </c>
      <c r="CK14" s="28">
        <v>0</v>
      </c>
      <c r="CL14" s="28">
        <v>0</v>
      </c>
      <c r="CM14" s="28">
        <f t="shared" si="5"/>
        <v>0</v>
      </c>
      <c r="CN14" s="28">
        <v>0</v>
      </c>
      <c r="CO14" s="28">
        <v>0</v>
      </c>
      <c r="CP14" s="28">
        <v>0</v>
      </c>
      <c r="CQ14" s="28">
        <v>0</v>
      </c>
      <c r="CR14" s="28">
        <f t="shared" si="6"/>
        <v>0</v>
      </c>
      <c r="CS14" s="28">
        <v>0</v>
      </c>
      <c r="CT14" s="28">
        <v>0</v>
      </c>
      <c r="CU14" s="28">
        <v>0</v>
      </c>
      <c r="CV14" s="28">
        <v>0</v>
      </c>
      <c r="CW14" s="28">
        <f t="shared" si="7"/>
        <v>0</v>
      </c>
      <c r="CX14" s="28">
        <v>0</v>
      </c>
      <c r="CY14" s="28">
        <v>0</v>
      </c>
      <c r="CZ14" s="28">
        <v>0</v>
      </c>
      <c r="DA14" s="28">
        <v>0</v>
      </c>
      <c r="DB14" s="28">
        <f t="shared" si="8"/>
        <v>0</v>
      </c>
      <c r="DC14" s="28">
        <v>0</v>
      </c>
      <c r="DD14" s="28">
        <v>0</v>
      </c>
      <c r="DE14" s="28">
        <v>0</v>
      </c>
      <c r="DF14" s="28">
        <v>0</v>
      </c>
      <c r="DG14" s="28">
        <f t="shared" si="9"/>
        <v>0</v>
      </c>
      <c r="DH14" s="28">
        <v>0</v>
      </c>
      <c r="DI14" s="28">
        <v>0</v>
      </c>
      <c r="DJ14" s="28"/>
      <c r="DK14" s="28">
        <v>0</v>
      </c>
      <c r="DL14" s="28">
        <f t="shared" si="10"/>
        <v>0</v>
      </c>
      <c r="DM14" s="28">
        <v>0</v>
      </c>
      <c r="DN14" s="28">
        <v>0</v>
      </c>
      <c r="DO14" s="28">
        <v>0</v>
      </c>
      <c r="DP14" s="28">
        <v>0</v>
      </c>
      <c r="DQ14" s="28">
        <f t="shared" si="11"/>
        <v>0</v>
      </c>
      <c r="DR14" s="28">
        <v>0</v>
      </c>
      <c r="DS14" s="28">
        <v>0</v>
      </c>
      <c r="DT14" s="28">
        <v>2.032</v>
      </c>
      <c r="DU14" s="28">
        <v>90.801000000000002</v>
      </c>
      <c r="DV14" s="28">
        <f t="shared" si="12"/>
        <v>92.832999999999998</v>
      </c>
      <c r="DW14" s="28">
        <v>139.495</v>
      </c>
      <c r="DX14" s="28">
        <v>246.738</v>
      </c>
      <c r="DY14" s="28">
        <v>422.87481937000001</v>
      </c>
      <c r="DZ14" s="28">
        <v>355.73464258000007</v>
      </c>
      <c r="EA14" s="28">
        <f t="shared" si="13"/>
        <v>1164.8424619500001</v>
      </c>
      <c r="EB14" s="28">
        <v>151.98930675999998</v>
      </c>
      <c r="EC14" s="28">
        <v>187.38597307999999</v>
      </c>
      <c r="ED14" s="28">
        <v>186.95</v>
      </c>
      <c r="EE14" s="28">
        <v>254.67952413999993</v>
      </c>
      <c r="EF14" s="28">
        <f t="shared" si="14"/>
        <v>781.00480397999979</v>
      </c>
      <c r="EG14" s="28">
        <v>241.83841143999999</v>
      </c>
      <c r="EH14" s="28">
        <v>359.38284365000004</v>
      </c>
      <c r="EI14" s="28">
        <v>408.64950428999998</v>
      </c>
    </row>
    <row r="15" spans="1:139" ht="15" thickTop="1" x14ac:dyDescent="0.3">
      <c r="A15" s="1" t="s">
        <v>449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0</v>
      </c>
      <c r="CZ15" s="27">
        <v>0</v>
      </c>
      <c r="DA15" s="27">
        <v>0</v>
      </c>
      <c r="DB15" s="27">
        <v>0</v>
      </c>
      <c r="DC15" s="27">
        <v>0</v>
      </c>
      <c r="DD15" s="27">
        <v>0</v>
      </c>
      <c r="DE15" s="27">
        <v>0</v>
      </c>
      <c r="DF15" s="27">
        <v>0</v>
      </c>
      <c r="DG15" s="27">
        <v>0</v>
      </c>
      <c r="DH15" s="27">
        <v>0</v>
      </c>
      <c r="DI15" s="27">
        <v>0</v>
      </c>
      <c r="DJ15" s="27">
        <v>0</v>
      </c>
      <c r="DK15" s="27">
        <v>0</v>
      </c>
      <c r="DL15" s="27">
        <v>0</v>
      </c>
      <c r="DM15" s="27">
        <v>0</v>
      </c>
      <c r="DN15" s="27">
        <v>0</v>
      </c>
      <c r="DO15" s="27">
        <v>0</v>
      </c>
      <c r="DP15" s="27">
        <v>0</v>
      </c>
      <c r="DQ15" s="27">
        <v>0</v>
      </c>
      <c r="DR15" s="27">
        <v>0</v>
      </c>
      <c r="DS15" s="27">
        <v>0</v>
      </c>
      <c r="DT15" s="27">
        <v>0</v>
      </c>
      <c r="DU15" s="27">
        <v>0</v>
      </c>
      <c r="DV15" s="27">
        <v>0</v>
      </c>
      <c r="DW15" s="27">
        <v>0</v>
      </c>
      <c r="DX15" s="27">
        <v>35.936999999999998</v>
      </c>
      <c r="DY15" s="27">
        <v>103.11842849999999</v>
      </c>
      <c r="DZ15" s="27">
        <v>137.08771228000003</v>
      </c>
      <c r="EA15" s="27">
        <f t="shared" si="13"/>
        <v>276.14314078000007</v>
      </c>
      <c r="EB15" s="27">
        <v>127.95757745</v>
      </c>
      <c r="EC15" s="27">
        <v>164.87329642</v>
      </c>
      <c r="ED15" s="27">
        <v>111.842</v>
      </c>
      <c r="EE15" s="27">
        <v>152.32797495999992</v>
      </c>
      <c r="EF15" s="27">
        <f t="shared" si="14"/>
        <v>557.00084882999988</v>
      </c>
      <c r="EG15" s="27">
        <v>220.77485561</v>
      </c>
      <c r="EH15" s="27">
        <v>200.50811878999997</v>
      </c>
      <c r="EI15" s="27">
        <v>232.12636093000006</v>
      </c>
    </row>
    <row r="16" spans="1:139" ht="15" thickBot="1" x14ac:dyDescent="0.35">
      <c r="A16" s="2" t="s">
        <v>460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>
        <v>9.6681000000000007E-3</v>
      </c>
      <c r="EH16" s="28">
        <v>36.171066619999998</v>
      </c>
      <c r="EI16" s="28">
        <v>53.812261650000003</v>
      </c>
    </row>
    <row r="17" spans="1:139" ht="15" thickTop="1" x14ac:dyDescent="0.3">
      <c r="A17" s="1" t="s">
        <v>304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27">
        <v>0</v>
      </c>
      <c r="BK17" s="27">
        <v>0</v>
      </c>
      <c r="BL17" s="27">
        <v>0</v>
      </c>
      <c r="BM17" s="27">
        <v>0</v>
      </c>
      <c r="BN17" s="27">
        <f t="shared" ref="BN17:BN25" si="15">SUM(BJ17:BM17)</f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f t="shared" ref="BS17:BS25" si="16">SUM(BO17:BR17)</f>
        <v>0</v>
      </c>
      <c r="BT17" s="27">
        <v>0</v>
      </c>
      <c r="BU17" s="27">
        <v>35.666871160000014</v>
      </c>
      <c r="BV17" s="27">
        <v>97.112085070000006</v>
      </c>
      <c r="BW17" s="27">
        <v>58.890214364999999</v>
      </c>
      <c r="BX17" s="27">
        <f t="shared" ref="BX17:BX25" si="17">SUM(BT17:BW17)</f>
        <v>191.669170595</v>
      </c>
      <c r="BY17" s="27">
        <v>55.192623780000005</v>
      </c>
      <c r="BZ17" s="27">
        <v>59.630986809999996</v>
      </c>
      <c r="CA17" s="27">
        <v>70.982251799999986</v>
      </c>
      <c r="CB17" s="27">
        <v>95.689362280000026</v>
      </c>
      <c r="CC17" s="27">
        <f t="shared" ref="CC17:CC25" si="18">SUM(BY17:CB17)</f>
        <v>281.49522467000003</v>
      </c>
      <c r="CD17" s="27">
        <v>49.39068206999999</v>
      </c>
      <c r="CE17" s="27">
        <v>59.948019379999991</v>
      </c>
      <c r="CF17" s="27">
        <v>56.473346080000013</v>
      </c>
      <c r="CG17" s="27">
        <v>55.151029439999988</v>
      </c>
      <c r="CH17" s="27">
        <f t="shared" ref="CH17:CH25" si="19">SUM(CD17:CG17)</f>
        <v>220.96307696999997</v>
      </c>
      <c r="CI17" s="27">
        <v>50.551036869999997</v>
      </c>
      <c r="CJ17" s="27">
        <v>54.8174092</v>
      </c>
      <c r="CK17" s="27">
        <v>47.139497160000012</v>
      </c>
      <c r="CL17" s="27">
        <v>35.351141699999992</v>
      </c>
      <c r="CM17" s="27">
        <f t="shared" ref="CM17:CM25" si="20">SUM(CI17:CL17)</f>
        <v>187.85908493000002</v>
      </c>
      <c r="CN17" s="27">
        <v>29.108761339999997</v>
      </c>
      <c r="CO17" s="27">
        <v>32.102618729999996</v>
      </c>
      <c r="CP17" s="27">
        <v>32.661862890000002</v>
      </c>
      <c r="CQ17" s="27">
        <f>247.782-SUM(CN17:CP17)</f>
        <v>153.90875704000001</v>
      </c>
      <c r="CR17" s="27">
        <f t="shared" ref="CR17:CR25" si="21">SUM(CN17:CQ17)</f>
        <v>247.78200000000001</v>
      </c>
      <c r="CS17" s="27">
        <f>64.189-36.926</f>
        <v>27.262999999999991</v>
      </c>
      <c r="CT17" s="27">
        <f>121.133-68.841-CS17</f>
        <v>25.029000000000011</v>
      </c>
      <c r="CU17" s="27">
        <f>175.149-99.151-SUM(CS17:CT17)</f>
        <v>23.706000000000003</v>
      </c>
      <c r="CV17" s="27">
        <f>238.666-134.345-SUM(CS17:CU17)</f>
        <v>28.322999999999993</v>
      </c>
      <c r="CW17" s="27">
        <f t="shared" ref="CW17:CW25" si="22">SUM(CS17:CV17)</f>
        <v>104.321</v>
      </c>
      <c r="CX17" s="27">
        <v>25.423999999999999</v>
      </c>
      <c r="CY17" s="27">
        <v>29.675000000000001</v>
      </c>
      <c r="CZ17" s="27">
        <v>27.561</v>
      </c>
      <c r="DA17" s="27">
        <v>31.077000000000002</v>
      </c>
      <c r="DB17" s="27">
        <f t="shared" ref="DB17:DB25" si="23">SUM(CX17:DA17)</f>
        <v>113.73699999999999</v>
      </c>
      <c r="DC17" s="27">
        <v>32.213000000000001</v>
      </c>
      <c r="DD17" s="27">
        <v>39.969000000000001</v>
      </c>
      <c r="DE17" s="27">
        <v>34.957999999999998</v>
      </c>
      <c r="DF17" s="27">
        <v>34.14</v>
      </c>
      <c r="DG17" s="27">
        <f t="shared" ref="DG17:DG25" si="24">SUM(DC17:DF17)</f>
        <v>141.28</v>
      </c>
      <c r="DH17" s="27">
        <v>30.478999999999999</v>
      </c>
      <c r="DI17" s="27">
        <v>29.562000000000001</v>
      </c>
      <c r="DJ17" s="27">
        <v>31.567</v>
      </c>
      <c r="DK17" s="27">
        <v>32.494</v>
      </c>
      <c r="DL17" s="27">
        <f t="shared" ref="DL17:DL25" si="25">SUM(DH17:DK17)</f>
        <v>124.102</v>
      </c>
      <c r="DM17" s="27">
        <v>38.667999999999999</v>
      </c>
      <c r="DN17" s="27">
        <v>44.003</v>
      </c>
      <c r="DO17" s="27">
        <v>49.457999999999998</v>
      </c>
      <c r="DP17" s="27">
        <v>51.594999999999999</v>
      </c>
      <c r="DQ17" s="27">
        <f t="shared" ref="DQ17:DQ25" si="26">SUM(DM17:DP17)</f>
        <v>183.72399999999999</v>
      </c>
      <c r="DR17" s="27">
        <v>50.23</v>
      </c>
      <c r="DS17" s="27">
        <v>58.734000000000002</v>
      </c>
      <c r="DT17" s="27">
        <v>69.114999999999995</v>
      </c>
      <c r="DU17" s="27">
        <v>72.534999999999997</v>
      </c>
      <c r="DV17" s="27">
        <f t="shared" ref="DV17:DV25" si="27">SUM(DR17:DU17)</f>
        <v>250.614</v>
      </c>
      <c r="DW17" s="27">
        <v>72.673000000000002</v>
      </c>
      <c r="DX17" s="27">
        <v>70.426000000000002</v>
      </c>
      <c r="DY17" s="27">
        <f>(53210917.67+15406710.08)/1000000</f>
        <v>68.617627749999997</v>
      </c>
      <c r="DZ17" s="27">
        <v>59.246736890000008</v>
      </c>
      <c r="EA17" s="27">
        <f t="shared" ref="EA17:EA25" si="28">SUM(DW17:DZ17)</f>
        <v>270.96336464000001</v>
      </c>
      <c r="EB17" s="27">
        <f>(41925800.16+10833735.19)/1000000</f>
        <v>52.759535349999993</v>
      </c>
      <c r="EC17" s="27">
        <v>58.633627070000003</v>
      </c>
      <c r="ED17" s="27">
        <v>48.125</v>
      </c>
      <c r="EE17" s="27">
        <v>66.939600730000024</v>
      </c>
      <c r="EF17" s="27">
        <f t="shared" ref="EF17:EF25" si="29">SUM(EB17:EE17)</f>
        <v>226.45776315000003</v>
      </c>
      <c r="EG17" s="27">
        <v>59.829799649999998</v>
      </c>
      <c r="EH17" s="27">
        <v>58.66994557999999</v>
      </c>
      <c r="EI17" s="27">
        <v>64.138001869999997</v>
      </c>
    </row>
    <row r="18" spans="1:139" ht="15" thickBot="1" x14ac:dyDescent="0.35">
      <c r="A18" s="2" t="s">
        <v>305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28">
        <v>0</v>
      </c>
      <c r="BK18" s="28">
        <v>0</v>
      </c>
      <c r="BL18" s="28">
        <v>0</v>
      </c>
      <c r="BM18" s="28">
        <v>0</v>
      </c>
      <c r="BN18" s="28">
        <f t="shared" si="15"/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f t="shared" si="16"/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f t="shared" si="17"/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f t="shared" si="18"/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f t="shared" si="19"/>
        <v>0</v>
      </c>
      <c r="CI18" s="28"/>
      <c r="CJ18" s="28"/>
      <c r="CK18" s="28"/>
      <c r="CL18" s="28"/>
      <c r="CM18" s="28">
        <f t="shared" si="20"/>
        <v>0</v>
      </c>
      <c r="CN18" s="28"/>
      <c r="CO18" s="28"/>
      <c r="CP18" s="28"/>
      <c r="CQ18" s="28"/>
      <c r="CR18" s="28">
        <f t="shared" si="21"/>
        <v>0</v>
      </c>
      <c r="CS18" s="28"/>
      <c r="CT18" s="28"/>
      <c r="CU18" s="28"/>
      <c r="CV18" s="28"/>
      <c r="CW18" s="28">
        <f t="shared" si="22"/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f t="shared" si="23"/>
        <v>0</v>
      </c>
      <c r="DC18" s="28">
        <v>6.1379999999999999</v>
      </c>
      <c r="DD18" s="28">
        <v>4.9850000000000003</v>
      </c>
      <c r="DE18" s="28">
        <v>4.2969999999999997</v>
      </c>
      <c r="DF18" s="28">
        <v>4.008</v>
      </c>
      <c r="DG18" s="28">
        <f t="shared" si="24"/>
        <v>19.428000000000001</v>
      </c>
      <c r="DH18" s="28">
        <v>4.0049999999999999</v>
      </c>
      <c r="DI18" s="28">
        <v>4.5650000000000004</v>
      </c>
      <c r="DJ18" s="28">
        <v>4.601</v>
      </c>
      <c r="DK18" s="28">
        <v>4.5880000000000001</v>
      </c>
      <c r="DL18" s="28">
        <f t="shared" si="25"/>
        <v>17.759</v>
      </c>
      <c r="DM18" s="28">
        <v>4.6660000000000004</v>
      </c>
      <c r="DN18" s="28">
        <v>5.242</v>
      </c>
      <c r="DO18" s="28">
        <v>4.819</v>
      </c>
      <c r="DP18" s="28">
        <v>4.0549999999999997</v>
      </c>
      <c r="DQ18" s="28">
        <f t="shared" si="26"/>
        <v>18.782</v>
      </c>
      <c r="DR18" s="28">
        <v>4.6390000000000002</v>
      </c>
      <c r="DS18" s="28">
        <v>5.3479999999999999</v>
      </c>
      <c r="DT18" s="28">
        <v>5.3940000000000001</v>
      </c>
      <c r="DU18" s="28">
        <v>4.306</v>
      </c>
      <c r="DV18" s="28">
        <f t="shared" si="27"/>
        <v>19.687000000000001</v>
      </c>
      <c r="DW18" s="28">
        <v>4.3559999999999999</v>
      </c>
      <c r="DX18" s="28">
        <v>5.3010000000000002</v>
      </c>
      <c r="DY18" s="28">
        <v>5.4218053699999995</v>
      </c>
      <c r="DZ18" s="28">
        <v>5.4716613800000005</v>
      </c>
      <c r="EA18" s="28">
        <f t="shared" si="28"/>
        <v>20.550466749999998</v>
      </c>
      <c r="EB18" s="28">
        <v>5.20345806</v>
      </c>
      <c r="EC18" s="28">
        <v>5.8753667900000002</v>
      </c>
      <c r="ED18" s="28">
        <v>5.6580000000000004</v>
      </c>
      <c r="EE18" s="28">
        <v>29.383399950000005</v>
      </c>
      <c r="EF18" s="28">
        <f t="shared" si="29"/>
        <v>46.120224800000003</v>
      </c>
      <c r="EG18" s="28">
        <v>5.8323844299999994</v>
      </c>
      <c r="EH18" s="28">
        <v>6.6163571500000007</v>
      </c>
      <c r="EI18" s="28">
        <v>6.5824861500000003</v>
      </c>
    </row>
    <row r="19" spans="1:139" ht="15" thickTop="1" x14ac:dyDescent="0.3">
      <c r="A19" s="1" t="s">
        <v>306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27">
        <v>16.084267449999999</v>
      </c>
      <c r="BK19" s="27">
        <v>16.454971360000002</v>
      </c>
      <c r="BL19" s="27">
        <v>17.509979239999996</v>
      </c>
      <c r="BM19" s="27">
        <v>15.899522489999995</v>
      </c>
      <c r="BN19" s="27">
        <f t="shared" si="15"/>
        <v>65.948740539999989</v>
      </c>
      <c r="BO19" s="27">
        <v>12.29412063</v>
      </c>
      <c r="BP19" s="27">
        <v>13.036745430000002</v>
      </c>
      <c r="BQ19" s="27">
        <v>12.70346975</v>
      </c>
      <c r="BR19" s="27">
        <v>14.469289800000006</v>
      </c>
      <c r="BS19" s="27">
        <f t="shared" si="16"/>
        <v>52.503625610000007</v>
      </c>
      <c r="BT19" s="27">
        <v>14.69928599</v>
      </c>
      <c r="BU19" s="27">
        <v>14.440107400000002</v>
      </c>
      <c r="BV19" s="27">
        <v>16.396364260000002</v>
      </c>
      <c r="BW19" s="27">
        <v>18.475349350000005</v>
      </c>
      <c r="BX19" s="27">
        <f t="shared" si="17"/>
        <v>64.01110700000001</v>
      </c>
      <c r="BY19" s="27">
        <v>17.354971839999997</v>
      </c>
      <c r="BZ19" s="27">
        <v>19.024860010000005</v>
      </c>
      <c r="CA19" s="27">
        <v>19.814058169999996</v>
      </c>
      <c r="CB19" s="27">
        <v>28.512411269999998</v>
      </c>
      <c r="CC19" s="27">
        <f t="shared" si="18"/>
        <v>84.706301289999999</v>
      </c>
      <c r="CD19" s="27">
        <v>22.563351500000003</v>
      </c>
      <c r="CE19" s="27">
        <v>31.60875425</v>
      </c>
      <c r="CF19" s="27">
        <v>34.097303350000004</v>
      </c>
      <c r="CG19" s="27">
        <v>39.564149870000001</v>
      </c>
      <c r="CH19" s="27">
        <f t="shared" si="19"/>
        <v>127.83355897000001</v>
      </c>
      <c r="CI19" s="27">
        <v>30.824231120000004</v>
      </c>
      <c r="CJ19" s="27">
        <v>23.110193750000004</v>
      </c>
      <c r="CK19" s="27">
        <v>26.180065049999996</v>
      </c>
      <c r="CL19" s="27">
        <v>27.606547370000008</v>
      </c>
      <c r="CM19" s="27">
        <f t="shared" si="20"/>
        <v>107.72103729000003</v>
      </c>
      <c r="CN19" s="27">
        <v>23.136071309999998</v>
      </c>
      <c r="CO19" s="27">
        <v>23.442157820000006</v>
      </c>
      <c r="CP19" s="27">
        <v>21.863936670000001</v>
      </c>
      <c r="CQ19" s="27">
        <f>91.764-SUM(CN19:CP19)</f>
        <v>23.321834199999998</v>
      </c>
      <c r="CR19" s="27">
        <f t="shared" si="21"/>
        <v>91.763999999999996</v>
      </c>
      <c r="CS19" s="27">
        <v>22.559439059999999</v>
      </c>
      <c r="CT19" s="27">
        <v>23.349348659999997</v>
      </c>
      <c r="CU19" s="27">
        <v>22.104529450000005</v>
      </c>
      <c r="CV19" s="27">
        <v>19.745888059999988</v>
      </c>
      <c r="CW19" s="27">
        <f t="shared" si="22"/>
        <v>87.759205229999978</v>
      </c>
      <c r="CX19" s="27">
        <v>21.734000000000002</v>
      </c>
      <c r="CY19" s="27">
        <v>24.11</v>
      </c>
      <c r="CZ19" s="27">
        <v>26.163</v>
      </c>
      <c r="DA19" s="27">
        <v>29.564</v>
      </c>
      <c r="DB19" s="27">
        <f t="shared" si="23"/>
        <v>101.571</v>
      </c>
      <c r="DC19" s="27">
        <v>27.93</v>
      </c>
      <c r="DD19" s="27">
        <v>23.561</v>
      </c>
      <c r="DE19" s="27">
        <v>29.268999999999998</v>
      </c>
      <c r="DF19" s="27">
        <v>33.938000000000002</v>
      </c>
      <c r="DG19" s="27">
        <f t="shared" si="24"/>
        <v>114.69799999999999</v>
      </c>
      <c r="DH19" s="27">
        <v>34.131</v>
      </c>
      <c r="DI19" s="27">
        <v>32.15</v>
      </c>
      <c r="DJ19" s="27">
        <v>38.15</v>
      </c>
      <c r="DK19" s="27">
        <v>36.219000000000001</v>
      </c>
      <c r="DL19" s="27">
        <f t="shared" si="25"/>
        <v>140.65</v>
      </c>
      <c r="DM19" s="27">
        <v>37.722999999999999</v>
      </c>
      <c r="DN19" s="27">
        <v>40.917000000000002</v>
      </c>
      <c r="DO19" s="27">
        <v>41.707999999999998</v>
      </c>
      <c r="DP19" s="27">
        <v>43.863</v>
      </c>
      <c r="DQ19" s="27">
        <f t="shared" si="26"/>
        <v>164.21100000000001</v>
      </c>
      <c r="DR19" s="27">
        <v>52.439</v>
      </c>
      <c r="DS19" s="27">
        <v>48.603000000000002</v>
      </c>
      <c r="DT19" s="27">
        <v>44.918999999999997</v>
      </c>
      <c r="DU19" s="27">
        <v>58.86</v>
      </c>
      <c r="DV19" s="27">
        <f t="shared" si="27"/>
        <v>204.82100000000003</v>
      </c>
      <c r="DW19" s="27">
        <v>52.517000000000003</v>
      </c>
      <c r="DX19" s="27">
        <v>53.098999999999997</v>
      </c>
      <c r="DY19" s="27">
        <v>58.444757840000001</v>
      </c>
      <c r="DZ19" s="27">
        <v>62.074579960000008</v>
      </c>
      <c r="EA19" s="27">
        <f t="shared" si="28"/>
        <v>226.1353378</v>
      </c>
      <c r="EB19" s="27">
        <v>62.661740359999996</v>
      </c>
      <c r="EC19" s="27">
        <v>67.687270519999998</v>
      </c>
      <c r="ED19" s="27">
        <v>73.370999999999995</v>
      </c>
      <c r="EE19" s="27">
        <v>70.97170278000003</v>
      </c>
      <c r="EF19" s="27">
        <f t="shared" si="29"/>
        <v>274.69171366</v>
      </c>
      <c r="EG19" s="27">
        <v>72.968737169999997</v>
      </c>
      <c r="EH19" s="27">
        <v>78.535355589999995</v>
      </c>
      <c r="EI19" s="27">
        <v>83.733015659999992</v>
      </c>
    </row>
    <row r="20" spans="1:139" ht="15" thickBot="1" x14ac:dyDescent="0.35">
      <c r="A20" s="2" t="s">
        <v>323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28">
        <v>0</v>
      </c>
      <c r="BK20" s="28">
        <v>0</v>
      </c>
      <c r="BL20" s="28">
        <v>0</v>
      </c>
      <c r="BM20" s="28">
        <v>0</v>
      </c>
      <c r="BN20" s="28">
        <f t="shared" si="15"/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f t="shared" si="16"/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f t="shared" si="17"/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f t="shared" si="18"/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f t="shared" si="19"/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f t="shared" si="20"/>
        <v>0</v>
      </c>
      <c r="CN20" s="28">
        <v>0</v>
      </c>
      <c r="CO20" s="28">
        <v>0</v>
      </c>
      <c r="CP20" s="28">
        <v>0</v>
      </c>
      <c r="CQ20" s="28">
        <v>0</v>
      </c>
      <c r="CR20" s="28">
        <f t="shared" si="21"/>
        <v>0</v>
      </c>
      <c r="CS20" s="28">
        <v>0</v>
      </c>
      <c r="CT20" s="28">
        <v>0</v>
      </c>
      <c r="CU20" s="28">
        <v>0</v>
      </c>
      <c r="CV20" s="28">
        <v>0</v>
      </c>
      <c r="CW20" s="28">
        <f t="shared" si="22"/>
        <v>0</v>
      </c>
      <c r="CX20" s="28">
        <v>0</v>
      </c>
      <c r="CY20" s="28">
        <v>0</v>
      </c>
      <c r="CZ20" s="28">
        <v>0</v>
      </c>
      <c r="DA20" s="28">
        <v>0</v>
      </c>
      <c r="DB20" s="28">
        <f t="shared" si="23"/>
        <v>0</v>
      </c>
      <c r="DC20" s="28">
        <v>0</v>
      </c>
      <c r="DD20" s="28"/>
      <c r="DE20" s="28">
        <v>0</v>
      </c>
      <c r="DF20" s="28">
        <v>0</v>
      </c>
      <c r="DG20" s="28">
        <f t="shared" si="24"/>
        <v>0</v>
      </c>
      <c r="DH20" s="28">
        <v>0</v>
      </c>
      <c r="DI20" s="28">
        <v>0</v>
      </c>
      <c r="DJ20" s="28">
        <v>0</v>
      </c>
      <c r="DK20" s="28">
        <v>0</v>
      </c>
      <c r="DL20" s="28">
        <f t="shared" si="25"/>
        <v>0</v>
      </c>
      <c r="DM20" s="28">
        <v>0</v>
      </c>
      <c r="DN20" s="28">
        <v>0</v>
      </c>
      <c r="DO20" s="28">
        <v>0</v>
      </c>
      <c r="DP20" s="28">
        <v>0</v>
      </c>
      <c r="DQ20" s="28">
        <f t="shared" si="26"/>
        <v>0</v>
      </c>
      <c r="DR20" s="28">
        <v>0</v>
      </c>
      <c r="DS20" s="28">
        <v>0</v>
      </c>
      <c r="DT20" s="28">
        <v>0</v>
      </c>
      <c r="DU20" s="28">
        <v>0</v>
      </c>
      <c r="DV20" s="28">
        <f t="shared" si="27"/>
        <v>0</v>
      </c>
      <c r="DW20" s="28">
        <v>0</v>
      </c>
      <c r="DX20" s="28">
        <v>0</v>
      </c>
      <c r="DY20" s="28">
        <v>0</v>
      </c>
      <c r="DZ20" s="28">
        <v>0</v>
      </c>
      <c r="EA20" s="28">
        <f t="shared" si="28"/>
        <v>0</v>
      </c>
      <c r="EB20" s="28">
        <v>0</v>
      </c>
      <c r="EC20" s="28">
        <v>0</v>
      </c>
      <c r="ED20" s="28">
        <v>0</v>
      </c>
      <c r="EE20" s="28">
        <v>0</v>
      </c>
      <c r="EF20" s="28">
        <f t="shared" si="29"/>
        <v>0</v>
      </c>
      <c r="EG20" s="28">
        <v>0</v>
      </c>
      <c r="EH20" s="28">
        <v>0</v>
      </c>
      <c r="EI20" s="28">
        <v>0</v>
      </c>
    </row>
    <row r="21" spans="1:139" ht="15" thickTop="1" x14ac:dyDescent="0.3">
      <c r="A21" s="1" t="s">
        <v>322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27">
        <v>0</v>
      </c>
      <c r="BK21" s="27">
        <v>0</v>
      </c>
      <c r="BL21" s="27">
        <v>0</v>
      </c>
      <c r="BM21" s="27">
        <v>0</v>
      </c>
      <c r="BN21" s="27">
        <f t="shared" si="15"/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f t="shared" si="16"/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f t="shared" si="17"/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f t="shared" si="18"/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f t="shared" si="19"/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f t="shared" si="20"/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f t="shared" si="21"/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f t="shared" si="22"/>
        <v>0</v>
      </c>
      <c r="CX21" s="27">
        <v>0</v>
      </c>
      <c r="CY21" s="27">
        <v>0</v>
      </c>
      <c r="CZ21" s="27">
        <v>0</v>
      </c>
      <c r="DA21" s="27">
        <v>0</v>
      </c>
      <c r="DB21" s="27">
        <f t="shared" si="23"/>
        <v>0</v>
      </c>
      <c r="DC21" s="27">
        <v>0</v>
      </c>
      <c r="DD21" s="27"/>
      <c r="DE21" s="27">
        <v>0</v>
      </c>
      <c r="DF21" s="27">
        <v>0</v>
      </c>
      <c r="DG21" s="27">
        <f t="shared" si="24"/>
        <v>0</v>
      </c>
      <c r="DH21" s="27">
        <v>0</v>
      </c>
      <c r="DI21" s="27">
        <v>0</v>
      </c>
      <c r="DJ21" s="27">
        <v>0</v>
      </c>
      <c r="DK21" s="27">
        <v>0</v>
      </c>
      <c r="DL21" s="27">
        <f t="shared" si="25"/>
        <v>0</v>
      </c>
      <c r="DM21" s="27">
        <v>0</v>
      </c>
      <c r="DN21" s="27">
        <v>0</v>
      </c>
      <c r="DO21" s="27">
        <v>0</v>
      </c>
      <c r="DP21" s="27">
        <v>0</v>
      </c>
      <c r="DQ21" s="27">
        <f t="shared" si="26"/>
        <v>0</v>
      </c>
      <c r="DR21" s="27">
        <v>0</v>
      </c>
      <c r="DS21" s="27">
        <v>0</v>
      </c>
      <c r="DT21" s="27">
        <v>0</v>
      </c>
      <c r="DU21" s="27">
        <v>0</v>
      </c>
      <c r="DV21" s="27">
        <f t="shared" si="27"/>
        <v>0</v>
      </c>
      <c r="DW21" s="27">
        <v>0</v>
      </c>
      <c r="DX21" s="27">
        <v>0</v>
      </c>
      <c r="DY21" s="27">
        <v>0</v>
      </c>
      <c r="DZ21" s="27">
        <v>0</v>
      </c>
      <c r="EA21" s="27">
        <f t="shared" si="28"/>
        <v>0</v>
      </c>
      <c r="EB21" s="27">
        <v>0</v>
      </c>
      <c r="EC21" s="27">
        <v>0</v>
      </c>
      <c r="ED21" s="27">
        <v>0</v>
      </c>
      <c r="EE21" s="27">
        <v>0</v>
      </c>
      <c r="EF21" s="27">
        <f t="shared" si="29"/>
        <v>0</v>
      </c>
      <c r="EG21" s="27">
        <v>0</v>
      </c>
      <c r="EH21" s="27">
        <v>0</v>
      </c>
      <c r="EI21" s="27">
        <v>0</v>
      </c>
    </row>
    <row r="22" spans="1:139" ht="15" thickBot="1" x14ac:dyDescent="0.35">
      <c r="A22" s="2" t="s">
        <v>370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28">
        <v>4.4858761999999999</v>
      </c>
      <c r="BK22" s="28">
        <v>5.3008122899999996</v>
      </c>
      <c r="BL22" s="28">
        <v>5.9139056600000002</v>
      </c>
      <c r="BM22" s="28">
        <v>5.8506253299999997</v>
      </c>
      <c r="BN22" s="28">
        <f t="shared" si="15"/>
        <v>21.55121948</v>
      </c>
      <c r="BO22" s="28">
        <v>59.046161130000002</v>
      </c>
      <c r="BP22" s="28">
        <v>42.022022820000004</v>
      </c>
      <c r="BQ22" s="28">
        <v>56.834785359999998</v>
      </c>
      <c r="BR22" s="28">
        <v>44.181617639999999</v>
      </c>
      <c r="BS22" s="28">
        <f t="shared" si="16"/>
        <v>202.08458695000002</v>
      </c>
      <c r="BT22" s="28">
        <v>0</v>
      </c>
      <c r="BU22" s="28">
        <v>0</v>
      </c>
      <c r="BV22" s="28">
        <v>0</v>
      </c>
      <c r="BW22" s="28">
        <v>0</v>
      </c>
      <c r="BX22" s="28">
        <f t="shared" si="17"/>
        <v>0</v>
      </c>
      <c r="BY22" s="28">
        <v>0</v>
      </c>
      <c r="BZ22" s="28">
        <v>0</v>
      </c>
      <c r="CA22" s="28">
        <v>0</v>
      </c>
      <c r="CB22" s="28">
        <v>0</v>
      </c>
      <c r="CC22" s="28">
        <f t="shared" si="18"/>
        <v>0</v>
      </c>
      <c r="CD22" s="28">
        <v>0</v>
      </c>
      <c r="CE22" s="28">
        <v>0</v>
      </c>
      <c r="CF22" s="28">
        <v>0</v>
      </c>
      <c r="CG22" s="28">
        <v>0</v>
      </c>
      <c r="CH22" s="28">
        <f t="shared" si="19"/>
        <v>0</v>
      </c>
      <c r="CI22" s="28">
        <v>0</v>
      </c>
      <c r="CJ22" s="28">
        <v>0</v>
      </c>
      <c r="CK22" s="28">
        <v>0</v>
      </c>
      <c r="CL22" s="28">
        <v>0</v>
      </c>
      <c r="CM22" s="28">
        <f t="shared" si="20"/>
        <v>0</v>
      </c>
      <c r="CN22" s="28">
        <v>0</v>
      </c>
      <c r="CO22" s="28">
        <v>0</v>
      </c>
      <c r="CP22" s="28">
        <v>0</v>
      </c>
      <c r="CQ22" s="28">
        <v>0</v>
      </c>
      <c r="CR22" s="28">
        <f t="shared" si="21"/>
        <v>0</v>
      </c>
      <c r="CS22" s="28">
        <v>0</v>
      </c>
      <c r="CT22" s="28">
        <v>0</v>
      </c>
      <c r="CU22" s="28">
        <v>0</v>
      </c>
      <c r="CV22" s="28">
        <v>0</v>
      </c>
      <c r="CW22" s="28">
        <f t="shared" si="22"/>
        <v>0</v>
      </c>
      <c r="CX22" s="28">
        <v>0</v>
      </c>
      <c r="CY22" s="28">
        <v>0</v>
      </c>
      <c r="CZ22" s="28">
        <v>0</v>
      </c>
      <c r="DA22" s="28">
        <v>0</v>
      </c>
      <c r="DB22" s="28">
        <f t="shared" si="23"/>
        <v>0</v>
      </c>
      <c r="DC22" s="28">
        <v>0</v>
      </c>
      <c r="DD22" s="28"/>
      <c r="DE22" s="28">
        <v>0</v>
      </c>
      <c r="DF22" s="28">
        <v>0</v>
      </c>
      <c r="DG22" s="28">
        <f t="shared" si="24"/>
        <v>0</v>
      </c>
      <c r="DH22" s="28">
        <v>0</v>
      </c>
      <c r="DI22" s="28">
        <v>0</v>
      </c>
      <c r="DJ22" s="28">
        <v>0</v>
      </c>
      <c r="DK22" s="28">
        <v>0</v>
      </c>
      <c r="DL22" s="28">
        <f t="shared" si="25"/>
        <v>0</v>
      </c>
      <c r="DM22" s="28">
        <v>0</v>
      </c>
      <c r="DN22" s="28">
        <v>0</v>
      </c>
      <c r="DO22" s="28">
        <v>0</v>
      </c>
      <c r="DP22" s="28">
        <v>0</v>
      </c>
      <c r="DQ22" s="28">
        <f t="shared" si="26"/>
        <v>0</v>
      </c>
      <c r="DR22" s="28">
        <v>0</v>
      </c>
      <c r="DS22" s="28">
        <v>0</v>
      </c>
      <c r="DT22" s="28">
        <v>0</v>
      </c>
      <c r="DU22" s="28">
        <v>0</v>
      </c>
      <c r="DV22" s="28">
        <f t="shared" si="27"/>
        <v>0</v>
      </c>
      <c r="DW22" s="28">
        <v>0</v>
      </c>
      <c r="DX22" s="28">
        <v>0</v>
      </c>
      <c r="DY22" s="28">
        <v>0</v>
      </c>
      <c r="DZ22" s="28">
        <v>0</v>
      </c>
      <c r="EA22" s="28">
        <f t="shared" si="28"/>
        <v>0</v>
      </c>
      <c r="EB22" s="28">
        <v>0</v>
      </c>
      <c r="EC22" s="28">
        <v>0</v>
      </c>
      <c r="ED22" s="28">
        <v>0</v>
      </c>
      <c r="EE22" s="28">
        <v>0</v>
      </c>
      <c r="EF22" s="28">
        <f t="shared" si="29"/>
        <v>0</v>
      </c>
      <c r="EG22" s="28">
        <v>0</v>
      </c>
      <c r="EH22" s="28">
        <v>0</v>
      </c>
      <c r="EI22" s="28">
        <v>0</v>
      </c>
    </row>
    <row r="23" spans="1:139" ht="15" thickTop="1" x14ac:dyDescent="0.3">
      <c r="A23" s="1" t="s">
        <v>338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27">
        <v>3.6345698500000001</v>
      </c>
      <c r="BK23" s="27">
        <v>3.0555781999999994</v>
      </c>
      <c r="BL23" s="27">
        <v>3.3492152499999994</v>
      </c>
      <c r="BM23" s="27">
        <v>3.9348536900000006</v>
      </c>
      <c r="BN23" s="27">
        <f t="shared" si="15"/>
        <v>13.974216989999999</v>
      </c>
      <c r="BO23" s="27">
        <v>3.8222530099999998</v>
      </c>
      <c r="BP23" s="27">
        <v>3.8588925399999994</v>
      </c>
      <c r="BQ23" s="27">
        <v>4.3378257500000004</v>
      </c>
      <c r="BR23" s="27">
        <v>2.7017379704639999</v>
      </c>
      <c r="BS23" s="27">
        <f t="shared" si="16"/>
        <v>14.720709270464001</v>
      </c>
      <c r="BT23" s="27">
        <v>0</v>
      </c>
      <c r="BU23" s="27">
        <v>0</v>
      </c>
      <c r="BV23" s="27">
        <v>0</v>
      </c>
      <c r="BW23" s="27">
        <v>0</v>
      </c>
      <c r="BX23" s="27">
        <f t="shared" si="17"/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f t="shared" si="18"/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f t="shared" si="19"/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f t="shared" si="20"/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f t="shared" si="21"/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f t="shared" si="22"/>
        <v>0</v>
      </c>
      <c r="CX23" s="27">
        <v>0</v>
      </c>
      <c r="CY23" s="27">
        <v>3.7999999999999999E-2</v>
      </c>
      <c r="CZ23" s="27">
        <v>5.8999999999999997E-2</v>
      </c>
      <c r="DA23" s="27">
        <v>0.19900000000000001</v>
      </c>
      <c r="DB23" s="27">
        <f t="shared" si="23"/>
        <v>0.29600000000000004</v>
      </c>
      <c r="DC23" s="27">
        <v>0.01</v>
      </c>
      <c r="DD23" s="27">
        <v>-0.01</v>
      </c>
      <c r="DE23" s="27">
        <v>4.0000000000000001E-3</v>
      </c>
      <c r="DF23" s="27">
        <v>0</v>
      </c>
      <c r="DG23" s="27">
        <f t="shared" si="24"/>
        <v>4.0000000000000001E-3</v>
      </c>
      <c r="DH23" s="27">
        <v>0</v>
      </c>
      <c r="DI23" s="27">
        <v>0</v>
      </c>
      <c r="DJ23" s="27">
        <v>0</v>
      </c>
      <c r="DK23" s="27">
        <v>0</v>
      </c>
      <c r="DL23" s="27">
        <f t="shared" si="25"/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f t="shared" si="26"/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f t="shared" si="27"/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f t="shared" si="28"/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f t="shared" si="29"/>
        <v>0</v>
      </c>
      <c r="EG23" s="27">
        <v>0</v>
      </c>
      <c r="EH23" s="27">
        <v>0</v>
      </c>
      <c r="EI23" s="27">
        <v>0</v>
      </c>
    </row>
    <row r="24" spans="1:139" ht="15" thickBot="1" x14ac:dyDescent="0.35">
      <c r="A24" s="2" t="s">
        <v>331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28">
        <v>0</v>
      </c>
      <c r="BK24" s="28">
        <v>0</v>
      </c>
      <c r="BL24" s="28">
        <v>0</v>
      </c>
      <c r="BM24" s="28">
        <v>0</v>
      </c>
      <c r="BN24" s="28">
        <f t="shared" si="15"/>
        <v>0</v>
      </c>
      <c r="BO24" s="28">
        <v>0</v>
      </c>
      <c r="BP24" s="28">
        <v>0</v>
      </c>
      <c r="BQ24" s="28">
        <v>0</v>
      </c>
      <c r="BR24" s="28">
        <v>0</v>
      </c>
      <c r="BS24" s="28">
        <f t="shared" si="16"/>
        <v>0</v>
      </c>
      <c r="BT24" s="28">
        <v>0</v>
      </c>
      <c r="BU24" s="28">
        <v>0</v>
      </c>
      <c r="BV24" s="28">
        <v>0</v>
      </c>
      <c r="BW24" s="28">
        <v>0</v>
      </c>
      <c r="BX24" s="28">
        <f t="shared" si="17"/>
        <v>0</v>
      </c>
      <c r="BY24" s="28">
        <v>0</v>
      </c>
      <c r="BZ24" s="28">
        <v>0</v>
      </c>
      <c r="CA24" s="28">
        <v>0</v>
      </c>
      <c r="CB24" s="28">
        <v>0</v>
      </c>
      <c r="CC24" s="28">
        <f t="shared" si="18"/>
        <v>0</v>
      </c>
      <c r="CD24" s="28">
        <v>0</v>
      </c>
      <c r="CE24" s="28">
        <v>0</v>
      </c>
      <c r="CF24" s="28">
        <v>0</v>
      </c>
      <c r="CG24" s="28">
        <v>0</v>
      </c>
      <c r="CH24" s="28">
        <f t="shared" si="19"/>
        <v>0</v>
      </c>
      <c r="CI24" s="28">
        <v>0</v>
      </c>
      <c r="CJ24" s="28">
        <v>0</v>
      </c>
      <c r="CK24" s="28">
        <v>0</v>
      </c>
      <c r="CL24" s="28">
        <v>0</v>
      </c>
      <c r="CM24" s="28">
        <f t="shared" si="20"/>
        <v>0</v>
      </c>
      <c r="CN24" s="28">
        <v>0</v>
      </c>
      <c r="CO24" s="28">
        <v>0</v>
      </c>
      <c r="CP24" s="28">
        <v>0</v>
      </c>
      <c r="CQ24" s="28">
        <v>0</v>
      </c>
      <c r="CR24" s="28">
        <f t="shared" si="21"/>
        <v>0</v>
      </c>
      <c r="CS24" s="28">
        <v>0</v>
      </c>
      <c r="CT24" s="28">
        <v>0</v>
      </c>
      <c r="CU24" s="28">
        <v>0</v>
      </c>
      <c r="CV24" s="28">
        <v>0</v>
      </c>
      <c r="CW24" s="28">
        <f t="shared" si="22"/>
        <v>0</v>
      </c>
      <c r="CX24" s="28">
        <v>0</v>
      </c>
      <c r="CY24" s="28">
        <v>0</v>
      </c>
      <c r="CZ24" s="28">
        <v>0</v>
      </c>
      <c r="DA24" s="28">
        <v>0</v>
      </c>
      <c r="DB24" s="28">
        <f t="shared" si="23"/>
        <v>0</v>
      </c>
      <c r="DC24" s="28">
        <v>0</v>
      </c>
      <c r="DD24" s="28">
        <v>0</v>
      </c>
      <c r="DE24" s="28">
        <v>0</v>
      </c>
      <c r="DF24" s="28">
        <v>0</v>
      </c>
      <c r="DG24" s="28">
        <f t="shared" si="24"/>
        <v>0</v>
      </c>
      <c r="DH24" s="28">
        <v>0</v>
      </c>
      <c r="DI24" s="28">
        <v>0</v>
      </c>
      <c r="DJ24" s="28">
        <v>0</v>
      </c>
      <c r="DK24" s="28">
        <v>0</v>
      </c>
      <c r="DL24" s="28">
        <f t="shared" si="25"/>
        <v>0</v>
      </c>
      <c r="DM24" s="28">
        <v>0</v>
      </c>
      <c r="DN24" s="28">
        <v>0</v>
      </c>
      <c r="DO24" s="28">
        <v>0</v>
      </c>
      <c r="DP24" s="28">
        <v>0</v>
      </c>
      <c r="DQ24" s="28">
        <f t="shared" si="26"/>
        <v>0</v>
      </c>
      <c r="DR24" s="28">
        <v>0</v>
      </c>
      <c r="DS24" s="28">
        <v>0</v>
      </c>
      <c r="DT24" s="28">
        <v>0</v>
      </c>
      <c r="DU24" s="28">
        <v>0</v>
      </c>
      <c r="DV24" s="28">
        <f t="shared" si="27"/>
        <v>0</v>
      </c>
      <c r="DW24" s="28">
        <v>0</v>
      </c>
      <c r="DX24" s="28">
        <v>0</v>
      </c>
      <c r="DY24" s="28">
        <v>0</v>
      </c>
      <c r="DZ24" s="28">
        <v>0</v>
      </c>
      <c r="EA24" s="28">
        <f t="shared" si="28"/>
        <v>0</v>
      </c>
      <c r="EB24" s="28">
        <v>0</v>
      </c>
      <c r="EC24" s="28">
        <v>0</v>
      </c>
      <c r="ED24" s="28">
        <v>0</v>
      </c>
      <c r="EE24" s="28">
        <v>0</v>
      </c>
      <c r="EF24" s="28">
        <f t="shared" si="29"/>
        <v>0</v>
      </c>
      <c r="EG24" s="28">
        <v>0</v>
      </c>
      <c r="EH24" s="28">
        <v>0</v>
      </c>
      <c r="EI24" s="28">
        <v>0</v>
      </c>
    </row>
    <row r="25" spans="1:139" ht="15" thickTop="1" x14ac:dyDescent="0.3">
      <c r="A25" s="1" t="s">
        <v>308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27">
        <v>-16.04573207</v>
      </c>
      <c r="BK25" s="27">
        <v>-17.325339660000004</v>
      </c>
      <c r="BL25" s="27">
        <v>-27.962419869999991</v>
      </c>
      <c r="BM25" s="27">
        <f>-8.93328208000001+0.3</f>
        <v>-8.6332820800000096</v>
      </c>
      <c r="BN25" s="27">
        <f t="shared" si="15"/>
        <v>-69.966773680000003</v>
      </c>
      <c r="BO25" s="27">
        <v>-27.577738549999999</v>
      </c>
      <c r="BP25" s="27">
        <v>-27.340504859999989</v>
      </c>
      <c r="BQ25" s="27">
        <v>-30.584285686000012</v>
      </c>
      <c r="BR25" s="27">
        <f>-75.955791114-0.17947251</f>
        <v>-76.13526362399999</v>
      </c>
      <c r="BS25" s="27">
        <f t="shared" si="16"/>
        <v>-161.63779271999999</v>
      </c>
      <c r="BT25" s="27">
        <v>-15.5</v>
      </c>
      <c r="BU25" s="27">
        <v>-24.1</v>
      </c>
      <c r="BV25" s="27">
        <v>-7.9</v>
      </c>
      <c r="BW25" s="27">
        <v>-81.599999999999994</v>
      </c>
      <c r="BX25" s="27">
        <f t="shared" si="17"/>
        <v>-129.1</v>
      </c>
      <c r="BY25" s="27">
        <v>-17.600000000000001</v>
      </c>
      <c r="BZ25" s="27">
        <v>-20.8</v>
      </c>
      <c r="CA25" s="27">
        <v>-6</v>
      </c>
      <c r="CB25" s="27">
        <v>-73.099999999999994</v>
      </c>
      <c r="CC25" s="27">
        <f t="shared" si="18"/>
        <v>-117.5</v>
      </c>
      <c r="CD25" s="27">
        <f>-31.80930478+8.5</f>
        <v>-23.309304780000002</v>
      </c>
      <c r="CE25" s="27">
        <f>-28.6089976779999+8.9</f>
        <v>-19.708997677999896</v>
      </c>
      <c r="CF25" s="27">
        <v>-29.8</v>
      </c>
      <c r="CG25" s="27">
        <v>-23.9</v>
      </c>
      <c r="CH25" s="27">
        <f t="shared" si="19"/>
        <v>-96.718302457999897</v>
      </c>
      <c r="CI25" s="27">
        <v>-22.193738120000006</v>
      </c>
      <c r="CJ25" s="27">
        <f>-22.21981389+0.0070517</f>
        <v>-22.212762189999999</v>
      </c>
      <c r="CK25" s="27">
        <v>-25.779470060000008</v>
      </c>
      <c r="CL25" s="27">
        <f>-25.91730756+0.00235198</f>
        <v>-25.914955580000001</v>
      </c>
      <c r="CM25" s="27">
        <f t="shared" si="20"/>
        <v>-96.100925950000004</v>
      </c>
      <c r="CN25" s="27">
        <v>-15.29787477999999</v>
      </c>
      <c r="CO25" s="27">
        <f>-23.6314214-0.1</f>
        <v>-23.731421400000002</v>
      </c>
      <c r="CP25" s="27">
        <f>-25.55974499-0.1</f>
        <v>-25.65974499</v>
      </c>
      <c r="CQ25" s="27">
        <f>-80.721-SUM(CN25:CP25)</f>
        <v>-16.031958830000008</v>
      </c>
      <c r="CR25" s="27">
        <f t="shared" si="21"/>
        <v>-80.721000000000004</v>
      </c>
      <c r="CS25" s="27">
        <v>-24.735661009999998</v>
      </c>
      <c r="CT25" s="27">
        <v>-24.694649610000006</v>
      </c>
      <c r="CU25" s="27">
        <v>-24.812340999999979</v>
      </c>
      <c r="CV25" s="27">
        <v>-24.146381250000026</v>
      </c>
      <c r="CW25" s="27">
        <f t="shared" si="22"/>
        <v>-98.389032869999994</v>
      </c>
      <c r="CX25" s="27">
        <v>-25.231000000000002</v>
      </c>
      <c r="CY25" s="27">
        <v>-25.181999999999999</v>
      </c>
      <c r="CZ25" s="27">
        <v>-24.893999999999998</v>
      </c>
      <c r="DA25" s="27">
        <v>-25.369</v>
      </c>
      <c r="DB25" s="27">
        <f t="shared" si="23"/>
        <v>-100.67599999999999</v>
      </c>
      <c r="DC25" s="27">
        <v>-26.004000000000001</v>
      </c>
      <c r="DD25" s="27">
        <v>-23.6</v>
      </c>
      <c r="DE25" s="27">
        <f>-26.943+0.011</f>
        <v>-26.932000000000002</v>
      </c>
      <c r="DF25" s="27">
        <f>-28.063+13.562-0.578+0.017</f>
        <v>-15.061999999999999</v>
      </c>
      <c r="DG25" s="27">
        <f t="shared" si="24"/>
        <v>-91.597999999999999</v>
      </c>
      <c r="DH25" s="27">
        <f>-47.254+0.008</f>
        <v>-47.245999999999995</v>
      </c>
      <c r="DI25" s="27">
        <f>-35.258-0.008</f>
        <v>-35.266000000000005</v>
      </c>
      <c r="DJ25" s="27">
        <v>-34.930999999999997</v>
      </c>
      <c r="DK25" s="27">
        <v>-38.848999999999997</v>
      </c>
      <c r="DL25" s="27">
        <f t="shared" si="25"/>
        <v>-156.292</v>
      </c>
      <c r="DM25" s="27">
        <v>-46.006</v>
      </c>
      <c r="DN25" s="27">
        <v>-40.587000000000003</v>
      </c>
      <c r="DO25" s="27">
        <v>-45.534999999999997</v>
      </c>
      <c r="DP25" s="27">
        <v>-44.045000000000002</v>
      </c>
      <c r="DQ25" s="27">
        <f t="shared" si="26"/>
        <v>-176.173</v>
      </c>
      <c r="DR25" s="27">
        <v>-42.905999999999999</v>
      </c>
      <c r="DS25" s="27">
        <v>-48.289000000000001</v>
      </c>
      <c r="DT25" s="27">
        <v>-42.88</v>
      </c>
      <c r="DU25" s="27">
        <v>-51.341000000000001</v>
      </c>
      <c r="DV25" s="27">
        <f t="shared" si="27"/>
        <v>-185.416</v>
      </c>
      <c r="DW25" s="27">
        <v>-48.140999999999998</v>
      </c>
      <c r="DX25" s="27">
        <v>-47.451000000000001</v>
      </c>
      <c r="DY25" s="27">
        <v>-57.649292639999999</v>
      </c>
      <c r="DZ25" s="27">
        <v>-47.181450990000009</v>
      </c>
      <c r="EA25" s="27">
        <f t="shared" si="28"/>
        <v>-200.42274362999999</v>
      </c>
      <c r="EB25" s="27">
        <v>-84.111558520000003</v>
      </c>
      <c r="EC25" s="27">
        <v>-83.29834486</v>
      </c>
      <c r="ED25" s="27">
        <v>-59.517000000000003</v>
      </c>
      <c r="EE25" s="27">
        <v>-45.622855239999978</v>
      </c>
      <c r="EF25" s="27">
        <f t="shared" si="29"/>
        <v>-272.54975861999998</v>
      </c>
      <c r="EG25" s="27">
        <v>-67.811978760000002</v>
      </c>
      <c r="EH25" s="27">
        <v>-74.032052679999993</v>
      </c>
      <c r="EI25" s="27">
        <v>-75.231497729999987</v>
      </c>
    </row>
    <row r="26" spans="1:139" x14ac:dyDescent="0.3">
      <c r="A26" s="5" t="s">
        <v>311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29">
        <f t="shared" ref="BJ26:CO26" si="30">SUM(BJ3:BJ25)</f>
        <v>169.85238934</v>
      </c>
      <c r="BK26" s="29">
        <f t="shared" si="30"/>
        <v>144.26972210000002</v>
      </c>
      <c r="BL26" s="29">
        <f t="shared" si="30"/>
        <v>135.48420675000003</v>
      </c>
      <c r="BM26" s="29">
        <f t="shared" si="30"/>
        <v>174.02547096999996</v>
      </c>
      <c r="BN26" s="29">
        <f t="shared" si="30"/>
        <v>623.63178916000004</v>
      </c>
      <c r="BO26" s="29">
        <f t="shared" si="30"/>
        <v>199.35836457000002</v>
      </c>
      <c r="BP26" s="29">
        <f t="shared" si="30"/>
        <v>211.59462491000002</v>
      </c>
      <c r="BQ26" s="29">
        <f t="shared" si="30"/>
        <v>218.52039054400001</v>
      </c>
      <c r="BR26" s="29">
        <f t="shared" si="30"/>
        <v>181.349619836464</v>
      </c>
      <c r="BS26" s="29">
        <f t="shared" si="30"/>
        <v>810.82299986046394</v>
      </c>
      <c r="BT26" s="29">
        <f t="shared" si="30"/>
        <v>170.81645455</v>
      </c>
      <c r="BU26" s="29">
        <f t="shared" si="30"/>
        <v>207.50905537999998</v>
      </c>
      <c r="BV26" s="29">
        <f t="shared" si="30"/>
        <v>320.53492254999998</v>
      </c>
      <c r="BW26" s="29">
        <f t="shared" si="30"/>
        <v>250.59780602500004</v>
      </c>
      <c r="BX26" s="29">
        <f t="shared" si="30"/>
        <v>949.45823850499994</v>
      </c>
      <c r="BY26" s="29">
        <f t="shared" si="30"/>
        <v>245.59971105000002</v>
      </c>
      <c r="BZ26" s="29">
        <f t="shared" si="30"/>
        <v>335.53352988</v>
      </c>
      <c r="CA26" s="29">
        <f t="shared" si="30"/>
        <v>356.46155564999998</v>
      </c>
      <c r="CB26" s="29">
        <f t="shared" si="30"/>
        <v>408.99874681999995</v>
      </c>
      <c r="CC26" s="29">
        <f t="shared" si="30"/>
        <v>1346.5935434</v>
      </c>
      <c r="CD26" s="29">
        <f t="shared" si="30"/>
        <v>329.47864972000002</v>
      </c>
      <c r="CE26" s="29">
        <f t="shared" si="30"/>
        <v>572.70582729200009</v>
      </c>
      <c r="CF26" s="29">
        <f t="shared" si="30"/>
        <v>386.04679888999993</v>
      </c>
      <c r="CG26" s="29">
        <f t="shared" si="30"/>
        <v>432.93958723000009</v>
      </c>
      <c r="CH26" s="29">
        <f t="shared" si="30"/>
        <v>1721.170863132</v>
      </c>
      <c r="CI26" s="29">
        <f t="shared" si="30"/>
        <v>361.48541688</v>
      </c>
      <c r="CJ26" s="29">
        <f t="shared" si="30"/>
        <v>381.72735489000002</v>
      </c>
      <c r="CK26" s="29">
        <f t="shared" si="30"/>
        <v>373.8779546400001</v>
      </c>
      <c r="CL26" s="29">
        <f t="shared" si="30"/>
        <v>364.72535413999992</v>
      </c>
      <c r="CM26" s="29">
        <f t="shared" si="30"/>
        <v>1481.8160805499999</v>
      </c>
      <c r="CN26" s="29">
        <f t="shared" si="30"/>
        <v>300.05584980999998</v>
      </c>
      <c r="CO26" s="29">
        <f t="shared" si="30"/>
        <v>340.76473148000008</v>
      </c>
      <c r="CP26" s="29">
        <f t="shared" ref="CP26:DU26" si="31">SUM(CP3:CP25)</f>
        <v>406.38796318000004</v>
      </c>
      <c r="CQ26" s="29">
        <f t="shared" si="31"/>
        <v>498.22745553000004</v>
      </c>
      <c r="CR26" s="29">
        <f t="shared" si="31"/>
        <v>1545.4359999999997</v>
      </c>
      <c r="CS26" s="29">
        <f t="shared" si="31"/>
        <v>340.29219499999999</v>
      </c>
      <c r="CT26" s="29">
        <f t="shared" si="31"/>
        <v>406.58197978999999</v>
      </c>
      <c r="CU26" s="29">
        <f t="shared" si="31"/>
        <v>432.19937394999999</v>
      </c>
      <c r="CV26" s="29">
        <f t="shared" si="31"/>
        <v>464.08286349999986</v>
      </c>
      <c r="CW26" s="29">
        <f t="shared" si="31"/>
        <v>1643.1564122399998</v>
      </c>
      <c r="CX26" s="29">
        <f t="shared" si="31"/>
        <v>398.24099999999999</v>
      </c>
      <c r="CY26" s="29">
        <f t="shared" si="31"/>
        <v>401.702</v>
      </c>
      <c r="CZ26" s="29">
        <f t="shared" si="31"/>
        <v>426.48099999999999</v>
      </c>
      <c r="DA26" s="29">
        <f t="shared" si="31"/>
        <v>553.59099999999989</v>
      </c>
      <c r="DB26" s="29">
        <f t="shared" si="31"/>
        <v>1780.0150000000001</v>
      </c>
      <c r="DC26" s="29">
        <f t="shared" si="31"/>
        <v>541.84299999999996</v>
      </c>
      <c r="DD26" s="29">
        <f t="shared" si="31"/>
        <v>617.98900000000003</v>
      </c>
      <c r="DE26" s="29">
        <f t="shared" si="31"/>
        <v>588.64499999999998</v>
      </c>
      <c r="DF26" s="29">
        <f t="shared" si="31"/>
        <v>700.48299999999983</v>
      </c>
      <c r="DG26" s="29">
        <f t="shared" si="31"/>
        <v>2448.96</v>
      </c>
      <c r="DH26" s="29">
        <f t="shared" si="31"/>
        <v>527.55999999999995</v>
      </c>
      <c r="DI26" s="29">
        <f t="shared" si="31"/>
        <v>584.97200000000009</v>
      </c>
      <c r="DJ26" s="29">
        <f t="shared" si="31"/>
        <v>632.21499999999992</v>
      </c>
      <c r="DK26" s="29">
        <f t="shared" si="31"/>
        <v>612.06900000000007</v>
      </c>
      <c r="DL26" s="29">
        <f t="shared" si="31"/>
        <v>2356.8160000000003</v>
      </c>
      <c r="DM26" s="29">
        <f t="shared" si="31"/>
        <v>557.07600000000002</v>
      </c>
      <c r="DN26" s="29">
        <f t="shared" si="31"/>
        <v>675.89300000000014</v>
      </c>
      <c r="DO26" s="29">
        <f t="shared" si="31"/>
        <v>768.20600000000002</v>
      </c>
      <c r="DP26" s="29">
        <f t="shared" si="31"/>
        <v>810.69600000000025</v>
      </c>
      <c r="DQ26" s="29">
        <f t="shared" si="31"/>
        <v>2811.871000000001</v>
      </c>
      <c r="DR26" s="29">
        <f t="shared" si="31"/>
        <v>753.20100000000002</v>
      </c>
      <c r="DS26" s="29">
        <f t="shared" si="31"/>
        <v>985.20299999999997</v>
      </c>
      <c r="DT26" s="29">
        <f t="shared" si="31"/>
        <v>1215.6009999999999</v>
      </c>
      <c r="DU26" s="29">
        <f t="shared" si="31"/>
        <v>1180.652</v>
      </c>
      <c r="DV26" s="29">
        <f t="shared" ref="DV26:ED26" si="32">SUM(DV3:DV25)</f>
        <v>4134.6570000000002</v>
      </c>
      <c r="DW26" s="29">
        <f t="shared" si="32"/>
        <v>954.47300000000007</v>
      </c>
      <c r="DX26" s="29">
        <f t="shared" si="32"/>
        <v>1259.0059999999996</v>
      </c>
      <c r="DY26" s="29">
        <f t="shared" si="32"/>
        <v>1682.7210065999998</v>
      </c>
      <c r="DZ26" s="29">
        <f t="shared" si="32"/>
        <v>1694.2892017899999</v>
      </c>
      <c r="EA26" s="29">
        <f t="shared" si="32"/>
        <v>5590.4892083900004</v>
      </c>
      <c r="EB26" s="29">
        <f t="shared" si="32"/>
        <v>1194.09077404</v>
      </c>
      <c r="EC26" s="29">
        <f t="shared" si="32"/>
        <v>1460.0854797000004</v>
      </c>
      <c r="ED26" s="29">
        <f t="shared" si="32"/>
        <v>1513.5619999999999</v>
      </c>
      <c r="EE26" s="29">
        <f>SUM(EE3:EE25)</f>
        <v>1795.7221157599995</v>
      </c>
      <c r="EF26" s="29">
        <f t="shared" ref="EF26" si="33">SUM(EF3:EF25)</f>
        <v>5963.4603694999987</v>
      </c>
      <c r="EG26" s="29">
        <f>SUM(EG3:EG25)</f>
        <v>1412.7020542099999</v>
      </c>
      <c r="EH26" s="29">
        <f>SUM(EH3:EH25)</f>
        <v>1626.8980820900001</v>
      </c>
      <c r="EI26" s="29">
        <f>SUM(EI3:EI25)</f>
        <v>1793.59305113</v>
      </c>
    </row>
    <row r="27" spans="1:139" x14ac:dyDescent="0.3"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EA27" s="33"/>
      <c r="EF27" s="33"/>
      <c r="EG27" s="33"/>
      <c r="EH27" s="33"/>
      <c r="EI27" s="33"/>
    </row>
    <row r="28" spans="1:139" x14ac:dyDescent="0.3">
      <c r="A28" s="22"/>
      <c r="BT28" s="33"/>
      <c r="BY28" s="33"/>
      <c r="CC28" s="33"/>
      <c r="CD28" s="33"/>
      <c r="CH28" s="33"/>
      <c r="CS28" s="33"/>
      <c r="CT28" s="33"/>
      <c r="CU28" s="33"/>
      <c r="CV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</row>
    <row r="30" spans="1:139" x14ac:dyDescent="0.3">
      <c r="A30" s="3" t="s">
        <v>328</v>
      </c>
      <c r="B30" s="6" t="s">
        <v>4</v>
      </c>
      <c r="C30" s="6" t="s">
        <v>5</v>
      </c>
      <c r="D30" s="6" t="s">
        <v>6</v>
      </c>
      <c r="E30" s="6" t="s">
        <v>7</v>
      </c>
      <c r="F30" s="6">
        <v>2018</v>
      </c>
      <c r="G30" s="6" t="s">
        <v>8</v>
      </c>
      <c r="H30" s="6" t="s">
        <v>9</v>
      </c>
      <c r="I30" s="6" t="s">
        <v>10</v>
      </c>
      <c r="J30" s="6" t="s">
        <v>11</v>
      </c>
      <c r="K30" s="6">
        <v>2019</v>
      </c>
      <c r="L30" s="6" t="s">
        <v>12</v>
      </c>
      <c r="M30" s="6" t="s">
        <v>13</v>
      </c>
      <c r="N30" s="6" t="s">
        <v>14</v>
      </c>
      <c r="O30" s="6" t="s">
        <v>15</v>
      </c>
      <c r="P30" s="6">
        <v>2000</v>
      </c>
      <c r="Q30" s="6" t="s">
        <v>16</v>
      </c>
      <c r="R30" s="6" t="s">
        <v>17</v>
      </c>
      <c r="S30" s="6" t="s">
        <v>18</v>
      </c>
      <c r="T30" s="6" t="s">
        <v>19</v>
      </c>
      <c r="U30" s="6">
        <v>2001</v>
      </c>
      <c r="V30" s="6" t="s">
        <v>20</v>
      </c>
      <c r="W30" s="6" t="s">
        <v>21</v>
      </c>
      <c r="X30" s="6" t="s">
        <v>22</v>
      </c>
      <c r="Y30" s="6" t="s">
        <v>23</v>
      </c>
      <c r="Z30" s="6">
        <v>2002</v>
      </c>
      <c r="AA30" s="6" t="s">
        <v>24</v>
      </c>
      <c r="AB30" s="6" t="s">
        <v>25</v>
      </c>
      <c r="AC30" s="6" t="s">
        <v>26</v>
      </c>
      <c r="AD30" s="6" t="s">
        <v>27</v>
      </c>
      <c r="AE30" s="6">
        <v>2003</v>
      </c>
      <c r="AF30" s="6" t="s">
        <v>28</v>
      </c>
      <c r="AG30" s="6" t="s">
        <v>29</v>
      </c>
      <c r="AH30" s="6" t="s">
        <v>30</v>
      </c>
      <c r="AI30" s="6" t="s">
        <v>31</v>
      </c>
      <c r="AJ30" s="6">
        <v>2004</v>
      </c>
      <c r="AK30" s="6" t="s">
        <v>32</v>
      </c>
      <c r="AL30" s="6" t="s">
        <v>33</v>
      </c>
      <c r="AM30" s="6" t="s">
        <v>34</v>
      </c>
      <c r="AN30" s="6" t="s">
        <v>35</v>
      </c>
      <c r="AO30" s="6">
        <v>2005</v>
      </c>
      <c r="AP30" s="6" t="s">
        <v>36</v>
      </c>
      <c r="AQ30" s="6" t="s">
        <v>37</v>
      </c>
      <c r="AR30" s="6" t="s">
        <v>38</v>
      </c>
      <c r="AS30" s="6" t="s">
        <v>39</v>
      </c>
      <c r="AT30" s="6">
        <v>2006</v>
      </c>
      <c r="AU30" s="6" t="s">
        <v>40</v>
      </c>
      <c r="AV30" s="6" t="s">
        <v>41</v>
      </c>
      <c r="AW30" s="6" t="s">
        <v>42</v>
      </c>
      <c r="AX30" s="6" t="s">
        <v>43</v>
      </c>
      <c r="AY30" s="6">
        <v>2007</v>
      </c>
      <c r="AZ30" s="6" t="s">
        <v>44</v>
      </c>
      <c r="BA30" s="6" t="s">
        <v>45</v>
      </c>
      <c r="BB30" s="6" t="s">
        <v>46</v>
      </c>
      <c r="BC30" s="6" t="s">
        <v>47</v>
      </c>
      <c r="BD30" s="6">
        <v>2008</v>
      </c>
      <c r="BE30" s="6" t="s">
        <v>48</v>
      </c>
      <c r="BF30" s="6" t="s">
        <v>49</v>
      </c>
      <c r="BG30" s="6" t="s">
        <v>50</v>
      </c>
      <c r="BH30" s="6" t="s">
        <v>51</v>
      </c>
      <c r="BI30" s="6">
        <v>2009</v>
      </c>
      <c r="BJ30" s="6" t="s">
        <v>52</v>
      </c>
      <c r="BK30" s="6" t="s">
        <v>53</v>
      </c>
      <c r="BL30" s="6" t="s">
        <v>54</v>
      </c>
      <c r="BM30" s="6" t="s">
        <v>55</v>
      </c>
      <c r="BN30" s="6">
        <v>2010</v>
      </c>
      <c r="BO30" s="6" t="s">
        <v>56</v>
      </c>
      <c r="BP30" s="6" t="s">
        <v>57</v>
      </c>
      <c r="BQ30" s="6" t="s">
        <v>58</v>
      </c>
      <c r="BR30" s="6" t="s">
        <v>59</v>
      </c>
      <c r="BS30" s="6">
        <v>2011</v>
      </c>
      <c r="BT30" s="6" t="s">
        <v>60</v>
      </c>
      <c r="BU30" s="6" t="s">
        <v>61</v>
      </c>
      <c r="BV30" s="6" t="s">
        <v>62</v>
      </c>
      <c r="BW30" s="6" t="s">
        <v>63</v>
      </c>
      <c r="BX30" s="6">
        <v>2012</v>
      </c>
      <c r="BY30" s="6" t="s">
        <v>64</v>
      </c>
      <c r="BZ30" s="6" t="s">
        <v>65</v>
      </c>
      <c r="CA30" s="6" t="s">
        <v>66</v>
      </c>
      <c r="CB30" s="6" t="s">
        <v>67</v>
      </c>
      <c r="CC30" s="6">
        <v>2013</v>
      </c>
      <c r="CD30" s="6" t="s">
        <v>68</v>
      </c>
      <c r="CE30" s="6" t="s">
        <v>69</v>
      </c>
      <c r="CF30" s="6" t="s">
        <v>70</v>
      </c>
      <c r="CG30" s="6" t="s">
        <v>71</v>
      </c>
      <c r="CH30" s="6">
        <v>2014</v>
      </c>
      <c r="CI30" s="6" t="s">
        <v>72</v>
      </c>
      <c r="CJ30" s="6" t="s">
        <v>73</v>
      </c>
      <c r="CK30" s="6" t="s">
        <v>74</v>
      </c>
      <c r="CL30" s="6" t="s">
        <v>75</v>
      </c>
      <c r="CM30" s="6">
        <v>2015</v>
      </c>
      <c r="CN30" s="6" t="s">
        <v>76</v>
      </c>
      <c r="CO30" s="6" t="s">
        <v>77</v>
      </c>
      <c r="CP30" s="6" t="s">
        <v>78</v>
      </c>
      <c r="CQ30" s="6" t="s">
        <v>79</v>
      </c>
      <c r="CR30" s="6">
        <v>2016</v>
      </c>
      <c r="CS30" s="6" t="s">
        <v>80</v>
      </c>
      <c r="CT30" s="6" t="s">
        <v>81</v>
      </c>
      <c r="CU30" s="6" t="s">
        <v>82</v>
      </c>
      <c r="CV30" s="6" t="s">
        <v>83</v>
      </c>
      <c r="CW30" s="6">
        <v>2017</v>
      </c>
      <c r="CX30" s="6" t="s">
        <v>84</v>
      </c>
      <c r="CY30" s="6" t="s">
        <v>85</v>
      </c>
      <c r="CZ30" s="6" t="s">
        <v>86</v>
      </c>
      <c r="DA30" s="6" t="s">
        <v>87</v>
      </c>
      <c r="DB30" s="6">
        <v>2018</v>
      </c>
      <c r="DC30" s="6" t="s">
        <v>88</v>
      </c>
      <c r="DD30" s="6" t="s">
        <v>89</v>
      </c>
      <c r="DE30" s="6" t="s">
        <v>90</v>
      </c>
      <c r="DF30" s="6" t="s">
        <v>91</v>
      </c>
      <c r="DG30" s="6">
        <v>2019</v>
      </c>
      <c r="DH30" s="6" t="s">
        <v>92</v>
      </c>
      <c r="DI30" s="6" t="s">
        <v>93</v>
      </c>
      <c r="DJ30" s="6" t="s">
        <v>94</v>
      </c>
      <c r="DK30" s="6" t="s">
        <v>95</v>
      </c>
      <c r="DL30" s="6">
        <v>2020</v>
      </c>
      <c r="DM30" s="6" t="s">
        <v>96</v>
      </c>
      <c r="DN30" s="6" t="s">
        <v>97</v>
      </c>
      <c r="DO30" s="6" t="s">
        <v>98</v>
      </c>
      <c r="DP30" s="6" t="s">
        <v>99</v>
      </c>
      <c r="DQ30" s="6">
        <v>2021</v>
      </c>
      <c r="DR30" s="6" t="s">
        <v>100</v>
      </c>
      <c r="DS30" s="6" t="s">
        <v>101</v>
      </c>
      <c r="DT30" s="6" t="s">
        <v>200</v>
      </c>
      <c r="DU30" s="6" t="s">
        <v>380</v>
      </c>
      <c r="DV30" s="6">
        <v>2022</v>
      </c>
      <c r="DW30" s="6" t="s">
        <v>379</v>
      </c>
      <c r="DX30" s="6" t="s">
        <v>402</v>
      </c>
      <c r="DY30" s="6" t="s">
        <v>414</v>
      </c>
      <c r="DZ30" s="6" t="s">
        <v>419</v>
      </c>
      <c r="EA30" s="6">
        <v>2023</v>
      </c>
      <c r="EB30" s="6" t="s">
        <v>424</v>
      </c>
      <c r="EC30" s="6" t="s">
        <v>429</v>
      </c>
      <c r="ED30" s="6" t="str">
        <f>$ED$1</f>
        <v>3T24</v>
      </c>
      <c r="EE30" s="6" t="str">
        <f>$EE$1</f>
        <v>4T24</v>
      </c>
      <c r="EF30" s="6">
        <f>$EF$1</f>
        <v>2024</v>
      </c>
      <c r="EG30" s="6" t="str">
        <f>EG$1</f>
        <v>1T25</v>
      </c>
      <c r="EH30" s="6" t="str">
        <f>EH$1</f>
        <v>2T25</v>
      </c>
      <c r="EI30" s="6" t="str">
        <f>EI$1</f>
        <v>3T25</v>
      </c>
    </row>
    <row r="31" spans="1:139" ht="15" thickBot="1" x14ac:dyDescent="0.35">
      <c r="A31" s="4" t="s">
        <v>329</v>
      </c>
      <c r="B31" s="7" t="s">
        <v>102</v>
      </c>
      <c r="C31" s="7" t="s">
        <v>103</v>
      </c>
      <c r="D31" s="7" t="s">
        <v>104</v>
      </c>
      <c r="E31" s="7" t="s">
        <v>105</v>
      </c>
      <c r="F31" s="7">
        <v>2018</v>
      </c>
      <c r="G31" s="7" t="s">
        <v>106</v>
      </c>
      <c r="H31" s="7" t="s">
        <v>107</v>
      </c>
      <c r="I31" s="7" t="s">
        <v>108</v>
      </c>
      <c r="J31" s="7" t="s">
        <v>109</v>
      </c>
      <c r="K31" s="7">
        <v>2019</v>
      </c>
      <c r="L31" s="7" t="s">
        <v>110</v>
      </c>
      <c r="M31" s="7" t="s">
        <v>111</v>
      </c>
      <c r="N31" s="7" t="s">
        <v>112</v>
      </c>
      <c r="O31" s="7" t="s">
        <v>113</v>
      </c>
      <c r="P31" s="7">
        <v>2000</v>
      </c>
      <c r="Q31" s="7" t="s">
        <v>114</v>
      </c>
      <c r="R31" s="7" t="s">
        <v>115</v>
      </c>
      <c r="S31" s="7" t="s">
        <v>116</v>
      </c>
      <c r="T31" s="7" t="s">
        <v>117</v>
      </c>
      <c r="U31" s="7">
        <v>2001</v>
      </c>
      <c r="V31" s="7" t="s">
        <v>118</v>
      </c>
      <c r="W31" s="7" t="s">
        <v>119</v>
      </c>
      <c r="X31" s="7" t="s">
        <v>120</v>
      </c>
      <c r="Y31" s="7" t="s">
        <v>121</v>
      </c>
      <c r="Z31" s="7">
        <v>2002</v>
      </c>
      <c r="AA31" s="7" t="s">
        <v>122</v>
      </c>
      <c r="AB31" s="7" t="s">
        <v>123</v>
      </c>
      <c r="AC31" s="7" t="s">
        <v>124</v>
      </c>
      <c r="AD31" s="7" t="s">
        <v>125</v>
      </c>
      <c r="AE31" s="7">
        <v>2003</v>
      </c>
      <c r="AF31" s="7" t="s">
        <v>126</v>
      </c>
      <c r="AG31" s="7" t="s">
        <v>127</v>
      </c>
      <c r="AH31" s="7" t="s">
        <v>128</v>
      </c>
      <c r="AI31" s="7" t="s">
        <v>129</v>
      </c>
      <c r="AJ31" s="7">
        <v>2004</v>
      </c>
      <c r="AK31" s="7" t="s">
        <v>130</v>
      </c>
      <c r="AL31" s="7" t="s">
        <v>131</v>
      </c>
      <c r="AM31" s="7" t="s">
        <v>132</v>
      </c>
      <c r="AN31" s="7" t="s">
        <v>133</v>
      </c>
      <c r="AO31" s="7">
        <v>2005</v>
      </c>
      <c r="AP31" s="7" t="s">
        <v>134</v>
      </c>
      <c r="AQ31" s="7" t="s">
        <v>135</v>
      </c>
      <c r="AR31" s="7" t="s">
        <v>136</v>
      </c>
      <c r="AS31" s="7" t="s">
        <v>137</v>
      </c>
      <c r="AT31" s="7">
        <v>2006</v>
      </c>
      <c r="AU31" s="7" t="s">
        <v>138</v>
      </c>
      <c r="AV31" s="7" t="s">
        <v>139</v>
      </c>
      <c r="AW31" s="7" t="s">
        <v>140</v>
      </c>
      <c r="AX31" s="7" t="s">
        <v>141</v>
      </c>
      <c r="AY31" s="7">
        <v>2007</v>
      </c>
      <c r="AZ31" s="7" t="s">
        <v>142</v>
      </c>
      <c r="BA31" s="7" t="s">
        <v>143</v>
      </c>
      <c r="BB31" s="7" t="s">
        <v>144</v>
      </c>
      <c r="BC31" s="7" t="s">
        <v>145</v>
      </c>
      <c r="BD31" s="7">
        <v>2008</v>
      </c>
      <c r="BE31" s="7" t="s">
        <v>146</v>
      </c>
      <c r="BF31" s="7" t="s">
        <v>147</v>
      </c>
      <c r="BG31" s="7" t="s">
        <v>148</v>
      </c>
      <c r="BH31" s="7" t="s">
        <v>149</v>
      </c>
      <c r="BI31" s="7">
        <v>2009</v>
      </c>
      <c r="BJ31" s="7" t="s">
        <v>150</v>
      </c>
      <c r="BK31" s="7" t="s">
        <v>151</v>
      </c>
      <c r="BL31" s="7" t="s">
        <v>152</v>
      </c>
      <c r="BM31" s="7" t="s">
        <v>153</v>
      </c>
      <c r="BN31" s="7">
        <v>2010</v>
      </c>
      <c r="BO31" s="7" t="s">
        <v>154</v>
      </c>
      <c r="BP31" s="7" t="s">
        <v>155</v>
      </c>
      <c r="BQ31" s="7" t="s">
        <v>156</v>
      </c>
      <c r="BR31" s="7" t="s">
        <v>157</v>
      </c>
      <c r="BS31" s="7">
        <v>2011</v>
      </c>
      <c r="BT31" s="7" t="s">
        <v>158</v>
      </c>
      <c r="BU31" s="7" t="s">
        <v>159</v>
      </c>
      <c r="BV31" s="7" t="s">
        <v>160</v>
      </c>
      <c r="BW31" s="7" t="s">
        <v>161</v>
      </c>
      <c r="BX31" s="7">
        <v>2012</v>
      </c>
      <c r="BY31" s="7" t="s">
        <v>162</v>
      </c>
      <c r="BZ31" s="7" t="s">
        <v>163</v>
      </c>
      <c r="CA31" s="7" t="s">
        <v>164</v>
      </c>
      <c r="CB31" s="7" t="s">
        <v>165</v>
      </c>
      <c r="CC31" s="7">
        <v>2013</v>
      </c>
      <c r="CD31" s="7" t="s">
        <v>166</v>
      </c>
      <c r="CE31" s="7" t="s">
        <v>167</v>
      </c>
      <c r="CF31" s="7" t="s">
        <v>168</v>
      </c>
      <c r="CG31" s="7" t="s">
        <v>169</v>
      </c>
      <c r="CH31" s="7">
        <v>2014</v>
      </c>
      <c r="CI31" s="7" t="s">
        <v>170</v>
      </c>
      <c r="CJ31" s="7" t="s">
        <v>171</v>
      </c>
      <c r="CK31" s="7" t="s">
        <v>172</v>
      </c>
      <c r="CL31" s="7" t="s">
        <v>173</v>
      </c>
      <c r="CM31" s="7">
        <v>2015</v>
      </c>
      <c r="CN31" s="7" t="s">
        <v>174</v>
      </c>
      <c r="CO31" s="7" t="s">
        <v>175</v>
      </c>
      <c r="CP31" s="7" t="s">
        <v>176</v>
      </c>
      <c r="CQ31" s="7" t="s">
        <v>177</v>
      </c>
      <c r="CR31" s="7">
        <v>2016</v>
      </c>
      <c r="CS31" s="7" t="s">
        <v>178</v>
      </c>
      <c r="CT31" s="7" t="s">
        <v>179</v>
      </c>
      <c r="CU31" s="7" t="s">
        <v>180</v>
      </c>
      <c r="CV31" s="7" t="s">
        <v>181</v>
      </c>
      <c r="CW31" s="7">
        <v>2017</v>
      </c>
      <c r="CX31" s="7" t="s">
        <v>182</v>
      </c>
      <c r="CY31" s="7" t="s">
        <v>183</v>
      </c>
      <c r="CZ31" s="7" t="s">
        <v>184</v>
      </c>
      <c r="DA31" s="7" t="s">
        <v>185</v>
      </c>
      <c r="DB31" s="7">
        <v>2018</v>
      </c>
      <c r="DC31" s="7" t="s">
        <v>186</v>
      </c>
      <c r="DD31" s="7" t="s">
        <v>187</v>
      </c>
      <c r="DE31" s="7" t="s">
        <v>188</v>
      </c>
      <c r="DF31" s="7" t="s">
        <v>189</v>
      </c>
      <c r="DG31" s="7">
        <v>2019</v>
      </c>
      <c r="DH31" s="7" t="s">
        <v>190</v>
      </c>
      <c r="DI31" s="7" t="s">
        <v>191</v>
      </c>
      <c r="DJ31" s="7" t="s">
        <v>192</v>
      </c>
      <c r="DK31" s="7" t="s">
        <v>193</v>
      </c>
      <c r="DL31" s="7">
        <v>2020</v>
      </c>
      <c r="DM31" s="7" t="s">
        <v>194</v>
      </c>
      <c r="DN31" s="7" t="s">
        <v>195</v>
      </c>
      <c r="DO31" s="7" t="s">
        <v>196</v>
      </c>
      <c r="DP31" s="7" t="s">
        <v>197</v>
      </c>
      <c r="DQ31" s="7">
        <v>2021</v>
      </c>
      <c r="DR31" s="7" t="s">
        <v>198</v>
      </c>
      <c r="DS31" s="7" t="s">
        <v>199</v>
      </c>
      <c r="DT31" s="7" t="s">
        <v>201</v>
      </c>
      <c r="DU31" s="7" t="s">
        <v>381</v>
      </c>
      <c r="DV31" s="7">
        <v>2022</v>
      </c>
      <c r="DW31" s="7" t="s">
        <v>382</v>
      </c>
      <c r="DX31" s="7" t="s">
        <v>403</v>
      </c>
      <c r="DY31" s="7" t="s">
        <v>415</v>
      </c>
      <c r="DZ31" s="7" t="s">
        <v>420</v>
      </c>
      <c r="EA31" s="7">
        <v>2023</v>
      </c>
      <c r="EB31" s="7" t="s">
        <v>425</v>
      </c>
      <c r="EC31" s="7" t="s">
        <v>430</v>
      </c>
      <c r="ED31" s="7" t="str">
        <f>$ED$2</f>
        <v>3Q24</v>
      </c>
      <c r="EE31" s="6" t="str">
        <f>$EE$2</f>
        <v>4Q24</v>
      </c>
      <c r="EF31" s="6">
        <f>$EF$2</f>
        <v>2024</v>
      </c>
      <c r="EG31" s="7" t="str">
        <f>EG$2</f>
        <v>1Q25</v>
      </c>
      <c r="EH31" s="7" t="str">
        <f>EH$2</f>
        <v>2Q25</v>
      </c>
      <c r="EI31" s="7" t="str">
        <f>EI$2</f>
        <v>3Q25</v>
      </c>
    </row>
    <row r="32" spans="1:139" ht="15" thickTop="1" x14ac:dyDescent="0.3">
      <c r="A32" s="1" t="s">
        <v>2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27">
        <v>1.3063628699999998</v>
      </c>
      <c r="BK32" s="27">
        <v>1.1060839700000005</v>
      </c>
      <c r="BL32" s="27">
        <v>1.0748150599999999</v>
      </c>
      <c r="BM32" s="27">
        <v>1.1937466700000006</v>
      </c>
      <c r="BN32" s="27">
        <f t="shared" ref="BN32:BN54" si="34">SUM(BJ32:BM32)</f>
        <v>4.6810085700000004</v>
      </c>
      <c r="BO32" s="27">
        <v>1.4260323699999999</v>
      </c>
      <c r="BP32" s="27">
        <v>1.1752999100000008</v>
      </c>
      <c r="BQ32" s="27">
        <v>1.2043972399999994</v>
      </c>
      <c r="BR32" s="27">
        <v>1.3051695100000005</v>
      </c>
      <c r="BS32" s="27">
        <f t="shared" ref="BS32:BS43" si="35">SUM(BO32:BR32)</f>
        <v>5.1108990300000006</v>
      </c>
      <c r="BT32" s="27">
        <v>1.4186203400000001</v>
      </c>
      <c r="BU32" s="27">
        <v>1.2382751499999991</v>
      </c>
      <c r="BV32" s="27">
        <v>1.2688692999999998</v>
      </c>
      <c r="BW32" s="27">
        <v>1.4324456100000014</v>
      </c>
      <c r="BX32" s="27">
        <f t="shared" ref="BX32:BX43" si="36">SUM(BT32:BW32)</f>
        <v>5.3582103999999999</v>
      </c>
      <c r="BY32" s="27">
        <v>1.4313543600000003</v>
      </c>
      <c r="BZ32" s="27">
        <v>1.3263493900000003</v>
      </c>
      <c r="CA32" s="27">
        <v>1.2817591399999997</v>
      </c>
      <c r="CB32" s="27">
        <v>1.9283869799999995</v>
      </c>
      <c r="CC32" s="27">
        <f t="shared" ref="CC32:CC43" si="37">SUM(BY32:CB32)</f>
        <v>5.9678498700000002</v>
      </c>
      <c r="CD32" s="27">
        <v>1.52805565</v>
      </c>
      <c r="CE32" s="27">
        <v>1.4157839600000004</v>
      </c>
      <c r="CF32" s="27">
        <v>1.4406658999999997</v>
      </c>
      <c r="CG32" s="27">
        <v>1.5177130000000012</v>
      </c>
      <c r="CH32" s="27">
        <f t="shared" ref="CH32:CH43" si="38">SUM(CD32:CG32)</f>
        <v>5.9022185100000017</v>
      </c>
      <c r="CI32" s="27">
        <v>1.8317160800000001</v>
      </c>
      <c r="CJ32" s="27">
        <v>1.5761019299999997</v>
      </c>
      <c r="CK32" s="27">
        <v>1.5061393799999996</v>
      </c>
      <c r="CL32" s="27">
        <v>1.5626511800000014</v>
      </c>
      <c r="CM32" s="27">
        <f t="shared" ref="CM32:CM43" si="39">SUM(CI32:CL32)</f>
        <v>6.4766085700000007</v>
      </c>
      <c r="CN32" s="27">
        <v>1.6420412200000001</v>
      </c>
      <c r="CO32" s="27">
        <v>1.8908671499999998</v>
      </c>
      <c r="CP32" s="27">
        <v>1.6713623099999995</v>
      </c>
      <c r="CQ32" s="27">
        <f>6.697-SUM(CN32:CP32)</f>
        <v>1.4927293200000005</v>
      </c>
      <c r="CR32" s="27">
        <f t="shared" ref="CR32:CR43" si="40">SUM(CN32:CQ32)</f>
        <v>6.6970000000000001</v>
      </c>
      <c r="CS32" s="27">
        <v>1.88149886</v>
      </c>
      <c r="CT32" s="27">
        <v>1.63739821</v>
      </c>
      <c r="CU32" s="27">
        <v>1.5898994200000007</v>
      </c>
      <c r="CV32" s="27">
        <v>1.6470837999999997</v>
      </c>
      <c r="CW32" s="27">
        <f t="shared" ref="CW32:CW43" si="41">SUM(CS32:CV32)</f>
        <v>6.7558802900000003</v>
      </c>
      <c r="CX32" s="27">
        <v>1.877</v>
      </c>
      <c r="CY32" s="27">
        <v>3.3879999999999999</v>
      </c>
      <c r="CZ32" s="27">
        <v>1.7969999999999999</v>
      </c>
      <c r="DA32" s="27">
        <v>1.835</v>
      </c>
      <c r="DB32" s="27">
        <f t="shared" ref="DB32:DB43" si="42">SUM(CX32:DA32)</f>
        <v>8.8969999999999985</v>
      </c>
      <c r="DC32" s="27">
        <v>1.79</v>
      </c>
      <c r="DD32" s="27">
        <v>1.794</v>
      </c>
      <c r="DE32" s="27">
        <v>1.847</v>
      </c>
      <c r="DF32" s="27">
        <v>1.9039999999999999</v>
      </c>
      <c r="DG32" s="27">
        <f t="shared" ref="DG32:DG43" si="43">SUM(DC32:DF32)</f>
        <v>7.335</v>
      </c>
      <c r="DH32" s="27">
        <v>1.621</v>
      </c>
      <c r="DI32" s="27">
        <v>1.4239999999999999</v>
      </c>
      <c r="DJ32" s="27">
        <v>3.5089999999999999</v>
      </c>
      <c r="DK32" s="27">
        <v>4.2690000000000001</v>
      </c>
      <c r="DL32" s="27">
        <f t="shared" ref="DL32:DL43" si="44">SUM(DH32:DK32)</f>
        <v>10.823</v>
      </c>
      <c r="DM32" s="27">
        <v>1.546</v>
      </c>
      <c r="DN32" s="27">
        <v>1.1850000000000001</v>
      </c>
      <c r="DO32" s="27">
        <v>1.921</v>
      </c>
      <c r="DP32" s="27">
        <v>3.0459999999999998</v>
      </c>
      <c r="DQ32" s="27">
        <f t="shared" ref="DQ32:DQ43" si="45">SUM(DM32:DP32)</f>
        <v>7.6980000000000004</v>
      </c>
      <c r="DR32" s="27">
        <v>0.14299999999999999</v>
      </c>
      <c r="DS32" s="27">
        <v>0.73799999999999999</v>
      </c>
      <c r="DT32" s="27">
        <v>0.47099999999999997</v>
      </c>
      <c r="DU32" s="27">
        <f>-SUM(DR32:DT32)</f>
        <v>-1.3519999999999999</v>
      </c>
      <c r="DV32" s="27">
        <f t="shared" ref="DV32:DV43" si="46">SUM(DR32:DU32)</f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f t="shared" ref="EA32:EA44" si="47">SUM(DW32:DZ32)</f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f t="shared" ref="EF32:EF44" si="48">SUM(EB32:EE32)</f>
        <v>0</v>
      </c>
      <c r="EG32" s="27">
        <v>0</v>
      </c>
      <c r="EH32" s="27">
        <v>0</v>
      </c>
      <c r="EI32" s="27">
        <v>0</v>
      </c>
    </row>
    <row r="33" spans="1:139" ht="15" thickBot="1" x14ac:dyDescent="0.35">
      <c r="A33" s="2" t="s">
        <v>454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28">
        <v>1.33762303</v>
      </c>
      <c r="BK33" s="28">
        <v>1.3750669900000001</v>
      </c>
      <c r="BL33" s="28">
        <v>1.2836549399999999</v>
      </c>
      <c r="BM33" s="28">
        <v>1.4066767699999998</v>
      </c>
      <c r="BN33" s="28">
        <f t="shared" si="34"/>
        <v>5.4030217299999999</v>
      </c>
      <c r="BO33" s="28">
        <v>1.4012027400000002</v>
      </c>
      <c r="BP33" s="28">
        <v>1.5267967500000001</v>
      </c>
      <c r="BQ33" s="28">
        <v>1.524942539999999</v>
      </c>
      <c r="BR33" s="28">
        <v>1.5176791200000015</v>
      </c>
      <c r="BS33" s="28">
        <f t="shared" si="35"/>
        <v>5.9706211500000004</v>
      </c>
      <c r="BT33" s="28">
        <v>1.5768325000000001</v>
      </c>
      <c r="BU33" s="28">
        <v>1.5869101099999998</v>
      </c>
      <c r="BV33" s="28">
        <v>1.5300158200000009</v>
      </c>
      <c r="BW33" s="28">
        <v>1.6047940599999997</v>
      </c>
      <c r="BX33" s="28">
        <f t="shared" si="36"/>
        <v>6.2985524900000005</v>
      </c>
      <c r="BY33" s="28">
        <v>1.6611224100000002</v>
      </c>
      <c r="BZ33" s="28">
        <v>2.008858</v>
      </c>
      <c r="CA33" s="28">
        <v>1.8133872099999999</v>
      </c>
      <c r="CB33" s="28">
        <v>2.2280934600000002</v>
      </c>
      <c r="CC33" s="28">
        <f t="shared" si="37"/>
        <v>7.7114610800000003</v>
      </c>
      <c r="CD33" s="28">
        <v>1.86745549</v>
      </c>
      <c r="CE33" s="28">
        <v>2.01321423</v>
      </c>
      <c r="CF33" s="28">
        <v>3.2082865600000003</v>
      </c>
      <c r="CG33" s="28">
        <v>2.4272660300000011</v>
      </c>
      <c r="CH33" s="28">
        <f t="shared" si="38"/>
        <v>9.5162223100000016</v>
      </c>
      <c r="CI33" s="28">
        <v>2.8837843799999998</v>
      </c>
      <c r="CJ33" s="28">
        <v>3.6532522900000002</v>
      </c>
      <c r="CK33" s="28">
        <v>3.1815047900000009</v>
      </c>
      <c r="CL33" s="28">
        <v>3.1006584500000001</v>
      </c>
      <c r="CM33" s="28">
        <f t="shared" si="39"/>
        <v>12.819199910000002</v>
      </c>
      <c r="CN33" s="28">
        <v>3.1681429300000001</v>
      </c>
      <c r="CO33" s="28">
        <v>3.7378934099999999</v>
      </c>
      <c r="CP33" s="28">
        <v>2.984529199999999</v>
      </c>
      <c r="CQ33" s="28">
        <f>13.075-SUM(CN33:CP33)</f>
        <v>3.1844344600000003</v>
      </c>
      <c r="CR33" s="28">
        <f t="shared" si="40"/>
        <v>13.074999999999999</v>
      </c>
      <c r="CS33" s="28">
        <v>3.3024449700000003</v>
      </c>
      <c r="CT33" s="28">
        <v>3.4632856299999992</v>
      </c>
      <c r="CU33" s="28">
        <v>3.3876553399999998</v>
      </c>
      <c r="CV33" s="28">
        <v>3.4030881900000014</v>
      </c>
      <c r="CW33" s="28">
        <f t="shared" si="41"/>
        <v>13.556474130000002</v>
      </c>
      <c r="CX33" s="28">
        <v>3.343</v>
      </c>
      <c r="CY33" s="28">
        <v>3.2909999999999999</v>
      </c>
      <c r="CZ33" s="28">
        <v>3.1949999999999998</v>
      </c>
      <c r="DA33" s="28">
        <v>3.2629999999999999</v>
      </c>
      <c r="DB33" s="28">
        <f t="shared" si="42"/>
        <v>13.092000000000001</v>
      </c>
      <c r="DC33" s="28">
        <v>3.24</v>
      </c>
      <c r="DD33" s="28">
        <v>3.161</v>
      </c>
      <c r="DE33" s="28">
        <v>3.21</v>
      </c>
      <c r="DF33" s="28">
        <v>3.1459999999999999</v>
      </c>
      <c r="DG33" s="28">
        <f t="shared" si="43"/>
        <v>12.757000000000001</v>
      </c>
      <c r="DH33" s="28">
        <v>3.1160000000000001</v>
      </c>
      <c r="DI33" s="28">
        <v>2.948</v>
      </c>
      <c r="DJ33" s="28">
        <v>3.2879999999999998</v>
      </c>
      <c r="DK33" s="28">
        <v>3.323</v>
      </c>
      <c r="DL33" s="28">
        <f t="shared" si="44"/>
        <v>12.675000000000001</v>
      </c>
      <c r="DM33" s="28">
        <v>3.2330000000000001</v>
      </c>
      <c r="DN33" s="28">
        <v>3.359</v>
      </c>
      <c r="DO33" s="28">
        <v>3.2709999999999999</v>
      </c>
      <c r="DP33" s="28">
        <v>3.3340000000000001</v>
      </c>
      <c r="DQ33" s="28">
        <f t="shared" si="45"/>
        <v>13.196999999999999</v>
      </c>
      <c r="DR33" s="28">
        <v>3.36</v>
      </c>
      <c r="DS33" s="28">
        <v>3.278</v>
      </c>
      <c r="DT33" s="28">
        <v>4.1379999999999999</v>
      </c>
      <c r="DU33" s="28">
        <v>3.6739999999999999</v>
      </c>
      <c r="DV33" s="28">
        <f t="shared" si="46"/>
        <v>14.45</v>
      </c>
      <c r="DW33" s="28">
        <v>3.8660000000000001</v>
      </c>
      <c r="DX33" s="28">
        <v>4.1680000000000001</v>
      </c>
      <c r="DY33" s="28">
        <v>3.8166426099999993</v>
      </c>
      <c r="DZ33" s="28">
        <v>4.0139282600000001</v>
      </c>
      <c r="EA33" s="28">
        <f t="shared" si="47"/>
        <v>15.86457087</v>
      </c>
      <c r="EB33" s="28">
        <v>4.0858895500000001</v>
      </c>
      <c r="EC33" s="28">
        <v>3.8363486800000008</v>
      </c>
      <c r="ED33" s="28">
        <v>3.859</v>
      </c>
      <c r="EE33" s="28">
        <v>4.2966214100000002</v>
      </c>
      <c r="EF33" s="28">
        <f t="shared" si="48"/>
        <v>16.07785964</v>
      </c>
      <c r="EG33" s="28">
        <v>3.9115108199999997</v>
      </c>
      <c r="EH33" s="28">
        <v>4.29671615</v>
      </c>
      <c r="EI33" s="28">
        <v>4.4077686600000012</v>
      </c>
    </row>
    <row r="34" spans="1:139" ht="15" thickTop="1" x14ac:dyDescent="0.3">
      <c r="A34" s="1" t="s">
        <v>442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27">
        <v>3.8861918799999997</v>
      </c>
      <c r="BK34" s="27">
        <v>3.7126098200000013</v>
      </c>
      <c r="BL34" s="27">
        <v>3.6897933499999991</v>
      </c>
      <c r="BM34" s="27">
        <v>3.84166198</v>
      </c>
      <c r="BN34" s="27">
        <f t="shared" si="34"/>
        <v>15.130257029999999</v>
      </c>
      <c r="BO34" s="27">
        <v>3.7029984600000003</v>
      </c>
      <c r="BP34" s="27">
        <v>3.6047558599999987</v>
      </c>
      <c r="BQ34" s="27">
        <v>3.7148003300000005</v>
      </c>
      <c r="BR34" s="27">
        <v>4.2081616399999984</v>
      </c>
      <c r="BS34" s="27">
        <f t="shared" si="35"/>
        <v>15.230716289999998</v>
      </c>
      <c r="BT34" s="27">
        <v>4.3271735599999994</v>
      </c>
      <c r="BU34" s="27">
        <v>4.0857846700000016</v>
      </c>
      <c r="BV34" s="27">
        <v>3.9984681399999991</v>
      </c>
      <c r="BW34" s="27">
        <v>4.3759370500000001</v>
      </c>
      <c r="BX34" s="27">
        <f t="shared" si="36"/>
        <v>16.787363420000002</v>
      </c>
      <c r="BY34" s="27">
        <v>5.1338101600000012</v>
      </c>
      <c r="BZ34" s="27">
        <v>4.9831656899999981</v>
      </c>
      <c r="CA34" s="27">
        <v>4.6696047600000021</v>
      </c>
      <c r="CB34" s="27">
        <v>5.9485433499999978</v>
      </c>
      <c r="CC34" s="27">
        <f t="shared" si="37"/>
        <v>20.735123959999999</v>
      </c>
      <c r="CD34" s="27">
        <v>5.3978063700000005</v>
      </c>
      <c r="CE34" s="27">
        <v>5.3118140599999988</v>
      </c>
      <c r="CF34" s="27">
        <v>5.1836185000000023</v>
      </c>
      <c r="CG34" s="27">
        <v>5.7108684299999917</v>
      </c>
      <c r="CH34" s="27">
        <f t="shared" si="38"/>
        <v>21.604107359999993</v>
      </c>
      <c r="CI34" s="27">
        <v>6.0687068699999998</v>
      </c>
      <c r="CJ34" s="27">
        <v>5.9368843899999995</v>
      </c>
      <c r="CK34" s="27">
        <v>5.8853733500000018</v>
      </c>
      <c r="CL34" s="27">
        <v>6.6133445399999964</v>
      </c>
      <c r="CM34" s="27">
        <f t="shared" si="39"/>
        <v>24.504309149999997</v>
      </c>
      <c r="CN34" s="27">
        <v>6.5701277999999999</v>
      </c>
      <c r="CO34" s="27">
        <v>6.3311720800000018</v>
      </c>
      <c r="CP34" s="27">
        <v>6.3407593799999997</v>
      </c>
      <c r="CQ34" s="27">
        <f>25.573-SUM(CN34:CP34)</f>
        <v>6.3309407399999991</v>
      </c>
      <c r="CR34" s="27">
        <f t="shared" si="40"/>
        <v>25.573</v>
      </c>
      <c r="CS34" s="27">
        <v>6.9811736699999996</v>
      </c>
      <c r="CT34" s="27">
        <v>8.0519326000000007</v>
      </c>
      <c r="CU34" s="27">
        <v>4.8615655099999993</v>
      </c>
      <c r="CV34" s="27">
        <v>6.6132386100000007</v>
      </c>
      <c r="CW34" s="27">
        <f t="shared" si="41"/>
        <v>26.507910389999999</v>
      </c>
      <c r="CX34" s="27">
        <v>6.9169999999999998</v>
      </c>
      <c r="CY34" s="27">
        <v>6.5149999999999997</v>
      </c>
      <c r="CZ34" s="27">
        <v>6.5940000000000003</v>
      </c>
      <c r="DA34" s="27">
        <v>6.0049999999999999</v>
      </c>
      <c r="DB34" s="27">
        <f t="shared" si="42"/>
        <v>26.030999999999999</v>
      </c>
      <c r="DC34" s="27">
        <v>8.3360000000000003</v>
      </c>
      <c r="DD34" s="27">
        <v>6.6040000000000001</v>
      </c>
      <c r="DE34" s="27">
        <v>6.6859999999999999</v>
      </c>
      <c r="DF34" s="27">
        <v>7.4480000000000004</v>
      </c>
      <c r="DG34" s="27">
        <f t="shared" si="43"/>
        <v>29.074000000000002</v>
      </c>
      <c r="DH34" s="27">
        <v>8.1180000000000003</v>
      </c>
      <c r="DI34" s="27">
        <v>6.11</v>
      </c>
      <c r="DJ34" s="27">
        <v>7.2919999999999998</v>
      </c>
      <c r="DK34" s="27">
        <v>6.8070000000000004</v>
      </c>
      <c r="DL34" s="27">
        <f t="shared" si="44"/>
        <v>28.327000000000005</v>
      </c>
      <c r="DM34" s="27">
        <v>7.694</v>
      </c>
      <c r="DN34" s="27">
        <v>7.7279999999999998</v>
      </c>
      <c r="DO34" s="27">
        <v>7.8040000000000003</v>
      </c>
      <c r="DP34" s="27">
        <v>8.1150000000000002</v>
      </c>
      <c r="DQ34" s="27">
        <f t="shared" si="45"/>
        <v>31.341000000000001</v>
      </c>
      <c r="DR34" s="27">
        <v>8.4760000000000009</v>
      </c>
      <c r="DS34" s="27">
        <v>8.3970000000000002</v>
      </c>
      <c r="DT34" s="27">
        <v>8.5389999999999997</v>
      </c>
      <c r="DU34" s="27">
        <v>8.5660000000000007</v>
      </c>
      <c r="DV34" s="27">
        <f t="shared" si="46"/>
        <v>33.978000000000002</v>
      </c>
      <c r="DW34" s="27">
        <v>10.039</v>
      </c>
      <c r="DX34" s="27">
        <v>9.5589999999999993</v>
      </c>
      <c r="DY34" s="27">
        <v>10.017999649999998</v>
      </c>
      <c r="DZ34" s="27">
        <v>9.532952479999997</v>
      </c>
      <c r="EA34" s="27">
        <f t="shared" si="47"/>
        <v>39.148952129999998</v>
      </c>
      <c r="EB34" s="27">
        <v>10.9256718</v>
      </c>
      <c r="EC34" s="27">
        <v>8.416821800000001</v>
      </c>
      <c r="ED34" s="27">
        <v>9.3650000000000002</v>
      </c>
      <c r="EE34" s="27">
        <v>10.736452679999999</v>
      </c>
      <c r="EF34" s="27">
        <f t="shared" si="48"/>
        <v>39.443946279999999</v>
      </c>
      <c r="EG34" s="27">
        <v>9.6143384199999993</v>
      </c>
      <c r="EH34" s="27">
        <v>10.76680955</v>
      </c>
      <c r="EI34" s="27">
        <v>9.9430494100000004</v>
      </c>
    </row>
    <row r="35" spans="1:139" ht="15" thickBot="1" x14ac:dyDescent="0.35">
      <c r="A35" s="2" t="s">
        <v>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28">
        <v>1.82014667</v>
      </c>
      <c r="BK35" s="28">
        <v>1.9459565600000002</v>
      </c>
      <c r="BL35" s="28">
        <v>1.9593293700000005</v>
      </c>
      <c r="BM35" s="28">
        <v>2.05144226</v>
      </c>
      <c r="BN35" s="28">
        <f t="shared" si="34"/>
        <v>7.7768748600000004</v>
      </c>
      <c r="BO35" s="28">
        <v>2.0671120799999998</v>
      </c>
      <c r="BP35" s="28">
        <v>2.1558551500000003</v>
      </c>
      <c r="BQ35" s="28">
        <v>1.9247016699999993</v>
      </c>
      <c r="BR35" s="28">
        <v>2.5433209399999988</v>
      </c>
      <c r="BS35" s="28">
        <f t="shared" si="35"/>
        <v>8.6909898399999985</v>
      </c>
      <c r="BT35" s="28">
        <v>4.0938829400000003</v>
      </c>
      <c r="BU35" s="28">
        <v>0.50507699999999911</v>
      </c>
      <c r="BV35" s="28">
        <v>2.3259031400000012</v>
      </c>
      <c r="BW35" s="28">
        <v>2.2379123699999992</v>
      </c>
      <c r="BX35" s="28">
        <f t="shared" si="36"/>
        <v>9.1627754499999998</v>
      </c>
      <c r="BY35" s="28">
        <v>2.3303622100000001</v>
      </c>
      <c r="BZ35" s="28">
        <v>2.4919753699999991</v>
      </c>
      <c r="CA35" s="28">
        <v>2.43460893</v>
      </c>
      <c r="CB35" s="28">
        <v>2.8630935900000041</v>
      </c>
      <c r="CC35" s="28">
        <f t="shared" si="37"/>
        <v>10.120040100000002</v>
      </c>
      <c r="CD35" s="28">
        <v>2.3202659899999998</v>
      </c>
      <c r="CE35" s="28">
        <v>2.9804987300000012</v>
      </c>
      <c r="CF35" s="28">
        <v>2.7998598399999994</v>
      </c>
      <c r="CG35" s="28">
        <v>2.8678439799999977</v>
      </c>
      <c r="CH35" s="28">
        <f t="shared" si="38"/>
        <v>10.968468539999998</v>
      </c>
      <c r="CI35" s="28">
        <v>3.2559874799999999</v>
      </c>
      <c r="CJ35" s="28">
        <v>3.4869384400000003</v>
      </c>
      <c r="CK35" s="28">
        <v>3.3052630499999998</v>
      </c>
      <c r="CL35" s="28">
        <v>3.2824127299999981</v>
      </c>
      <c r="CM35" s="28">
        <f t="shared" si="39"/>
        <v>13.330601699999999</v>
      </c>
      <c r="CN35" s="28">
        <v>3.2972878399999996</v>
      </c>
      <c r="CO35" s="28">
        <v>3.5318174500000006</v>
      </c>
      <c r="CP35" s="28">
        <v>3.6797051499999998</v>
      </c>
      <c r="CQ35" s="28">
        <f>13.767-SUM(CN35:CP35)</f>
        <v>3.2581895599999999</v>
      </c>
      <c r="CR35" s="28">
        <f t="shared" si="40"/>
        <v>13.766999999999999</v>
      </c>
      <c r="CS35" s="28">
        <v>3.69058829</v>
      </c>
      <c r="CT35" s="28">
        <v>3.8863836100000002</v>
      </c>
      <c r="CU35" s="28">
        <v>3.9766025799999998</v>
      </c>
      <c r="CV35" s="28">
        <v>3.6824113300000008</v>
      </c>
      <c r="CW35" s="28">
        <f t="shared" si="41"/>
        <v>15.235985810000001</v>
      </c>
      <c r="CX35" s="28">
        <v>3.8730000000000002</v>
      </c>
      <c r="CY35" s="28">
        <v>3.8069999999999999</v>
      </c>
      <c r="CZ35" s="28">
        <v>3.9649999999999999</v>
      </c>
      <c r="DA35" s="28">
        <v>4.0810000000000004</v>
      </c>
      <c r="DB35" s="28">
        <f t="shared" si="42"/>
        <v>15.725999999999999</v>
      </c>
      <c r="DC35" s="28">
        <v>3.9580000000000002</v>
      </c>
      <c r="DD35" s="28">
        <v>3.93</v>
      </c>
      <c r="DE35" s="28">
        <v>4.3449999999999998</v>
      </c>
      <c r="DF35" s="28">
        <v>3.944</v>
      </c>
      <c r="DG35" s="28">
        <f t="shared" si="43"/>
        <v>16.177</v>
      </c>
      <c r="DH35" s="28">
        <v>4.0389999999999997</v>
      </c>
      <c r="DI35" s="28">
        <v>3.625</v>
      </c>
      <c r="DJ35" s="28">
        <v>3.9489999999999998</v>
      </c>
      <c r="DK35" s="28">
        <v>4.383</v>
      </c>
      <c r="DL35" s="28">
        <f t="shared" si="44"/>
        <v>15.995999999999999</v>
      </c>
      <c r="DM35" s="28">
        <v>3.9089999999999998</v>
      </c>
      <c r="DN35" s="28">
        <v>4.452</v>
      </c>
      <c r="DO35" s="28">
        <v>4.4450000000000003</v>
      </c>
      <c r="DP35" s="28">
        <v>5.2770000000000001</v>
      </c>
      <c r="DQ35" s="28">
        <f t="shared" si="45"/>
        <v>18.083000000000002</v>
      </c>
      <c r="DR35" s="28">
        <v>0.25700000000000001</v>
      </c>
      <c r="DS35" s="28">
        <v>0.77900000000000003</v>
      </c>
      <c r="DT35" s="28">
        <v>1.2E-2</v>
      </c>
      <c r="DU35" s="28">
        <f>-SUM(DR35:DT35)</f>
        <v>-1.048</v>
      </c>
      <c r="DV35" s="28">
        <f t="shared" si="46"/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f t="shared" si="47"/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f t="shared" si="48"/>
        <v>0</v>
      </c>
      <c r="EG35" s="28">
        <v>0</v>
      </c>
      <c r="EH35" s="28">
        <v>0</v>
      </c>
      <c r="EI35" s="28">
        <v>0</v>
      </c>
    </row>
    <row r="36" spans="1:139" ht="15" thickTop="1" x14ac:dyDescent="0.3">
      <c r="A36" s="1" t="s">
        <v>443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27">
        <v>2.0232878299999997</v>
      </c>
      <c r="BK36" s="27">
        <v>2.3105972100000005</v>
      </c>
      <c r="BL36" s="27">
        <v>2.3090085999999999</v>
      </c>
      <c r="BM36" s="27">
        <v>2.4294860999999996</v>
      </c>
      <c r="BN36" s="27">
        <f t="shared" si="34"/>
        <v>9.0723797400000006</v>
      </c>
      <c r="BO36" s="27">
        <v>2.6333362600000001</v>
      </c>
      <c r="BP36" s="27">
        <v>2.6449236100000002</v>
      </c>
      <c r="BQ36" s="27">
        <v>2.6659390300000005</v>
      </c>
      <c r="BR36" s="27">
        <v>2.8625588100000003</v>
      </c>
      <c r="BS36" s="27">
        <f t="shared" si="35"/>
        <v>10.806757710000001</v>
      </c>
      <c r="BT36" s="27">
        <v>2.7127168700000004</v>
      </c>
      <c r="BU36" s="27">
        <v>2.7892574599999991</v>
      </c>
      <c r="BV36" s="27">
        <v>2.6318859500000009</v>
      </c>
      <c r="BW36" s="27">
        <v>2.9374456700000007</v>
      </c>
      <c r="BX36" s="27">
        <f t="shared" si="36"/>
        <v>11.071305950000001</v>
      </c>
      <c r="BY36" s="27">
        <v>3.0382229600000001</v>
      </c>
      <c r="BZ36" s="27">
        <v>2.98672038</v>
      </c>
      <c r="CA36" s="27">
        <v>3.008958079999998</v>
      </c>
      <c r="CB36" s="27">
        <v>3.2349509199999997</v>
      </c>
      <c r="CC36" s="27">
        <f t="shared" si="37"/>
        <v>12.268852339999997</v>
      </c>
      <c r="CD36" s="27">
        <v>3.3247035999999999</v>
      </c>
      <c r="CE36" s="27">
        <v>3.0380316400000003</v>
      </c>
      <c r="CF36" s="27">
        <v>2.9885301900000001</v>
      </c>
      <c r="CG36" s="27">
        <v>3.7729289700000002</v>
      </c>
      <c r="CH36" s="27">
        <f t="shared" si="38"/>
        <v>13.1241944</v>
      </c>
      <c r="CI36" s="27">
        <v>4.2467302400000007</v>
      </c>
      <c r="CJ36" s="27">
        <v>4.1759979700000001</v>
      </c>
      <c r="CK36" s="27">
        <v>3.9165388999999999</v>
      </c>
      <c r="CL36" s="27">
        <v>3.9710312299999986</v>
      </c>
      <c r="CM36" s="27">
        <f t="shared" si="39"/>
        <v>16.310298339999999</v>
      </c>
      <c r="CN36" s="27">
        <v>4.08466971</v>
      </c>
      <c r="CO36" s="27">
        <v>4.0242208599999998</v>
      </c>
      <c r="CP36" s="27">
        <v>4.1864292899999995</v>
      </c>
      <c r="CQ36" s="27">
        <f>16.419-SUM(CN36:CP36)</f>
        <v>4.1236801400000012</v>
      </c>
      <c r="CR36" s="27">
        <f t="shared" si="40"/>
        <v>16.419</v>
      </c>
      <c r="CS36" s="27">
        <v>4.6991677300000001</v>
      </c>
      <c r="CT36" s="27">
        <v>4.3207894599999994</v>
      </c>
      <c r="CU36" s="27">
        <v>4.1998746200000019</v>
      </c>
      <c r="CV36" s="27">
        <v>5.0788873299999961</v>
      </c>
      <c r="CW36" s="27">
        <f t="shared" si="41"/>
        <v>18.298719139999999</v>
      </c>
      <c r="CX36" s="27">
        <v>4.5670000000000002</v>
      </c>
      <c r="CY36" s="27">
        <v>4.5739999999999998</v>
      </c>
      <c r="CZ36" s="27">
        <v>4.6989999999999998</v>
      </c>
      <c r="DA36" s="27">
        <v>4.5590000000000002</v>
      </c>
      <c r="DB36" s="27">
        <f t="shared" si="42"/>
        <v>18.399000000000001</v>
      </c>
      <c r="DC36" s="27">
        <v>4.7910000000000004</v>
      </c>
      <c r="DD36" s="27">
        <v>4.4420000000000002</v>
      </c>
      <c r="DE36" s="27">
        <v>5.3869999999999996</v>
      </c>
      <c r="DF36" s="27">
        <v>6.1479999999999997</v>
      </c>
      <c r="DG36" s="27">
        <f t="shared" si="43"/>
        <v>20.768000000000001</v>
      </c>
      <c r="DH36" s="27">
        <v>5.37</v>
      </c>
      <c r="DI36" s="27">
        <v>4.5590000000000002</v>
      </c>
      <c r="DJ36" s="27">
        <v>4.8380000000000001</v>
      </c>
      <c r="DK36" s="27">
        <v>4.9870000000000001</v>
      </c>
      <c r="DL36" s="27">
        <f t="shared" si="44"/>
        <v>19.753999999999998</v>
      </c>
      <c r="DM36" s="27">
        <v>5.33</v>
      </c>
      <c r="DN36" s="27">
        <v>5.6280000000000001</v>
      </c>
      <c r="DO36" s="27">
        <v>5.7060000000000004</v>
      </c>
      <c r="DP36" s="27">
        <v>5.8879999999999999</v>
      </c>
      <c r="DQ36" s="27">
        <f t="shared" si="45"/>
        <v>22.552</v>
      </c>
      <c r="DR36" s="27">
        <v>5.4</v>
      </c>
      <c r="DS36" s="27">
        <v>5.57</v>
      </c>
      <c r="DT36" s="27">
        <v>5.3959999999999999</v>
      </c>
      <c r="DU36" s="27">
        <v>6.0830000000000002</v>
      </c>
      <c r="DV36" s="27">
        <f t="shared" si="46"/>
        <v>22.448999999999998</v>
      </c>
      <c r="DW36" s="27">
        <v>6.3140000000000001</v>
      </c>
      <c r="DX36" s="27">
        <v>6.7519999999999998</v>
      </c>
      <c r="DY36" s="27">
        <v>5.542173189999998</v>
      </c>
      <c r="DZ36" s="27">
        <v>6.2563763400000036</v>
      </c>
      <c r="EA36" s="27">
        <f t="shared" si="47"/>
        <v>24.864549529999998</v>
      </c>
      <c r="EB36" s="27">
        <v>5.7198045199999994</v>
      </c>
      <c r="EC36" s="27">
        <v>6.3433778700000012</v>
      </c>
      <c r="ED36" s="27">
        <v>6.657</v>
      </c>
      <c r="EE36" s="27">
        <v>7.3580115100000016</v>
      </c>
      <c r="EF36" s="27">
        <f t="shared" si="48"/>
        <v>26.078193900000002</v>
      </c>
      <c r="EG36" s="27">
        <v>6.3431416500000006</v>
      </c>
      <c r="EH36" s="27">
        <v>6.6951349399999991</v>
      </c>
      <c r="EI36" s="27">
        <v>7.5114320300000008</v>
      </c>
    </row>
    <row r="37" spans="1:139" ht="15" thickBot="1" x14ac:dyDescent="0.35">
      <c r="A37" s="2" t="s">
        <v>481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28">
        <v>0</v>
      </c>
      <c r="BK37" s="28">
        <v>0</v>
      </c>
      <c r="BL37" s="28">
        <v>0</v>
      </c>
      <c r="BM37" s="28">
        <v>0</v>
      </c>
      <c r="BN37" s="28">
        <f t="shared" si="34"/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f t="shared" si="35"/>
        <v>0</v>
      </c>
      <c r="BT37" s="28">
        <v>0</v>
      </c>
      <c r="BU37" s="28">
        <v>0</v>
      </c>
      <c r="BV37" s="28">
        <v>3.9999999899009705E-8</v>
      </c>
      <c r="BW37" s="28">
        <v>2.3970000000076652E-5</v>
      </c>
      <c r="BX37" s="28">
        <f t="shared" si="36"/>
        <v>2.4009999999975662E-5</v>
      </c>
      <c r="BY37" s="28">
        <v>0.51455027999999992</v>
      </c>
      <c r="BZ37" s="28">
        <v>0.66231170000000006</v>
      </c>
      <c r="CA37" s="28">
        <v>-0.5975990299999997</v>
      </c>
      <c r="CB37" s="28">
        <v>2.4006701399999999</v>
      </c>
      <c r="CC37" s="28">
        <f t="shared" si="37"/>
        <v>2.9799330900000003</v>
      </c>
      <c r="CD37" s="28">
        <v>2.6560988299999999</v>
      </c>
      <c r="CE37" s="28">
        <v>3.9860724699999994</v>
      </c>
      <c r="CF37" s="28">
        <v>4.2974106800000005</v>
      </c>
      <c r="CG37" s="28">
        <v>4.3100030599999997</v>
      </c>
      <c r="CH37" s="28">
        <f t="shared" si="38"/>
        <v>15.249585039999999</v>
      </c>
      <c r="CI37" s="28">
        <v>5.2685046299999998</v>
      </c>
      <c r="CJ37" s="28">
        <v>5.5890833199999994</v>
      </c>
      <c r="CK37" s="28">
        <v>5.2356470200000009</v>
      </c>
      <c r="CL37" s="28">
        <v>5.2961121399999973</v>
      </c>
      <c r="CM37" s="28">
        <f t="shared" si="39"/>
        <v>21.389347109999999</v>
      </c>
      <c r="CN37" s="28">
        <v>5.3753930199999997</v>
      </c>
      <c r="CO37" s="28">
        <v>5.2210595700000004</v>
      </c>
      <c r="CP37" s="28">
        <v>5.0145952799999991</v>
      </c>
      <c r="CQ37" s="28">
        <f>21.117-SUM(CN37:CP37)</f>
        <v>5.5059521300000007</v>
      </c>
      <c r="CR37" s="28">
        <f t="shared" si="40"/>
        <v>21.117000000000001</v>
      </c>
      <c r="CS37" s="28">
        <v>5.1402460899999998</v>
      </c>
      <c r="CT37" s="28">
        <v>5.153444519999999</v>
      </c>
      <c r="CU37" s="28">
        <v>5.0617928900000013</v>
      </c>
      <c r="CV37" s="28">
        <v>4.7333843999999967</v>
      </c>
      <c r="CW37" s="28">
        <f t="shared" si="41"/>
        <v>20.088867899999997</v>
      </c>
      <c r="CX37" s="28">
        <v>4.7709999999999999</v>
      </c>
      <c r="CY37" s="28">
        <v>5.343</v>
      </c>
      <c r="CZ37" s="28">
        <v>3.93</v>
      </c>
      <c r="DA37" s="28">
        <v>4.7720000000000002</v>
      </c>
      <c r="DB37" s="28">
        <f t="shared" si="42"/>
        <v>18.816000000000003</v>
      </c>
      <c r="DC37" s="28">
        <v>5.0229999999999997</v>
      </c>
      <c r="DD37" s="28">
        <v>4.859</v>
      </c>
      <c r="DE37" s="28">
        <v>5.0839999999999996</v>
      </c>
      <c r="DF37" s="28">
        <v>5.2069999999999999</v>
      </c>
      <c r="DG37" s="28">
        <f t="shared" si="43"/>
        <v>20.172999999999998</v>
      </c>
      <c r="DH37" s="28">
        <v>5.5529999999999999</v>
      </c>
      <c r="DI37" s="28">
        <v>4.7649999999999997</v>
      </c>
      <c r="DJ37" s="28">
        <v>5.1509999999999998</v>
      </c>
      <c r="DK37" s="28">
        <v>5.4630000000000001</v>
      </c>
      <c r="DL37" s="28">
        <f t="shared" si="44"/>
        <v>20.931999999999999</v>
      </c>
      <c r="DM37" s="28">
        <v>5.532</v>
      </c>
      <c r="DN37" s="28">
        <v>6.0629999999999997</v>
      </c>
      <c r="DO37" s="28">
        <v>5.85</v>
      </c>
      <c r="DP37" s="28">
        <v>6.2069999999999999</v>
      </c>
      <c r="DQ37" s="28">
        <f t="shared" si="45"/>
        <v>23.652000000000001</v>
      </c>
      <c r="DR37" s="28">
        <v>6.1059999999999999</v>
      </c>
      <c r="DS37" s="28">
        <v>8.14</v>
      </c>
      <c r="DT37" s="28">
        <v>3.3050000000000002</v>
      </c>
      <c r="DU37" s="28">
        <v>5.72</v>
      </c>
      <c r="DV37" s="28">
        <f t="shared" si="46"/>
        <v>23.271000000000001</v>
      </c>
      <c r="DW37" s="28">
        <v>5.7549999999999999</v>
      </c>
      <c r="DX37" s="28">
        <v>6.0979999999999999</v>
      </c>
      <c r="DY37" s="28">
        <v>7.2666511500000022</v>
      </c>
      <c r="DZ37" s="28">
        <v>7.1250175700000007</v>
      </c>
      <c r="EA37" s="28">
        <f t="shared" si="47"/>
        <v>26.244668720000004</v>
      </c>
      <c r="EB37" s="28">
        <v>5.8261706500000008</v>
      </c>
      <c r="EC37" s="28">
        <v>6.1055417500000004</v>
      </c>
      <c r="ED37" s="28">
        <v>6.3879999999999999</v>
      </c>
      <c r="EE37" s="28">
        <v>6.9352839299999998</v>
      </c>
      <c r="EF37" s="28">
        <f t="shared" si="48"/>
        <v>25.254996330000001</v>
      </c>
      <c r="EG37" s="28">
        <v>6.4426580400000004</v>
      </c>
      <c r="EH37" s="28">
        <v>6.9662054500000004</v>
      </c>
      <c r="EI37" s="28">
        <v>7.2050968300000005</v>
      </c>
    </row>
    <row r="38" spans="1:139" ht="15" thickTop="1" x14ac:dyDescent="0.3">
      <c r="A38" s="1" t="s">
        <v>445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27">
        <v>0</v>
      </c>
      <c r="BK38" s="27">
        <v>0</v>
      </c>
      <c r="BL38" s="27">
        <v>0</v>
      </c>
      <c r="BM38" s="27">
        <v>0</v>
      </c>
      <c r="BN38" s="27">
        <f t="shared" si="34"/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f t="shared" si="35"/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f t="shared" si="36"/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f t="shared" si="37"/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f t="shared" si="38"/>
        <v>0</v>
      </c>
      <c r="CI38" s="27">
        <v>0</v>
      </c>
      <c r="CJ38" s="27">
        <v>1.09275499</v>
      </c>
      <c r="CK38" s="27">
        <v>2.4439161700000001</v>
      </c>
      <c r="CL38" s="27">
        <v>2.7488580100000002</v>
      </c>
      <c r="CM38" s="27">
        <f t="shared" si="39"/>
        <v>6.2855291700000002</v>
      </c>
      <c r="CN38" s="27">
        <v>2.7734434599999997</v>
      </c>
      <c r="CO38" s="27">
        <v>2.82313445</v>
      </c>
      <c r="CP38" s="27">
        <v>2.8612893500000012</v>
      </c>
      <c r="CQ38" s="27">
        <f>11.331-SUM(CN38:CP38)</f>
        <v>2.8731327399999991</v>
      </c>
      <c r="CR38" s="27">
        <f t="shared" si="40"/>
        <v>11.331</v>
      </c>
      <c r="CS38" s="27">
        <v>2.86700548</v>
      </c>
      <c r="CT38" s="27">
        <v>2.87657433</v>
      </c>
      <c r="CU38" s="27">
        <v>2.7833749500000002</v>
      </c>
      <c r="CV38" s="27">
        <v>2.8406471799999991</v>
      </c>
      <c r="CW38" s="27">
        <f t="shared" si="41"/>
        <v>11.36760194</v>
      </c>
      <c r="CX38" s="27">
        <v>2.8479999999999999</v>
      </c>
      <c r="CY38" s="27">
        <v>2.839</v>
      </c>
      <c r="CZ38" s="27">
        <v>2.93</v>
      </c>
      <c r="DA38" s="27">
        <v>2.2389999999999999</v>
      </c>
      <c r="DB38" s="27">
        <f t="shared" si="42"/>
        <v>10.855999999999998</v>
      </c>
      <c r="DC38" s="27">
        <v>2.5590000000000002</v>
      </c>
      <c r="DD38" s="27">
        <v>2.2509999999999999</v>
      </c>
      <c r="DE38" s="27">
        <v>2.798</v>
      </c>
      <c r="DF38" s="27">
        <v>2.5219999999999998</v>
      </c>
      <c r="DG38" s="27">
        <f t="shared" si="43"/>
        <v>10.130000000000001</v>
      </c>
      <c r="DH38" s="27">
        <v>2.7149999999999999</v>
      </c>
      <c r="DI38" s="27">
        <v>2.3239999999999998</v>
      </c>
      <c r="DJ38" s="27">
        <v>2.5680000000000001</v>
      </c>
      <c r="DK38" s="27">
        <v>2.6909999999999998</v>
      </c>
      <c r="DL38" s="27">
        <f t="shared" si="44"/>
        <v>10.297999999999998</v>
      </c>
      <c r="DM38" s="27">
        <v>2.649</v>
      </c>
      <c r="DN38" s="27">
        <v>2.8079999999999998</v>
      </c>
      <c r="DO38" s="27">
        <v>2.7810000000000001</v>
      </c>
      <c r="DP38" s="27">
        <v>2.887</v>
      </c>
      <c r="DQ38" s="27">
        <f t="shared" si="45"/>
        <v>11.125</v>
      </c>
      <c r="DR38" s="27">
        <v>2.9449999999999998</v>
      </c>
      <c r="DS38" s="27">
        <v>3.02</v>
      </c>
      <c r="DT38" s="27">
        <v>2.7549999999999999</v>
      </c>
      <c r="DU38" s="27">
        <v>3.2120000000000002</v>
      </c>
      <c r="DV38" s="27">
        <f t="shared" si="46"/>
        <v>11.931999999999999</v>
      </c>
      <c r="DW38" s="27">
        <v>3.42</v>
      </c>
      <c r="DX38" s="27">
        <v>3.4180000000000001</v>
      </c>
      <c r="DY38" s="27">
        <v>3.2118122799999993</v>
      </c>
      <c r="DZ38" s="27">
        <v>3.7153746100000014</v>
      </c>
      <c r="EA38" s="27">
        <f t="shared" si="47"/>
        <v>13.765186890000001</v>
      </c>
      <c r="EB38" s="27">
        <v>3.8124635599999999</v>
      </c>
      <c r="EC38" s="27">
        <v>3.52116352</v>
      </c>
      <c r="ED38" s="27">
        <v>3.7629999999999999</v>
      </c>
      <c r="EE38" s="27">
        <v>4.5588862900000011</v>
      </c>
      <c r="EF38" s="27">
        <f t="shared" si="48"/>
        <v>15.655513370000001</v>
      </c>
      <c r="EG38" s="27">
        <v>3.8829133799999997</v>
      </c>
      <c r="EH38" s="27">
        <v>4.0035177099999997</v>
      </c>
      <c r="EI38" s="27">
        <v>3.9949152400000001</v>
      </c>
    </row>
    <row r="39" spans="1:139" ht="15" thickBot="1" x14ac:dyDescent="0.35">
      <c r="A39" s="2" t="s">
        <v>444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28">
        <v>0</v>
      </c>
      <c r="BK39" s="28">
        <v>0</v>
      </c>
      <c r="BL39" s="28">
        <v>0</v>
      </c>
      <c r="BM39" s="28">
        <v>0</v>
      </c>
      <c r="BN39" s="28">
        <f t="shared" si="34"/>
        <v>0</v>
      </c>
      <c r="BO39" s="28">
        <v>0</v>
      </c>
      <c r="BP39" s="28">
        <v>0</v>
      </c>
      <c r="BQ39" s="28">
        <v>0</v>
      </c>
      <c r="BR39" s="28">
        <v>0</v>
      </c>
      <c r="BS39" s="28">
        <f t="shared" si="35"/>
        <v>0</v>
      </c>
      <c r="BT39" s="28">
        <v>0</v>
      </c>
      <c r="BU39" s="28">
        <v>0</v>
      </c>
      <c r="BV39" s="28">
        <v>0</v>
      </c>
      <c r="BW39" s="28">
        <v>0</v>
      </c>
      <c r="BX39" s="28">
        <f t="shared" si="36"/>
        <v>0</v>
      </c>
      <c r="BY39" s="28">
        <v>0</v>
      </c>
      <c r="BZ39" s="28">
        <v>0</v>
      </c>
      <c r="CA39" s="28">
        <v>0</v>
      </c>
      <c r="CB39" s="28">
        <v>0</v>
      </c>
      <c r="CC39" s="28">
        <f t="shared" si="37"/>
        <v>0</v>
      </c>
      <c r="CD39" s="28">
        <v>0</v>
      </c>
      <c r="CE39" s="28">
        <v>0</v>
      </c>
      <c r="CF39" s="28">
        <v>0</v>
      </c>
      <c r="CG39" s="28">
        <v>0</v>
      </c>
      <c r="CH39" s="28">
        <f t="shared" si="38"/>
        <v>0</v>
      </c>
      <c r="CI39" s="28">
        <v>0</v>
      </c>
      <c r="CJ39" s="28">
        <v>0</v>
      </c>
      <c r="CK39" s="28">
        <v>0</v>
      </c>
      <c r="CL39" s="28">
        <v>0</v>
      </c>
      <c r="CM39" s="28">
        <f t="shared" si="39"/>
        <v>0</v>
      </c>
      <c r="CN39" s="28">
        <v>0</v>
      </c>
      <c r="CO39" s="28">
        <v>0</v>
      </c>
      <c r="CP39" s="28">
        <v>0</v>
      </c>
      <c r="CQ39" s="28">
        <v>0</v>
      </c>
      <c r="CR39" s="28">
        <f t="shared" si="40"/>
        <v>0</v>
      </c>
      <c r="CS39" s="28">
        <v>0</v>
      </c>
      <c r="CT39" s="28">
        <v>0</v>
      </c>
      <c r="CU39" s="28">
        <v>0</v>
      </c>
      <c r="CV39" s="28">
        <v>0</v>
      </c>
      <c r="CW39" s="28">
        <f t="shared" si="41"/>
        <v>0</v>
      </c>
      <c r="CX39" s="28">
        <v>0</v>
      </c>
      <c r="CY39" s="28">
        <v>0</v>
      </c>
      <c r="CZ39" s="28">
        <v>0</v>
      </c>
      <c r="DA39" s="28">
        <v>0</v>
      </c>
      <c r="DB39" s="28">
        <f t="shared" si="42"/>
        <v>0</v>
      </c>
      <c r="DC39" s="28">
        <v>0</v>
      </c>
      <c r="DD39" s="28">
        <v>4.165</v>
      </c>
      <c r="DE39" s="28">
        <v>11.42</v>
      </c>
      <c r="DF39" s="28">
        <v>5.09</v>
      </c>
      <c r="DG39" s="28">
        <f t="shared" si="43"/>
        <v>20.675000000000001</v>
      </c>
      <c r="DH39" s="28">
        <v>4.1470000000000002</v>
      </c>
      <c r="DI39" s="28">
        <v>3.8420000000000001</v>
      </c>
      <c r="DJ39" s="28">
        <v>4.2039999999999997</v>
      </c>
      <c r="DK39" s="28">
        <v>3.9740000000000002</v>
      </c>
      <c r="DL39" s="28">
        <f t="shared" si="44"/>
        <v>16.167000000000002</v>
      </c>
      <c r="DM39" s="28">
        <v>4.391</v>
      </c>
      <c r="DN39" s="28">
        <v>4.6120000000000001</v>
      </c>
      <c r="DO39" s="28">
        <v>5.0599999999999996</v>
      </c>
      <c r="DP39" s="28">
        <v>5.1689999999999996</v>
      </c>
      <c r="DQ39" s="28">
        <f t="shared" si="45"/>
        <v>19.231999999999999</v>
      </c>
      <c r="DR39" s="28">
        <v>4.9320000000000004</v>
      </c>
      <c r="DS39" s="28">
        <v>4.76</v>
      </c>
      <c r="DT39" s="28">
        <v>5.0579999999999998</v>
      </c>
      <c r="DU39" s="28">
        <v>5.2080000000000002</v>
      </c>
      <c r="DV39" s="28">
        <f t="shared" si="46"/>
        <v>19.957999999999998</v>
      </c>
      <c r="DW39" s="28">
        <v>5.05</v>
      </c>
      <c r="DX39" s="28">
        <v>5.5780000000000003</v>
      </c>
      <c r="DY39" s="28">
        <v>5.7172650100000002</v>
      </c>
      <c r="DZ39" s="28">
        <v>5.6782867999999986</v>
      </c>
      <c r="EA39" s="28">
        <f t="shared" si="47"/>
        <v>22.023551809999997</v>
      </c>
      <c r="EB39" s="28">
        <v>4.7705116199999997</v>
      </c>
      <c r="EC39" s="28">
        <v>5.2638485100000008</v>
      </c>
      <c r="ED39" s="28">
        <v>5.6079999999999997</v>
      </c>
      <c r="EE39" s="28">
        <v>5.9936684599999994</v>
      </c>
      <c r="EF39" s="28">
        <f t="shared" si="48"/>
        <v>21.636028589999999</v>
      </c>
      <c r="EG39" s="28">
        <v>5.23216444</v>
      </c>
      <c r="EH39" s="28">
        <v>5.4444896499999995</v>
      </c>
      <c r="EI39" s="28">
        <v>5.6723445500000009</v>
      </c>
    </row>
    <row r="40" spans="1:139" ht="15" thickTop="1" x14ac:dyDescent="0.3">
      <c r="A40" s="1" t="s">
        <v>456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27">
        <v>0</v>
      </c>
      <c r="BK40" s="27">
        <v>0</v>
      </c>
      <c r="BL40" s="27">
        <v>0</v>
      </c>
      <c r="BM40" s="27">
        <v>0</v>
      </c>
      <c r="BN40" s="27">
        <f t="shared" si="34"/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f t="shared" si="35"/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f t="shared" si="36"/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f t="shared" si="37"/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f t="shared" si="38"/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f t="shared" si="39"/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f t="shared" si="40"/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f t="shared" si="41"/>
        <v>0</v>
      </c>
      <c r="CX40" s="27">
        <v>0</v>
      </c>
      <c r="CY40" s="27">
        <v>0.34599999999999997</v>
      </c>
      <c r="CZ40" s="27">
        <v>1.7949999999999999</v>
      </c>
      <c r="DA40" s="27">
        <v>-0.84099999999999997</v>
      </c>
      <c r="DB40" s="27">
        <f t="shared" si="42"/>
        <v>1.3</v>
      </c>
      <c r="DC40" s="27">
        <v>1.107</v>
      </c>
      <c r="DD40" s="27">
        <v>2.2709999999999999</v>
      </c>
      <c r="DE40" s="27">
        <v>2.2629999999999999</v>
      </c>
      <c r="DF40" s="27">
        <v>2.31</v>
      </c>
      <c r="DG40" s="27">
        <f t="shared" si="43"/>
        <v>7.9510000000000005</v>
      </c>
      <c r="DH40" s="27">
        <v>2.4020000000000001</v>
      </c>
      <c r="DI40" s="27">
        <v>2.2519999999999998</v>
      </c>
      <c r="DJ40" s="27">
        <v>2.3069999999999999</v>
      </c>
      <c r="DK40" s="27">
        <v>2.399</v>
      </c>
      <c r="DL40" s="27">
        <f t="shared" si="44"/>
        <v>9.36</v>
      </c>
      <c r="DM40" s="27">
        <v>2.496</v>
      </c>
      <c r="DN40" s="27">
        <v>2.629</v>
      </c>
      <c r="DO40" s="27">
        <v>2.621</v>
      </c>
      <c r="DP40" s="27">
        <v>2.831</v>
      </c>
      <c r="DQ40" s="27">
        <f t="shared" si="45"/>
        <v>10.577</v>
      </c>
      <c r="DR40" s="27">
        <v>2.91</v>
      </c>
      <c r="DS40" s="27">
        <v>2.6840000000000002</v>
      </c>
      <c r="DT40" s="27">
        <v>2.9169999999999998</v>
      </c>
      <c r="DU40" s="27">
        <v>2.9350000000000001</v>
      </c>
      <c r="DV40" s="27">
        <f t="shared" si="46"/>
        <v>11.446</v>
      </c>
      <c r="DW40" s="27">
        <v>2.8879999999999999</v>
      </c>
      <c r="DX40" s="27">
        <v>3.12</v>
      </c>
      <c r="DY40" s="27">
        <v>3.1415496699999998</v>
      </c>
      <c r="DZ40" s="27">
        <v>3.1892703699999991</v>
      </c>
      <c r="EA40" s="27">
        <f t="shared" si="47"/>
        <v>12.338820039999998</v>
      </c>
      <c r="EB40" s="27">
        <v>2.8250489600000002</v>
      </c>
      <c r="EC40" s="27">
        <v>3.0093049500000002</v>
      </c>
      <c r="ED40" s="27">
        <v>3.2749999999999999</v>
      </c>
      <c r="EE40" s="27">
        <v>3.4664120500000006</v>
      </c>
      <c r="EF40" s="27">
        <f t="shared" si="48"/>
        <v>12.575765960000002</v>
      </c>
      <c r="EG40" s="27">
        <v>3.0490789600000001</v>
      </c>
      <c r="EH40" s="27">
        <v>3.3701592199999997</v>
      </c>
      <c r="EI40" s="27">
        <v>3.5348490099999998</v>
      </c>
    </row>
    <row r="41" spans="1:139" ht="15" thickBot="1" x14ac:dyDescent="0.35">
      <c r="A41" s="2" t="s">
        <v>446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28">
        <v>0</v>
      </c>
      <c r="BK41" s="28">
        <v>0</v>
      </c>
      <c r="BL41" s="28">
        <v>0</v>
      </c>
      <c r="BM41" s="28">
        <v>0</v>
      </c>
      <c r="BN41" s="28">
        <f t="shared" si="34"/>
        <v>0</v>
      </c>
      <c r="BO41" s="28">
        <v>0</v>
      </c>
      <c r="BP41" s="28">
        <v>0</v>
      </c>
      <c r="BQ41" s="28">
        <v>0</v>
      </c>
      <c r="BR41" s="28">
        <v>0</v>
      </c>
      <c r="BS41" s="28">
        <f t="shared" si="35"/>
        <v>0</v>
      </c>
      <c r="BT41" s="28">
        <v>0</v>
      </c>
      <c r="BU41" s="28">
        <v>0</v>
      </c>
      <c r="BV41" s="28">
        <v>0</v>
      </c>
      <c r="BW41" s="28">
        <v>0</v>
      </c>
      <c r="BX41" s="28">
        <f t="shared" si="36"/>
        <v>0</v>
      </c>
      <c r="BY41" s="28">
        <v>0</v>
      </c>
      <c r="BZ41" s="28">
        <v>0</v>
      </c>
      <c r="CA41" s="28">
        <v>0</v>
      </c>
      <c r="CB41" s="28">
        <v>0</v>
      </c>
      <c r="CC41" s="28">
        <f t="shared" si="37"/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f t="shared" si="38"/>
        <v>0</v>
      </c>
      <c r="CI41" s="28">
        <v>0</v>
      </c>
      <c r="CJ41" s="28">
        <v>0</v>
      </c>
      <c r="CK41" s="28">
        <v>0</v>
      </c>
      <c r="CL41" s="28">
        <v>0</v>
      </c>
      <c r="CM41" s="28">
        <f t="shared" si="39"/>
        <v>0</v>
      </c>
      <c r="CN41" s="28">
        <v>0</v>
      </c>
      <c r="CO41" s="28">
        <v>0</v>
      </c>
      <c r="CP41" s="28">
        <v>0</v>
      </c>
      <c r="CQ41" s="28">
        <v>0</v>
      </c>
      <c r="CR41" s="28">
        <f t="shared" si="40"/>
        <v>0</v>
      </c>
      <c r="CS41" s="28">
        <v>0</v>
      </c>
      <c r="CT41" s="28">
        <v>0</v>
      </c>
      <c r="CU41" s="28">
        <v>0</v>
      </c>
      <c r="CV41" s="28">
        <v>0</v>
      </c>
      <c r="CW41" s="28">
        <f t="shared" si="41"/>
        <v>0</v>
      </c>
      <c r="CX41" s="28">
        <v>0</v>
      </c>
      <c r="CY41" s="28">
        <v>0</v>
      </c>
      <c r="CZ41" s="28">
        <v>0</v>
      </c>
      <c r="DA41" s="28">
        <v>0</v>
      </c>
      <c r="DB41" s="28">
        <f t="shared" si="42"/>
        <v>0</v>
      </c>
      <c r="DC41" s="28">
        <v>0</v>
      </c>
      <c r="DD41" s="28">
        <v>0</v>
      </c>
      <c r="DE41" s="28">
        <v>0</v>
      </c>
      <c r="DF41" s="28">
        <v>0</v>
      </c>
      <c r="DG41" s="28">
        <f t="shared" si="43"/>
        <v>0</v>
      </c>
      <c r="DH41" s="28">
        <v>0.183</v>
      </c>
      <c r="DI41" s="28">
        <v>0.20599999999999999</v>
      </c>
      <c r="DJ41" s="28">
        <v>0.89100000000000001</v>
      </c>
      <c r="DK41" s="28">
        <v>3.2440000000000002</v>
      </c>
      <c r="DL41" s="28">
        <f t="shared" si="44"/>
        <v>4.524</v>
      </c>
      <c r="DM41" s="28">
        <v>3.2810000000000001</v>
      </c>
      <c r="DN41" s="28">
        <v>3.53</v>
      </c>
      <c r="DO41" s="28">
        <v>3.488</v>
      </c>
      <c r="DP41" s="28">
        <v>3.6579999999999999</v>
      </c>
      <c r="DQ41" s="28">
        <f t="shared" si="45"/>
        <v>13.956999999999999</v>
      </c>
      <c r="DR41" s="28">
        <v>3.73</v>
      </c>
      <c r="DS41" s="28">
        <v>3.476</v>
      </c>
      <c r="DT41" s="28">
        <v>3.8340000000000001</v>
      </c>
      <c r="DU41" s="28">
        <v>3.6440000000000001</v>
      </c>
      <c r="DV41" s="28">
        <f t="shared" si="46"/>
        <v>14.683999999999999</v>
      </c>
      <c r="DW41" s="28">
        <v>3.254</v>
      </c>
      <c r="DX41" s="28">
        <v>3.6480000000000001</v>
      </c>
      <c r="DY41" s="28">
        <v>3.5988709000000005</v>
      </c>
      <c r="DZ41" s="28">
        <v>3.7336489900000003</v>
      </c>
      <c r="EA41" s="28">
        <f t="shared" si="47"/>
        <v>14.234519890000001</v>
      </c>
      <c r="EB41" s="28">
        <v>3.32966535</v>
      </c>
      <c r="EC41" s="28">
        <v>3.5307834800000002</v>
      </c>
      <c r="ED41" s="28">
        <v>3.891</v>
      </c>
      <c r="EE41" s="28">
        <v>4.0810191799999993</v>
      </c>
      <c r="EF41" s="28">
        <f t="shared" si="48"/>
        <v>14.832468009999999</v>
      </c>
      <c r="EG41" s="28">
        <v>3.74963494</v>
      </c>
      <c r="EH41" s="28">
        <v>3.9667888900000001</v>
      </c>
      <c r="EI41" s="28">
        <v>3.7854037599999999</v>
      </c>
    </row>
    <row r="42" spans="1:139" ht="15" thickTop="1" x14ac:dyDescent="0.3">
      <c r="A42" s="1" t="s">
        <v>447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27">
        <v>0</v>
      </c>
      <c r="BK42" s="27">
        <v>0</v>
      </c>
      <c r="BL42" s="27">
        <v>0</v>
      </c>
      <c r="BM42" s="27">
        <v>0</v>
      </c>
      <c r="BN42" s="27">
        <f t="shared" si="34"/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f t="shared" si="35"/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f t="shared" si="36"/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f t="shared" si="37"/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f t="shared" si="38"/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f t="shared" si="39"/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f t="shared" si="40"/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f t="shared" si="41"/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f t="shared" si="42"/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f t="shared" si="43"/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f t="shared" si="44"/>
        <v>0</v>
      </c>
      <c r="DM42" s="27">
        <v>0</v>
      </c>
      <c r="DN42" s="27">
        <v>0</v>
      </c>
      <c r="DO42" s="27">
        <v>6.9000000000000006E-2</v>
      </c>
      <c r="DP42" s="27">
        <v>0.59699999999999998</v>
      </c>
      <c r="DQ42" s="27">
        <f t="shared" si="45"/>
        <v>0.66599999999999993</v>
      </c>
      <c r="DR42" s="27">
        <v>0.879</v>
      </c>
      <c r="DS42" s="27">
        <v>1.216</v>
      </c>
      <c r="DT42" s="27">
        <v>3.1509999999999998</v>
      </c>
      <c r="DU42" s="27">
        <v>5.4829999999999997</v>
      </c>
      <c r="DV42" s="27">
        <f t="shared" si="46"/>
        <v>10.728999999999999</v>
      </c>
      <c r="DW42" s="27">
        <v>5.4119999999999999</v>
      </c>
      <c r="DX42" s="27">
        <v>5.7679999999999998</v>
      </c>
      <c r="DY42" s="27">
        <v>5.6856862300000008</v>
      </c>
      <c r="DZ42" s="27">
        <v>5.6255830199999997</v>
      </c>
      <c r="EA42" s="27">
        <f t="shared" si="47"/>
        <v>22.491269250000002</v>
      </c>
      <c r="EB42" s="27">
        <v>5.7592589900000002</v>
      </c>
      <c r="EC42" s="27">
        <v>5.59203793</v>
      </c>
      <c r="ED42" s="27">
        <v>6.298</v>
      </c>
      <c r="EE42" s="27">
        <v>6.565043580000002</v>
      </c>
      <c r="EF42" s="27">
        <f t="shared" si="48"/>
        <v>24.214340499999999</v>
      </c>
      <c r="EG42" s="27">
        <v>6.0711404299999998</v>
      </c>
      <c r="EH42" s="27">
        <v>6.2095352500000001</v>
      </c>
      <c r="EI42" s="27">
        <v>6.1585853400000001</v>
      </c>
    </row>
    <row r="43" spans="1:139" ht="15" thickBot="1" x14ac:dyDescent="0.35">
      <c r="A43" s="2" t="s">
        <v>448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28">
        <v>0</v>
      </c>
      <c r="BK43" s="28">
        <v>0</v>
      </c>
      <c r="BL43" s="28">
        <v>0</v>
      </c>
      <c r="BM43" s="28">
        <v>0</v>
      </c>
      <c r="BN43" s="28">
        <f t="shared" si="34"/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f t="shared" si="35"/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f t="shared" si="36"/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f t="shared" si="37"/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f t="shared" si="38"/>
        <v>0</v>
      </c>
      <c r="CI43" s="28">
        <v>0</v>
      </c>
      <c r="CJ43" s="28">
        <v>0</v>
      </c>
      <c r="CK43" s="28">
        <v>0</v>
      </c>
      <c r="CL43" s="28">
        <v>0</v>
      </c>
      <c r="CM43" s="28">
        <f t="shared" si="39"/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f t="shared" si="40"/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f t="shared" si="41"/>
        <v>0</v>
      </c>
      <c r="CX43" s="28">
        <v>0</v>
      </c>
      <c r="CY43" s="28">
        <v>0</v>
      </c>
      <c r="CZ43" s="28">
        <v>0</v>
      </c>
      <c r="DA43" s="28">
        <v>0</v>
      </c>
      <c r="DB43" s="28">
        <f t="shared" si="42"/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f t="shared" si="43"/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f t="shared" si="44"/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f t="shared" si="45"/>
        <v>0</v>
      </c>
      <c r="DR43" s="28">
        <v>0</v>
      </c>
      <c r="DS43" s="28">
        <v>0</v>
      </c>
      <c r="DT43" s="28">
        <v>0.80900000000000005</v>
      </c>
      <c r="DU43" s="28">
        <v>3.601</v>
      </c>
      <c r="DV43" s="28">
        <f t="shared" si="46"/>
        <v>4.41</v>
      </c>
      <c r="DW43" s="28">
        <v>4.4669999999999996</v>
      </c>
      <c r="DX43" s="28">
        <v>5.6769999999999996</v>
      </c>
      <c r="DY43" s="28">
        <v>6.6382741600000017</v>
      </c>
      <c r="DZ43" s="28">
        <v>9.6438749299999991</v>
      </c>
      <c r="EA43" s="28">
        <f t="shared" si="47"/>
        <v>26.426149089999999</v>
      </c>
      <c r="EB43" s="28">
        <v>10.01215184</v>
      </c>
      <c r="EC43" s="28">
        <v>10.791440160000001</v>
      </c>
      <c r="ED43" s="28">
        <v>10.057</v>
      </c>
      <c r="EE43" s="28">
        <v>11.259309490000001</v>
      </c>
      <c r="EF43" s="28">
        <f t="shared" si="48"/>
        <v>42.119901490000004</v>
      </c>
      <c r="EG43" s="28">
        <v>10.5412081</v>
      </c>
      <c r="EH43" s="28">
        <v>10.75681988</v>
      </c>
      <c r="EI43" s="28">
        <v>11.22548409</v>
      </c>
    </row>
    <row r="44" spans="1:139" ht="15" thickTop="1" x14ac:dyDescent="0.3">
      <c r="A44" s="1" t="s">
        <v>449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27">
        <v>0</v>
      </c>
      <c r="BK44" s="27">
        <v>0</v>
      </c>
      <c r="BL44" s="27">
        <v>0</v>
      </c>
      <c r="BM44" s="27">
        <v>0</v>
      </c>
      <c r="BN44" s="27">
        <f t="shared" si="34"/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3.258</v>
      </c>
      <c r="DY44" s="27">
        <v>5.6769133200000006</v>
      </c>
      <c r="DZ44" s="27">
        <v>6.3767430700000007</v>
      </c>
      <c r="EA44" s="27">
        <f t="shared" si="47"/>
        <v>15.31165639</v>
      </c>
      <c r="EB44" s="27">
        <v>8.0112758199999998</v>
      </c>
      <c r="EC44" s="27">
        <v>3.5054286700000001</v>
      </c>
      <c r="ED44" s="27">
        <v>5.742</v>
      </c>
      <c r="EE44" s="27">
        <v>5.7233809100000004</v>
      </c>
      <c r="EF44" s="27">
        <f t="shared" si="48"/>
        <v>22.982085399999999</v>
      </c>
      <c r="EG44" s="27">
        <v>5.7253128000000002</v>
      </c>
      <c r="EH44" s="27">
        <v>7.2410495100000007</v>
      </c>
      <c r="EI44" s="27">
        <v>7.5658580699999982</v>
      </c>
    </row>
    <row r="45" spans="1:139" ht="15" thickBot="1" x14ac:dyDescent="0.35">
      <c r="A45" s="2" t="s">
        <v>460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>
        <v>0</v>
      </c>
      <c r="EH45" s="28">
        <v>5.8524296900000001</v>
      </c>
      <c r="EI45" s="28">
        <v>6.0517635499999995</v>
      </c>
    </row>
    <row r="46" spans="1:139" ht="15" thickTop="1" x14ac:dyDescent="0.3">
      <c r="A46" s="1" t="s">
        <v>304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27">
        <v>0</v>
      </c>
      <c r="BK46" s="27">
        <v>0</v>
      </c>
      <c r="BL46" s="27">
        <v>0</v>
      </c>
      <c r="BM46" s="27">
        <v>0</v>
      </c>
      <c r="BN46" s="27">
        <f t="shared" si="34"/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f t="shared" ref="BS46:BS54" si="49">SUM(BO46:BR46)</f>
        <v>0</v>
      </c>
      <c r="BT46" s="27">
        <v>0</v>
      </c>
      <c r="BU46" s="27">
        <v>10.63695684</v>
      </c>
      <c r="BV46" s="27">
        <v>30.936014239999995</v>
      </c>
      <c r="BW46" s="27">
        <v>12.055197235000001</v>
      </c>
      <c r="BX46" s="27">
        <f t="shared" ref="BX46:BX54" si="50">SUM(BT46:BW46)</f>
        <v>53.628168314999996</v>
      </c>
      <c r="BY46" s="27">
        <v>20.45177765</v>
      </c>
      <c r="BZ46" s="27">
        <v>24.139642320000004</v>
      </c>
      <c r="CA46" s="27">
        <v>25.260995189999999</v>
      </c>
      <c r="CB46" s="27">
        <v>24.21830323</v>
      </c>
      <c r="CC46" s="27">
        <f t="shared" ref="CC46:CC54" si="51">SUM(BY46:CB46)</f>
        <v>94.07071839000001</v>
      </c>
      <c r="CD46" s="27">
        <v>19.680753239999998</v>
      </c>
      <c r="CE46" s="27">
        <v>24.958218429999999</v>
      </c>
      <c r="CF46" s="27">
        <v>24.697642649999995</v>
      </c>
      <c r="CG46" s="27">
        <v>21.45146548</v>
      </c>
      <c r="CH46" s="27">
        <f t="shared" ref="CH46:CH54" si="52">SUM(CD46:CG46)</f>
        <v>90.788079799999991</v>
      </c>
      <c r="CI46" s="27">
        <v>21.10123102</v>
      </c>
      <c r="CJ46" s="27">
        <v>26.722518780000001</v>
      </c>
      <c r="CK46" s="27">
        <v>20.764953160000005</v>
      </c>
      <c r="CL46" s="27">
        <v>18.231891849999997</v>
      </c>
      <c r="CM46" s="27">
        <f t="shared" ref="CM46:CM54" si="53">SUM(CI46:CL46)</f>
        <v>86.820594810000003</v>
      </c>
      <c r="CN46" s="27">
        <v>11.154776849999999</v>
      </c>
      <c r="CO46" s="27">
        <v>11.15331237</v>
      </c>
      <c r="CP46" s="27">
        <v>9.9781231999999971</v>
      </c>
      <c r="CQ46" s="27">
        <f>43.752-SUM(CN46:CP46)</f>
        <v>11.465787580000004</v>
      </c>
      <c r="CR46" s="27">
        <f t="shared" ref="CR46:CR54" si="54">SUM(CN46:CQ46)</f>
        <v>43.752000000000002</v>
      </c>
      <c r="CS46" s="27">
        <f>3.85569712+3.884</f>
        <v>7.7396971199999998</v>
      </c>
      <c r="CT46" s="27">
        <f>16.133-CS46</f>
        <v>8.3933028800000002</v>
      </c>
      <c r="CU46" s="27">
        <f>23.596-SUM(CS46:CT46)</f>
        <v>7.463000000000001</v>
      </c>
      <c r="CV46" s="27">
        <f>31.137-SUM(CS46:CU46)</f>
        <v>7.5410000000000004</v>
      </c>
      <c r="CW46" s="27">
        <f t="shared" ref="CW46:CW54" si="55">SUM(CS46:CV46)</f>
        <v>31.137</v>
      </c>
      <c r="CX46" s="27">
        <v>6.8319999999999999</v>
      </c>
      <c r="CY46" s="27">
        <v>7.734</v>
      </c>
      <c r="CZ46" s="27">
        <v>7.4</v>
      </c>
      <c r="DA46" s="27">
        <v>8.3119999999999994</v>
      </c>
      <c r="DB46" s="27">
        <f t="shared" ref="DB46:DB54" si="56">SUM(CX46:DA46)</f>
        <v>30.277999999999999</v>
      </c>
      <c r="DC46" s="27">
        <v>8.4030000000000005</v>
      </c>
      <c r="DD46" s="27">
        <v>9.4320000000000004</v>
      </c>
      <c r="DE46" s="27">
        <v>8.8629999999999995</v>
      </c>
      <c r="DF46" s="27">
        <v>10.192</v>
      </c>
      <c r="DG46" s="27">
        <f t="shared" ref="DG46:DG54" si="57">SUM(DC46:DF46)</f>
        <v>36.89</v>
      </c>
      <c r="DH46" s="27">
        <v>9.5050000000000008</v>
      </c>
      <c r="DI46" s="27">
        <v>8.5630000000000006</v>
      </c>
      <c r="DJ46" s="27">
        <v>9.6069999999999993</v>
      </c>
      <c r="DK46" s="27">
        <v>10.084</v>
      </c>
      <c r="DL46" s="27">
        <f t="shared" ref="DL46:DL54" si="58">SUM(DH46:DK46)</f>
        <v>37.759</v>
      </c>
      <c r="DM46" s="27">
        <v>10.173</v>
      </c>
      <c r="DN46" s="27">
        <v>11.951000000000001</v>
      </c>
      <c r="DO46" s="27">
        <v>12.468999999999999</v>
      </c>
      <c r="DP46" s="27">
        <v>12.361000000000001</v>
      </c>
      <c r="DQ46" s="27">
        <f t="shared" ref="DQ46:DQ54" si="59">SUM(DM46:DP46)</f>
        <v>46.954000000000008</v>
      </c>
      <c r="DR46" s="27">
        <v>12.145</v>
      </c>
      <c r="DS46" s="27">
        <v>14.567</v>
      </c>
      <c r="DT46" s="27">
        <v>15.382</v>
      </c>
      <c r="DU46" s="27">
        <v>15.324</v>
      </c>
      <c r="DV46" s="27">
        <f t="shared" ref="DV46:DV54" si="60">SUM(DR46:DU46)</f>
        <v>57.417999999999999</v>
      </c>
      <c r="DW46" s="27">
        <v>13.959</v>
      </c>
      <c r="DX46" s="27">
        <v>16.268999999999998</v>
      </c>
      <c r="DY46" s="27">
        <f>(12809693.51+5591344.12)/1000000</f>
        <v>18.401037629999998</v>
      </c>
      <c r="DZ46" s="27">
        <v>15.016951270000003</v>
      </c>
      <c r="EA46" s="27">
        <f t="shared" ref="EA46:EA54" si="61">SUM(DW46:DZ46)</f>
        <v>63.645988900000006</v>
      </c>
      <c r="EB46" s="27">
        <f>(9938140.98+3298700.18)/1000000</f>
        <v>13.236841160000001</v>
      </c>
      <c r="EC46" s="27">
        <v>13.638650050000001</v>
      </c>
      <c r="ED46" s="27">
        <v>15.914</v>
      </c>
      <c r="EE46" s="27">
        <v>17.810984170000001</v>
      </c>
      <c r="EF46" s="27">
        <f t="shared" ref="EF46:EF54" si="62">SUM(EB46:EE46)</f>
        <v>60.600475380000006</v>
      </c>
      <c r="EG46" s="27">
        <v>15.25023895</v>
      </c>
      <c r="EH46" s="27">
        <v>15.83764412</v>
      </c>
      <c r="EI46" s="27">
        <v>19.109404840000003</v>
      </c>
    </row>
    <row r="47" spans="1:139" ht="15" thickBot="1" x14ac:dyDescent="0.35">
      <c r="A47" s="2" t="s">
        <v>305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28">
        <v>0</v>
      </c>
      <c r="BK47" s="28">
        <v>0</v>
      </c>
      <c r="BL47" s="28">
        <v>0</v>
      </c>
      <c r="BM47" s="28">
        <v>0</v>
      </c>
      <c r="BN47" s="28">
        <f t="shared" si="34"/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f t="shared" si="49"/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f t="shared" si="50"/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f t="shared" si="51"/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f t="shared" si="52"/>
        <v>0</v>
      </c>
      <c r="CI47" s="28"/>
      <c r="CJ47" s="28"/>
      <c r="CK47" s="28"/>
      <c r="CL47" s="28"/>
      <c r="CM47" s="28">
        <f t="shared" si="53"/>
        <v>0</v>
      </c>
      <c r="CN47" s="28"/>
      <c r="CO47" s="28"/>
      <c r="CP47" s="28"/>
      <c r="CQ47" s="28"/>
      <c r="CR47" s="28">
        <f t="shared" si="54"/>
        <v>0</v>
      </c>
      <c r="CS47" s="28"/>
      <c r="CT47" s="28"/>
      <c r="CU47" s="28"/>
      <c r="CV47" s="28"/>
      <c r="CW47" s="28">
        <f t="shared" si="55"/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f t="shared" si="56"/>
        <v>0</v>
      </c>
      <c r="DC47" s="28">
        <v>1.571</v>
      </c>
      <c r="DD47" s="28">
        <v>1.24</v>
      </c>
      <c r="DE47" s="28">
        <v>1.167</v>
      </c>
      <c r="DF47" s="28">
        <v>1.0069999999999999</v>
      </c>
      <c r="DG47" s="28">
        <f t="shared" si="57"/>
        <v>4.9849999999999994</v>
      </c>
      <c r="DH47" s="28">
        <v>0.96499999999999997</v>
      </c>
      <c r="DI47" s="28">
        <v>1.149</v>
      </c>
      <c r="DJ47" s="28">
        <v>1.079</v>
      </c>
      <c r="DK47" s="28">
        <v>1.171</v>
      </c>
      <c r="DL47" s="28">
        <f t="shared" si="58"/>
        <v>4.3639999999999999</v>
      </c>
      <c r="DM47" s="28">
        <v>1.0880000000000001</v>
      </c>
      <c r="DN47" s="28">
        <v>1.321</v>
      </c>
      <c r="DO47" s="28">
        <v>1.1819999999999999</v>
      </c>
      <c r="DP47" s="28">
        <v>0.86099999999999999</v>
      </c>
      <c r="DQ47" s="28">
        <f t="shared" si="59"/>
        <v>4.452</v>
      </c>
      <c r="DR47" s="28">
        <v>0.90100000000000002</v>
      </c>
      <c r="DS47" s="28">
        <v>1.2210000000000001</v>
      </c>
      <c r="DT47" s="28">
        <v>1.3879999999999999</v>
      </c>
      <c r="DU47" s="28">
        <v>1.016</v>
      </c>
      <c r="DV47" s="28">
        <f t="shared" si="60"/>
        <v>4.5259999999999998</v>
      </c>
      <c r="DW47" s="28">
        <v>1.155</v>
      </c>
      <c r="DX47" s="28">
        <v>1.6459999999999999</v>
      </c>
      <c r="DY47" s="28">
        <v>1.7560899300000006</v>
      </c>
      <c r="DZ47" s="28">
        <v>1.5976272799999993</v>
      </c>
      <c r="EA47" s="28">
        <f t="shared" si="61"/>
        <v>6.1547172100000003</v>
      </c>
      <c r="EB47" s="28">
        <v>1.41589169</v>
      </c>
      <c r="EC47" s="28">
        <v>1.6301844500000002</v>
      </c>
      <c r="ED47" s="28">
        <v>1.7569999999999999</v>
      </c>
      <c r="EE47" s="28">
        <v>1.9486796099999995</v>
      </c>
      <c r="EF47" s="28">
        <f t="shared" si="62"/>
        <v>6.7517557499999992</v>
      </c>
      <c r="EG47" s="28">
        <v>1.7564776499999999</v>
      </c>
      <c r="EH47" s="28">
        <v>1.9225224999999999</v>
      </c>
      <c r="EI47" s="28">
        <v>1.8720790299999999</v>
      </c>
    </row>
    <row r="48" spans="1:139" ht="15" thickTop="1" x14ac:dyDescent="0.3">
      <c r="A48" s="1" t="s">
        <v>306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27">
        <v>6.2635756100000002</v>
      </c>
      <c r="BK48" s="27">
        <v>6.6138918499999999</v>
      </c>
      <c r="BL48" s="27">
        <v>6.3832812800000003</v>
      </c>
      <c r="BM48" s="27">
        <v>6.5683847999999951</v>
      </c>
      <c r="BN48" s="27">
        <f t="shared" si="34"/>
        <v>25.829133539999994</v>
      </c>
      <c r="BO48" s="27">
        <v>7.5923169799999997</v>
      </c>
      <c r="BP48" s="27">
        <v>8.8058060900000008</v>
      </c>
      <c r="BQ48" s="27">
        <v>8.0197980300000005</v>
      </c>
      <c r="BR48" s="27">
        <v>8.4403888300000034</v>
      </c>
      <c r="BS48" s="27">
        <f t="shared" si="49"/>
        <v>32.858309930000004</v>
      </c>
      <c r="BT48" s="27">
        <v>10.255982079999999</v>
      </c>
      <c r="BU48" s="27">
        <v>9.4880065100000017</v>
      </c>
      <c r="BV48" s="27">
        <v>9.8394770999999999</v>
      </c>
      <c r="BW48" s="27">
        <v>11.112725560000005</v>
      </c>
      <c r="BX48" s="27">
        <f t="shared" si="50"/>
        <v>40.696191250000005</v>
      </c>
      <c r="BY48" s="27">
        <v>11.548885719999999</v>
      </c>
      <c r="BZ48" s="27">
        <v>12.272290640000003</v>
      </c>
      <c r="CA48" s="27">
        <v>12.843856269999998</v>
      </c>
      <c r="CB48" s="27">
        <v>16.316891130000002</v>
      </c>
      <c r="CC48" s="27">
        <f t="shared" si="51"/>
        <v>52.981923760000001</v>
      </c>
      <c r="CD48" s="27">
        <v>15.678602580000002</v>
      </c>
      <c r="CE48" s="27">
        <v>22.124952639999997</v>
      </c>
      <c r="CF48" s="27">
        <v>21.508909250000002</v>
      </c>
      <c r="CG48" s="27">
        <v>21.609228539999997</v>
      </c>
      <c r="CH48" s="27">
        <f t="shared" si="52"/>
        <v>80.921693009999998</v>
      </c>
      <c r="CI48" s="27">
        <v>21.89948845</v>
      </c>
      <c r="CJ48" s="27">
        <v>16.597685500000004</v>
      </c>
      <c r="CK48" s="27">
        <v>18.862782349999996</v>
      </c>
      <c r="CL48" s="27">
        <v>18.645692290000007</v>
      </c>
      <c r="CM48" s="27">
        <f t="shared" si="53"/>
        <v>76.005648590000007</v>
      </c>
      <c r="CN48" s="27">
        <v>16.614257049999999</v>
      </c>
      <c r="CO48" s="27">
        <v>16.219659730000004</v>
      </c>
      <c r="CP48" s="27">
        <v>16.046284</v>
      </c>
      <c r="CQ48" s="27">
        <f>66.682-SUM(CN48:CP48)</f>
        <v>17.801799219999999</v>
      </c>
      <c r="CR48" s="27">
        <f t="shared" si="54"/>
        <v>66.682000000000002</v>
      </c>
      <c r="CS48" s="27">
        <v>16.095431120000001</v>
      </c>
      <c r="CT48" s="27">
        <v>17.13348096</v>
      </c>
      <c r="CU48" s="27">
        <v>16.238017660000004</v>
      </c>
      <c r="CV48" s="27">
        <v>17.099890169999988</v>
      </c>
      <c r="CW48" s="27">
        <f t="shared" si="55"/>
        <v>66.566819909999992</v>
      </c>
      <c r="CX48" s="27">
        <v>14.958</v>
      </c>
      <c r="CY48" s="27">
        <v>15.581</v>
      </c>
      <c r="CZ48" s="27">
        <v>16.571999999999999</v>
      </c>
      <c r="DA48" s="27">
        <v>16.207000000000001</v>
      </c>
      <c r="DB48" s="27">
        <f t="shared" si="56"/>
        <v>63.318000000000005</v>
      </c>
      <c r="DC48" s="27">
        <v>18.55</v>
      </c>
      <c r="DD48" s="27">
        <v>17.568999999999999</v>
      </c>
      <c r="DE48" s="27">
        <v>23.225999999999999</v>
      </c>
      <c r="DF48" s="27">
        <v>24.504000000000001</v>
      </c>
      <c r="DG48" s="27">
        <f t="shared" si="57"/>
        <v>83.849000000000004</v>
      </c>
      <c r="DH48" s="27">
        <v>25.649000000000001</v>
      </c>
      <c r="DI48" s="27">
        <v>23.596</v>
      </c>
      <c r="DJ48" s="27">
        <v>28.437000000000001</v>
      </c>
      <c r="DK48" s="27">
        <v>28.241</v>
      </c>
      <c r="DL48" s="27">
        <f t="shared" si="58"/>
        <v>105.923</v>
      </c>
      <c r="DM48" s="27">
        <v>28.925999999999998</v>
      </c>
      <c r="DN48" s="27">
        <v>31.936</v>
      </c>
      <c r="DO48" s="27">
        <v>34.241999999999997</v>
      </c>
      <c r="DP48" s="27">
        <v>32.905000000000001</v>
      </c>
      <c r="DQ48" s="27">
        <f t="shared" si="59"/>
        <v>128.00899999999999</v>
      </c>
      <c r="DR48" s="27">
        <v>37.667999999999999</v>
      </c>
      <c r="DS48" s="27">
        <v>40.857999999999997</v>
      </c>
      <c r="DT48" s="27">
        <v>35.982999999999997</v>
      </c>
      <c r="DU48" s="27">
        <v>43.338999999999999</v>
      </c>
      <c r="DV48" s="27">
        <f t="shared" si="60"/>
        <v>157.84799999999998</v>
      </c>
      <c r="DW48" s="27">
        <v>38.183999999999997</v>
      </c>
      <c r="DX48" s="27">
        <v>36.716000000000001</v>
      </c>
      <c r="DY48" s="27">
        <v>40.041865469999998</v>
      </c>
      <c r="DZ48" s="27">
        <v>42.040302130000008</v>
      </c>
      <c r="EA48" s="27">
        <f t="shared" si="61"/>
        <v>156.98216760000003</v>
      </c>
      <c r="EB48" s="27">
        <v>41.356793409999995</v>
      </c>
      <c r="EC48" s="27">
        <v>44.790458549999997</v>
      </c>
      <c r="ED48" s="27">
        <v>47.593000000000004</v>
      </c>
      <c r="EE48" s="27">
        <v>43.157541109999997</v>
      </c>
      <c r="EF48" s="27">
        <f t="shared" si="62"/>
        <v>176.89779306999998</v>
      </c>
      <c r="EG48" s="27">
        <v>47.89790232</v>
      </c>
      <c r="EH48" s="27">
        <v>49.327271150000001</v>
      </c>
      <c r="EI48" s="27">
        <v>53.772011680000006</v>
      </c>
    </row>
    <row r="49" spans="1:139" ht="15" thickBot="1" x14ac:dyDescent="0.35">
      <c r="A49" s="2" t="s">
        <v>323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28">
        <v>0</v>
      </c>
      <c r="BK49" s="28">
        <v>0</v>
      </c>
      <c r="BL49" s="28">
        <v>0</v>
      </c>
      <c r="BM49" s="28">
        <v>0</v>
      </c>
      <c r="BN49" s="28">
        <f t="shared" si="34"/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f t="shared" si="49"/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f t="shared" si="50"/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f t="shared" si="51"/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f t="shared" si="52"/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f t="shared" si="53"/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f t="shared" si="54"/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f t="shared" si="55"/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f t="shared" si="56"/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f t="shared" si="57"/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f t="shared" si="58"/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f t="shared" si="59"/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f t="shared" si="60"/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f t="shared" si="61"/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f t="shared" si="62"/>
        <v>0</v>
      </c>
      <c r="EG49" s="28">
        <v>0</v>
      </c>
      <c r="EH49" s="28">
        <v>0</v>
      </c>
      <c r="EI49" s="28">
        <v>0</v>
      </c>
    </row>
    <row r="50" spans="1:139" ht="15" thickTop="1" x14ac:dyDescent="0.3">
      <c r="A50" s="1" t="s">
        <v>322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27">
        <v>0</v>
      </c>
      <c r="BK50" s="27">
        <v>0</v>
      </c>
      <c r="BL50" s="27">
        <v>0</v>
      </c>
      <c r="BM50" s="27">
        <v>0</v>
      </c>
      <c r="BN50" s="27">
        <f t="shared" si="34"/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f t="shared" si="49"/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f t="shared" si="50"/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f t="shared" si="51"/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f t="shared" si="52"/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f t="shared" si="53"/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f t="shared" si="54"/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f t="shared" si="55"/>
        <v>0</v>
      </c>
      <c r="CX50" s="27">
        <v>0</v>
      </c>
      <c r="CY50" s="27">
        <v>0</v>
      </c>
      <c r="CZ50" s="27">
        <v>0</v>
      </c>
      <c r="DA50" s="27">
        <v>0</v>
      </c>
      <c r="DB50" s="27">
        <f t="shared" si="56"/>
        <v>0</v>
      </c>
      <c r="DC50" s="27">
        <v>0</v>
      </c>
      <c r="DD50" s="27">
        <v>0</v>
      </c>
      <c r="DE50" s="27">
        <v>0</v>
      </c>
      <c r="DF50" s="27">
        <v>0</v>
      </c>
      <c r="DG50" s="27">
        <f t="shared" si="57"/>
        <v>0</v>
      </c>
      <c r="DH50" s="27">
        <v>0</v>
      </c>
      <c r="DI50" s="27">
        <v>0</v>
      </c>
      <c r="DJ50" s="27">
        <v>0</v>
      </c>
      <c r="DK50" s="27">
        <v>0</v>
      </c>
      <c r="DL50" s="27">
        <f t="shared" si="58"/>
        <v>0</v>
      </c>
      <c r="DM50" s="27">
        <v>0</v>
      </c>
      <c r="DN50" s="27">
        <v>0</v>
      </c>
      <c r="DO50" s="27">
        <v>0</v>
      </c>
      <c r="DP50" s="27">
        <v>0</v>
      </c>
      <c r="DQ50" s="27">
        <f t="shared" si="59"/>
        <v>0</v>
      </c>
      <c r="DR50" s="27">
        <v>0</v>
      </c>
      <c r="DS50" s="27">
        <v>0</v>
      </c>
      <c r="DT50" s="27">
        <v>0</v>
      </c>
      <c r="DU50" s="27">
        <v>0</v>
      </c>
      <c r="DV50" s="27">
        <f t="shared" si="60"/>
        <v>0</v>
      </c>
      <c r="DW50" s="27">
        <v>0</v>
      </c>
      <c r="DX50" s="27">
        <v>0</v>
      </c>
      <c r="DY50" s="27">
        <v>0</v>
      </c>
      <c r="DZ50" s="27">
        <v>0</v>
      </c>
      <c r="EA50" s="27">
        <f t="shared" si="61"/>
        <v>0</v>
      </c>
      <c r="EB50" s="27">
        <v>0</v>
      </c>
      <c r="EC50" s="27">
        <v>0</v>
      </c>
      <c r="ED50" s="27">
        <v>0</v>
      </c>
      <c r="EE50" s="27">
        <v>0</v>
      </c>
      <c r="EF50" s="27">
        <f t="shared" si="62"/>
        <v>0</v>
      </c>
      <c r="EG50" s="27">
        <v>0</v>
      </c>
      <c r="EH50" s="27">
        <v>0</v>
      </c>
      <c r="EI50" s="27">
        <v>0</v>
      </c>
    </row>
    <row r="51" spans="1:139" ht="15" thickBot="1" x14ac:dyDescent="0.35">
      <c r="A51" s="2" t="s">
        <v>370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28">
        <v>0.78644064000000002</v>
      </c>
      <c r="BK51" s="28">
        <v>0.9313932699999995</v>
      </c>
      <c r="BL51" s="28">
        <v>0.89962763000000023</v>
      </c>
      <c r="BM51" s="28">
        <v>0.85872828999999962</v>
      </c>
      <c r="BN51" s="28">
        <f t="shared" si="34"/>
        <v>3.4761898299999996</v>
      </c>
      <c r="BO51" s="28">
        <v>15.11919464</v>
      </c>
      <c r="BP51" s="28">
        <v>14.121641350000001</v>
      </c>
      <c r="BQ51" s="28">
        <v>15.862490630000003</v>
      </c>
      <c r="BR51" s="28">
        <v>10.591739979999993</v>
      </c>
      <c r="BS51" s="28">
        <f t="shared" si="49"/>
        <v>55.695066599999997</v>
      </c>
      <c r="BT51" s="28">
        <v>0</v>
      </c>
      <c r="BU51" s="28">
        <v>0</v>
      </c>
      <c r="BV51" s="28">
        <v>0</v>
      </c>
      <c r="BW51" s="28">
        <v>0</v>
      </c>
      <c r="BX51" s="28">
        <f t="shared" si="50"/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f t="shared" si="51"/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f t="shared" si="52"/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f t="shared" si="53"/>
        <v>0</v>
      </c>
      <c r="CN51" s="28">
        <v>0</v>
      </c>
      <c r="CO51" s="28">
        <v>0</v>
      </c>
      <c r="CP51" s="28">
        <v>0</v>
      </c>
      <c r="CQ51" s="28">
        <v>0</v>
      </c>
      <c r="CR51" s="28">
        <f t="shared" si="54"/>
        <v>0</v>
      </c>
      <c r="CS51" s="28">
        <v>0</v>
      </c>
      <c r="CT51" s="28">
        <v>0</v>
      </c>
      <c r="CU51" s="28">
        <v>0</v>
      </c>
      <c r="CV51" s="28">
        <v>0</v>
      </c>
      <c r="CW51" s="28">
        <f t="shared" si="55"/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f t="shared" si="56"/>
        <v>0</v>
      </c>
      <c r="DC51" s="28">
        <v>0</v>
      </c>
      <c r="DD51" s="28">
        <v>0</v>
      </c>
      <c r="DE51" s="28">
        <v>0</v>
      </c>
      <c r="DF51" s="28">
        <v>0</v>
      </c>
      <c r="DG51" s="28">
        <f t="shared" si="57"/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f t="shared" si="58"/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f t="shared" si="59"/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f t="shared" si="60"/>
        <v>0</v>
      </c>
      <c r="DW51" s="28">
        <v>0</v>
      </c>
      <c r="DX51" s="28">
        <v>0</v>
      </c>
      <c r="DY51" s="28">
        <v>0</v>
      </c>
      <c r="DZ51" s="28">
        <v>0</v>
      </c>
      <c r="EA51" s="28">
        <f t="shared" si="61"/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f t="shared" si="62"/>
        <v>0</v>
      </c>
      <c r="EG51" s="28">
        <v>0</v>
      </c>
      <c r="EH51" s="28">
        <v>0</v>
      </c>
      <c r="EI51" s="28">
        <v>0</v>
      </c>
    </row>
    <row r="52" spans="1:139" ht="15" thickTop="1" x14ac:dyDescent="0.3">
      <c r="A52" s="1" t="s">
        <v>338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27">
        <v>1.1017616400000001</v>
      </c>
      <c r="BK52" s="27">
        <v>0.85237570999999979</v>
      </c>
      <c r="BL52" s="27">
        <v>1.0178989499999995</v>
      </c>
      <c r="BM52" s="27">
        <v>1.2125252700000007</v>
      </c>
      <c r="BN52" s="27">
        <f t="shared" si="34"/>
        <v>4.1845615699999996</v>
      </c>
      <c r="BO52" s="27">
        <v>1.17706964</v>
      </c>
      <c r="BP52" s="27">
        <v>1.0875917099999999</v>
      </c>
      <c r="BQ52" s="27">
        <v>1.17630554</v>
      </c>
      <c r="BR52" s="27">
        <v>1.4743404815240004</v>
      </c>
      <c r="BS52" s="27">
        <f t="shared" si="49"/>
        <v>4.9153073715240003</v>
      </c>
      <c r="BT52" s="27">
        <v>0</v>
      </c>
      <c r="BU52" s="27">
        <v>0</v>
      </c>
      <c r="BV52" s="27">
        <v>0</v>
      </c>
      <c r="BW52" s="27">
        <v>0</v>
      </c>
      <c r="BX52" s="27">
        <f t="shared" si="50"/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f t="shared" si="51"/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f t="shared" si="52"/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f t="shared" si="53"/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f t="shared" si="54"/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f t="shared" si="55"/>
        <v>0</v>
      </c>
      <c r="CX52" s="27">
        <v>0</v>
      </c>
      <c r="CY52" s="27">
        <v>0</v>
      </c>
      <c r="CZ52" s="27">
        <v>0</v>
      </c>
      <c r="DA52" s="27">
        <v>0</v>
      </c>
      <c r="DB52" s="27">
        <f t="shared" si="56"/>
        <v>0</v>
      </c>
      <c r="DC52" s="27">
        <v>0</v>
      </c>
      <c r="DD52" s="27">
        <v>0</v>
      </c>
      <c r="DE52" s="27">
        <v>0</v>
      </c>
      <c r="DF52" s="27">
        <v>0</v>
      </c>
      <c r="DG52" s="27">
        <f t="shared" si="57"/>
        <v>0</v>
      </c>
      <c r="DH52" s="27">
        <v>0</v>
      </c>
      <c r="DI52" s="27">
        <v>0</v>
      </c>
      <c r="DJ52" s="27">
        <v>0</v>
      </c>
      <c r="DK52" s="27">
        <v>0</v>
      </c>
      <c r="DL52" s="27">
        <f t="shared" si="58"/>
        <v>0</v>
      </c>
      <c r="DM52" s="27">
        <v>0</v>
      </c>
      <c r="DN52" s="27">
        <v>0</v>
      </c>
      <c r="DO52" s="27">
        <v>0</v>
      </c>
      <c r="DP52" s="27">
        <v>0</v>
      </c>
      <c r="DQ52" s="27">
        <f t="shared" si="59"/>
        <v>0</v>
      </c>
      <c r="DR52" s="27">
        <v>0</v>
      </c>
      <c r="DS52" s="27">
        <v>0</v>
      </c>
      <c r="DT52" s="27">
        <v>0</v>
      </c>
      <c r="DU52" s="27">
        <v>0</v>
      </c>
      <c r="DV52" s="27">
        <f t="shared" si="60"/>
        <v>0</v>
      </c>
      <c r="DW52" s="27">
        <v>0</v>
      </c>
      <c r="DX52" s="27">
        <v>0</v>
      </c>
      <c r="DY52" s="27">
        <v>0</v>
      </c>
      <c r="DZ52" s="27">
        <v>0</v>
      </c>
      <c r="EA52" s="27">
        <f t="shared" si="61"/>
        <v>0</v>
      </c>
      <c r="EB52" s="27">
        <v>0</v>
      </c>
      <c r="EC52" s="27">
        <v>0</v>
      </c>
      <c r="ED52" s="27">
        <v>0</v>
      </c>
      <c r="EE52" s="27">
        <v>0</v>
      </c>
      <c r="EF52" s="27">
        <f t="shared" si="62"/>
        <v>0</v>
      </c>
      <c r="EG52" s="27">
        <v>0</v>
      </c>
      <c r="EH52" s="27">
        <v>0</v>
      </c>
      <c r="EI52" s="27">
        <v>0</v>
      </c>
    </row>
    <row r="53" spans="1:139" ht="15" thickBot="1" x14ac:dyDescent="0.35">
      <c r="A53" s="2" t="s">
        <v>331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28">
        <v>0</v>
      </c>
      <c r="BK53" s="28">
        <v>0</v>
      </c>
      <c r="BL53" s="28">
        <v>0</v>
      </c>
      <c r="BM53" s="28">
        <v>0</v>
      </c>
      <c r="BN53" s="28">
        <f t="shared" si="34"/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f t="shared" si="49"/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f t="shared" si="50"/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f t="shared" si="51"/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f t="shared" si="52"/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f t="shared" si="53"/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f t="shared" si="54"/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f t="shared" si="55"/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f t="shared" si="56"/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f t="shared" si="57"/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f t="shared" si="58"/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f t="shared" si="59"/>
        <v>0</v>
      </c>
      <c r="DR53" s="28">
        <v>0</v>
      </c>
      <c r="DS53" s="28">
        <v>0</v>
      </c>
      <c r="DT53" s="28">
        <v>0</v>
      </c>
      <c r="DU53" s="28">
        <v>0</v>
      </c>
      <c r="DV53" s="28">
        <f t="shared" si="60"/>
        <v>0</v>
      </c>
      <c r="DW53" s="28">
        <v>0</v>
      </c>
      <c r="DX53" s="28">
        <v>0</v>
      </c>
      <c r="DY53" s="28">
        <v>0</v>
      </c>
      <c r="DZ53" s="28">
        <v>0</v>
      </c>
      <c r="EA53" s="28">
        <f t="shared" si="61"/>
        <v>0</v>
      </c>
      <c r="EB53" s="28">
        <v>0</v>
      </c>
      <c r="EC53" s="28">
        <v>0</v>
      </c>
      <c r="ED53" s="28">
        <v>0</v>
      </c>
      <c r="EE53" s="28">
        <v>0</v>
      </c>
      <c r="EF53" s="28">
        <f t="shared" si="62"/>
        <v>0</v>
      </c>
      <c r="EG53" s="28">
        <v>0</v>
      </c>
      <c r="EH53" s="28">
        <v>0</v>
      </c>
      <c r="EI53" s="28">
        <v>0</v>
      </c>
    </row>
    <row r="54" spans="1:139" ht="15" thickTop="1" x14ac:dyDescent="0.3">
      <c r="A54" s="1" t="s">
        <v>308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27">
        <v>0</v>
      </c>
      <c r="BK54" s="27">
        <v>-0.30970652999999998</v>
      </c>
      <c r="BL54" s="27">
        <v>-0.31361825000000004</v>
      </c>
      <c r="BM54" s="27">
        <v>-0.36073383999999992</v>
      </c>
      <c r="BN54" s="27">
        <f t="shared" si="34"/>
        <v>-0.98405861999999988</v>
      </c>
      <c r="BO54" s="27">
        <v>-3.3072613099999999</v>
      </c>
      <c r="BP54" s="27">
        <v>-5.277509610000001</v>
      </c>
      <c r="BQ54" s="27">
        <v>-4.6001682499999994</v>
      </c>
      <c r="BR54" s="27">
        <f>-4.81822475-0.2</f>
        <v>-5.0182247499999999</v>
      </c>
      <c r="BS54" s="27">
        <f t="shared" si="49"/>
        <v>-18.203163920000001</v>
      </c>
      <c r="BT54" s="27">
        <v>-1.8</v>
      </c>
      <c r="BU54" s="27">
        <v>-2.2000000000000002</v>
      </c>
      <c r="BV54" s="27">
        <v>-1.9</v>
      </c>
      <c r="BW54" s="27">
        <v>-4.3</v>
      </c>
      <c r="BX54" s="27">
        <f t="shared" si="50"/>
        <v>-10.199999999999999</v>
      </c>
      <c r="BY54" s="27">
        <v>-2.1</v>
      </c>
      <c r="BZ54" s="27">
        <v>-2.4</v>
      </c>
      <c r="CA54" s="27">
        <v>-2.1</v>
      </c>
      <c r="CB54" s="27">
        <v>-2.2000000000000002</v>
      </c>
      <c r="CC54" s="27">
        <f t="shared" si="51"/>
        <v>-8.8000000000000007</v>
      </c>
      <c r="CD54" s="27">
        <f>-4.81320229+2.6</f>
        <v>-2.2132022900000003</v>
      </c>
      <c r="CE54" s="27">
        <f>-4.68658992+3.3</f>
        <v>-1.3865899200000005</v>
      </c>
      <c r="CF54" s="27">
        <v>-1.6</v>
      </c>
      <c r="CG54" s="27">
        <v>-0.8</v>
      </c>
      <c r="CH54" s="27">
        <f t="shared" si="52"/>
        <v>-5.9997922100000007</v>
      </c>
      <c r="CI54" s="27">
        <v>0</v>
      </c>
      <c r="CJ54" s="27">
        <v>0</v>
      </c>
      <c r="CK54" s="27">
        <v>0</v>
      </c>
      <c r="CL54" s="27">
        <v>0</v>
      </c>
      <c r="CM54" s="27">
        <f t="shared" si="53"/>
        <v>0</v>
      </c>
      <c r="CN54" s="27">
        <v>0.10021072000000331</v>
      </c>
      <c r="CO54" s="27">
        <v>-2.1072000000330049E-4</v>
      </c>
      <c r="CP54" s="27">
        <v>-0.1</v>
      </c>
      <c r="CQ54" s="27">
        <v>0</v>
      </c>
      <c r="CR54" s="27">
        <f t="shared" si="54"/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f t="shared" si="55"/>
        <v>0</v>
      </c>
      <c r="CX54" s="27">
        <v>0</v>
      </c>
      <c r="CY54" s="27">
        <v>0</v>
      </c>
      <c r="CZ54" s="27">
        <v>0</v>
      </c>
      <c r="DA54" s="27">
        <v>0</v>
      </c>
      <c r="DB54" s="27">
        <f t="shared" si="56"/>
        <v>0</v>
      </c>
      <c r="DC54" s="27">
        <v>1.8</v>
      </c>
      <c r="DD54" s="27">
        <v>0</v>
      </c>
      <c r="DE54" s="27">
        <v>-2.6669999999999998</v>
      </c>
      <c r="DF54" s="27">
        <v>-3.5859999999999999</v>
      </c>
      <c r="DG54" s="27">
        <f t="shared" si="57"/>
        <v>-4.4529999999999994</v>
      </c>
      <c r="DH54" s="27">
        <v>-5.26</v>
      </c>
      <c r="DI54" s="27">
        <v>-6.6840000000000002</v>
      </c>
      <c r="DJ54" s="27">
        <v>-6.2960000000000003</v>
      </c>
      <c r="DK54" s="27">
        <v>-9.61</v>
      </c>
      <c r="DL54" s="27">
        <f t="shared" si="58"/>
        <v>-27.849999999999998</v>
      </c>
      <c r="DM54" s="27">
        <v>-7.5419999999999998</v>
      </c>
      <c r="DN54" s="27">
        <v>-7.5419999999999998</v>
      </c>
      <c r="DO54" s="27">
        <v>-7.6050000000000004</v>
      </c>
      <c r="DP54" s="27">
        <v>-8.8420000000000005</v>
      </c>
      <c r="DQ54" s="27">
        <f t="shared" si="59"/>
        <v>-31.530999999999999</v>
      </c>
      <c r="DR54" s="27">
        <v>-8.3000000000000007</v>
      </c>
      <c r="DS54" s="27">
        <v>-8.3000000000000007</v>
      </c>
      <c r="DT54" s="27">
        <v>-8.2989999999999995</v>
      </c>
      <c r="DU54" s="27">
        <v>-13.202999999999999</v>
      </c>
      <c r="DV54" s="27">
        <f t="shared" si="60"/>
        <v>-38.102000000000004</v>
      </c>
      <c r="DW54" s="27">
        <v>-8.1289999999999996</v>
      </c>
      <c r="DX54" s="27">
        <v>-7.96</v>
      </c>
      <c r="DY54" s="27">
        <v>-8.9329626299999987</v>
      </c>
      <c r="DZ54" s="27">
        <v>-8.7716992300000047</v>
      </c>
      <c r="EA54" s="27">
        <f t="shared" si="61"/>
        <v>-33.79366186</v>
      </c>
      <c r="EB54" s="27">
        <v>-11.395472659999999</v>
      </c>
      <c r="EC54" s="27">
        <v>-13.81425628</v>
      </c>
      <c r="ED54" s="27">
        <v>-10.805</v>
      </c>
      <c r="EE54" s="27">
        <v>-13.511448210000001</v>
      </c>
      <c r="EF54" s="27">
        <f t="shared" si="62"/>
        <v>-49.526177149999995</v>
      </c>
      <c r="EG54" s="27">
        <v>-25.293250920000002</v>
      </c>
      <c r="EH54" s="27">
        <v>-24.737684429999998</v>
      </c>
      <c r="EI54" s="27">
        <v>-26.860266999999993</v>
      </c>
    </row>
    <row r="55" spans="1:139" x14ac:dyDescent="0.3">
      <c r="A55" s="5" t="s">
        <v>311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29">
        <f t="shared" ref="BJ55:CO55" si="63">SUM(BJ32:BJ54)</f>
        <v>18.525390169999998</v>
      </c>
      <c r="BK55" s="29">
        <f t="shared" si="63"/>
        <v>18.538268850000005</v>
      </c>
      <c r="BL55" s="29">
        <f t="shared" si="63"/>
        <v>18.303790930000002</v>
      </c>
      <c r="BM55" s="29">
        <f t="shared" si="63"/>
        <v>19.201918299999996</v>
      </c>
      <c r="BN55" s="29">
        <f t="shared" si="63"/>
        <v>74.569368249999997</v>
      </c>
      <c r="BO55" s="29">
        <f t="shared" si="63"/>
        <v>31.812001859999995</v>
      </c>
      <c r="BP55" s="29">
        <f t="shared" si="63"/>
        <v>29.845160819999997</v>
      </c>
      <c r="BQ55" s="29">
        <f t="shared" si="63"/>
        <v>31.493206760000003</v>
      </c>
      <c r="BR55" s="29">
        <f t="shared" si="63"/>
        <v>27.925134561523997</v>
      </c>
      <c r="BS55" s="29">
        <f t="shared" si="63"/>
        <v>121.075504001524</v>
      </c>
      <c r="BT55" s="29">
        <f t="shared" si="63"/>
        <v>22.585208290000001</v>
      </c>
      <c r="BU55" s="29">
        <f t="shared" si="63"/>
        <v>28.130267740000001</v>
      </c>
      <c r="BV55" s="29">
        <f t="shared" si="63"/>
        <v>50.630633729999992</v>
      </c>
      <c r="BW55" s="29">
        <f t="shared" si="63"/>
        <v>31.456481525000012</v>
      </c>
      <c r="BX55" s="29">
        <f t="shared" si="63"/>
        <v>132.80259128500001</v>
      </c>
      <c r="BY55" s="29">
        <f t="shared" si="63"/>
        <v>44.010085750000002</v>
      </c>
      <c r="BZ55" s="29">
        <f t="shared" si="63"/>
        <v>48.47131349</v>
      </c>
      <c r="CA55" s="29">
        <f t="shared" si="63"/>
        <v>48.615570549999994</v>
      </c>
      <c r="CB55" s="29">
        <f t="shared" si="63"/>
        <v>56.938932800000003</v>
      </c>
      <c r="CC55" s="29">
        <f t="shared" si="63"/>
        <v>198.03590259000001</v>
      </c>
      <c r="CD55" s="29">
        <f t="shared" si="63"/>
        <v>50.240539460000008</v>
      </c>
      <c r="CE55" s="29">
        <f t="shared" si="63"/>
        <v>64.44199623999998</v>
      </c>
      <c r="CF55" s="29">
        <f t="shared" si="63"/>
        <v>64.524923569999999</v>
      </c>
      <c r="CG55" s="29">
        <f t="shared" si="63"/>
        <v>62.867317489999991</v>
      </c>
      <c r="CH55" s="29">
        <f t="shared" si="63"/>
        <v>242.07477675999996</v>
      </c>
      <c r="CI55" s="29">
        <f t="shared" si="63"/>
        <v>66.55614915000001</v>
      </c>
      <c r="CJ55" s="29">
        <f t="shared" si="63"/>
        <v>68.83121761000001</v>
      </c>
      <c r="CK55" s="29">
        <f t="shared" si="63"/>
        <v>65.102118170000011</v>
      </c>
      <c r="CL55" s="29">
        <f t="shared" si="63"/>
        <v>63.452652419999993</v>
      </c>
      <c r="CM55" s="29">
        <f t="shared" si="63"/>
        <v>263.94213735000005</v>
      </c>
      <c r="CN55" s="29">
        <f t="shared" si="63"/>
        <v>54.780350600000006</v>
      </c>
      <c r="CO55" s="29">
        <f t="shared" si="63"/>
        <v>54.932926350000002</v>
      </c>
      <c r="CP55" s="29">
        <f t="shared" ref="CP55:DU55" si="64">SUM(CP32:CP54)</f>
        <v>52.663077159999993</v>
      </c>
      <c r="CQ55" s="29">
        <f t="shared" si="64"/>
        <v>56.036645890000003</v>
      </c>
      <c r="CR55" s="29">
        <f t="shared" si="64"/>
        <v>218.41300000000001</v>
      </c>
      <c r="CS55" s="29">
        <f t="shared" si="64"/>
        <v>52.397253329999998</v>
      </c>
      <c r="CT55" s="29">
        <f t="shared" si="64"/>
        <v>54.916592199999997</v>
      </c>
      <c r="CU55" s="29">
        <f t="shared" si="64"/>
        <v>49.561782970000003</v>
      </c>
      <c r="CV55" s="29">
        <f t="shared" si="64"/>
        <v>52.639631009999981</v>
      </c>
      <c r="CW55" s="29">
        <f t="shared" si="64"/>
        <v>209.51525950999999</v>
      </c>
      <c r="CX55" s="29">
        <f t="shared" si="64"/>
        <v>49.985999999999997</v>
      </c>
      <c r="CY55" s="29">
        <f t="shared" si="64"/>
        <v>53.417999999999992</v>
      </c>
      <c r="CZ55" s="29">
        <f t="shared" si="64"/>
        <v>52.876999999999995</v>
      </c>
      <c r="DA55" s="29">
        <f t="shared" si="64"/>
        <v>50.432000000000002</v>
      </c>
      <c r="DB55" s="29">
        <f t="shared" si="64"/>
        <v>206.71299999999999</v>
      </c>
      <c r="DC55" s="29">
        <f t="shared" si="64"/>
        <v>61.128</v>
      </c>
      <c r="DD55" s="29">
        <f t="shared" si="64"/>
        <v>61.718000000000004</v>
      </c>
      <c r="DE55" s="29">
        <f t="shared" si="64"/>
        <v>73.628999999999991</v>
      </c>
      <c r="DF55" s="29">
        <f t="shared" si="64"/>
        <v>69.835999999999999</v>
      </c>
      <c r="DG55" s="29">
        <f t="shared" si="64"/>
        <v>266.31100000000004</v>
      </c>
      <c r="DH55" s="29">
        <f t="shared" si="64"/>
        <v>68.123000000000005</v>
      </c>
      <c r="DI55" s="29">
        <f t="shared" si="64"/>
        <v>58.679000000000002</v>
      </c>
      <c r="DJ55" s="29">
        <f t="shared" si="64"/>
        <v>70.823999999999998</v>
      </c>
      <c r="DK55" s="29">
        <f t="shared" si="64"/>
        <v>71.426000000000002</v>
      </c>
      <c r="DL55" s="29">
        <f t="shared" si="64"/>
        <v>269.05200000000002</v>
      </c>
      <c r="DM55" s="29">
        <f t="shared" si="64"/>
        <v>72.706000000000003</v>
      </c>
      <c r="DN55" s="29">
        <f t="shared" si="64"/>
        <v>79.66</v>
      </c>
      <c r="DO55" s="29">
        <f t="shared" si="64"/>
        <v>83.304000000000002</v>
      </c>
      <c r="DP55" s="29">
        <f t="shared" si="64"/>
        <v>84.293999999999997</v>
      </c>
      <c r="DQ55" s="29">
        <f t="shared" si="64"/>
        <v>319.964</v>
      </c>
      <c r="DR55" s="29">
        <f t="shared" si="64"/>
        <v>81.552000000000007</v>
      </c>
      <c r="DS55" s="29">
        <f t="shared" si="64"/>
        <v>90.404000000000011</v>
      </c>
      <c r="DT55" s="29">
        <f t="shared" si="64"/>
        <v>84.838999999999999</v>
      </c>
      <c r="DU55" s="29">
        <f t="shared" si="64"/>
        <v>92.201999999999998</v>
      </c>
      <c r="DV55" s="29">
        <f t="shared" ref="DV55:ED55" si="65">SUM(DV32:DV54)</f>
        <v>348.99699999999996</v>
      </c>
      <c r="DW55" s="29">
        <f t="shared" si="65"/>
        <v>95.633999999999986</v>
      </c>
      <c r="DX55" s="29">
        <f t="shared" si="65"/>
        <v>103.71500000000002</v>
      </c>
      <c r="DY55" s="29">
        <f t="shared" si="65"/>
        <v>111.57986857</v>
      </c>
      <c r="DZ55" s="29">
        <f t="shared" si="65"/>
        <v>114.77423789000001</v>
      </c>
      <c r="EA55" s="29">
        <f t="shared" si="65"/>
        <v>425.70310646000001</v>
      </c>
      <c r="EB55" s="29">
        <f t="shared" si="65"/>
        <v>109.69196626</v>
      </c>
      <c r="EC55" s="29">
        <f t="shared" si="65"/>
        <v>106.16113409000002</v>
      </c>
      <c r="ED55" s="29">
        <f t="shared" si="65"/>
        <v>119.36199999999999</v>
      </c>
      <c r="EE55" s="29">
        <f t="shared" ref="EE55:EF55" si="66">SUM(EE32:EE54)</f>
        <v>120.37984617000001</v>
      </c>
      <c r="EF55" s="29">
        <f t="shared" si="66"/>
        <v>455.59494652000001</v>
      </c>
      <c r="EG55" s="29">
        <f t="shared" ref="EG55" si="67">SUM(EG32:EG54)</f>
        <v>104.17446997999998</v>
      </c>
      <c r="EH55" s="29">
        <f t="shared" ref="EH55" si="68">SUM(EH32:EH54)</f>
        <v>117.91940922999999</v>
      </c>
      <c r="EI55" s="29">
        <f t="shared" ref="EI55" si="69">SUM(EI32:EI54)</f>
        <v>124.94977909000002</v>
      </c>
    </row>
    <row r="56" spans="1:139" x14ac:dyDescent="0.3">
      <c r="A56" s="20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44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EA56" s="21"/>
      <c r="EF56" s="21"/>
      <c r="EG56" s="21"/>
      <c r="EH56" s="21"/>
      <c r="EI56" s="21"/>
    </row>
    <row r="57" spans="1:139" x14ac:dyDescent="0.3">
      <c r="A57" s="20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EA57" s="21"/>
      <c r="EF57" s="21"/>
      <c r="EG57" s="21"/>
      <c r="EH57" s="21"/>
      <c r="EI57" s="21"/>
    </row>
    <row r="58" spans="1:139" x14ac:dyDescent="0.3">
      <c r="A58" s="3" t="s">
        <v>373</v>
      </c>
      <c r="B58" s="6" t="s">
        <v>4</v>
      </c>
      <c r="C58" s="6" t="s">
        <v>5</v>
      </c>
      <c r="D58" s="6" t="s">
        <v>6</v>
      </c>
      <c r="E58" s="6" t="s">
        <v>7</v>
      </c>
      <c r="F58" s="6">
        <v>2018</v>
      </c>
      <c r="G58" s="6" t="s">
        <v>8</v>
      </c>
      <c r="H58" s="6" t="s">
        <v>9</v>
      </c>
      <c r="I58" s="6" t="s">
        <v>10</v>
      </c>
      <c r="J58" s="6" t="s">
        <v>11</v>
      </c>
      <c r="K58" s="6">
        <v>2019</v>
      </c>
      <c r="L58" s="6" t="s">
        <v>12</v>
      </c>
      <c r="M58" s="6" t="s">
        <v>13</v>
      </c>
      <c r="N58" s="6" t="s">
        <v>14</v>
      </c>
      <c r="O58" s="6" t="s">
        <v>15</v>
      </c>
      <c r="P58" s="6">
        <v>2000</v>
      </c>
      <c r="Q58" s="6" t="s">
        <v>16</v>
      </c>
      <c r="R58" s="6" t="s">
        <v>17</v>
      </c>
      <c r="S58" s="6" t="s">
        <v>18</v>
      </c>
      <c r="T58" s="6" t="s">
        <v>19</v>
      </c>
      <c r="U58" s="6">
        <v>2001</v>
      </c>
      <c r="V58" s="6" t="s">
        <v>20</v>
      </c>
      <c r="W58" s="6" t="s">
        <v>21</v>
      </c>
      <c r="X58" s="6" t="s">
        <v>22</v>
      </c>
      <c r="Y58" s="6" t="s">
        <v>23</v>
      </c>
      <c r="Z58" s="6">
        <v>2002</v>
      </c>
      <c r="AA58" s="6" t="s">
        <v>24</v>
      </c>
      <c r="AB58" s="6" t="s">
        <v>25</v>
      </c>
      <c r="AC58" s="6" t="s">
        <v>26</v>
      </c>
      <c r="AD58" s="6" t="s">
        <v>27</v>
      </c>
      <c r="AE58" s="6">
        <v>2003</v>
      </c>
      <c r="AF58" s="6" t="s">
        <v>28</v>
      </c>
      <c r="AG58" s="6" t="s">
        <v>29</v>
      </c>
      <c r="AH58" s="6" t="s">
        <v>30</v>
      </c>
      <c r="AI58" s="6" t="s">
        <v>31</v>
      </c>
      <c r="AJ58" s="6">
        <v>2004</v>
      </c>
      <c r="AK58" s="6" t="s">
        <v>32</v>
      </c>
      <c r="AL58" s="6" t="s">
        <v>33</v>
      </c>
      <c r="AM58" s="6" t="s">
        <v>34</v>
      </c>
      <c r="AN58" s="6" t="s">
        <v>35</v>
      </c>
      <c r="AO58" s="6">
        <v>2005</v>
      </c>
      <c r="AP58" s="6" t="s">
        <v>36</v>
      </c>
      <c r="AQ58" s="6" t="s">
        <v>37</v>
      </c>
      <c r="AR58" s="6" t="s">
        <v>38</v>
      </c>
      <c r="AS58" s="6" t="s">
        <v>39</v>
      </c>
      <c r="AT58" s="6">
        <v>2006</v>
      </c>
      <c r="AU58" s="6" t="s">
        <v>40</v>
      </c>
      <c r="AV58" s="6" t="s">
        <v>41</v>
      </c>
      <c r="AW58" s="6" t="s">
        <v>42</v>
      </c>
      <c r="AX58" s="6" t="s">
        <v>43</v>
      </c>
      <c r="AY58" s="6">
        <v>2007</v>
      </c>
      <c r="AZ58" s="6" t="s">
        <v>44</v>
      </c>
      <c r="BA58" s="6" t="s">
        <v>45</v>
      </c>
      <c r="BB58" s="6" t="s">
        <v>46</v>
      </c>
      <c r="BC58" s="6" t="s">
        <v>47</v>
      </c>
      <c r="BD58" s="6">
        <v>2008</v>
      </c>
      <c r="BE58" s="6" t="s">
        <v>48</v>
      </c>
      <c r="BF58" s="6" t="s">
        <v>49</v>
      </c>
      <c r="BG58" s="6" t="s">
        <v>50</v>
      </c>
      <c r="BH58" s="6" t="s">
        <v>51</v>
      </c>
      <c r="BI58" s="6">
        <v>2009</v>
      </c>
      <c r="BJ58" s="6" t="s">
        <v>52</v>
      </c>
      <c r="BK58" s="6" t="s">
        <v>53</v>
      </c>
      <c r="BL58" s="6" t="s">
        <v>54</v>
      </c>
      <c r="BM58" s="6" t="s">
        <v>55</v>
      </c>
      <c r="BN58" s="6">
        <v>2010</v>
      </c>
      <c r="BO58" s="6" t="s">
        <v>56</v>
      </c>
      <c r="BP58" s="6" t="s">
        <v>57</v>
      </c>
      <c r="BQ58" s="6" t="s">
        <v>58</v>
      </c>
      <c r="BR58" s="6" t="s">
        <v>59</v>
      </c>
      <c r="BS58" s="6">
        <v>2011</v>
      </c>
      <c r="BT58" s="6" t="s">
        <v>60</v>
      </c>
      <c r="BU58" s="6" t="s">
        <v>61</v>
      </c>
      <c r="BV58" s="6" t="s">
        <v>62</v>
      </c>
      <c r="BW58" s="6" t="s">
        <v>63</v>
      </c>
      <c r="BX58" s="6">
        <v>2012</v>
      </c>
      <c r="BY58" s="6" t="s">
        <v>64</v>
      </c>
      <c r="BZ58" s="6" t="s">
        <v>65</v>
      </c>
      <c r="CA58" s="6" t="s">
        <v>66</v>
      </c>
      <c r="CB58" s="6" t="s">
        <v>67</v>
      </c>
      <c r="CC58" s="6">
        <v>2013</v>
      </c>
      <c r="CD58" s="6" t="s">
        <v>68</v>
      </c>
      <c r="CE58" s="6" t="s">
        <v>69</v>
      </c>
      <c r="CF58" s="6" t="s">
        <v>70</v>
      </c>
      <c r="CG58" s="6" t="s">
        <v>71</v>
      </c>
      <c r="CH58" s="6">
        <v>2014</v>
      </c>
      <c r="CI58" s="6" t="s">
        <v>72</v>
      </c>
      <c r="CJ58" s="6" t="s">
        <v>73</v>
      </c>
      <c r="CK58" s="6" t="s">
        <v>74</v>
      </c>
      <c r="CL58" s="6" t="s">
        <v>75</v>
      </c>
      <c r="CM58" s="6">
        <v>2015</v>
      </c>
      <c r="CN58" s="6" t="s">
        <v>76</v>
      </c>
      <c r="CO58" s="6" t="s">
        <v>77</v>
      </c>
      <c r="CP58" s="6" t="s">
        <v>78</v>
      </c>
      <c r="CQ58" s="6" t="s">
        <v>79</v>
      </c>
      <c r="CR58" s="6">
        <v>2016</v>
      </c>
      <c r="CS58" s="6" t="s">
        <v>80</v>
      </c>
      <c r="CT58" s="6" t="s">
        <v>81</v>
      </c>
      <c r="CU58" s="6" t="s">
        <v>82</v>
      </c>
      <c r="CV58" s="6" t="s">
        <v>83</v>
      </c>
      <c r="CW58" s="6">
        <v>2017</v>
      </c>
      <c r="CX58" s="6" t="s">
        <v>84</v>
      </c>
      <c r="CY58" s="6" t="s">
        <v>85</v>
      </c>
      <c r="CZ58" s="6" t="s">
        <v>86</v>
      </c>
      <c r="DA58" s="6" t="s">
        <v>87</v>
      </c>
      <c r="DB58" s="6">
        <v>2018</v>
      </c>
      <c r="DC58" s="6" t="s">
        <v>88</v>
      </c>
      <c r="DD58" s="6" t="s">
        <v>89</v>
      </c>
      <c r="DE58" s="6" t="s">
        <v>90</v>
      </c>
      <c r="DF58" s="6" t="s">
        <v>91</v>
      </c>
      <c r="DG58" s="6">
        <v>2019</v>
      </c>
      <c r="DH58" s="6" t="s">
        <v>92</v>
      </c>
      <c r="DI58" s="6" t="s">
        <v>93</v>
      </c>
      <c r="DJ58" s="6" t="s">
        <v>94</v>
      </c>
      <c r="DK58" s="6" t="s">
        <v>95</v>
      </c>
      <c r="DL58" s="6">
        <v>2020</v>
      </c>
      <c r="DM58" s="6" t="s">
        <v>96</v>
      </c>
      <c r="DN58" s="6" t="s">
        <v>97</v>
      </c>
      <c r="DO58" s="6" t="s">
        <v>98</v>
      </c>
      <c r="DP58" s="6" t="s">
        <v>99</v>
      </c>
      <c r="DQ58" s="6">
        <v>2021</v>
      </c>
      <c r="DR58" s="6" t="s">
        <v>100</v>
      </c>
      <c r="DS58" s="6" t="s">
        <v>101</v>
      </c>
      <c r="DT58" s="6" t="s">
        <v>200</v>
      </c>
      <c r="DU58" s="6" t="s">
        <v>380</v>
      </c>
      <c r="DV58" s="6">
        <v>2022</v>
      </c>
      <c r="DW58" s="6" t="s">
        <v>379</v>
      </c>
      <c r="DX58" s="6" t="s">
        <v>402</v>
      </c>
      <c r="DY58" s="6" t="s">
        <v>414</v>
      </c>
      <c r="DZ58" s="6" t="s">
        <v>419</v>
      </c>
      <c r="EA58" s="6">
        <v>2023</v>
      </c>
      <c r="EB58" s="6" t="s">
        <v>424</v>
      </c>
      <c r="EC58" s="6" t="s">
        <v>429</v>
      </c>
      <c r="ED58" s="6" t="str">
        <f>$ED$1</f>
        <v>3T24</v>
      </c>
      <c r="EE58" s="6" t="str">
        <f>$EE$1</f>
        <v>4T24</v>
      </c>
      <c r="EF58" s="6">
        <f>$EF$1</f>
        <v>2024</v>
      </c>
      <c r="EG58" s="6" t="str">
        <f>EG$1</f>
        <v>1T25</v>
      </c>
      <c r="EH58" s="6" t="str">
        <f>EH$1</f>
        <v>2T25</v>
      </c>
      <c r="EI58" s="6" t="str">
        <f>EI$1</f>
        <v>3T25</v>
      </c>
    </row>
    <row r="59" spans="1:139" ht="15" thickBot="1" x14ac:dyDescent="0.35">
      <c r="A59" s="4" t="s">
        <v>374</v>
      </c>
      <c r="B59" s="7" t="s">
        <v>102</v>
      </c>
      <c r="C59" s="7" t="s">
        <v>103</v>
      </c>
      <c r="D59" s="7" t="s">
        <v>104</v>
      </c>
      <c r="E59" s="7" t="s">
        <v>105</v>
      </c>
      <c r="F59" s="7">
        <v>2018</v>
      </c>
      <c r="G59" s="7" t="s">
        <v>106</v>
      </c>
      <c r="H59" s="7" t="s">
        <v>107</v>
      </c>
      <c r="I59" s="7" t="s">
        <v>108</v>
      </c>
      <c r="J59" s="7" t="s">
        <v>109</v>
      </c>
      <c r="K59" s="7">
        <v>2019</v>
      </c>
      <c r="L59" s="7" t="s">
        <v>110</v>
      </c>
      <c r="M59" s="7" t="s">
        <v>111</v>
      </c>
      <c r="N59" s="7" t="s">
        <v>112</v>
      </c>
      <c r="O59" s="7" t="s">
        <v>113</v>
      </c>
      <c r="P59" s="7">
        <v>2000</v>
      </c>
      <c r="Q59" s="7" t="s">
        <v>114</v>
      </c>
      <c r="R59" s="7" t="s">
        <v>115</v>
      </c>
      <c r="S59" s="7" t="s">
        <v>116</v>
      </c>
      <c r="T59" s="7" t="s">
        <v>117</v>
      </c>
      <c r="U59" s="7">
        <v>2001</v>
      </c>
      <c r="V59" s="7" t="s">
        <v>118</v>
      </c>
      <c r="W59" s="7" t="s">
        <v>119</v>
      </c>
      <c r="X59" s="7" t="s">
        <v>120</v>
      </c>
      <c r="Y59" s="7" t="s">
        <v>121</v>
      </c>
      <c r="Z59" s="7">
        <v>2002</v>
      </c>
      <c r="AA59" s="7" t="s">
        <v>122</v>
      </c>
      <c r="AB59" s="7" t="s">
        <v>123</v>
      </c>
      <c r="AC59" s="7" t="s">
        <v>124</v>
      </c>
      <c r="AD59" s="7" t="s">
        <v>125</v>
      </c>
      <c r="AE59" s="7">
        <v>2003</v>
      </c>
      <c r="AF59" s="7" t="s">
        <v>126</v>
      </c>
      <c r="AG59" s="7" t="s">
        <v>127</v>
      </c>
      <c r="AH59" s="7" t="s">
        <v>128</v>
      </c>
      <c r="AI59" s="7" t="s">
        <v>129</v>
      </c>
      <c r="AJ59" s="7">
        <v>2004</v>
      </c>
      <c r="AK59" s="7" t="s">
        <v>130</v>
      </c>
      <c r="AL59" s="7" t="s">
        <v>131</v>
      </c>
      <c r="AM59" s="7" t="s">
        <v>132</v>
      </c>
      <c r="AN59" s="7" t="s">
        <v>133</v>
      </c>
      <c r="AO59" s="7">
        <v>2005</v>
      </c>
      <c r="AP59" s="7" t="s">
        <v>134</v>
      </c>
      <c r="AQ59" s="7" t="s">
        <v>135</v>
      </c>
      <c r="AR59" s="7" t="s">
        <v>136</v>
      </c>
      <c r="AS59" s="7" t="s">
        <v>137</v>
      </c>
      <c r="AT59" s="7">
        <v>2006</v>
      </c>
      <c r="AU59" s="7" t="s">
        <v>138</v>
      </c>
      <c r="AV59" s="7" t="s">
        <v>139</v>
      </c>
      <c r="AW59" s="7" t="s">
        <v>140</v>
      </c>
      <c r="AX59" s="7" t="s">
        <v>141</v>
      </c>
      <c r="AY59" s="7">
        <v>2007</v>
      </c>
      <c r="AZ59" s="7" t="s">
        <v>142</v>
      </c>
      <c r="BA59" s="7" t="s">
        <v>143</v>
      </c>
      <c r="BB59" s="7" t="s">
        <v>144</v>
      </c>
      <c r="BC59" s="7" t="s">
        <v>145</v>
      </c>
      <c r="BD59" s="7">
        <v>2008</v>
      </c>
      <c r="BE59" s="7" t="s">
        <v>146</v>
      </c>
      <c r="BF59" s="7" t="s">
        <v>147</v>
      </c>
      <c r="BG59" s="7" t="s">
        <v>148</v>
      </c>
      <c r="BH59" s="7" t="s">
        <v>149</v>
      </c>
      <c r="BI59" s="7">
        <v>2009</v>
      </c>
      <c r="BJ59" s="7" t="s">
        <v>150</v>
      </c>
      <c r="BK59" s="7" t="s">
        <v>151</v>
      </c>
      <c r="BL59" s="7" t="s">
        <v>152</v>
      </c>
      <c r="BM59" s="7" t="s">
        <v>153</v>
      </c>
      <c r="BN59" s="7">
        <v>2010</v>
      </c>
      <c r="BO59" s="7" t="s">
        <v>154</v>
      </c>
      <c r="BP59" s="7" t="s">
        <v>155</v>
      </c>
      <c r="BQ59" s="7" t="s">
        <v>156</v>
      </c>
      <c r="BR59" s="7" t="s">
        <v>157</v>
      </c>
      <c r="BS59" s="7">
        <v>2011</v>
      </c>
      <c r="BT59" s="7" t="s">
        <v>158</v>
      </c>
      <c r="BU59" s="7" t="s">
        <v>159</v>
      </c>
      <c r="BV59" s="7" t="s">
        <v>160</v>
      </c>
      <c r="BW59" s="7" t="s">
        <v>161</v>
      </c>
      <c r="BX59" s="7">
        <v>2012</v>
      </c>
      <c r="BY59" s="7" t="s">
        <v>162</v>
      </c>
      <c r="BZ59" s="7" t="s">
        <v>163</v>
      </c>
      <c r="CA59" s="7" t="s">
        <v>164</v>
      </c>
      <c r="CB59" s="7" t="s">
        <v>165</v>
      </c>
      <c r="CC59" s="7">
        <v>2013</v>
      </c>
      <c r="CD59" s="7" t="s">
        <v>166</v>
      </c>
      <c r="CE59" s="7" t="s">
        <v>167</v>
      </c>
      <c r="CF59" s="7" t="s">
        <v>168</v>
      </c>
      <c r="CG59" s="7" t="s">
        <v>169</v>
      </c>
      <c r="CH59" s="7">
        <v>2014</v>
      </c>
      <c r="CI59" s="7" t="s">
        <v>170</v>
      </c>
      <c r="CJ59" s="7" t="s">
        <v>171</v>
      </c>
      <c r="CK59" s="7" t="s">
        <v>172</v>
      </c>
      <c r="CL59" s="7" t="s">
        <v>173</v>
      </c>
      <c r="CM59" s="7">
        <v>2015</v>
      </c>
      <c r="CN59" s="7" t="s">
        <v>174</v>
      </c>
      <c r="CO59" s="7" t="s">
        <v>175</v>
      </c>
      <c r="CP59" s="7" t="s">
        <v>176</v>
      </c>
      <c r="CQ59" s="7" t="s">
        <v>177</v>
      </c>
      <c r="CR59" s="7">
        <v>2016</v>
      </c>
      <c r="CS59" s="7" t="s">
        <v>178</v>
      </c>
      <c r="CT59" s="7" t="s">
        <v>179</v>
      </c>
      <c r="CU59" s="7" t="s">
        <v>180</v>
      </c>
      <c r="CV59" s="7" t="s">
        <v>181</v>
      </c>
      <c r="CW59" s="7">
        <v>2017</v>
      </c>
      <c r="CX59" s="7" t="s">
        <v>182</v>
      </c>
      <c r="CY59" s="7" t="s">
        <v>183</v>
      </c>
      <c r="CZ59" s="7" t="s">
        <v>184</v>
      </c>
      <c r="DA59" s="7" t="s">
        <v>185</v>
      </c>
      <c r="DB59" s="7">
        <v>2018</v>
      </c>
      <c r="DC59" s="7" t="s">
        <v>186</v>
      </c>
      <c r="DD59" s="7" t="s">
        <v>187</v>
      </c>
      <c r="DE59" s="7" t="s">
        <v>188</v>
      </c>
      <c r="DF59" s="7" t="s">
        <v>189</v>
      </c>
      <c r="DG59" s="7">
        <v>2019</v>
      </c>
      <c r="DH59" s="7" t="s">
        <v>190</v>
      </c>
      <c r="DI59" s="7" t="s">
        <v>191</v>
      </c>
      <c r="DJ59" s="7" t="s">
        <v>192</v>
      </c>
      <c r="DK59" s="7" t="s">
        <v>193</v>
      </c>
      <c r="DL59" s="7">
        <v>2020</v>
      </c>
      <c r="DM59" s="7" t="s">
        <v>194</v>
      </c>
      <c r="DN59" s="7" t="s">
        <v>195</v>
      </c>
      <c r="DO59" s="7" t="s">
        <v>196</v>
      </c>
      <c r="DP59" s="7" t="s">
        <v>197</v>
      </c>
      <c r="DQ59" s="7">
        <v>2021</v>
      </c>
      <c r="DR59" s="7" t="s">
        <v>198</v>
      </c>
      <c r="DS59" s="7" t="s">
        <v>199</v>
      </c>
      <c r="DT59" s="7" t="s">
        <v>201</v>
      </c>
      <c r="DU59" s="7" t="s">
        <v>381</v>
      </c>
      <c r="DV59" s="7">
        <v>2022</v>
      </c>
      <c r="DW59" s="7" t="s">
        <v>382</v>
      </c>
      <c r="DX59" s="7" t="s">
        <v>403</v>
      </c>
      <c r="DY59" s="7" t="s">
        <v>415</v>
      </c>
      <c r="DZ59" s="7" t="s">
        <v>420</v>
      </c>
      <c r="EA59" s="7">
        <v>2023</v>
      </c>
      <c r="EB59" s="7" t="s">
        <v>425</v>
      </c>
      <c r="EC59" s="7" t="s">
        <v>430</v>
      </c>
      <c r="ED59" s="7" t="str">
        <f>$ED$2</f>
        <v>3Q24</v>
      </c>
      <c r="EE59" s="6" t="str">
        <f>$EE$2</f>
        <v>4Q24</v>
      </c>
      <c r="EF59" s="6">
        <f>$EF$2</f>
        <v>2024</v>
      </c>
      <c r="EG59" s="7" t="str">
        <f>EG$2</f>
        <v>1Q25</v>
      </c>
      <c r="EH59" s="7" t="str">
        <f>EH$2</f>
        <v>2Q25</v>
      </c>
      <c r="EI59" s="7" t="str">
        <f>EI$2</f>
        <v>3Q25</v>
      </c>
    </row>
    <row r="60" spans="1:139" ht="15" thickTop="1" x14ac:dyDescent="0.3">
      <c r="A60" s="1" t="s">
        <v>2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27">
        <v>2.4564501500000002</v>
      </c>
      <c r="BK60" s="27">
        <v>1.8239741</v>
      </c>
      <c r="BL60" s="27">
        <v>4.4525839099999986</v>
      </c>
      <c r="BM60" s="27">
        <v>5.1322573700000005</v>
      </c>
      <c r="BN60" s="27">
        <f>SUM(BJ60:BM60)</f>
        <v>13.865265529999999</v>
      </c>
      <c r="BO60" s="27">
        <v>3.9893690200000003</v>
      </c>
      <c r="BP60" s="27">
        <v>0.84951659999999984</v>
      </c>
      <c r="BQ60" s="27">
        <v>2.7663259599999992</v>
      </c>
      <c r="BR60" s="27">
        <v>4.4375562599999991</v>
      </c>
      <c r="BS60" s="27">
        <f>SUM(BO60:BR60)</f>
        <v>12.042767839999998</v>
      </c>
      <c r="BT60" s="27">
        <v>2.25554889</v>
      </c>
      <c r="BU60" s="27">
        <v>2.5275644399999999</v>
      </c>
      <c r="BV60" s="27">
        <v>2.2306936300000002</v>
      </c>
      <c r="BW60" s="27">
        <v>3.5843658699999983</v>
      </c>
      <c r="BX60" s="27">
        <f>SUM(BT60:BW60)</f>
        <v>10.598172829999999</v>
      </c>
      <c r="BY60" s="27">
        <v>4.2587371299999992</v>
      </c>
      <c r="BZ60" s="27">
        <v>2.4716047600000008</v>
      </c>
      <c r="CA60" s="27">
        <v>3.8097535799999998</v>
      </c>
      <c r="CB60" s="27">
        <v>7.2776444100000015</v>
      </c>
      <c r="CC60" s="27">
        <f>SUM(BY60:CB60)</f>
        <v>17.817739880000001</v>
      </c>
      <c r="CD60" s="27">
        <v>4.2426489200000006</v>
      </c>
      <c r="CE60" s="27">
        <v>3.0361070999999988</v>
      </c>
      <c r="CF60" s="27">
        <v>4.5700372500000004</v>
      </c>
      <c r="CG60" s="27">
        <v>3.3692206300000009</v>
      </c>
      <c r="CH60" s="27">
        <f>SUM(CD60:CG60)</f>
        <v>15.218013900000001</v>
      </c>
      <c r="CI60" s="27">
        <v>2.7658711499999997</v>
      </c>
      <c r="CJ60" s="27">
        <v>2.9331713100000005</v>
      </c>
      <c r="CK60" s="27">
        <v>2.6872530299999999</v>
      </c>
      <c r="CL60" s="27">
        <v>4.0232418700000006</v>
      </c>
      <c r="CM60" s="27">
        <f>SUM(CI60:CL60)</f>
        <v>12.409537360000002</v>
      </c>
      <c r="CN60" s="27">
        <v>2.1703028199999999</v>
      </c>
      <c r="CO60" s="27">
        <v>2.2772040000000002</v>
      </c>
      <c r="CP60" s="27">
        <v>2.7348259200000005</v>
      </c>
      <c r="CQ60" s="27">
        <v>3.0996672599999995</v>
      </c>
      <c r="CR60" s="27">
        <f>SUM(CN60:CQ60)</f>
        <v>10.282</v>
      </c>
      <c r="CS60" s="27">
        <v>2.4848523</v>
      </c>
      <c r="CT60" s="27">
        <v>2.6838897199999998</v>
      </c>
      <c r="CU60" s="27">
        <v>2.4935928599999997</v>
      </c>
      <c r="CV60" s="27">
        <v>2.8740470699999996</v>
      </c>
      <c r="CW60" s="27">
        <v>10.536381949999999</v>
      </c>
      <c r="CX60" s="27">
        <v>2.0920000000000001</v>
      </c>
      <c r="CY60" s="27">
        <v>2.7509999999999999</v>
      </c>
      <c r="CZ60" s="27">
        <v>2.831</v>
      </c>
      <c r="DA60" s="27">
        <v>2.7440000000000002</v>
      </c>
      <c r="DB60" s="27">
        <f>SUM(CX60:DA60)</f>
        <v>10.417999999999999</v>
      </c>
      <c r="DC60" s="27">
        <v>2.3919999999999999</v>
      </c>
      <c r="DD60" s="27">
        <v>2.8570000000000002</v>
      </c>
      <c r="DE60" s="27">
        <v>2.6930000000000001</v>
      </c>
      <c r="DF60" s="27">
        <v>4.8710000000000004</v>
      </c>
      <c r="DG60" s="27">
        <f>SUM(DC60:DF60)</f>
        <v>12.813000000000001</v>
      </c>
      <c r="DH60" s="27">
        <v>3.2349999999999999</v>
      </c>
      <c r="DI60" s="27">
        <v>3.1579999999999999</v>
      </c>
      <c r="DJ60" s="27">
        <v>3.1930000000000001</v>
      </c>
      <c r="DK60" s="27">
        <v>5.0069999999999997</v>
      </c>
      <c r="DL60" s="27">
        <f>SUM(DH60:DK60)</f>
        <v>14.593</v>
      </c>
      <c r="DM60" s="27">
        <v>4.5190000000000001</v>
      </c>
      <c r="DN60" s="27">
        <v>4.5919999999999996</v>
      </c>
      <c r="DO60" s="27">
        <v>3.6520000000000001</v>
      </c>
      <c r="DP60" s="27">
        <v>2.78</v>
      </c>
      <c r="DQ60" s="27">
        <f>SUM(DM60:DP60)</f>
        <v>15.543000000000001</v>
      </c>
      <c r="DR60" s="27">
        <v>0.997</v>
      </c>
      <c r="DS60" s="27">
        <v>1E-3</v>
      </c>
      <c r="DT60" s="27">
        <v>-8.9999999999999993E-3</v>
      </c>
      <c r="DU60" s="27">
        <f>-SUM(DR60:DT60)</f>
        <v>-0.98899999999999999</v>
      </c>
      <c r="DV60" s="27">
        <f>SUM(DR60:DU60)</f>
        <v>0</v>
      </c>
      <c r="DW60" s="27">
        <v>0</v>
      </c>
      <c r="DX60" s="27">
        <v>0</v>
      </c>
      <c r="DY60" s="27">
        <v>0</v>
      </c>
      <c r="DZ60" s="27">
        <v>0</v>
      </c>
      <c r="EA60" s="27">
        <f>SUM(DW60:DZ60)</f>
        <v>0</v>
      </c>
      <c r="EB60" s="27">
        <v>0</v>
      </c>
      <c r="EC60" s="27">
        <v>0</v>
      </c>
      <c r="ED60" s="27">
        <v>0</v>
      </c>
      <c r="EE60" s="27">
        <v>0</v>
      </c>
      <c r="EF60" s="27">
        <f>SUM(EB60:EE60)</f>
        <v>0</v>
      </c>
      <c r="EG60" s="27">
        <v>0</v>
      </c>
      <c r="EH60" s="27">
        <v>0</v>
      </c>
      <c r="EI60" s="27">
        <v>0</v>
      </c>
    </row>
    <row r="61" spans="1:139" ht="15" thickBot="1" x14ac:dyDescent="0.35">
      <c r="A61" s="2" t="s">
        <v>454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28">
        <v>2.6744292300000003</v>
      </c>
      <c r="BK61" s="28">
        <v>2.1031797399999999</v>
      </c>
      <c r="BL61" s="28">
        <v>2.4750187200000004</v>
      </c>
      <c r="BM61" s="28">
        <v>1.6677214499999984</v>
      </c>
      <c r="BN61" s="28">
        <f t="shared" ref="BN61:BN82" si="70">SUM(BJ61:BM61)</f>
        <v>8.920349139999999</v>
      </c>
      <c r="BO61" s="28">
        <v>2.27501161</v>
      </c>
      <c r="BP61" s="28">
        <v>2.4006636100000005</v>
      </c>
      <c r="BQ61" s="28">
        <v>2.4111673399999995</v>
      </c>
      <c r="BR61" s="28">
        <v>1.89229878</v>
      </c>
      <c r="BS61" s="28">
        <f t="shared" ref="BS61:BS82" si="71">SUM(BO61:BR61)</f>
        <v>8.97914134</v>
      </c>
      <c r="BT61" s="28">
        <v>1.6856002799999998</v>
      </c>
      <c r="BU61" s="28">
        <v>2.6282298900000001</v>
      </c>
      <c r="BV61" s="28">
        <v>0.60930410000000035</v>
      </c>
      <c r="BW61" s="28">
        <v>1.5341966400000004</v>
      </c>
      <c r="BX61" s="28">
        <f t="shared" ref="BX61:BX82" si="72">SUM(BT61:BW61)</f>
        <v>6.4573309100000005</v>
      </c>
      <c r="BY61" s="28">
        <v>2.0994864700000004</v>
      </c>
      <c r="BZ61" s="28">
        <v>3.425557819999999</v>
      </c>
      <c r="CA61" s="28">
        <v>3.0981991400000011</v>
      </c>
      <c r="CB61" s="28">
        <v>2.9312560200000002</v>
      </c>
      <c r="CC61" s="28">
        <f t="shared" ref="CC61:CC82" si="73">SUM(BY61:CB61)</f>
        <v>11.554499450000002</v>
      </c>
      <c r="CD61" s="28">
        <v>3.0974937400000004</v>
      </c>
      <c r="CE61" s="28">
        <v>2.6831381400000001</v>
      </c>
      <c r="CF61" s="28">
        <v>2.1109101200000002</v>
      </c>
      <c r="CG61" s="28">
        <v>1.3111997500000006</v>
      </c>
      <c r="CH61" s="28">
        <f t="shared" ref="CH61:CH82" si="74">SUM(CD61:CG61)</f>
        <v>9.2027417500000013</v>
      </c>
      <c r="CI61" s="28">
        <v>2.3363389100000003</v>
      </c>
      <c r="CJ61" s="28">
        <v>2.5199101199999996</v>
      </c>
      <c r="CK61" s="28">
        <v>2.5009436200000001</v>
      </c>
      <c r="CL61" s="28">
        <v>2.7971986999999991</v>
      </c>
      <c r="CM61" s="28">
        <f t="shared" ref="CM61:CM82" si="75">SUM(CI61:CL61)</f>
        <v>10.154391349999999</v>
      </c>
      <c r="CN61" s="28">
        <v>2.35741844</v>
      </c>
      <c r="CO61" s="28">
        <v>2.9997421800000001</v>
      </c>
      <c r="CP61" s="28">
        <v>3.0950191800000013</v>
      </c>
      <c r="CQ61" s="28">
        <v>2.9728201999999992</v>
      </c>
      <c r="CR61" s="28">
        <f t="shared" ref="CR61:CR82" si="76">SUM(CN61:CQ61)</f>
        <v>11.425000000000001</v>
      </c>
      <c r="CS61" s="28">
        <v>2.90455204</v>
      </c>
      <c r="CT61" s="28">
        <v>3.0516142900000003</v>
      </c>
      <c r="CU61" s="28">
        <v>3.1770174299999998</v>
      </c>
      <c r="CV61" s="28">
        <v>3.0061397699999994</v>
      </c>
      <c r="CW61" s="28">
        <v>12.139323529999999</v>
      </c>
      <c r="CX61" s="28">
        <v>3.1850000000000001</v>
      </c>
      <c r="CY61" s="28">
        <v>3.3260000000000001</v>
      </c>
      <c r="CZ61" s="28">
        <v>2.3959999999999999</v>
      </c>
      <c r="DA61" s="28">
        <v>2.5339999999999998</v>
      </c>
      <c r="DB61" s="28">
        <f t="shared" ref="DB61:DB82" si="77">SUM(CX61:DA61)</f>
        <v>11.440999999999999</v>
      </c>
      <c r="DC61" s="28">
        <v>3.2080000000000002</v>
      </c>
      <c r="DD61" s="28">
        <v>3.4119999999999999</v>
      </c>
      <c r="DE61" s="28">
        <v>3.3220000000000001</v>
      </c>
      <c r="DF61" s="28">
        <v>3.048</v>
      </c>
      <c r="DG61" s="28">
        <f t="shared" ref="DG61:DG82" si="78">SUM(DC61:DF61)</f>
        <v>12.99</v>
      </c>
      <c r="DH61" s="28">
        <v>3.3250000000000002</v>
      </c>
      <c r="DI61" s="28">
        <v>2.387</v>
      </c>
      <c r="DJ61" s="28">
        <v>3.306</v>
      </c>
      <c r="DK61" s="28">
        <v>3.4359999999999999</v>
      </c>
      <c r="DL61" s="28">
        <f t="shared" ref="DL61:DL82" si="79">SUM(DH61:DK61)</f>
        <v>12.454000000000001</v>
      </c>
      <c r="DM61" s="28">
        <v>3.26</v>
      </c>
      <c r="DN61" s="28">
        <v>3.774</v>
      </c>
      <c r="DO61" s="28">
        <v>3.9159999999999999</v>
      </c>
      <c r="DP61" s="28">
        <v>3.92</v>
      </c>
      <c r="DQ61" s="28">
        <f t="shared" ref="DQ61:DQ82" si="80">SUM(DM61:DP61)</f>
        <v>14.87</v>
      </c>
      <c r="DR61" s="28">
        <v>3.6160000000000001</v>
      </c>
      <c r="DS61" s="28">
        <v>4.3179999999999996</v>
      </c>
      <c r="DT61" s="28">
        <v>2.8479999999999999</v>
      </c>
      <c r="DU61" s="28">
        <v>-2.2400000000000002</v>
      </c>
      <c r="DV61" s="28">
        <f t="shared" ref="DV61:DV82" si="81">SUM(DR61:DU61)</f>
        <v>8.5419999999999998</v>
      </c>
      <c r="DW61" s="28">
        <v>2.6389999999999998</v>
      </c>
      <c r="DX61" s="28">
        <v>3.4049999999999998</v>
      </c>
      <c r="DY61" s="28">
        <v>2.2540217699999996</v>
      </c>
      <c r="DZ61" s="28">
        <v>3.0053383900000008</v>
      </c>
      <c r="EA61" s="28">
        <f t="shared" ref="EA61:EA82" si="82">SUM(DW61:DZ61)</f>
        <v>11.303360159999999</v>
      </c>
      <c r="EB61" s="28">
        <v>2.8978083799999999</v>
      </c>
      <c r="EC61" s="28">
        <v>2.5785636799999998</v>
      </c>
      <c r="ED61" s="28">
        <v>2.6890000000000001</v>
      </c>
      <c r="EE61" s="28">
        <v>2.8558975599999994</v>
      </c>
      <c r="EF61" s="28">
        <f t="shared" ref="EF61:EF82" si="83">SUM(EB61:EE61)</f>
        <v>11.021269619999998</v>
      </c>
      <c r="EG61" s="28">
        <v>1.7874144199999999</v>
      </c>
      <c r="EH61" s="28">
        <v>1.7405525400000001</v>
      </c>
      <c r="EI61" s="28">
        <v>1.6066016699999999</v>
      </c>
    </row>
    <row r="62" spans="1:139" ht="15" thickTop="1" x14ac:dyDescent="0.3">
      <c r="A62" s="1" t="s">
        <v>442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27">
        <v>3.6807854000000004</v>
      </c>
      <c r="BK62" s="27">
        <v>4.144148219999999</v>
      </c>
      <c r="BL62" s="27">
        <v>3.7536070900000009</v>
      </c>
      <c r="BM62" s="27">
        <v>4.5045833299999964</v>
      </c>
      <c r="BN62" s="27">
        <f t="shared" si="70"/>
        <v>16.083124039999998</v>
      </c>
      <c r="BO62" s="27">
        <v>4.3883836800000005</v>
      </c>
      <c r="BP62" s="27">
        <v>3.9675464599999994</v>
      </c>
      <c r="BQ62" s="27">
        <v>3.748739119999998</v>
      </c>
      <c r="BR62" s="27">
        <v>3.6771784900000029</v>
      </c>
      <c r="BS62" s="27">
        <f t="shared" si="71"/>
        <v>15.781847750000001</v>
      </c>
      <c r="BT62" s="27">
        <v>2.94823689</v>
      </c>
      <c r="BU62" s="27">
        <v>3.5306181199999993</v>
      </c>
      <c r="BV62" s="27">
        <v>3.1461722600000006</v>
      </c>
      <c r="BW62" s="27">
        <v>8.3946074499999987</v>
      </c>
      <c r="BX62" s="27">
        <f t="shared" si="72"/>
        <v>18.019634719999999</v>
      </c>
      <c r="BY62" s="27">
        <v>3.2968966799999997</v>
      </c>
      <c r="BZ62" s="27">
        <v>6.1829161100000007</v>
      </c>
      <c r="CA62" s="27">
        <v>0.79781833000000013</v>
      </c>
      <c r="CB62" s="27">
        <v>4.6807336299999989</v>
      </c>
      <c r="CC62" s="27">
        <f t="shared" si="73"/>
        <v>14.958364749999999</v>
      </c>
      <c r="CD62" s="27">
        <v>3.3061320100000002</v>
      </c>
      <c r="CE62" s="27">
        <v>3.3717387099999994</v>
      </c>
      <c r="CF62" s="27">
        <v>3.8899903399999993</v>
      </c>
      <c r="CG62" s="27">
        <v>2.9392773400000025</v>
      </c>
      <c r="CH62" s="27">
        <f t="shared" si="74"/>
        <v>13.507138400000001</v>
      </c>
      <c r="CI62" s="27">
        <v>3.6088629800000001</v>
      </c>
      <c r="CJ62" s="27">
        <v>3.0060243199999994</v>
      </c>
      <c r="CK62" s="27">
        <v>2.7891655800000001</v>
      </c>
      <c r="CL62" s="27">
        <v>3.6906318799999993</v>
      </c>
      <c r="CM62" s="27">
        <f t="shared" si="75"/>
        <v>13.09468476</v>
      </c>
      <c r="CN62" s="27">
        <v>3.0150100600000003</v>
      </c>
      <c r="CO62" s="27">
        <v>2.6838200299999992</v>
      </c>
      <c r="CP62" s="27">
        <v>2.3359577400000009</v>
      </c>
      <c r="CQ62" s="27">
        <v>2.6422121699999987</v>
      </c>
      <c r="CR62" s="27">
        <f t="shared" si="76"/>
        <v>10.677</v>
      </c>
      <c r="CS62" s="27">
        <v>2.28155412</v>
      </c>
      <c r="CT62" s="27">
        <v>2.66961359</v>
      </c>
      <c r="CU62" s="27">
        <v>2.4571708499999998</v>
      </c>
      <c r="CV62" s="27">
        <v>2.8656807500000001</v>
      </c>
      <c r="CW62" s="27">
        <v>10.27401931</v>
      </c>
      <c r="CX62" s="27">
        <v>2.7509999999999999</v>
      </c>
      <c r="CY62" s="27">
        <v>2.3860000000000001</v>
      </c>
      <c r="CZ62" s="27">
        <v>2.3620000000000001</v>
      </c>
      <c r="DA62" s="27">
        <v>2.496</v>
      </c>
      <c r="DB62" s="27">
        <f t="shared" si="77"/>
        <v>9.995000000000001</v>
      </c>
      <c r="DC62" s="27">
        <v>2.597</v>
      </c>
      <c r="DD62" s="27">
        <v>1.982</v>
      </c>
      <c r="DE62" s="27">
        <v>2.3239999999999998</v>
      </c>
      <c r="DF62" s="27">
        <v>3.419</v>
      </c>
      <c r="DG62" s="27">
        <f t="shared" si="78"/>
        <v>10.321999999999999</v>
      </c>
      <c r="DH62" s="27">
        <v>2.145</v>
      </c>
      <c r="DI62" s="27">
        <v>2.33</v>
      </c>
      <c r="DJ62" s="27">
        <v>2.0710000000000002</v>
      </c>
      <c r="DK62" s="27">
        <v>18.579999999999998</v>
      </c>
      <c r="DL62" s="27">
        <f t="shared" si="79"/>
        <v>25.125999999999998</v>
      </c>
      <c r="DM62" s="27">
        <v>7.36</v>
      </c>
      <c r="DN62" s="27">
        <v>8.2929999999999993</v>
      </c>
      <c r="DO62" s="27">
        <v>9.2159999999999993</v>
      </c>
      <c r="DP62" s="27">
        <v>10.228999999999999</v>
      </c>
      <c r="DQ62" s="27">
        <f t="shared" si="80"/>
        <v>35.097999999999999</v>
      </c>
      <c r="DR62" s="27">
        <v>8.1189999999999998</v>
      </c>
      <c r="DS62" s="27">
        <v>9.7669999999999995</v>
      </c>
      <c r="DT62" s="27">
        <v>9.0500000000000007</v>
      </c>
      <c r="DU62" s="27">
        <v>7.0650000000000004</v>
      </c>
      <c r="DV62" s="27">
        <f t="shared" si="81"/>
        <v>34.000999999999998</v>
      </c>
      <c r="DW62" s="27">
        <v>9.5579999999999998</v>
      </c>
      <c r="DX62" s="27">
        <v>9.5739999999999998</v>
      </c>
      <c r="DY62" s="27">
        <v>9.3143405500000007</v>
      </c>
      <c r="DZ62" s="27">
        <v>8.9922311800000028</v>
      </c>
      <c r="EA62" s="27">
        <f t="shared" si="82"/>
        <v>37.43857173</v>
      </c>
      <c r="EB62" s="27">
        <v>8.8969716500000011</v>
      </c>
      <c r="EC62" s="27">
        <v>11.29059054</v>
      </c>
      <c r="ED62" s="27">
        <v>10.670999999999999</v>
      </c>
      <c r="EE62" s="27">
        <v>10.486572780000001</v>
      </c>
      <c r="EF62" s="27">
        <f t="shared" si="83"/>
        <v>41.345134970000004</v>
      </c>
      <c r="EG62" s="27">
        <v>9.78014677</v>
      </c>
      <c r="EH62" s="27">
        <v>9.9465720500000003</v>
      </c>
      <c r="EI62" s="27">
        <v>6.9823638000000008</v>
      </c>
    </row>
    <row r="63" spans="1:139" ht="15" thickBot="1" x14ac:dyDescent="0.35">
      <c r="A63" s="2" t="s">
        <v>3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28">
        <v>2.6577084900000001</v>
      </c>
      <c r="BK63" s="28">
        <v>2.7886168500000004</v>
      </c>
      <c r="BL63" s="28">
        <v>1.9238829899999992</v>
      </c>
      <c r="BM63" s="28">
        <v>2.9398117900000011</v>
      </c>
      <c r="BN63" s="28">
        <f t="shared" si="70"/>
        <v>10.310020120000001</v>
      </c>
      <c r="BO63" s="28">
        <v>2.7143747599999997</v>
      </c>
      <c r="BP63" s="28">
        <v>2.9770560400000003</v>
      </c>
      <c r="BQ63" s="28">
        <v>2.0080057699999991</v>
      </c>
      <c r="BR63" s="28">
        <v>2.5285989700000013</v>
      </c>
      <c r="BS63" s="28">
        <f t="shared" si="71"/>
        <v>10.22803554</v>
      </c>
      <c r="BT63" s="28">
        <v>3.3263536500000002</v>
      </c>
      <c r="BU63" s="28">
        <v>2.6168339899999995</v>
      </c>
      <c r="BV63" s="28">
        <v>2.0176410699999994</v>
      </c>
      <c r="BW63" s="28">
        <v>1.3905439900000007</v>
      </c>
      <c r="BX63" s="28">
        <f t="shared" si="72"/>
        <v>9.3513727000000006</v>
      </c>
      <c r="BY63" s="28">
        <v>2.5866756100000003</v>
      </c>
      <c r="BZ63" s="28">
        <v>3.5511224300000004</v>
      </c>
      <c r="CA63" s="28">
        <v>5.4885924999999993</v>
      </c>
      <c r="CB63" s="28">
        <v>5.7450314300000009</v>
      </c>
      <c r="CC63" s="28">
        <f t="shared" si="73"/>
        <v>17.37142197</v>
      </c>
      <c r="CD63" s="28">
        <v>4.4460695599999998</v>
      </c>
      <c r="CE63" s="28">
        <v>1.7729802799999996</v>
      </c>
      <c r="CF63" s="28">
        <v>3.1363849000000004</v>
      </c>
      <c r="CG63" s="28">
        <v>4.1759884300000021</v>
      </c>
      <c r="CH63" s="28">
        <f t="shared" si="74"/>
        <v>13.531423170000002</v>
      </c>
      <c r="CI63" s="28">
        <v>3.7081300499999998</v>
      </c>
      <c r="CJ63" s="28">
        <v>2.54287573</v>
      </c>
      <c r="CK63" s="28">
        <v>2.6002088799999998</v>
      </c>
      <c r="CL63" s="28">
        <v>3.5035036599999994</v>
      </c>
      <c r="CM63" s="28">
        <f t="shared" si="75"/>
        <v>12.35471832</v>
      </c>
      <c r="CN63" s="28">
        <v>2.8853357799999997</v>
      </c>
      <c r="CO63" s="28">
        <v>3.0138615300000002</v>
      </c>
      <c r="CP63" s="28">
        <v>3.0927592600000016</v>
      </c>
      <c r="CQ63" s="28">
        <v>3.4240434299999993</v>
      </c>
      <c r="CR63" s="28">
        <f t="shared" si="76"/>
        <v>12.416</v>
      </c>
      <c r="CS63" s="28">
        <v>3.04039606</v>
      </c>
      <c r="CT63" s="28">
        <v>2.9432943099999997</v>
      </c>
      <c r="CU63" s="28">
        <v>3.217024760000001</v>
      </c>
      <c r="CV63" s="28">
        <v>3.4054410499999985</v>
      </c>
      <c r="CW63" s="28">
        <v>12.606156179999999</v>
      </c>
      <c r="CX63" s="28">
        <v>3.4249999999999998</v>
      </c>
      <c r="CY63" s="28">
        <v>3.1659999999999999</v>
      </c>
      <c r="CZ63" s="28">
        <v>3.1949999999999998</v>
      </c>
      <c r="DA63" s="28">
        <v>3.5379999999999998</v>
      </c>
      <c r="DB63" s="28">
        <f t="shared" si="77"/>
        <v>13.324</v>
      </c>
      <c r="DC63" s="28">
        <v>3.2749999999999999</v>
      </c>
      <c r="DD63" s="28">
        <v>2.9649999999999999</v>
      </c>
      <c r="DE63" s="28">
        <v>4.2229999999999999</v>
      </c>
      <c r="DF63" s="28">
        <v>3.8610000000000002</v>
      </c>
      <c r="DG63" s="28">
        <f t="shared" si="78"/>
        <v>14.324000000000002</v>
      </c>
      <c r="DH63" s="28">
        <v>3.258</v>
      </c>
      <c r="DI63" s="28">
        <v>2.9660000000000002</v>
      </c>
      <c r="DJ63" s="28">
        <v>3.258</v>
      </c>
      <c r="DK63" s="28">
        <v>4.2699999999999996</v>
      </c>
      <c r="DL63" s="28">
        <f t="shared" si="79"/>
        <v>13.751999999999999</v>
      </c>
      <c r="DM63" s="28">
        <v>3.7360000000000002</v>
      </c>
      <c r="DN63" s="28">
        <v>4.2839999999999998</v>
      </c>
      <c r="DO63" s="28">
        <v>3.698</v>
      </c>
      <c r="DP63" s="28">
        <v>1.796</v>
      </c>
      <c r="DQ63" s="28">
        <f t="shared" si="80"/>
        <v>13.513999999999999</v>
      </c>
      <c r="DR63" s="28">
        <v>5.2999999999999999E-2</v>
      </c>
      <c r="DS63" s="28">
        <v>0.20300000000000001</v>
      </c>
      <c r="DT63" s="28">
        <v>2E-3</v>
      </c>
      <c r="DU63" s="28">
        <f>-SUM(DR63:DT63)</f>
        <v>-0.25800000000000001</v>
      </c>
      <c r="DV63" s="28">
        <f t="shared" si="81"/>
        <v>0</v>
      </c>
      <c r="DW63" s="28">
        <v>0</v>
      </c>
      <c r="DX63" s="28">
        <v>0</v>
      </c>
      <c r="DY63" s="28">
        <v>0</v>
      </c>
      <c r="DZ63" s="28">
        <v>0</v>
      </c>
      <c r="EA63" s="28">
        <f t="shared" si="82"/>
        <v>0</v>
      </c>
      <c r="EB63" s="28">
        <v>0</v>
      </c>
      <c r="EC63" s="28">
        <v>0</v>
      </c>
      <c r="ED63" s="28">
        <v>0</v>
      </c>
      <c r="EE63" s="28">
        <v>0</v>
      </c>
      <c r="EF63" s="28">
        <f t="shared" si="83"/>
        <v>0</v>
      </c>
      <c r="EG63" s="28">
        <v>0</v>
      </c>
      <c r="EH63" s="28">
        <v>0</v>
      </c>
      <c r="EI63" s="28">
        <v>0</v>
      </c>
    </row>
    <row r="64" spans="1:139" ht="15" thickTop="1" x14ac:dyDescent="0.3">
      <c r="A64" s="1" t="s">
        <v>443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27">
        <v>2.8637653100000002</v>
      </c>
      <c r="BK64" s="27">
        <v>1.9576779400000004</v>
      </c>
      <c r="BL64" s="27">
        <v>2.0903463799999993</v>
      </c>
      <c r="BM64" s="27">
        <v>3.0331075200000011</v>
      </c>
      <c r="BN64" s="27">
        <f t="shared" si="70"/>
        <v>9.944897150000001</v>
      </c>
      <c r="BO64" s="27">
        <v>2.0976318700000003</v>
      </c>
      <c r="BP64" s="27">
        <v>2.6608446699999999</v>
      </c>
      <c r="BQ64" s="27">
        <v>2.4146181000000007</v>
      </c>
      <c r="BR64" s="27">
        <v>3.1105837300000005</v>
      </c>
      <c r="BS64" s="27">
        <f t="shared" si="71"/>
        <v>10.283678370000001</v>
      </c>
      <c r="BT64" s="27">
        <v>2.7385799399999997</v>
      </c>
      <c r="BU64" s="27">
        <v>2.5169537000000006</v>
      </c>
      <c r="BV64" s="27">
        <v>2.3363345800000004</v>
      </c>
      <c r="BW64" s="27">
        <v>3.0429884099999991</v>
      </c>
      <c r="BX64" s="27">
        <f t="shared" si="72"/>
        <v>10.63485663</v>
      </c>
      <c r="BY64" s="27">
        <v>2.30100646</v>
      </c>
      <c r="BZ64" s="27">
        <v>2.3498280400000002</v>
      </c>
      <c r="CA64" s="27">
        <v>2.1802201800000001</v>
      </c>
      <c r="CB64" s="27">
        <v>3.4530164400000007</v>
      </c>
      <c r="CC64" s="27">
        <f t="shared" si="73"/>
        <v>10.28407112</v>
      </c>
      <c r="CD64" s="27">
        <v>2.2482233099999998</v>
      </c>
      <c r="CE64" s="27">
        <v>2.319350239999999</v>
      </c>
      <c r="CF64" s="27">
        <v>2.562920070000001</v>
      </c>
      <c r="CG64" s="27">
        <v>4.6216250900000002</v>
      </c>
      <c r="CH64" s="27">
        <f t="shared" si="74"/>
        <v>11.75211871</v>
      </c>
      <c r="CI64" s="27">
        <v>2.2746346900000001</v>
      </c>
      <c r="CJ64" s="27">
        <v>2.1273289000000002</v>
      </c>
      <c r="CK64" s="27">
        <v>2.1887568799999997</v>
      </c>
      <c r="CL64" s="27">
        <v>2.21888138</v>
      </c>
      <c r="CM64" s="27">
        <f t="shared" si="75"/>
        <v>8.80960185</v>
      </c>
      <c r="CN64" s="27">
        <v>1.8873596399999999</v>
      </c>
      <c r="CO64" s="27">
        <v>1.4361678</v>
      </c>
      <c r="CP64" s="27">
        <v>1.81629573</v>
      </c>
      <c r="CQ64" s="27">
        <v>2.1611768300000005</v>
      </c>
      <c r="CR64" s="27">
        <f t="shared" si="76"/>
        <v>7.3010000000000002</v>
      </c>
      <c r="CS64" s="27">
        <v>1.8315356999999999</v>
      </c>
      <c r="CT64" s="27">
        <v>1.5691267199999999</v>
      </c>
      <c r="CU64" s="27">
        <v>1.6185895400000003</v>
      </c>
      <c r="CV64" s="27">
        <v>2.1885449699999997</v>
      </c>
      <c r="CW64" s="27">
        <v>7.2077969299999998</v>
      </c>
      <c r="CX64" s="27">
        <v>1.6419999999999999</v>
      </c>
      <c r="CY64" s="27">
        <v>1.6220000000000001</v>
      </c>
      <c r="CZ64" s="27">
        <v>1.2110000000000001</v>
      </c>
      <c r="DA64" s="27">
        <v>1.9750000000000001</v>
      </c>
      <c r="DB64" s="27">
        <f t="shared" si="77"/>
        <v>6.4500000000000011</v>
      </c>
      <c r="DC64" s="27">
        <v>1.599</v>
      </c>
      <c r="DD64" s="27">
        <v>2.2389999999999999</v>
      </c>
      <c r="DE64" s="27">
        <v>2.4870000000000001</v>
      </c>
      <c r="DF64" s="27">
        <v>2.1779999999999999</v>
      </c>
      <c r="DG64" s="27">
        <f t="shared" si="78"/>
        <v>8.5030000000000001</v>
      </c>
      <c r="DH64" s="27">
        <v>2.028</v>
      </c>
      <c r="DI64" s="27">
        <v>1.464</v>
      </c>
      <c r="DJ64" s="27">
        <v>1.5660000000000001</v>
      </c>
      <c r="DK64" s="27">
        <v>1.9650000000000001</v>
      </c>
      <c r="DL64" s="27">
        <f t="shared" si="79"/>
        <v>7.0229999999999997</v>
      </c>
      <c r="DM64" s="27">
        <v>1.2170000000000001</v>
      </c>
      <c r="DN64" s="27">
        <v>2.2229999999999999</v>
      </c>
      <c r="DO64" s="27">
        <v>2.6629999999999998</v>
      </c>
      <c r="DP64" s="27">
        <v>2.419</v>
      </c>
      <c r="DQ64" s="27">
        <f t="shared" si="80"/>
        <v>8.5220000000000002</v>
      </c>
      <c r="DR64" s="27">
        <v>2.1480000000000001</v>
      </c>
      <c r="DS64" s="27">
        <v>2.6059999999999999</v>
      </c>
      <c r="DT64" s="27">
        <v>2.3149999999999999</v>
      </c>
      <c r="DU64" s="27">
        <v>3.1080000000000001</v>
      </c>
      <c r="DV64" s="27">
        <f t="shared" si="81"/>
        <v>10.177</v>
      </c>
      <c r="DW64" s="27">
        <v>2.855</v>
      </c>
      <c r="DX64" s="27">
        <v>1.855</v>
      </c>
      <c r="DY64" s="27">
        <v>4.9614250000000002</v>
      </c>
      <c r="DZ64" s="27">
        <v>3.3379486699999998</v>
      </c>
      <c r="EA64" s="27">
        <f t="shared" si="82"/>
        <v>13.009373669999999</v>
      </c>
      <c r="EB64" s="27">
        <v>4.8274775199999995</v>
      </c>
      <c r="EC64" s="27">
        <v>2.4310925000000001</v>
      </c>
      <c r="ED64" s="27">
        <v>5.5759999999999996</v>
      </c>
      <c r="EE64" s="27">
        <v>4.8041004000000003</v>
      </c>
      <c r="EF64" s="27">
        <f t="shared" si="83"/>
        <v>17.63867042</v>
      </c>
      <c r="EG64" s="27">
        <v>3.4492046899999997</v>
      </c>
      <c r="EH64" s="27">
        <v>3.6869113800000002</v>
      </c>
      <c r="EI64" s="27">
        <v>3.8266707099999988</v>
      </c>
    </row>
    <row r="65" spans="1:139" ht="15" thickBot="1" x14ac:dyDescent="0.35">
      <c r="A65" s="2" t="s">
        <v>481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28">
        <v>0</v>
      </c>
      <c r="BK65" s="28">
        <v>0</v>
      </c>
      <c r="BL65" s="28">
        <v>0</v>
      </c>
      <c r="BM65" s="28">
        <v>0</v>
      </c>
      <c r="BN65" s="28">
        <f t="shared" si="70"/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f t="shared" si="71"/>
        <v>0</v>
      </c>
      <c r="BT65" s="28">
        <v>0</v>
      </c>
      <c r="BU65" s="28">
        <v>0</v>
      </c>
      <c r="BV65" s="28">
        <v>0.05</v>
      </c>
      <c r="BW65" s="28">
        <v>1.0000000008614229E-8</v>
      </c>
      <c r="BX65" s="28">
        <f t="shared" si="72"/>
        <v>5.0000010000000011E-2</v>
      </c>
      <c r="BY65" s="28">
        <v>0</v>
      </c>
      <c r="BZ65" s="28">
        <v>3.6111899999999989E-3</v>
      </c>
      <c r="CA65" s="28">
        <v>-2.9582999999999927E-3</v>
      </c>
      <c r="CB65" s="28">
        <v>1.08020129</v>
      </c>
      <c r="CC65" s="28">
        <f t="shared" si="73"/>
        <v>1.08085418</v>
      </c>
      <c r="CD65" s="28">
        <v>0.33120263</v>
      </c>
      <c r="CE65" s="28">
        <v>2.2404500000000049E-2</v>
      </c>
      <c r="CF65" s="28">
        <v>2.95709708</v>
      </c>
      <c r="CG65" s="28">
        <v>2.1034734100000003</v>
      </c>
      <c r="CH65" s="28">
        <f t="shared" si="74"/>
        <v>5.4141776200000002</v>
      </c>
      <c r="CI65" s="28">
        <v>3.2784403700000002</v>
      </c>
      <c r="CJ65" s="28">
        <v>4.7822270899999992</v>
      </c>
      <c r="CK65" s="28">
        <v>3.5632555300000011</v>
      </c>
      <c r="CL65" s="28">
        <v>3.2267244299999991</v>
      </c>
      <c r="CM65" s="28">
        <f t="shared" si="75"/>
        <v>14.85064742</v>
      </c>
      <c r="CN65" s="28">
        <v>3.6814606599999999</v>
      </c>
      <c r="CO65" s="28">
        <v>4.1151502000000004</v>
      </c>
      <c r="CP65" s="28">
        <v>3.8288705599999995</v>
      </c>
      <c r="CQ65" s="28">
        <v>3.5045185800000009</v>
      </c>
      <c r="CR65" s="28">
        <f t="shared" si="76"/>
        <v>15.13</v>
      </c>
      <c r="CS65" s="28">
        <v>3.0857364199999999</v>
      </c>
      <c r="CT65" s="28">
        <v>3.6867547900000002</v>
      </c>
      <c r="CU65" s="28">
        <v>3.0106827700000007</v>
      </c>
      <c r="CV65" s="28">
        <v>2.7200469199999997</v>
      </c>
      <c r="CW65" s="28">
        <v>12.503220900000001</v>
      </c>
      <c r="CX65" s="28">
        <v>3.214</v>
      </c>
      <c r="CY65" s="28">
        <v>3.552</v>
      </c>
      <c r="CZ65" s="28">
        <v>3.7890000000000001</v>
      </c>
      <c r="DA65" s="28">
        <v>3.78</v>
      </c>
      <c r="DB65" s="28">
        <f t="shared" si="77"/>
        <v>14.334999999999999</v>
      </c>
      <c r="DC65" s="28">
        <v>3</v>
      </c>
      <c r="DD65" s="28">
        <v>3.0790000000000002</v>
      </c>
      <c r="DE65" s="28">
        <v>4.0129999999999999</v>
      </c>
      <c r="DF65" s="28">
        <v>4.8380000000000001</v>
      </c>
      <c r="DG65" s="28">
        <f t="shared" si="78"/>
        <v>14.93</v>
      </c>
      <c r="DH65" s="28">
        <v>4.4130000000000003</v>
      </c>
      <c r="DI65" s="28">
        <v>3.843</v>
      </c>
      <c r="DJ65" s="28">
        <v>2.2959999999999998</v>
      </c>
      <c r="DK65" s="28">
        <v>3.339</v>
      </c>
      <c r="DL65" s="28">
        <f t="shared" si="79"/>
        <v>13.891</v>
      </c>
      <c r="DM65" s="28">
        <v>3.923</v>
      </c>
      <c r="DN65" s="28">
        <v>3.3959999999999999</v>
      </c>
      <c r="DO65" s="28">
        <v>5.5670000000000002</v>
      </c>
      <c r="DP65" s="28">
        <v>4.1509999999999998</v>
      </c>
      <c r="DQ65" s="28">
        <f t="shared" si="80"/>
        <v>17.036999999999999</v>
      </c>
      <c r="DR65" s="28">
        <v>4.6040000000000001</v>
      </c>
      <c r="DS65" s="28">
        <v>4.5750000000000002</v>
      </c>
      <c r="DT65" s="28">
        <v>6.6779999999999999</v>
      </c>
      <c r="DU65" s="28">
        <v>5.4180000000000001</v>
      </c>
      <c r="DV65" s="28">
        <f t="shared" si="81"/>
        <v>21.274999999999999</v>
      </c>
      <c r="DW65" s="28">
        <v>4.7640000000000002</v>
      </c>
      <c r="DX65" s="28">
        <v>6.8079999999999998</v>
      </c>
      <c r="DY65" s="28">
        <v>7.6114521700000015</v>
      </c>
      <c r="DZ65" s="28">
        <v>5.7943548299999978</v>
      </c>
      <c r="EA65" s="28">
        <f t="shared" si="82"/>
        <v>24.977806999999999</v>
      </c>
      <c r="EB65" s="28">
        <v>4.7226507599999996</v>
      </c>
      <c r="EC65" s="28">
        <v>8.192898790000001</v>
      </c>
      <c r="ED65" s="28">
        <v>5.2080000000000002</v>
      </c>
      <c r="EE65" s="28">
        <v>6.8275053200000002</v>
      </c>
      <c r="EF65" s="28">
        <f t="shared" si="83"/>
        <v>24.95105487</v>
      </c>
      <c r="EG65" s="28">
        <v>4.1909807799999994</v>
      </c>
      <c r="EH65" s="28">
        <v>6.2844893399999995</v>
      </c>
      <c r="EI65" s="28">
        <v>3.9099482800000014</v>
      </c>
    </row>
    <row r="66" spans="1:139" ht="15" thickTop="1" x14ac:dyDescent="0.3">
      <c r="A66" s="1" t="s">
        <v>445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27">
        <v>0</v>
      </c>
      <c r="BK66" s="27">
        <v>0</v>
      </c>
      <c r="BL66" s="27">
        <v>0</v>
      </c>
      <c r="BM66" s="27">
        <v>0</v>
      </c>
      <c r="BN66" s="27">
        <f t="shared" si="70"/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f t="shared" si="71"/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f t="shared" si="72"/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f t="shared" si="73"/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f t="shared" si="74"/>
        <v>0</v>
      </c>
      <c r="CI66" s="27">
        <v>0</v>
      </c>
      <c r="CJ66" s="27">
        <v>5.074091E-2</v>
      </c>
      <c r="CK66" s="27">
        <v>1.1418630099999998</v>
      </c>
      <c r="CL66" s="27">
        <v>0.95713699000000041</v>
      </c>
      <c r="CM66" s="27">
        <f t="shared" si="75"/>
        <v>2.1497409100000002</v>
      </c>
      <c r="CN66" s="27">
        <v>0.90825607999999991</v>
      </c>
      <c r="CO66" s="27">
        <v>0.90923098000000024</v>
      </c>
      <c r="CP66" s="27">
        <v>0.94751032999999985</v>
      </c>
      <c r="CQ66" s="27">
        <v>0.91900261000000016</v>
      </c>
      <c r="CR66" s="27">
        <f t="shared" si="76"/>
        <v>3.6840000000000002</v>
      </c>
      <c r="CS66" s="27">
        <v>0.9349696999999999</v>
      </c>
      <c r="CT66" s="27">
        <v>1.0027654100000003</v>
      </c>
      <c r="CU66" s="27">
        <v>0.97907486999999982</v>
      </c>
      <c r="CV66" s="27">
        <v>1.2811605100000003</v>
      </c>
      <c r="CW66" s="27">
        <v>4.1979704900000003</v>
      </c>
      <c r="CX66" s="27">
        <v>0.996</v>
      </c>
      <c r="CY66" s="27">
        <v>1.341</v>
      </c>
      <c r="CZ66" s="27">
        <v>0.998</v>
      </c>
      <c r="DA66" s="27">
        <v>1.0469999999999999</v>
      </c>
      <c r="DB66" s="27">
        <f t="shared" si="77"/>
        <v>4.3819999999999997</v>
      </c>
      <c r="DC66" s="27">
        <v>1.012</v>
      </c>
      <c r="DD66" s="27">
        <v>1.0529999999999999</v>
      </c>
      <c r="DE66" s="27">
        <v>1.1479999999999999</v>
      </c>
      <c r="DF66" s="27">
        <v>1.732</v>
      </c>
      <c r="DG66" s="27">
        <f t="shared" si="78"/>
        <v>4.9450000000000003</v>
      </c>
      <c r="DH66" s="27">
        <v>1.05</v>
      </c>
      <c r="DI66" s="27">
        <v>0.999</v>
      </c>
      <c r="DJ66" s="27">
        <v>1.052</v>
      </c>
      <c r="DK66" s="27">
        <v>1.452</v>
      </c>
      <c r="DL66" s="27">
        <f t="shared" si="79"/>
        <v>4.5529999999999999</v>
      </c>
      <c r="DM66" s="27">
        <v>1.05</v>
      </c>
      <c r="DN66" s="27">
        <v>1.097</v>
      </c>
      <c r="DO66" s="27">
        <v>0.71699999999999997</v>
      </c>
      <c r="DP66" s="27">
        <v>1.921</v>
      </c>
      <c r="DQ66" s="27">
        <f t="shared" si="80"/>
        <v>4.7850000000000001</v>
      </c>
      <c r="DR66" s="27">
        <v>1.1910000000000001</v>
      </c>
      <c r="DS66" s="27">
        <v>1.2050000000000001</v>
      </c>
      <c r="DT66" s="27">
        <v>1.708</v>
      </c>
      <c r="DU66" s="27">
        <v>1.919</v>
      </c>
      <c r="DV66" s="27">
        <f t="shared" si="81"/>
        <v>6.0229999999999997</v>
      </c>
      <c r="DW66" s="27">
        <v>1.222</v>
      </c>
      <c r="DX66" s="27">
        <v>1.581</v>
      </c>
      <c r="DY66" s="27">
        <v>1.6886699799999996</v>
      </c>
      <c r="DZ66" s="27">
        <v>1.8853609400000004</v>
      </c>
      <c r="EA66" s="27">
        <f t="shared" si="82"/>
        <v>6.3770309199999993</v>
      </c>
      <c r="EB66" s="27">
        <v>1.7227546299999998</v>
      </c>
      <c r="EC66" s="27">
        <v>1.5463464900000001</v>
      </c>
      <c r="ED66" s="27">
        <v>1.5369999999999999</v>
      </c>
      <c r="EE66" s="27">
        <v>1.6689395700000003</v>
      </c>
      <c r="EF66" s="27">
        <f t="shared" si="83"/>
        <v>6.4750406900000002</v>
      </c>
      <c r="EG66" s="27">
        <v>0.62824994999999995</v>
      </c>
      <c r="EH66" s="27">
        <v>0.63460337000000011</v>
      </c>
      <c r="EI66" s="27">
        <v>3.5661535699999996</v>
      </c>
    </row>
    <row r="67" spans="1:139" ht="15" thickBot="1" x14ac:dyDescent="0.35">
      <c r="A67" s="2" t="s">
        <v>444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28">
        <v>0</v>
      </c>
      <c r="BW67" s="28">
        <v>0</v>
      </c>
      <c r="BX67" s="28"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v>0</v>
      </c>
      <c r="CD67" s="28">
        <v>0</v>
      </c>
      <c r="CE67" s="28">
        <v>0</v>
      </c>
      <c r="CF67" s="28">
        <v>0</v>
      </c>
      <c r="CG67" s="28">
        <v>0</v>
      </c>
      <c r="CH67" s="28">
        <v>0</v>
      </c>
      <c r="CI67" s="28">
        <v>0</v>
      </c>
      <c r="CJ67" s="28">
        <v>0</v>
      </c>
      <c r="CK67" s="28">
        <v>0</v>
      </c>
      <c r="CL67" s="28">
        <v>0</v>
      </c>
      <c r="CM67" s="28"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v>0</v>
      </c>
      <c r="DC67" s="28">
        <v>0</v>
      </c>
      <c r="DD67" s="28">
        <v>1.321</v>
      </c>
      <c r="DE67" s="28">
        <v>4.3140000000000001</v>
      </c>
      <c r="DF67" s="28">
        <v>4.2060000000000004</v>
      </c>
      <c r="DG67" s="28">
        <f t="shared" si="78"/>
        <v>9.8410000000000011</v>
      </c>
      <c r="DH67" s="28">
        <v>3.7040000000000002</v>
      </c>
      <c r="DI67" s="28">
        <v>3.706</v>
      </c>
      <c r="DJ67" s="28">
        <v>3.4969999999999999</v>
      </c>
      <c r="DK67" s="28">
        <v>4.9000000000000004</v>
      </c>
      <c r="DL67" s="28">
        <f t="shared" si="79"/>
        <v>15.807</v>
      </c>
      <c r="DM67" s="28">
        <v>3.62</v>
      </c>
      <c r="DN67" s="28">
        <v>2.8359999999999999</v>
      </c>
      <c r="DO67" s="28">
        <v>5.2729999999999997</v>
      </c>
      <c r="DP67" s="28">
        <v>4.0590000000000002</v>
      </c>
      <c r="DQ67" s="28">
        <f t="shared" si="80"/>
        <v>15.788</v>
      </c>
      <c r="DR67" s="28">
        <v>4.0129999999999999</v>
      </c>
      <c r="DS67" s="28">
        <v>4.1580000000000004</v>
      </c>
      <c r="DT67" s="28">
        <v>4.7779999999999996</v>
      </c>
      <c r="DU67" s="28">
        <v>4.8179999999999996</v>
      </c>
      <c r="DV67" s="28">
        <f t="shared" si="81"/>
        <v>17.766999999999996</v>
      </c>
      <c r="DW67" s="28">
        <v>3.9620000000000002</v>
      </c>
      <c r="DX67" s="28">
        <v>6.58</v>
      </c>
      <c r="DY67" s="28">
        <v>5.2510172300000004</v>
      </c>
      <c r="DZ67" s="28">
        <v>5.7773063399999982</v>
      </c>
      <c r="EA67" s="28">
        <f t="shared" si="82"/>
        <v>21.570323569999999</v>
      </c>
      <c r="EB67" s="28">
        <v>5.9337331100000004</v>
      </c>
      <c r="EC67" s="28">
        <v>5.9803342199999996</v>
      </c>
      <c r="ED67" s="28">
        <v>5.9669999999999996</v>
      </c>
      <c r="EE67" s="28">
        <v>5.8727138900000009</v>
      </c>
      <c r="EF67" s="28">
        <f t="shared" si="83"/>
        <v>23.75378122</v>
      </c>
      <c r="EG67" s="28">
        <v>3.93532371</v>
      </c>
      <c r="EH67" s="28">
        <v>3.95460213</v>
      </c>
      <c r="EI67" s="28">
        <v>4.33170973</v>
      </c>
    </row>
    <row r="68" spans="1:139" ht="15" thickTop="1" x14ac:dyDescent="0.3">
      <c r="A68" s="1" t="s">
        <v>456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3.6999999999999998E-2</v>
      </c>
      <c r="CZ68" s="27">
        <v>0.38800000000000001</v>
      </c>
      <c r="DA68" s="27">
        <v>1.1120000000000001</v>
      </c>
      <c r="DB68" s="27">
        <f t="shared" si="77"/>
        <v>1.5370000000000001</v>
      </c>
      <c r="DC68" s="27">
        <v>1.2729999999999999</v>
      </c>
      <c r="DD68" s="27">
        <v>1.21</v>
      </c>
      <c r="DE68" s="27">
        <v>1.1519999999999999</v>
      </c>
      <c r="DF68" s="27">
        <v>1.4730000000000001</v>
      </c>
      <c r="DG68" s="27">
        <f t="shared" si="78"/>
        <v>5.1079999999999997</v>
      </c>
      <c r="DH68" s="27">
        <v>1.383</v>
      </c>
      <c r="DI68" s="27">
        <v>1.37</v>
      </c>
      <c r="DJ68" s="27">
        <v>1.3839999999999999</v>
      </c>
      <c r="DK68" s="27">
        <v>1.431</v>
      </c>
      <c r="DL68" s="27">
        <f t="shared" si="79"/>
        <v>5.5680000000000005</v>
      </c>
      <c r="DM68" s="27">
        <v>1.33</v>
      </c>
      <c r="DN68" s="27">
        <v>1.321</v>
      </c>
      <c r="DO68" s="27">
        <v>1.206</v>
      </c>
      <c r="DP68" s="27">
        <v>1.4059999999999999</v>
      </c>
      <c r="DQ68" s="27">
        <f t="shared" si="80"/>
        <v>5.2629999999999999</v>
      </c>
      <c r="DR68" s="27">
        <v>1.6679999999999999</v>
      </c>
      <c r="DS68" s="27">
        <v>1.3440000000000001</v>
      </c>
      <c r="DT68" s="27">
        <v>1.425</v>
      </c>
      <c r="DU68" s="27">
        <v>1.4530000000000001</v>
      </c>
      <c r="DV68" s="27">
        <f t="shared" si="81"/>
        <v>5.8900000000000006</v>
      </c>
      <c r="DW68" s="27">
        <v>1.4510000000000001</v>
      </c>
      <c r="DX68" s="27">
        <v>1.623</v>
      </c>
      <c r="DY68" s="27">
        <v>1.5519830400000001</v>
      </c>
      <c r="DZ68" s="27">
        <v>1.6160264199999999</v>
      </c>
      <c r="EA68" s="27">
        <f t="shared" si="82"/>
        <v>6.2420094599999993</v>
      </c>
      <c r="EB68" s="27">
        <v>1.8722540700000001</v>
      </c>
      <c r="EC68" s="27">
        <v>1.33862799</v>
      </c>
      <c r="ED68" s="27">
        <v>2.37</v>
      </c>
      <c r="EE68" s="27">
        <v>1.8527281300000009</v>
      </c>
      <c r="EF68" s="27">
        <f t="shared" si="83"/>
        <v>7.4336101900000013</v>
      </c>
      <c r="EG68" s="27">
        <v>1.1113256299999998</v>
      </c>
      <c r="EH68" s="27">
        <v>3.5881061500000002</v>
      </c>
      <c r="EI68" s="27">
        <v>2.6200480299999995</v>
      </c>
    </row>
    <row r="69" spans="1:139" ht="15" thickBot="1" x14ac:dyDescent="0.35">
      <c r="A69" s="2" t="s">
        <v>446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8">
        <v>0</v>
      </c>
      <c r="BW69" s="28">
        <v>0</v>
      </c>
      <c r="BX69" s="28">
        <v>0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0</v>
      </c>
      <c r="CE69" s="28">
        <v>0</v>
      </c>
      <c r="CF69" s="28">
        <v>0</v>
      </c>
      <c r="CG69" s="28">
        <v>0</v>
      </c>
      <c r="CH69" s="28">
        <v>0</v>
      </c>
      <c r="CI69" s="28">
        <v>0</v>
      </c>
      <c r="CJ69" s="28">
        <v>0</v>
      </c>
      <c r="CK69" s="28">
        <v>0</v>
      </c>
      <c r="CL69" s="28">
        <v>0</v>
      </c>
      <c r="CM69" s="28"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f t="shared" si="78"/>
        <v>0</v>
      </c>
      <c r="DH69" s="28">
        <v>2.1000000000000001E-2</v>
      </c>
      <c r="DI69" s="28">
        <v>0.438</v>
      </c>
      <c r="DJ69" s="28">
        <v>-0.25700000000000001</v>
      </c>
      <c r="DK69" s="28">
        <v>3.5339999999999998</v>
      </c>
      <c r="DL69" s="28">
        <f t="shared" si="79"/>
        <v>3.7359999999999998</v>
      </c>
      <c r="DM69" s="28">
        <v>4.7009999999999996</v>
      </c>
      <c r="DN69" s="28">
        <v>7.8479999999999999</v>
      </c>
      <c r="DO69" s="28">
        <v>-6.9000000000000006E-2</v>
      </c>
      <c r="DP69" s="28">
        <v>4.6829999999999998</v>
      </c>
      <c r="DQ69" s="28">
        <f t="shared" si="80"/>
        <v>17.162999999999997</v>
      </c>
      <c r="DR69" s="28">
        <v>4.2439999999999998</v>
      </c>
      <c r="DS69" s="28">
        <v>4.1050000000000004</v>
      </c>
      <c r="DT69" s="28">
        <v>4.7220000000000004</v>
      </c>
      <c r="DU69" s="28">
        <v>4.7869999999999999</v>
      </c>
      <c r="DV69" s="28">
        <f t="shared" si="81"/>
        <v>17.858000000000001</v>
      </c>
      <c r="DW69" s="28">
        <v>4.5519999999999996</v>
      </c>
      <c r="DX69" s="28">
        <v>5.0830000000000002</v>
      </c>
      <c r="DY69" s="28">
        <v>6.0703365999999992</v>
      </c>
      <c r="DZ69" s="28">
        <v>5.1889662099999994</v>
      </c>
      <c r="EA69" s="28">
        <f t="shared" si="82"/>
        <v>20.894302809999999</v>
      </c>
      <c r="EB69" s="28">
        <v>5.6272237300000008</v>
      </c>
      <c r="EC69" s="28">
        <v>5.6397527699999994</v>
      </c>
      <c r="ED69" s="28">
        <v>5.72</v>
      </c>
      <c r="EE69" s="28">
        <v>-1.2198631799999997</v>
      </c>
      <c r="EF69" s="28">
        <f t="shared" si="83"/>
        <v>15.767113320000002</v>
      </c>
      <c r="EG69" s="28">
        <v>4.4025073099999998</v>
      </c>
      <c r="EH69" s="28">
        <v>2.9335221200000001</v>
      </c>
      <c r="EI69" s="28">
        <v>5.7519892900000009</v>
      </c>
    </row>
    <row r="70" spans="1:139" ht="15" thickTop="1" x14ac:dyDescent="0.3">
      <c r="A70" s="1" t="s">
        <v>447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f t="shared" si="78"/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f t="shared" si="79"/>
        <v>0</v>
      </c>
      <c r="DM70" s="27">
        <v>0</v>
      </c>
      <c r="DN70" s="27">
        <v>0</v>
      </c>
      <c r="DO70" s="27">
        <v>0</v>
      </c>
      <c r="DP70" s="27">
        <v>1E-3</v>
      </c>
      <c r="DQ70" s="27">
        <f t="shared" si="80"/>
        <v>1E-3</v>
      </c>
      <c r="DR70" s="27">
        <v>5.0000000000000001E-3</v>
      </c>
      <c r="DS70" s="27">
        <v>0.434</v>
      </c>
      <c r="DT70" s="27">
        <v>0.874</v>
      </c>
      <c r="DU70" s="27">
        <v>1.2789999999999999</v>
      </c>
      <c r="DV70" s="27">
        <f t="shared" si="81"/>
        <v>2.5919999999999996</v>
      </c>
      <c r="DW70" s="27">
        <v>3.609</v>
      </c>
      <c r="DX70" s="27">
        <v>5.8259999999999996</v>
      </c>
      <c r="DY70" s="27">
        <v>6.3962464000000008</v>
      </c>
      <c r="DZ70" s="27">
        <v>6.7271793699999991</v>
      </c>
      <c r="EA70" s="27">
        <f t="shared" si="82"/>
        <v>22.558425769999999</v>
      </c>
      <c r="EB70" s="27">
        <v>6.58982299</v>
      </c>
      <c r="EC70" s="27">
        <v>7.1079757899999993</v>
      </c>
      <c r="ED70" s="27">
        <v>7.8650000000000002</v>
      </c>
      <c r="EE70" s="27">
        <v>9.3725511000000008</v>
      </c>
      <c r="EF70" s="27">
        <f t="shared" si="83"/>
        <v>30.935349880000004</v>
      </c>
      <c r="EG70" s="27">
        <v>6.5992117800000001</v>
      </c>
      <c r="EH70" s="27">
        <v>8.5674837800000017</v>
      </c>
      <c r="EI70" s="27">
        <v>8.6271603600000013</v>
      </c>
    </row>
    <row r="71" spans="1:139" ht="15" thickBot="1" x14ac:dyDescent="0.35">
      <c r="A71" s="2" t="s">
        <v>448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v>0</v>
      </c>
      <c r="BT71" s="28">
        <v>0</v>
      </c>
      <c r="BU71" s="28">
        <v>0</v>
      </c>
      <c r="BV71" s="28">
        <v>0</v>
      </c>
      <c r="BW71" s="28">
        <v>0</v>
      </c>
      <c r="BX71" s="28">
        <v>0</v>
      </c>
      <c r="BY71" s="28">
        <v>0</v>
      </c>
      <c r="BZ71" s="28">
        <v>0</v>
      </c>
      <c r="CA71" s="28">
        <v>0</v>
      </c>
      <c r="CB71" s="28">
        <v>0</v>
      </c>
      <c r="CC71" s="28">
        <v>0</v>
      </c>
      <c r="CD71" s="28">
        <v>0</v>
      </c>
      <c r="CE71" s="28">
        <v>0</v>
      </c>
      <c r="CF71" s="28">
        <v>0</v>
      </c>
      <c r="CG71" s="28">
        <v>0</v>
      </c>
      <c r="CH71" s="28">
        <v>0</v>
      </c>
      <c r="CI71" s="28">
        <v>0</v>
      </c>
      <c r="CJ71" s="28">
        <v>0</v>
      </c>
      <c r="CK71" s="28">
        <v>0</v>
      </c>
      <c r="CL71" s="28">
        <v>0</v>
      </c>
      <c r="CM71" s="28"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v>0</v>
      </c>
      <c r="CS71" s="28">
        <v>0</v>
      </c>
      <c r="CT71" s="28">
        <v>0</v>
      </c>
      <c r="CU71" s="28">
        <v>0</v>
      </c>
      <c r="CV71" s="28">
        <v>0</v>
      </c>
      <c r="CW71" s="28"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v>0</v>
      </c>
      <c r="DC71" s="28">
        <v>0</v>
      </c>
      <c r="DD71" s="28">
        <v>0</v>
      </c>
      <c r="DE71" s="28">
        <v>0</v>
      </c>
      <c r="DF71" s="28">
        <v>0</v>
      </c>
      <c r="DG71" s="28">
        <f t="shared" si="78"/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f t="shared" si="79"/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f t="shared" si="80"/>
        <v>0</v>
      </c>
      <c r="DR71" s="28"/>
      <c r="DS71" s="28">
        <v>0</v>
      </c>
      <c r="DT71" s="28">
        <v>0.26400000000000001</v>
      </c>
      <c r="DU71" s="28">
        <v>1.087</v>
      </c>
      <c r="DV71" s="28">
        <f t="shared" si="81"/>
        <v>1.351</v>
      </c>
      <c r="DW71" s="28">
        <v>0.88</v>
      </c>
      <c r="DX71" s="28">
        <v>0.30399999999999999</v>
      </c>
      <c r="DY71" s="28">
        <v>-0.24028223999999998</v>
      </c>
      <c r="DZ71" s="28">
        <v>9.3064996400000002</v>
      </c>
      <c r="EA71" s="28">
        <f t="shared" si="82"/>
        <v>10.2502174</v>
      </c>
      <c r="EB71" s="28">
        <v>18.36800697</v>
      </c>
      <c r="EC71" s="28">
        <v>3.58528</v>
      </c>
      <c r="ED71" s="28">
        <v>21.244</v>
      </c>
      <c r="EE71" s="28">
        <v>16.440516500000001</v>
      </c>
      <c r="EF71" s="28">
        <f t="shared" si="83"/>
        <v>59.637803470000001</v>
      </c>
      <c r="EG71" s="28">
        <v>8.9542067899999989</v>
      </c>
      <c r="EH71" s="28">
        <v>11.752826060000002</v>
      </c>
      <c r="EI71" s="28">
        <v>7.0632302099999968</v>
      </c>
    </row>
    <row r="72" spans="1:139" ht="15" thickTop="1" x14ac:dyDescent="0.3">
      <c r="A72" s="1" t="s">
        <v>449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  <c r="DA72" s="27">
        <v>0</v>
      </c>
      <c r="DB72" s="27">
        <v>0</v>
      </c>
      <c r="DC72" s="27">
        <v>0</v>
      </c>
      <c r="DD72" s="27">
        <v>0</v>
      </c>
      <c r="DE72" s="27">
        <v>0</v>
      </c>
      <c r="DF72" s="27">
        <v>0</v>
      </c>
      <c r="DG72" s="27">
        <v>0</v>
      </c>
      <c r="DH72" s="27">
        <v>0</v>
      </c>
      <c r="DI72" s="27">
        <v>0</v>
      </c>
      <c r="DJ72" s="27">
        <v>0</v>
      </c>
      <c r="DK72" s="27">
        <v>0</v>
      </c>
      <c r="DL72" s="27">
        <v>0</v>
      </c>
      <c r="DM72" s="27">
        <v>0</v>
      </c>
      <c r="DN72" s="27">
        <v>0</v>
      </c>
      <c r="DO72" s="27">
        <v>0</v>
      </c>
      <c r="DP72" s="27">
        <v>0</v>
      </c>
      <c r="DQ72" s="27">
        <v>0</v>
      </c>
      <c r="DR72" s="27">
        <v>0</v>
      </c>
      <c r="DS72" s="27">
        <v>0</v>
      </c>
      <c r="DT72" s="27">
        <v>0</v>
      </c>
      <c r="DU72" s="27">
        <v>0</v>
      </c>
      <c r="DV72" s="27">
        <v>0</v>
      </c>
      <c r="DW72" s="27">
        <v>0</v>
      </c>
      <c r="DX72" s="27">
        <v>0.34899999999999998</v>
      </c>
      <c r="DY72" s="27">
        <v>0.91699101999999999</v>
      </c>
      <c r="DZ72" s="27">
        <v>8.4480568500000004</v>
      </c>
      <c r="EA72" s="27">
        <f t="shared" si="82"/>
        <v>9.7140478699999999</v>
      </c>
      <c r="EB72" s="27">
        <v>4.4803319899999998</v>
      </c>
      <c r="EC72" s="27">
        <v>6.1312111199999988</v>
      </c>
      <c r="ED72" s="27">
        <v>4.282</v>
      </c>
      <c r="EE72" s="27">
        <v>9.3281863899999991</v>
      </c>
      <c r="EF72" s="27">
        <f t="shared" si="83"/>
        <v>24.221729499999999</v>
      </c>
      <c r="EG72" s="27">
        <v>8.1567457399999999</v>
      </c>
      <c r="EH72" s="27">
        <v>5.5114876700000002</v>
      </c>
      <c r="EI72" s="27">
        <v>7.3507303599999991</v>
      </c>
    </row>
    <row r="73" spans="1:139" ht="15" thickBot="1" x14ac:dyDescent="0.35">
      <c r="A73" s="2" t="s">
        <v>460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>
        <v>1.3200000000000001E-6</v>
      </c>
      <c r="EH73" s="28">
        <v>3.2993500000000002E-2</v>
      </c>
      <c r="EI73" s="28">
        <v>0.47582621999999997</v>
      </c>
    </row>
    <row r="74" spans="1:139" ht="15" thickTop="1" x14ac:dyDescent="0.3">
      <c r="A74" s="1" t="s">
        <v>304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27">
        <v>0</v>
      </c>
      <c r="BK74" s="27">
        <v>0</v>
      </c>
      <c r="BL74" s="27">
        <v>0</v>
      </c>
      <c r="BM74" s="27">
        <v>0</v>
      </c>
      <c r="BN74" s="27">
        <f t="shared" si="70"/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f t="shared" si="71"/>
        <v>0</v>
      </c>
      <c r="BT74" s="27">
        <v>0</v>
      </c>
      <c r="BU74" s="27">
        <v>-0.72640983999999986</v>
      </c>
      <c r="BV74" s="27">
        <v>-2.8125934300000006</v>
      </c>
      <c r="BW74" s="27">
        <v>-1.650358314999999</v>
      </c>
      <c r="BX74" s="27">
        <f t="shared" si="72"/>
        <v>-5.1893615849999994</v>
      </c>
      <c r="BY74" s="27">
        <v>0.50413041999999997</v>
      </c>
      <c r="BZ74" s="27">
        <v>-0.21010390000000007</v>
      </c>
      <c r="CA74" s="27">
        <v>2.0359820200000001</v>
      </c>
      <c r="CB74" s="27">
        <v>-0.55603212000000002</v>
      </c>
      <c r="CC74" s="27">
        <f t="shared" si="73"/>
        <v>1.7739764200000001</v>
      </c>
      <c r="CD74" s="27">
        <v>0.29769861999999997</v>
      </c>
      <c r="CE74" s="27">
        <v>0.37128534000000007</v>
      </c>
      <c r="CF74" s="27">
        <v>-1.0304386800000001</v>
      </c>
      <c r="CG74" s="27">
        <v>9.4388501200000015</v>
      </c>
      <c r="CH74" s="27">
        <f t="shared" si="74"/>
        <v>9.0773954000000021</v>
      </c>
      <c r="CI74" s="27">
        <v>2.1024297400000003</v>
      </c>
      <c r="CJ74" s="27">
        <v>1.8471506399999997</v>
      </c>
      <c r="CK74" s="27">
        <v>1.4539938300000004</v>
      </c>
      <c r="CL74" s="27">
        <v>0.65381124000000002</v>
      </c>
      <c r="CM74" s="27">
        <f t="shared" si="75"/>
        <v>6.0573854499999999</v>
      </c>
      <c r="CN74" s="27">
        <v>0.55791295000000007</v>
      </c>
      <c r="CO74" s="27">
        <v>0.46748422999999983</v>
      </c>
      <c r="CP74" s="27">
        <v>0.52817606000000017</v>
      </c>
      <c r="CQ74" s="27">
        <v>0.69842675999999981</v>
      </c>
      <c r="CR74" s="27">
        <f t="shared" si="76"/>
        <v>2.2519999999999998</v>
      </c>
      <c r="CS74" s="27">
        <f>0.49778224+0.043</f>
        <v>0.54078223999999997</v>
      </c>
      <c r="CT74" s="27">
        <f>0.897-CS74</f>
        <v>0.35621776000000005</v>
      </c>
      <c r="CU74" s="27">
        <f>1.404-SUM(CS74:CT74)</f>
        <v>0.5069999999999999</v>
      </c>
      <c r="CV74" s="27">
        <f>2.091-SUM(CS74:CU74)</f>
        <v>0.68700000000000028</v>
      </c>
      <c r="CW74" s="27">
        <f>SUM(CS74:CV74)</f>
        <v>2.0910000000000002</v>
      </c>
      <c r="CX74" s="27">
        <v>0.622</v>
      </c>
      <c r="CY74" s="27">
        <v>0.64700000000000002</v>
      </c>
      <c r="CZ74" s="27">
        <v>0.64900000000000002</v>
      </c>
      <c r="DA74" s="27">
        <v>0.64600000000000002</v>
      </c>
      <c r="DB74" s="27">
        <f t="shared" si="77"/>
        <v>2.5640000000000001</v>
      </c>
      <c r="DC74" s="27">
        <v>0.98099999999999998</v>
      </c>
      <c r="DD74" s="27">
        <v>1.3720000000000001</v>
      </c>
      <c r="DE74" s="27">
        <v>1.2130000000000001</v>
      </c>
      <c r="DF74" s="27">
        <v>0.86399999999999999</v>
      </c>
      <c r="DG74" s="27">
        <f t="shared" si="78"/>
        <v>4.4300000000000006</v>
      </c>
      <c r="DH74" s="27">
        <v>1.23</v>
      </c>
      <c r="DI74" s="27">
        <v>0.65400000000000003</v>
      </c>
      <c r="DJ74" s="27">
        <v>1.3520000000000001</v>
      </c>
      <c r="DK74" s="27">
        <v>1.2509999999999999</v>
      </c>
      <c r="DL74" s="27">
        <f t="shared" si="79"/>
        <v>4.4870000000000001</v>
      </c>
      <c r="DM74" s="27">
        <v>1.3560000000000001</v>
      </c>
      <c r="DN74" s="27">
        <v>1.7370000000000001</v>
      </c>
      <c r="DO74" s="27">
        <v>2.1869999999999998</v>
      </c>
      <c r="DP74" s="27">
        <v>1.919</v>
      </c>
      <c r="DQ74" s="27">
        <f t="shared" si="80"/>
        <v>7.1989999999999998</v>
      </c>
      <c r="DR74" s="27">
        <v>1.591</v>
      </c>
      <c r="DS74" s="27">
        <v>2.3820000000000001</v>
      </c>
      <c r="DT74" s="27">
        <v>2.44</v>
      </c>
      <c r="DU74" s="27">
        <v>2.2000000000000002</v>
      </c>
      <c r="DV74" s="27">
        <f t="shared" si="81"/>
        <v>8.6129999999999995</v>
      </c>
      <c r="DW74" s="27">
        <v>2.3719999999999999</v>
      </c>
      <c r="DX74" s="27">
        <v>1.8939999999999999</v>
      </c>
      <c r="DY74" s="27">
        <f>(1469765.99+131660.58)/1000000</f>
        <v>1.6014265700000001</v>
      </c>
      <c r="DZ74" s="27">
        <v>1.2274423499999996</v>
      </c>
      <c r="EA74" s="27">
        <f t="shared" si="82"/>
        <v>7.0948689199999997</v>
      </c>
      <c r="EB74" s="27">
        <f>(1477307.67+88122.72)/1000000</f>
        <v>1.5654303899999999</v>
      </c>
      <c r="EC74" s="27">
        <v>1.5807123300000001</v>
      </c>
      <c r="ED74" s="27">
        <v>1.385</v>
      </c>
      <c r="EE74" s="27">
        <v>2.03671822</v>
      </c>
      <c r="EF74" s="27">
        <f t="shared" si="83"/>
        <v>6.5678609400000001</v>
      </c>
      <c r="EG74" s="27">
        <v>1.4695600200000001</v>
      </c>
      <c r="EH74" s="27">
        <v>2.6533133599999998</v>
      </c>
      <c r="EI74" s="27">
        <v>2.5545395600000007</v>
      </c>
    </row>
    <row r="75" spans="1:139" ht="15" thickBot="1" x14ac:dyDescent="0.35">
      <c r="A75" s="2" t="s">
        <v>305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0</v>
      </c>
      <c r="CB75" s="28">
        <v>0</v>
      </c>
      <c r="CC75" s="28">
        <v>0</v>
      </c>
      <c r="CD75" s="28">
        <v>0</v>
      </c>
      <c r="CE75" s="28">
        <v>0</v>
      </c>
      <c r="CF75" s="28">
        <v>0</v>
      </c>
      <c r="CG75" s="28">
        <v>0</v>
      </c>
      <c r="CH75" s="28">
        <v>0</v>
      </c>
      <c r="CI75" s="28">
        <v>0</v>
      </c>
      <c r="CJ75" s="28">
        <v>0</v>
      </c>
      <c r="CK75" s="28">
        <v>0</v>
      </c>
      <c r="CL75" s="28">
        <v>0</v>
      </c>
      <c r="CM75" s="28">
        <v>0</v>
      </c>
      <c r="CN75" s="28">
        <v>0</v>
      </c>
      <c r="CO75" s="28">
        <v>0</v>
      </c>
      <c r="CP75" s="28">
        <v>0</v>
      </c>
      <c r="CQ75" s="28">
        <v>0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v>0</v>
      </c>
      <c r="CX75" s="28">
        <v>0</v>
      </c>
      <c r="CY75" s="28">
        <v>0</v>
      </c>
      <c r="CZ75" s="28">
        <v>0</v>
      </c>
      <c r="DA75" s="28">
        <v>0</v>
      </c>
      <c r="DB75" s="28">
        <f t="shared" si="77"/>
        <v>0</v>
      </c>
      <c r="DC75" s="28">
        <v>0.34200000000000003</v>
      </c>
      <c r="DD75" s="28">
        <v>0.27300000000000002</v>
      </c>
      <c r="DE75" s="28">
        <v>0.161</v>
      </c>
      <c r="DF75" s="28">
        <v>-0.01</v>
      </c>
      <c r="DG75" s="28">
        <f t="shared" si="78"/>
        <v>0.76600000000000001</v>
      </c>
      <c r="DH75" s="28">
        <v>0.106</v>
      </c>
      <c r="DI75" s="28">
        <v>0.16700000000000001</v>
      </c>
      <c r="DJ75" s="28">
        <v>0.20799999999999999</v>
      </c>
      <c r="DK75" s="28">
        <v>0.216</v>
      </c>
      <c r="DL75" s="28">
        <f t="shared" si="79"/>
        <v>0.69699999999999995</v>
      </c>
      <c r="DM75" s="28">
        <v>0.26700000000000002</v>
      </c>
      <c r="DN75" s="28">
        <v>0.38100000000000001</v>
      </c>
      <c r="DO75" s="28">
        <v>0.433</v>
      </c>
      <c r="DP75" s="28">
        <v>0.19900000000000001</v>
      </c>
      <c r="DQ75" s="28">
        <f t="shared" si="80"/>
        <v>1.28</v>
      </c>
      <c r="DR75" s="28">
        <v>0.30499999999999999</v>
      </c>
      <c r="DS75" s="28">
        <v>0.10100000000000001</v>
      </c>
      <c r="DT75" s="28">
        <v>0.39900000000000002</v>
      </c>
      <c r="DU75" s="28">
        <v>-5.8000000000000003E-2</v>
      </c>
      <c r="DV75" s="28">
        <f t="shared" si="81"/>
        <v>0.747</v>
      </c>
      <c r="DW75" s="28">
        <v>0.11700000000000001</v>
      </c>
      <c r="DX75" s="28">
        <v>0.115</v>
      </c>
      <c r="DY75" s="28">
        <v>0.49879196999999997</v>
      </c>
      <c r="DZ75" s="28">
        <v>0.3924357799999999</v>
      </c>
      <c r="EA75" s="28">
        <f t="shared" si="82"/>
        <v>1.1232277499999999</v>
      </c>
      <c r="EB75" s="28">
        <v>0.41615135999999997</v>
      </c>
      <c r="EC75" s="28">
        <v>0.26699766000000003</v>
      </c>
      <c r="ED75" s="28">
        <v>0.123</v>
      </c>
      <c r="EE75" s="28">
        <v>0.14588401000000001</v>
      </c>
      <c r="EF75" s="28">
        <f t="shared" si="83"/>
        <v>0.95203302999999995</v>
      </c>
      <c r="EG75" s="28">
        <v>8.7899560000000002E-2</v>
      </c>
      <c r="EH75" s="28">
        <v>0.24162046000000001</v>
      </c>
      <c r="EI75" s="28">
        <v>0.10896721999999998</v>
      </c>
    </row>
    <row r="76" spans="1:139" ht="15" thickTop="1" x14ac:dyDescent="0.3">
      <c r="A76" s="1" t="s">
        <v>306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27">
        <v>0.28171919000000001</v>
      </c>
      <c r="BK76" s="27">
        <v>0.3397879399999999</v>
      </c>
      <c r="BL76" s="27">
        <v>0.11244474000000004</v>
      </c>
      <c r="BM76" s="27">
        <v>0.40425150999999993</v>
      </c>
      <c r="BN76" s="27">
        <f t="shared" si="70"/>
        <v>1.1382033799999998</v>
      </c>
      <c r="BO76" s="27">
        <v>0.88548884999999999</v>
      </c>
      <c r="BP76" s="27">
        <v>0.43301765999999997</v>
      </c>
      <c r="BQ76" s="27">
        <v>0.19573967000000003</v>
      </c>
      <c r="BR76" s="27">
        <v>0.55682595000000012</v>
      </c>
      <c r="BS76" s="27">
        <f t="shared" si="71"/>
        <v>2.0710721300000001</v>
      </c>
      <c r="BT76" s="27">
        <v>0.58319471000000001</v>
      </c>
      <c r="BU76" s="27">
        <v>0.75585478000000006</v>
      </c>
      <c r="BV76" s="27">
        <v>0.21536708999999998</v>
      </c>
      <c r="BW76" s="27">
        <v>0.46717610999999992</v>
      </c>
      <c r="BX76" s="27">
        <f t="shared" si="72"/>
        <v>2.0215926899999999</v>
      </c>
      <c r="BY76" s="27">
        <v>0.28894878000000002</v>
      </c>
      <c r="BZ76" s="27">
        <v>2.3627299999999962E-2</v>
      </c>
      <c r="CA76" s="27">
        <v>0.80366172000000013</v>
      </c>
      <c r="CB76" s="27">
        <v>0.35225406999999997</v>
      </c>
      <c r="CC76" s="27">
        <f t="shared" si="73"/>
        <v>1.4684918700000003</v>
      </c>
      <c r="CD76" s="27">
        <v>0.16448735</v>
      </c>
      <c r="CE76" s="27">
        <v>1.3527810499999999</v>
      </c>
      <c r="CF76" s="27">
        <v>-0.11698768999999984</v>
      </c>
      <c r="CG76" s="27">
        <v>3.557018890000001</v>
      </c>
      <c r="CH76" s="27">
        <f t="shared" si="74"/>
        <v>4.9572996000000007</v>
      </c>
      <c r="CI76" s="27">
        <v>2.5108403099999999</v>
      </c>
      <c r="CJ76" s="27">
        <v>1.0933309900000001</v>
      </c>
      <c r="CK76" s="27">
        <v>0.94263346999999964</v>
      </c>
      <c r="CL76" s="27">
        <v>1.4157698600000002</v>
      </c>
      <c r="CM76" s="27">
        <f t="shared" si="75"/>
        <v>5.9625746299999998</v>
      </c>
      <c r="CN76" s="27">
        <v>0.85724537000000001</v>
      </c>
      <c r="CO76" s="27">
        <v>1.95677839</v>
      </c>
      <c r="CP76" s="27">
        <v>0.66987198000000037</v>
      </c>
      <c r="CQ76" s="27">
        <v>1.1761042599999998</v>
      </c>
      <c r="CR76" s="27">
        <f t="shared" si="76"/>
        <v>4.66</v>
      </c>
      <c r="CS76" s="27">
        <v>1.6310904199999998</v>
      </c>
      <c r="CT76" s="27">
        <v>1.0194157099999999</v>
      </c>
      <c r="CU76" s="27">
        <v>2.2527080100000001</v>
      </c>
      <c r="CV76" s="27">
        <v>1.4089381900000004</v>
      </c>
      <c r="CW76" s="27">
        <v>6.31215233</v>
      </c>
      <c r="CX76" s="27">
        <v>1.119</v>
      </c>
      <c r="CY76" s="27">
        <v>2.0529999999999999</v>
      </c>
      <c r="CZ76" s="27">
        <v>2.7330000000000001</v>
      </c>
      <c r="DA76" s="27">
        <v>2.1840000000000002</v>
      </c>
      <c r="DB76" s="27">
        <f t="shared" si="77"/>
        <v>8.0889999999999986</v>
      </c>
      <c r="DC76" s="27">
        <v>2.0270000000000001</v>
      </c>
      <c r="DD76" s="27">
        <v>1.952</v>
      </c>
      <c r="DE76" s="27">
        <v>2.1440000000000001</v>
      </c>
      <c r="DF76" s="27">
        <v>2.7320000000000002</v>
      </c>
      <c r="DG76" s="27">
        <f t="shared" si="78"/>
        <v>8.8550000000000004</v>
      </c>
      <c r="DH76" s="27">
        <v>2.5179999999999998</v>
      </c>
      <c r="DI76" s="27">
        <v>3.5019999999999998</v>
      </c>
      <c r="DJ76" s="27">
        <v>3.2759999999999998</v>
      </c>
      <c r="DK76" s="27">
        <v>4.4829999999999997</v>
      </c>
      <c r="DL76" s="27">
        <f t="shared" si="79"/>
        <v>13.779</v>
      </c>
      <c r="DM76" s="27">
        <v>3.2589999999999999</v>
      </c>
      <c r="DN76" s="27">
        <v>4.0419999999999998</v>
      </c>
      <c r="DO76" s="27">
        <v>4.1360000000000001</v>
      </c>
      <c r="DP76" s="27">
        <v>5.4</v>
      </c>
      <c r="DQ76" s="27">
        <f t="shared" si="80"/>
        <v>16.837000000000003</v>
      </c>
      <c r="DR76" s="27">
        <v>4.1219999999999999</v>
      </c>
      <c r="DS76" s="27">
        <v>4.6529999999999996</v>
      </c>
      <c r="DT76" s="27">
        <v>3.4009999999999998</v>
      </c>
      <c r="DU76" s="27">
        <v>3.17</v>
      </c>
      <c r="DV76" s="27">
        <f t="shared" si="81"/>
        <v>15.345999999999998</v>
      </c>
      <c r="DW76" s="27">
        <v>4.1449999999999996</v>
      </c>
      <c r="DX76" s="27">
        <v>7.5609999999999999</v>
      </c>
      <c r="DY76" s="27">
        <v>8.3934255699999998</v>
      </c>
      <c r="DZ76" s="27">
        <v>7.0387316599999998</v>
      </c>
      <c r="EA76" s="27">
        <f t="shared" si="82"/>
        <v>27.138157230000001</v>
      </c>
      <c r="EB76" s="27">
        <v>7.6514126999999998</v>
      </c>
      <c r="EC76" s="27">
        <v>8.9602231000000021</v>
      </c>
      <c r="ED76" s="27">
        <v>9.4290000000000003</v>
      </c>
      <c r="EE76" s="27">
        <v>9.7692058599999996</v>
      </c>
      <c r="EF76" s="27">
        <f t="shared" si="83"/>
        <v>35.809841660000004</v>
      </c>
      <c r="EG76" s="27">
        <v>7.3355984999999997</v>
      </c>
      <c r="EH76" s="27">
        <v>10.205280260000002</v>
      </c>
      <c r="EI76" s="27">
        <v>6.6209726999999994</v>
      </c>
    </row>
    <row r="77" spans="1:139" ht="15" thickBot="1" x14ac:dyDescent="0.35">
      <c r="A77" s="2" t="s">
        <v>323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f t="shared" si="79"/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f t="shared" si="80"/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f t="shared" si="81"/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f t="shared" si="82"/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f t="shared" si="83"/>
        <v>0</v>
      </c>
      <c r="EG77" s="28">
        <v>0</v>
      </c>
      <c r="EH77" s="28">
        <v>0</v>
      </c>
      <c r="EI77" s="28">
        <v>0</v>
      </c>
    </row>
    <row r="78" spans="1:139" ht="15" thickTop="1" x14ac:dyDescent="0.3">
      <c r="A78" s="1" t="s">
        <v>322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f t="shared" si="79"/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f t="shared" si="80"/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f t="shared" si="81"/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f t="shared" si="82"/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f t="shared" si="83"/>
        <v>0</v>
      </c>
      <c r="EG78" s="27">
        <v>0</v>
      </c>
      <c r="EH78" s="27">
        <v>0</v>
      </c>
      <c r="EI78" s="27">
        <v>0</v>
      </c>
    </row>
    <row r="79" spans="1:139" ht="15" thickBot="1" x14ac:dyDescent="0.35">
      <c r="A79" s="2" t="s">
        <v>370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28">
        <v>1.0423035999999999</v>
      </c>
      <c r="BK79" s="28">
        <v>1.10220407</v>
      </c>
      <c r="BL79" s="28">
        <v>0.14409247000000036</v>
      </c>
      <c r="BM79" s="28">
        <v>0.24702592999999951</v>
      </c>
      <c r="BN79" s="28">
        <f t="shared" si="70"/>
        <v>2.5356260699999997</v>
      </c>
      <c r="BO79" s="28">
        <v>-0.31293572000000008</v>
      </c>
      <c r="BP79" s="28">
        <v>0.91793381999999979</v>
      </c>
      <c r="BQ79" s="28">
        <v>-0.21168272999999943</v>
      </c>
      <c r="BR79" s="28">
        <v>-3.2761162600000007</v>
      </c>
      <c r="BS79" s="28">
        <f t="shared" si="71"/>
        <v>-2.8828008900000004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f t="shared" si="79"/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f t="shared" si="80"/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f t="shared" si="81"/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f t="shared" si="82"/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f t="shared" si="83"/>
        <v>0</v>
      </c>
      <c r="EG79" s="28">
        <v>0</v>
      </c>
      <c r="EH79" s="28">
        <v>0</v>
      </c>
      <c r="EI79" s="28">
        <v>0</v>
      </c>
    </row>
    <row r="80" spans="1:139" ht="15" thickTop="1" x14ac:dyDescent="0.3">
      <c r="A80" s="1" t="s">
        <v>338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27">
        <v>7.1519579999999985E-2</v>
      </c>
      <c r="BK80" s="27">
        <v>7.6831780000000002E-2</v>
      </c>
      <c r="BL80" s="27">
        <v>5.4957240000000004E-2</v>
      </c>
      <c r="BM80" s="27">
        <v>5.4029179999999941E-2</v>
      </c>
      <c r="BN80" s="27">
        <f t="shared" si="70"/>
        <v>0.25733777999999996</v>
      </c>
      <c r="BO80" s="27">
        <v>5.6603229999999997E-2</v>
      </c>
      <c r="BP80" s="27">
        <v>7.4573279999999992E-2</v>
      </c>
      <c r="BQ80" s="27">
        <v>9.4926150000000015E-2</v>
      </c>
      <c r="BR80" s="27">
        <v>7.3096031096000047E-2</v>
      </c>
      <c r="BS80" s="27">
        <f t="shared" si="71"/>
        <v>0.29919869109600006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f t="shared" si="79"/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f t="shared" si="80"/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f t="shared" si="81"/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f t="shared" si="82"/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f t="shared" si="83"/>
        <v>0</v>
      </c>
      <c r="EG80" s="27">
        <v>0</v>
      </c>
      <c r="EH80" s="27">
        <v>0</v>
      </c>
      <c r="EI80" s="27">
        <v>0</v>
      </c>
    </row>
    <row r="81" spans="1:139" ht="15" thickBot="1" x14ac:dyDescent="0.35">
      <c r="A81" s="2" t="s">
        <v>331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28">
        <v>0</v>
      </c>
      <c r="BK81" s="28">
        <v>0</v>
      </c>
      <c r="BL81" s="28">
        <v>0</v>
      </c>
      <c r="BM81" s="28">
        <v>0</v>
      </c>
      <c r="BN81" s="28">
        <f t="shared" si="70"/>
        <v>0</v>
      </c>
      <c r="BO81" s="28">
        <v>0</v>
      </c>
      <c r="BP81" s="28">
        <v>0</v>
      </c>
      <c r="BQ81" s="28">
        <v>0</v>
      </c>
      <c r="BR81" s="28">
        <v>0</v>
      </c>
      <c r="BS81" s="28">
        <f t="shared" si="71"/>
        <v>0</v>
      </c>
      <c r="BT81" s="28">
        <v>0</v>
      </c>
      <c r="BU81" s="28">
        <v>0</v>
      </c>
      <c r="BV81" s="28">
        <v>0</v>
      </c>
      <c r="BW81" s="28">
        <v>0</v>
      </c>
      <c r="BX81" s="28">
        <f t="shared" si="72"/>
        <v>0</v>
      </c>
      <c r="BY81" s="28">
        <v>0</v>
      </c>
      <c r="BZ81" s="28">
        <v>0</v>
      </c>
      <c r="CA81" s="28">
        <v>0</v>
      </c>
      <c r="CB81" s="28">
        <v>0</v>
      </c>
      <c r="CC81" s="28">
        <f t="shared" si="73"/>
        <v>0</v>
      </c>
      <c r="CD81" s="28">
        <v>0</v>
      </c>
      <c r="CE81" s="28">
        <v>0</v>
      </c>
      <c r="CF81" s="28">
        <v>0</v>
      </c>
      <c r="CG81" s="28">
        <v>0</v>
      </c>
      <c r="CH81" s="28">
        <f t="shared" si="74"/>
        <v>0</v>
      </c>
      <c r="CI81" s="28">
        <v>0</v>
      </c>
      <c r="CJ81" s="28">
        <v>0</v>
      </c>
      <c r="CK81" s="28">
        <v>0</v>
      </c>
      <c r="CL81" s="28">
        <v>0</v>
      </c>
      <c r="CM81" s="28">
        <f t="shared" si="75"/>
        <v>0</v>
      </c>
      <c r="CN81" s="28">
        <v>0</v>
      </c>
      <c r="CO81" s="28">
        <v>0</v>
      </c>
      <c r="CP81" s="28">
        <v>0</v>
      </c>
      <c r="CQ81" s="28">
        <v>0</v>
      </c>
      <c r="CR81" s="28">
        <f t="shared" si="76"/>
        <v>0</v>
      </c>
      <c r="CS81" s="28">
        <v>0</v>
      </c>
      <c r="CT81" s="28">
        <v>0</v>
      </c>
      <c r="CU81" s="28">
        <v>0</v>
      </c>
      <c r="CV81" s="28">
        <v>0</v>
      </c>
      <c r="CW81" s="28">
        <v>0</v>
      </c>
      <c r="CX81" s="28">
        <f t="shared" ref="CX81:DA82" si="84">SUM(CT81:CW81)</f>
        <v>0</v>
      </c>
      <c r="CY81" s="28">
        <f t="shared" si="84"/>
        <v>0</v>
      </c>
      <c r="CZ81" s="28">
        <f t="shared" si="84"/>
        <v>0</v>
      </c>
      <c r="DA81" s="28">
        <f t="shared" si="84"/>
        <v>0</v>
      </c>
      <c r="DB81" s="28">
        <f t="shared" si="77"/>
        <v>0</v>
      </c>
      <c r="DC81" s="28">
        <f t="shared" ref="DC81:DF82" si="85">SUM(CY81:DB81)</f>
        <v>0</v>
      </c>
      <c r="DD81" s="28">
        <f t="shared" si="85"/>
        <v>0</v>
      </c>
      <c r="DE81" s="28">
        <f t="shared" si="85"/>
        <v>0</v>
      </c>
      <c r="DF81" s="28">
        <f t="shared" si="85"/>
        <v>0</v>
      </c>
      <c r="DG81" s="28">
        <f t="shared" si="78"/>
        <v>0</v>
      </c>
      <c r="DH81" s="28">
        <v>0</v>
      </c>
      <c r="DI81" s="28">
        <v>0</v>
      </c>
      <c r="DJ81" s="28">
        <v>0</v>
      </c>
      <c r="DK81" s="28">
        <v>0</v>
      </c>
      <c r="DL81" s="28">
        <f t="shared" si="79"/>
        <v>0</v>
      </c>
      <c r="DM81" s="28">
        <v>0</v>
      </c>
      <c r="DN81" s="28">
        <v>0</v>
      </c>
      <c r="DO81" s="28">
        <v>0</v>
      </c>
      <c r="DP81" s="28">
        <v>0</v>
      </c>
      <c r="DQ81" s="28">
        <f t="shared" si="80"/>
        <v>0</v>
      </c>
      <c r="DR81" s="28">
        <v>0</v>
      </c>
      <c r="DS81" s="28">
        <v>0</v>
      </c>
      <c r="DT81" s="28">
        <v>0</v>
      </c>
      <c r="DU81" s="28">
        <v>0</v>
      </c>
      <c r="DV81" s="28">
        <f t="shared" si="81"/>
        <v>0</v>
      </c>
      <c r="DW81" s="28">
        <v>0</v>
      </c>
      <c r="DX81" s="28">
        <v>0</v>
      </c>
      <c r="DY81" s="28">
        <v>0</v>
      </c>
      <c r="DZ81" s="28">
        <v>0</v>
      </c>
      <c r="EA81" s="28">
        <f t="shared" si="82"/>
        <v>0</v>
      </c>
      <c r="EB81" s="28">
        <v>0</v>
      </c>
      <c r="EC81" s="28">
        <v>0</v>
      </c>
      <c r="ED81" s="28">
        <v>0</v>
      </c>
      <c r="EE81" s="28">
        <v>-2E-8</v>
      </c>
      <c r="EF81" s="28">
        <f t="shared" si="83"/>
        <v>-2E-8</v>
      </c>
      <c r="EG81" s="28">
        <v>0</v>
      </c>
      <c r="EH81" s="28">
        <v>0</v>
      </c>
      <c r="EI81" s="28">
        <v>0</v>
      </c>
    </row>
    <row r="82" spans="1:139" ht="15" thickTop="1" x14ac:dyDescent="0.3">
      <c r="A82" s="1" t="s">
        <v>308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27">
        <v>0</v>
      </c>
      <c r="BK82" s="27">
        <v>-0.20077766</v>
      </c>
      <c r="BL82" s="27">
        <v>1.9761100000000004E-2</v>
      </c>
      <c r="BM82" s="27">
        <v>-7.0769900000000052E-3</v>
      </c>
      <c r="BN82" s="27">
        <f t="shared" si="70"/>
        <v>-0.18809355</v>
      </c>
      <c r="BO82" s="27">
        <v>0.10811229</v>
      </c>
      <c r="BP82" s="27">
        <v>-0.24877025999999999</v>
      </c>
      <c r="BQ82" s="27">
        <v>4.9902310000000005E-2</v>
      </c>
      <c r="BR82" s="27">
        <v>0.46085944000000001</v>
      </c>
      <c r="BS82" s="27">
        <f t="shared" si="71"/>
        <v>0.37010377999999999</v>
      </c>
      <c r="BT82" s="27">
        <v>0</v>
      </c>
      <c r="BU82" s="27">
        <v>0</v>
      </c>
      <c r="BV82" s="27">
        <v>0</v>
      </c>
      <c r="BW82" s="27">
        <v>0.2</v>
      </c>
      <c r="BX82" s="27">
        <f t="shared" si="72"/>
        <v>0.2</v>
      </c>
      <c r="BY82" s="27">
        <v>0.10524612</v>
      </c>
      <c r="BZ82" s="27">
        <v>0</v>
      </c>
      <c r="CA82" s="27">
        <v>-0.2</v>
      </c>
      <c r="CB82" s="27">
        <v>0</v>
      </c>
      <c r="CC82" s="27">
        <f t="shared" si="73"/>
        <v>-9.4753880000000013E-2</v>
      </c>
      <c r="CD82" s="27">
        <v>0.112</v>
      </c>
      <c r="CE82" s="27">
        <f>0.052471666-0.2</f>
        <v>-0.14752833400000001</v>
      </c>
      <c r="CF82" s="27">
        <v>0</v>
      </c>
      <c r="CG82" s="27">
        <v>-0.2</v>
      </c>
      <c r="CH82" s="27">
        <f t="shared" si="74"/>
        <v>-0.23552833400000001</v>
      </c>
      <c r="CI82" s="27">
        <v>0</v>
      </c>
      <c r="CJ82" s="27">
        <v>0</v>
      </c>
      <c r="CK82" s="27">
        <v>0</v>
      </c>
      <c r="CL82" s="27">
        <v>0</v>
      </c>
      <c r="CM82" s="27">
        <f t="shared" si="75"/>
        <v>0</v>
      </c>
      <c r="CN82" s="27">
        <v>-2.9291540000000005E-2</v>
      </c>
      <c r="CO82" s="27">
        <v>2.9291540000000005E-2</v>
      </c>
      <c r="CP82" s="27">
        <v>0</v>
      </c>
      <c r="CQ82" s="27">
        <v>0</v>
      </c>
      <c r="CR82" s="27">
        <f t="shared" si="76"/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f t="shared" si="84"/>
        <v>0</v>
      </c>
      <c r="CY82" s="27">
        <f t="shared" si="84"/>
        <v>0</v>
      </c>
      <c r="CZ82" s="27">
        <f t="shared" si="84"/>
        <v>0</v>
      </c>
      <c r="DA82" s="27">
        <f t="shared" si="84"/>
        <v>0</v>
      </c>
      <c r="DB82" s="27">
        <f t="shared" si="77"/>
        <v>0</v>
      </c>
      <c r="DC82" s="27">
        <f t="shared" si="85"/>
        <v>0</v>
      </c>
      <c r="DD82" s="27">
        <f t="shared" si="85"/>
        <v>0</v>
      </c>
      <c r="DE82" s="27">
        <f t="shared" si="85"/>
        <v>0</v>
      </c>
      <c r="DF82" s="27">
        <f t="shared" si="85"/>
        <v>0</v>
      </c>
      <c r="DG82" s="27">
        <f t="shared" si="78"/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f t="shared" si="79"/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f t="shared" si="80"/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f t="shared" si="81"/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f t="shared" si="82"/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f t="shared" si="83"/>
        <v>0</v>
      </c>
      <c r="EG82" s="27">
        <v>0</v>
      </c>
      <c r="EH82" s="27">
        <v>0</v>
      </c>
      <c r="EI82" s="27">
        <v>0</v>
      </c>
    </row>
    <row r="83" spans="1:139" x14ac:dyDescent="0.3">
      <c r="A83" s="5" t="s">
        <v>311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29">
        <f>SUM(BJ60:BJ82)</f>
        <v>15.728680950000003</v>
      </c>
      <c r="BK83" s="29">
        <f t="shared" ref="BK83:DT83" si="86">SUM(BK60:BK82)</f>
        <v>14.135642979999997</v>
      </c>
      <c r="BL83" s="29">
        <f t="shared" si="86"/>
        <v>15.026694640000001</v>
      </c>
      <c r="BM83" s="29">
        <f t="shared" si="86"/>
        <v>17.975711089999997</v>
      </c>
      <c r="BN83" s="29">
        <f>SUM(BN60:BN82)</f>
        <v>62.866729659999997</v>
      </c>
      <c r="BO83" s="29">
        <f t="shared" si="86"/>
        <v>16.202039590000005</v>
      </c>
      <c r="BP83" s="29">
        <f t="shared" si="86"/>
        <v>14.032381879999997</v>
      </c>
      <c r="BQ83" s="29">
        <f t="shared" si="86"/>
        <v>13.477741689999995</v>
      </c>
      <c r="BR83" s="29">
        <f t="shared" si="86"/>
        <v>13.460881391096001</v>
      </c>
      <c r="BS83" s="29">
        <f>SUM(BS60:BS82)</f>
        <v>57.173044551096005</v>
      </c>
      <c r="BT83" s="29">
        <f t="shared" si="86"/>
        <v>13.537514359999999</v>
      </c>
      <c r="BU83" s="29">
        <f t="shared" si="86"/>
        <v>13.849645079999998</v>
      </c>
      <c r="BV83" s="29">
        <f t="shared" si="86"/>
        <v>7.7929193000000012</v>
      </c>
      <c r="BW83" s="29">
        <f t="shared" si="86"/>
        <v>16.963520164999998</v>
      </c>
      <c r="BX83" s="29">
        <f>SUM(BX60:BX82)</f>
        <v>52.143598904999998</v>
      </c>
      <c r="BY83" s="29">
        <f t="shared" si="86"/>
        <v>15.441127669999998</v>
      </c>
      <c r="BZ83" s="29">
        <f t="shared" si="86"/>
        <v>17.798163750000001</v>
      </c>
      <c r="CA83" s="29">
        <f t="shared" si="86"/>
        <v>18.011269170000002</v>
      </c>
      <c r="CB83" s="29">
        <f t="shared" si="86"/>
        <v>24.964105170000003</v>
      </c>
      <c r="CC83" s="29">
        <f>SUM(CC60:CC82)</f>
        <v>76.214665759999988</v>
      </c>
      <c r="CD83" s="29">
        <f t="shared" si="86"/>
        <v>18.245956140000001</v>
      </c>
      <c r="CE83" s="29">
        <f t="shared" si="86"/>
        <v>14.782257025999996</v>
      </c>
      <c r="CF83" s="29">
        <f t="shared" si="86"/>
        <v>18.079913390000002</v>
      </c>
      <c r="CG83" s="29">
        <f t="shared" si="86"/>
        <v>31.316653660000007</v>
      </c>
      <c r="CH83" s="29">
        <f>SUM(CH60:CH82)</f>
        <v>82.424780216000016</v>
      </c>
      <c r="CI83" s="29">
        <f t="shared" si="86"/>
        <v>22.585548200000002</v>
      </c>
      <c r="CJ83" s="29">
        <f t="shared" si="86"/>
        <v>20.902760009999994</v>
      </c>
      <c r="CK83" s="29">
        <f t="shared" si="86"/>
        <v>19.868073830000004</v>
      </c>
      <c r="CL83" s="29">
        <f t="shared" si="86"/>
        <v>22.486900009999999</v>
      </c>
      <c r="CM83" s="29">
        <f>SUM(CM60:CM82)</f>
        <v>85.843282049999999</v>
      </c>
      <c r="CN83" s="29">
        <f t="shared" si="86"/>
        <v>18.29101026</v>
      </c>
      <c r="CO83" s="29">
        <f t="shared" si="86"/>
        <v>19.888730879999997</v>
      </c>
      <c r="CP83" s="29">
        <f t="shared" si="86"/>
        <v>19.049286760000005</v>
      </c>
      <c r="CQ83" s="29">
        <f t="shared" si="86"/>
        <v>20.5979721</v>
      </c>
      <c r="CR83" s="29">
        <f t="shared" si="86"/>
        <v>77.826999999999984</v>
      </c>
      <c r="CS83" s="29">
        <f t="shared" si="86"/>
        <v>18.735468999999998</v>
      </c>
      <c r="CT83" s="29">
        <f t="shared" si="86"/>
        <v>18.9826923</v>
      </c>
      <c r="CU83" s="29">
        <f t="shared" si="86"/>
        <v>19.712861090000001</v>
      </c>
      <c r="CV83" s="29">
        <f t="shared" si="86"/>
        <v>20.436999230000001</v>
      </c>
      <c r="CW83" s="29">
        <f t="shared" si="86"/>
        <v>77.868021619999993</v>
      </c>
      <c r="CX83" s="29">
        <f t="shared" si="86"/>
        <v>19.045999999999996</v>
      </c>
      <c r="CY83" s="29">
        <f t="shared" si="86"/>
        <v>20.881</v>
      </c>
      <c r="CZ83" s="29">
        <f t="shared" si="86"/>
        <v>20.552000000000003</v>
      </c>
      <c r="DA83" s="29">
        <f t="shared" si="86"/>
        <v>22.056000000000001</v>
      </c>
      <c r="DB83" s="29">
        <f t="shared" si="86"/>
        <v>82.534999999999997</v>
      </c>
      <c r="DC83" s="29">
        <f t="shared" si="86"/>
        <v>21.706</v>
      </c>
      <c r="DD83" s="29">
        <f t="shared" si="86"/>
        <v>23.715000000000003</v>
      </c>
      <c r="DE83" s="29">
        <f t="shared" si="86"/>
        <v>29.194000000000003</v>
      </c>
      <c r="DF83" s="29">
        <f t="shared" si="86"/>
        <v>33.212000000000003</v>
      </c>
      <c r="DG83" s="29">
        <f t="shared" si="86"/>
        <v>107.82700000000003</v>
      </c>
      <c r="DH83" s="29">
        <f t="shared" si="86"/>
        <v>28.416000000000007</v>
      </c>
      <c r="DI83" s="29">
        <f t="shared" si="86"/>
        <v>26.984000000000002</v>
      </c>
      <c r="DJ83" s="29">
        <f t="shared" si="86"/>
        <v>26.201999999999998</v>
      </c>
      <c r="DK83" s="29">
        <f t="shared" si="86"/>
        <v>53.863999999999983</v>
      </c>
      <c r="DL83" s="29">
        <f t="shared" si="86"/>
        <v>135.46600000000001</v>
      </c>
      <c r="DM83" s="29">
        <f t="shared" si="86"/>
        <v>39.598000000000006</v>
      </c>
      <c r="DN83" s="29">
        <f t="shared" si="86"/>
        <v>45.824000000000005</v>
      </c>
      <c r="DO83" s="29">
        <f t="shared" si="86"/>
        <v>42.594999999999999</v>
      </c>
      <c r="DP83" s="29">
        <f t="shared" si="86"/>
        <v>44.882999999999988</v>
      </c>
      <c r="DQ83" s="29">
        <f t="shared" si="86"/>
        <v>172.89999999999998</v>
      </c>
      <c r="DR83" s="29">
        <f t="shared" si="86"/>
        <v>36.675999999999995</v>
      </c>
      <c r="DS83" s="29">
        <f t="shared" si="86"/>
        <v>39.85199999999999</v>
      </c>
      <c r="DT83" s="29">
        <f t="shared" si="86"/>
        <v>40.894999999999996</v>
      </c>
      <c r="DU83" s="29">
        <f t="shared" ref="DU83:EA83" si="87">SUM(DU60:DU82)</f>
        <v>32.759</v>
      </c>
      <c r="DV83" s="29">
        <f t="shared" si="87"/>
        <v>150.18200000000002</v>
      </c>
      <c r="DW83" s="29">
        <f t="shared" si="87"/>
        <v>42.126000000000005</v>
      </c>
      <c r="DX83" s="29">
        <f t="shared" si="87"/>
        <v>52.558</v>
      </c>
      <c r="DY83" s="29">
        <f t="shared" si="87"/>
        <v>56.269845630000006</v>
      </c>
      <c r="DZ83" s="29">
        <f t="shared" si="87"/>
        <v>68.737878629999997</v>
      </c>
      <c r="EA83" s="29">
        <f t="shared" si="87"/>
        <v>219.69172426</v>
      </c>
      <c r="EB83" s="29">
        <f>SUM(EB60:EB82)</f>
        <v>75.572030249999997</v>
      </c>
      <c r="EC83" s="29">
        <f>SUM(EC60:EC82)</f>
        <v>66.630606979999996</v>
      </c>
      <c r="ED83" s="29">
        <f>SUM(ED60:ED82)</f>
        <v>84.066000000000003</v>
      </c>
      <c r="EE83" s="29">
        <f>SUM(EE60:EE82)</f>
        <v>80.24165653</v>
      </c>
      <c r="EF83" s="29">
        <f t="shared" ref="EF83" si="88">SUM(EF60:EF82)</f>
        <v>306.51029375999997</v>
      </c>
      <c r="EG83" s="29">
        <f>SUM(EG60:EG82)</f>
        <v>61.888376969999996</v>
      </c>
      <c r="EH83" s="29">
        <f>SUM(EH60:EH82)</f>
        <v>71.734364170000021</v>
      </c>
      <c r="EI83" s="29">
        <f>SUM(EI60:EI82)</f>
        <v>65.396911710000012</v>
      </c>
    </row>
    <row r="84" spans="1:139" x14ac:dyDescent="0.3">
      <c r="CH84" s="33"/>
    </row>
    <row r="86" spans="1:139" x14ac:dyDescent="0.3">
      <c r="A86" s="3" t="s">
        <v>326</v>
      </c>
      <c r="B86" s="6" t="s">
        <v>4</v>
      </c>
      <c r="C86" s="6" t="s">
        <v>5</v>
      </c>
      <c r="D86" s="6" t="s">
        <v>6</v>
      </c>
      <c r="E86" s="6" t="s">
        <v>7</v>
      </c>
      <c r="F86" s="6">
        <v>2018</v>
      </c>
      <c r="G86" s="6" t="s">
        <v>8</v>
      </c>
      <c r="H86" s="6" t="s">
        <v>9</v>
      </c>
      <c r="I86" s="6" t="s">
        <v>10</v>
      </c>
      <c r="J86" s="6" t="s">
        <v>11</v>
      </c>
      <c r="K86" s="6">
        <v>2019</v>
      </c>
      <c r="L86" s="6" t="s">
        <v>12</v>
      </c>
      <c r="M86" s="6" t="s">
        <v>13</v>
      </c>
      <c r="N86" s="6" t="s">
        <v>14</v>
      </c>
      <c r="O86" s="6" t="s">
        <v>15</v>
      </c>
      <c r="P86" s="6">
        <v>2000</v>
      </c>
      <c r="Q86" s="6" t="s">
        <v>16</v>
      </c>
      <c r="R86" s="6" t="s">
        <v>17</v>
      </c>
      <c r="S86" s="6" t="s">
        <v>18</v>
      </c>
      <c r="T86" s="6" t="s">
        <v>19</v>
      </c>
      <c r="U86" s="6">
        <v>2001</v>
      </c>
      <c r="V86" s="6" t="s">
        <v>20</v>
      </c>
      <c r="W86" s="6" t="s">
        <v>21</v>
      </c>
      <c r="X86" s="6" t="s">
        <v>22</v>
      </c>
      <c r="Y86" s="6" t="s">
        <v>23</v>
      </c>
      <c r="Z86" s="6">
        <v>2002</v>
      </c>
      <c r="AA86" s="6" t="s">
        <v>24</v>
      </c>
      <c r="AB86" s="6" t="s">
        <v>25</v>
      </c>
      <c r="AC86" s="6" t="s">
        <v>26</v>
      </c>
      <c r="AD86" s="6" t="s">
        <v>27</v>
      </c>
      <c r="AE86" s="6">
        <v>2003</v>
      </c>
      <c r="AF86" s="6" t="s">
        <v>28</v>
      </c>
      <c r="AG86" s="6" t="s">
        <v>29</v>
      </c>
      <c r="AH86" s="6" t="s">
        <v>30</v>
      </c>
      <c r="AI86" s="6" t="s">
        <v>31</v>
      </c>
      <c r="AJ86" s="6">
        <v>2004</v>
      </c>
      <c r="AK86" s="6" t="s">
        <v>32</v>
      </c>
      <c r="AL86" s="6" t="s">
        <v>33</v>
      </c>
      <c r="AM86" s="6" t="s">
        <v>34</v>
      </c>
      <c r="AN86" s="6" t="s">
        <v>35</v>
      </c>
      <c r="AO86" s="6">
        <v>2005</v>
      </c>
      <c r="AP86" s="6" t="s">
        <v>36</v>
      </c>
      <c r="AQ86" s="6" t="s">
        <v>37</v>
      </c>
      <c r="AR86" s="6" t="s">
        <v>38</v>
      </c>
      <c r="AS86" s="6" t="s">
        <v>39</v>
      </c>
      <c r="AT86" s="6">
        <v>2006</v>
      </c>
      <c r="AU86" s="6" t="s">
        <v>40</v>
      </c>
      <c r="AV86" s="6" t="s">
        <v>41</v>
      </c>
      <c r="AW86" s="6" t="s">
        <v>42</v>
      </c>
      <c r="AX86" s="6" t="s">
        <v>43</v>
      </c>
      <c r="AY86" s="6">
        <v>2007</v>
      </c>
      <c r="AZ86" s="6" t="s">
        <v>44</v>
      </c>
      <c r="BA86" s="6" t="s">
        <v>45</v>
      </c>
      <c r="BB86" s="6" t="s">
        <v>46</v>
      </c>
      <c r="BC86" s="6" t="s">
        <v>47</v>
      </c>
      <c r="BD86" s="6">
        <v>2008</v>
      </c>
      <c r="BE86" s="6" t="s">
        <v>48</v>
      </c>
      <c r="BF86" s="6" t="s">
        <v>49</v>
      </c>
      <c r="BG86" s="6" t="s">
        <v>50</v>
      </c>
      <c r="BH86" s="6" t="s">
        <v>51</v>
      </c>
      <c r="BI86" s="6">
        <v>2009</v>
      </c>
      <c r="BJ86" s="6" t="s">
        <v>52</v>
      </c>
      <c r="BK86" s="6" t="s">
        <v>53</v>
      </c>
      <c r="BL86" s="6" t="s">
        <v>54</v>
      </c>
      <c r="BM86" s="6" t="s">
        <v>55</v>
      </c>
      <c r="BN86" s="6">
        <v>2010</v>
      </c>
      <c r="BO86" s="6" t="s">
        <v>56</v>
      </c>
      <c r="BP86" s="6" t="s">
        <v>57</v>
      </c>
      <c r="BQ86" s="6" t="s">
        <v>58</v>
      </c>
      <c r="BR86" s="6" t="s">
        <v>59</v>
      </c>
      <c r="BS86" s="6">
        <v>2011</v>
      </c>
      <c r="BT86" s="6" t="s">
        <v>60</v>
      </c>
      <c r="BU86" s="6" t="s">
        <v>61</v>
      </c>
      <c r="BV86" s="6" t="s">
        <v>62</v>
      </c>
      <c r="BW86" s="6" t="s">
        <v>63</v>
      </c>
      <c r="BX86" s="6">
        <v>2012</v>
      </c>
      <c r="BY86" s="6" t="s">
        <v>64</v>
      </c>
      <c r="BZ86" s="6" t="s">
        <v>65</v>
      </c>
      <c r="CA86" s="6" t="s">
        <v>66</v>
      </c>
      <c r="CB86" s="6" t="s">
        <v>67</v>
      </c>
      <c r="CC86" s="6">
        <v>2013</v>
      </c>
      <c r="CD86" s="6" t="s">
        <v>68</v>
      </c>
      <c r="CE86" s="6" t="s">
        <v>69</v>
      </c>
      <c r="CF86" s="6" t="s">
        <v>70</v>
      </c>
      <c r="CG86" s="6" t="s">
        <v>71</v>
      </c>
      <c r="CH86" s="6">
        <v>2014</v>
      </c>
      <c r="CI86" s="6" t="s">
        <v>72</v>
      </c>
      <c r="CJ86" s="6" t="s">
        <v>73</v>
      </c>
      <c r="CK86" s="6" t="s">
        <v>74</v>
      </c>
      <c r="CL86" s="6" t="s">
        <v>75</v>
      </c>
      <c r="CM86" s="6">
        <v>2015</v>
      </c>
      <c r="CN86" s="6" t="s">
        <v>76</v>
      </c>
      <c r="CO86" s="6" t="s">
        <v>77</v>
      </c>
      <c r="CP86" s="6" t="s">
        <v>78</v>
      </c>
      <c r="CQ86" s="6" t="s">
        <v>79</v>
      </c>
      <c r="CR86" s="6">
        <v>2016</v>
      </c>
      <c r="CS86" s="6" t="s">
        <v>80</v>
      </c>
      <c r="CT86" s="6" t="s">
        <v>81</v>
      </c>
      <c r="CU86" s="6" t="s">
        <v>82</v>
      </c>
      <c r="CV86" s="6" t="s">
        <v>83</v>
      </c>
      <c r="CW86" s="6">
        <v>2017</v>
      </c>
      <c r="CX86" s="6" t="s">
        <v>84</v>
      </c>
      <c r="CY86" s="6" t="s">
        <v>85</v>
      </c>
      <c r="CZ86" s="6" t="s">
        <v>86</v>
      </c>
      <c r="DA86" s="6" t="s">
        <v>87</v>
      </c>
      <c r="DB86" s="6">
        <v>2018</v>
      </c>
      <c r="DC86" s="6" t="s">
        <v>88</v>
      </c>
      <c r="DD86" s="6" t="s">
        <v>89</v>
      </c>
      <c r="DE86" s="6" t="s">
        <v>90</v>
      </c>
      <c r="DF86" s="6" t="s">
        <v>91</v>
      </c>
      <c r="DG86" s="6">
        <v>2019</v>
      </c>
      <c r="DH86" s="6" t="s">
        <v>92</v>
      </c>
      <c r="DI86" s="6" t="s">
        <v>93</v>
      </c>
      <c r="DJ86" s="6" t="s">
        <v>94</v>
      </c>
      <c r="DK86" s="6" t="s">
        <v>95</v>
      </c>
      <c r="DL86" s="6">
        <v>2020</v>
      </c>
      <c r="DM86" s="6" t="s">
        <v>96</v>
      </c>
      <c r="DN86" s="6" t="s">
        <v>97</v>
      </c>
      <c r="DO86" s="6" t="s">
        <v>98</v>
      </c>
      <c r="DP86" s="6" t="s">
        <v>99</v>
      </c>
      <c r="DQ86" s="6">
        <v>2021</v>
      </c>
      <c r="DR86" s="6" t="s">
        <v>100</v>
      </c>
      <c r="DS86" s="6" t="s">
        <v>101</v>
      </c>
      <c r="DT86" s="6" t="s">
        <v>200</v>
      </c>
      <c r="DU86" s="6" t="s">
        <v>380</v>
      </c>
      <c r="DV86" s="6">
        <v>2022</v>
      </c>
      <c r="DW86" s="6" t="s">
        <v>379</v>
      </c>
      <c r="DX86" s="6" t="s">
        <v>402</v>
      </c>
      <c r="DY86" s="6" t="s">
        <v>414</v>
      </c>
      <c r="DZ86" s="6" t="s">
        <v>419</v>
      </c>
      <c r="EA86" s="6">
        <v>2023</v>
      </c>
      <c r="EB86" s="6" t="s">
        <v>424</v>
      </c>
      <c r="EC86" s="6" t="s">
        <v>429</v>
      </c>
      <c r="ED86" s="6" t="str">
        <f>$ED$1</f>
        <v>3T24</v>
      </c>
      <c r="EE86" s="6" t="str">
        <f>$EE$1</f>
        <v>4T24</v>
      </c>
      <c r="EF86" s="6">
        <f>$EF$1</f>
        <v>2024</v>
      </c>
      <c r="EG86" s="6" t="str">
        <f>EG$1</f>
        <v>1T25</v>
      </c>
      <c r="EH86" s="6" t="str">
        <f>EH$1</f>
        <v>2T25</v>
      </c>
      <c r="EI86" s="6" t="str">
        <f>EI$1</f>
        <v>3T25</v>
      </c>
    </row>
    <row r="87" spans="1:139" ht="15" thickBot="1" x14ac:dyDescent="0.35">
      <c r="A87" s="4" t="s">
        <v>327</v>
      </c>
      <c r="B87" s="7" t="s">
        <v>102</v>
      </c>
      <c r="C87" s="7" t="s">
        <v>103</v>
      </c>
      <c r="D87" s="7" t="s">
        <v>104</v>
      </c>
      <c r="E87" s="7" t="s">
        <v>105</v>
      </c>
      <c r="F87" s="7">
        <v>2018</v>
      </c>
      <c r="G87" s="7" t="s">
        <v>106</v>
      </c>
      <c r="H87" s="7" t="s">
        <v>107</v>
      </c>
      <c r="I87" s="7" t="s">
        <v>108</v>
      </c>
      <c r="J87" s="7" t="s">
        <v>109</v>
      </c>
      <c r="K87" s="7">
        <v>2019</v>
      </c>
      <c r="L87" s="7" t="s">
        <v>110</v>
      </c>
      <c r="M87" s="7" t="s">
        <v>111</v>
      </c>
      <c r="N87" s="7" t="s">
        <v>112</v>
      </c>
      <c r="O87" s="7" t="s">
        <v>113</v>
      </c>
      <c r="P87" s="7">
        <v>2000</v>
      </c>
      <c r="Q87" s="7" t="s">
        <v>114</v>
      </c>
      <c r="R87" s="7" t="s">
        <v>115</v>
      </c>
      <c r="S87" s="7" t="s">
        <v>116</v>
      </c>
      <c r="T87" s="7" t="s">
        <v>117</v>
      </c>
      <c r="U87" s="7">
        <v>2001</v>
      </c>
      <c r="V87" s="7" t="s">
        <v>118</v>
      </c>
      <c r="W87" s="7" t="s">
        <v>119</v>
      </c>
      <c r="X87" s="7" t="s">
        <v>120</v>
      </c>
      <c r="Y87" s="7" t="s">
        <v>121</v>
      </c>
      <c r="Z87" s="7">
        <v>2002</v>
      </c>
      <c r="AA87" s="7" t="s">
        <v>122</v>
      </c>
      <c r="AB87" s="7" t="s">
        <v>123</v>
      </c>
      <c r="AC87" s="7" t="s">
        <v>124</v>
      </c>
      <c r="AD87" s="7" t="s">
        <v>125</v>
      </c>
      <c r="AE87" s="7">
        <v>2003</v>
      </c>
      <c r="AF87" s="7" t="s">
        <v>126</v>
      </c>
      <c r="AG87" s="7" t="s">
        <v>127</v>
      </c>
      <c r="AH87" s="7" t="s">
        <v>128</v>
      </c>
      <c r="AI87" s="7" t="s">
        <v>129</v>
      </c>
      <c r="AJ87" s="7">
        <v>2004</v>
      </c>
      <c r="AK87" s="7" t="s">
        <v>130</v>
      </c>
      <c r="AL87" s="7" t="s">
        <v>131</v>
      </c>
      <c r="AM87" s="7" t="s">
        <v>132</v>
      </c>
      <c r="AN87" s="7" t="s">
        <v>133</v>
      </c>
      <c r="AO87" s="7">
        <v>2005</v>
      </c>
      <c r="AP87" s="7" t="s">
        <v>134</v>
      </c>
      <c r="AQ87" s="7" t="s">
        <v>135</v>
      </c>
      <c r="AR87" s="7" t="s">
        <v>136</v>
      </c>
      <c r="AS87" s="7" t="s">
        <v>137</v>
      </c>
      <c r="AT87" s="7">
        <v>2006</v>
      </c>
      <c r="AU87" s="7" t="s">
        <v>138</v>
      </c>
      <c r="AV87" s="7" t="s">
        <v>139</v>
      </c>
      <c r="AW87" s="7" t="s">
        <v>140</v>
      </c>
      <c r="AX87" s="7" t="s">
        <v>141</v>
      </c>
      <c r="AY87" s="7">
        <v>2007</v>
      </c>
      <c r="AZ87" s="7" t="s">
        <v>142</v>
      </c>
      <c r="BA87" s="7" t="s">
        <v>143</v>
      </c>
      <c r="BB87" s="7" t="s">
        <v>144</v>
      </c>
      <c r="BC87" s="7" t="s">
        <v>145</v>
      </c>
      <c r="BD87" s="7">
        <v>2008</v>
      </c>
      <c r="BE87" s="7" t="s">
        <v>146</v>
      </c>
      <c r="BF87" s="7" t="s">
        <v>147</v>
      </c>
      <c r="BG87" s="7" t="s">
        <v>148</v>
      </c>
      <c r="BH87" s="7" t="s">
        <v>149</v>
      </c>
      <c r="BI87" s="7">
        <v>2009</v>
      </c>
      <c r="BJ87" s="7" t="s">
        <v>150</v>
      </c>
      <c r="BK87" s="7" t="s">
        <v>151</v>
      </c>
      <c r="BL87" s="7" t="s">
        <v>152</v>
      </c>
      <c r="BM87" s="7" t="s">
        <v>153</v>
      </c>
      <c r="BN87" s="7">
        <v>2010</v>
      </c>
      <c r="BO87" s="7" t="s">
        <v>154</v>
      </c>
      <c r="BP87" s="7" t="s">
        <v>155</v>
      </c>
      <c r="BQ87" s="7" t="s">
        <v>156</v>
      </c>
      <c r="BR87" s="7" t="s">
        <v>157</v>
      </c>
      <c r="BS87" s="7">
        <v>2011</v>
      </c>
      <c r="BT87" s="7" t="s">
        <v>158</v>
      </c>
      <c r="BU87" s="7" t="s">
        <v>159</v>
      </c>
      <c r="BV87" s="7" t="s">
        <v>160</v>
      </c>
      <c r="BW87" s="7" t="s">
        <v>161</v>
      </c>
      <c r="BX87" s="7">
        <v>2012</v>
      </c>
      <c r="BY87" s="7" t="s">
        <v>162</v>
      </c>
      <c r="BZ87" s="7" t="s">
        <v>163</v>
      </c>
      <c r="CA87" s="7" t="s">
        <v>164</v>
      </c>
      <c r="CB87" s="7" t="s">
        <v>165</v>
      </c>
      <c r="CC87" s="7">
        <v>2013</v>
      </c>
      <c r="CD87" s="7" t="s">
        <v>166</v>
      </c>
      <c r="CE87" s="7" t="s">
        <v>167</v>
      </c>
      <c r="CF87" s="7" t="s">
        <v>168</v>
      </c>
      <c r="CG87" s="7" t="s">
        <v>169</v>
      </c>
      <c r="CH87" s="7">
        <v>2014</v>
      </c>
      <c r="CI87" s="7" t="s">
        <v>170</v>
      </c>
      <c r="CJ87" s="7" t="s">
        <v>171</v>
      </c>
      <c r="CK87" s="7" t="s">
        <v>172</v>
      </c>
      <c r="CL87" s="7" t="s">
        <v>173</v>
      </c>
      <c r="CM87" s="7">
        <v>2015</v>
      </c>
      <c r="CN87" s="7" t="s">
        <v>174</v>
      </c>
      <c r="CO87" s="7" t="s">
        <v>175</v>
      </c>
      <c r="CP87" s="7" t="s">
        <v>176</v>
      </c>
      <c r="CQ87" s="7" t="s">
        <v>177</v>
      </c>
      <c r="CR87" s="7">
        <v>2016</v>
      </c>
      <c r="CS87" s="7" t="s">
        <v>178</v>
      </c>
      <c r="CT87" s="7" t="s">
        <v>179</v>
      </c>
      <c r="CU87" s="7" t="s">
        <v>180</v>
      </c>
      <c r="CV87" s="7" t="s">
        <v>181</v>
      </c>
      <c r="CW87" s="7">
        <v>2017</v>
      </c>
      <c r="CX87" s="7" t="s">
        <v>182</v>
      </c>
      <c r="CY87" s="7" t="s">
        <v>183</v>
      </c>
      <c r="CZ87" s="7" t="s">
        <v>184</v>
      </c>
      <c r="DA87" s="7" t="s">
        <v>185</v>
      </c>
      <c r="DB87" s="7">
        <v>2018</v>
      </c>
      <c r="DC87" s="7" t="s">
        <v>186</v>
      </c>
      <c r="DD87" s="7" t="s">
        <v>187</v>
      </c>
      <c r="DE87" s="7" t="s">
        <v>188</v>
      </c>
      <c r="DF87" s="7" t="s">
        <v>189</v>
      </c>
      <c r="DG87" s="7">
        <v>2019</v>
      </c>
      <c r="DH87" s="7" t="s">
        <v>190</v>
      </c>
      <c r="DI87" s="7" t="s">
        <v>191</v>
      </c>
      <c r="DJ87" s="7" t="s">
        <v>192</v>
      </c>
      <c r="DK87" s="7" t="s">
        <v>193</v>
      </c>
      <c r="DL87" s="7">
        <v>2020</v>
      </c>
      <c r="DM87" s="7" t="s">
        <v>194</v>
      </c>
      <c r="DN87" s="7" t="s">
        <v>195</v>
      </c>
      <c r="DO87" s="7" t="s">
        <v>196</v>
      </c>
      <c r="DP87" s="7" t="s">
        <v>197</v>
      </c>
      <c r="DQ87" s="7">
        <v>2021</v>
      </c>
      <c r="DR87" s="7" t="s">
        <v>198</v>
      </c>
      <c r="DS87" s="7" t="s">
        <v>199</v>
      </c>
      <c r="DT87" s="7" t="s">
        <v>201</v>
      </c>
      <c r="DU87" s="7" t="s">
        <v>381</v>
      </c>
      <c r="DV87" s="7">
        <v>2022</v>
      </c>
      <c r="DW87" s="7" t="s">
        <v>382</v>
      </c>
      <c r="DX87" s="7" t="s">
        <v>403</v>
      </c>
      <c r="DY87" s="7" t="s">
        <v>415</v>
      </c>
      <c r="DZ87" s="7" t="s">
        <v>420</v>
      </c>
      <c r="EA87" s="7">
        <v>2023</v>
      </c>
      <c r="EB87" s="7" t="s">
        <v>425</v>
      </c>
      <c r="EC87" s="7" t="s">
        <v>430</v>
      </c>
      <c r="ED87" s="7" t="str">
        <f>$ED$2</f>
        <v>3Q24</v>
      </c>
      <c r="EE87" s="6" t="str">
        <f>$EE$2</f>
        <v>4Q24</v>
      </c>
      <c r="EF87" s="6">
        <f>$EF$2</f>
        <v>2024</v>
      </c>
      <c r="EG87" s="7" t="str">
        <f>EG$2</f>
        <v>1Q25</v>
      </c>
      <c r="EH87" s="7" t="str">
        <f>EH$2</f>
        <v>2Q25</v>
      </c>
      <c r="EI87" s="7" t="str">
        <f>EI$2</f>
        <v>3Q25</v>
      </c>
    </row>
    <row r="88" spans="1:139" ht="15" thickTop="1" x14ac:dyDescent="0.3">
      <c r="A88" s="1" t="s">
        <v>2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27">
        <v>4.05178992</v>
      </c>
      <c r="BK88" s="27">
        <v>3.9387309799999999</v>
      </c>
      <c r="BL88" s="27">
        <v>4.096583449999998</v>
      </c>
      <c r="BM88" s="27">
        <v>4.1417651100000024</v>
      </c>
      <c r="BN88" s="27">
        <f>SUM(BJ88:BM88)</f>
        <v>16.228869459999999</v>
      </c>
      <c r="BO88" s="27">
        <v>4.4244232300000004</v>
      </c>
      <c r="BP88" s="27">
        <v>3.9094601399999984</v>
      </c>
      <c r="BQ88" s="27">
        <v>4.2387794600000017</v>
      </c>
      <c r="BR88" s="27">
        <v>4.5383658399999991</v>
      </c>
      <c r="BS88" s="27">
        <f>SUM(BO88:BR88)</f>
        <v>17.11102867</v>
      </c>
      <c r="BT88" s="27">
        <v>4.4014659899999993</v>
      </c>
      <c r="BU88" s="27">
        <v>4.4757045100000008</v>
      </c>
      <c r="BV88" s="27">
        <v>4.5796368899999988</v>
      </c>
      <c r="BW88" s="27">
        <v>4.8576499900000014</v>
      </c>
      <c r="BX88" s="27">
        <f>SUM(BT88:BW88)</f>
        <v>18.31445738</v>
      </c>
      <c r="BY88" s="27">
        <v>4.7084733399999994</v>
      </c>
      <c r="BZ88" s="27">
        <v>4.6336961300000006</v>
      </c>
      <c r="CA88" s="27">
        <v>4.8506523099999992</v>
      </c>
      <c r="CB88" s="27">
        <v>5.2046453800000023</v>
      </c>
      <c r="CC88" s="27">
        <f>SUM(BY88:CB88)</f>
        <v>19.397467160000001</v>
      </c>
      <c r="CD88" s="27">
        <v>5.0264875699999996</v>
      </c>
      <c r="CE88" s="27">
        <v>5.2600165599999995</v>
      </c>
      <c r="CF88" s="27">
        <v>5.0633241699999987</v>
      </c>
      <c r="CG88" s="27">
        <v>5.2306374</v>
      </c>
      <c r="CH88" s="27">
        <f>SUM(CD88:CG88)</f>
        <v>20.580465699999998</v>
      </c>
      <c r="CI88" s="27">
        <v>5.1549619</v>
      </c>
      <c r="CJ88" s="27">
        <v>5.1919959599999999</v>
      </c>
      <c r="CK88" s="27">
        <v>5.2436610600000009</v>
      </c>
      <c r="CL88" s="27">
        <v>5.3264700699999992</v>
      </c>
      <c r="CM88" s="27">
        <f>SUM(CI88:CL88)</f>
        <v>20.91708899</v>
      </c>
      <c r="CN88" s="27">
        <v>4.0648362799999997</v>
      </c>
      <c r="CO88" s="27">
        <v>5.1690659100000005</v>
      </c>
      <c r="CP88" s="27">
        <v>5.1434158399999994</v>
      </c>
      <c r="CQ88" s="27">
        <f>17.784-SUM(CN88:CP88)</f>
        <v>3.4066819699999993</v>
      </c>
      <c r="CR88" s="27">
        <f>SUM(CN88:CQ88)</f>
        <v>17.783999999999999</v>
      </c>
      <c r="CS88" s="27">
        <v>5.0090335000000001</v>
      </c>
      <c r="CT88" s="27">
        <v>5.0457418199999999</v>
      </c>
      <c r="CU88" s="27">
        <v>5.0500336500000014</v>
      </c>
      <c r="CV88" s="27">
        <v>5.041655839999998</v>
      </c>
      <c r="CW88" s="27">
        <f t="shared" ref="CW88:CW99" si="89">SUM(CS88:CV88)</f>
        <v>20.146464810000001</v>
      </c>
      <c r="CX88" s="27">
        <v>4.9859999999999998</v>
      </c>
      <c r="CY88" s="27">
        <v>5.0119999999999996</v>
      </c>
      <c r="CZ88" s="27">
        <v>4.8600000000000003</v>
      </c>
      <c r="DA88" s="27">
        <v>4.8630000000000004</v>
      </c>
      <c r="DB88" s="27">
        <f>SUM(CX88:DA88)</f>
        <v>19.721</v>
      </c>
      <c r="DC88" s="27">
        <v>4.9029999999999996</v>
      </c>
      <c r="DD88" s="27">
        <v>4.8689999999999998</v>
      </c>
      <c r="DE88" s="27">
        <v>4.8339999999999996</v>
      </c>
      <c r="DF88" s="27">
        <v>4.8680000000000003</v>
      </c>
      <c r="DG88" s="27">
        <f>SUM(DC88:DF88)</f>
        <v>19.473999999999997</v>
      </c>
      <c r="DH88" s="27">
        <v>5.415</v>
      </c>
      <c r="DI88" s="27">
        <v>5.4009999999999998</v>
      </c>
      <c r="DJ88" s="27">
        <v>5.431</v>
      </c>
      <c r="DK88" s="27">
        <v>5.6150000000000002</v>
      </c>
      <c r="DL88" s="27">
        <f>SUM(DH88:DK88)</f>
        <v>21.862000000000002</v>
      </c>
      <c r="DM88" s="27">
        <v>6.0010000000000003</v>
      </c>
      <c r="DN88" s="27">
        <v>6.05</v>
      </c>
      <c r="DO88" s="27">
        <v>6.069</v>
      </c>
      <c r="DP88" s="27">
        <v>6.7389999999999999</v>
      </c>
      <c r="DQ88" s="27">
        <f>SUM(DM88:DP88)</f>
        <v>24.859000000000002</v>
      </c>
      <c r="DR88" s="27">
        <v>2.633</v>
      </c>
      <c r="DS88" s="27">
        <v>2.1709999999999998</v>
      </c>
      <c r="DT88" s="27">
        <v>2.222</v>
      </c>
      <c r="DU88" s="27">
        <f>-SUM(DR88:DT88)</f>
        <v>-7.0259999999999998</v>
      </c>
      <c r="DV88" s="27">
        <f>SUM(DR88:DU88)</f>
        <v>0</v>
      </c>
      <c r="DW88" s="27">
        <v>0</v>
      </c>
      <c r="DX88" s="27">
        <v>0</v>
      </c>
      <c r="DY88" s="27">
        <v>0</v>
      </c>
      <c r="DZ88" s="27">
        <v>0</v>
      </c>
      <c r="EA88" s="27">
        <f>SUM(DW88:DZ88)</f>
        <v>0</v>
      </c>
      <c r="EB88" s="27">
        <v>0</v>
      </c>
      <c r="EC88" s="27">
        <v>0</v>
      </c>
      <c r="ED88" s="27">
        <v>0</v>
      </c>
      <c r="EE88" s="27">
        <v>0</v>
      </c>
      <c r="EF88" s="27">
        <f>SUM(EB88:EE88)</f>
        <v>0</v>
      </c>
      <c r="EG88" s="27">
        <v>0</v>
      </c>
      <c r="EH88" s="27">
        <v>0</v>
      </c>
      <c r="EI88" s="27">
        <v>0</v>
      </c>
    </row>
    <row r="89" spans="1:139" ht="15" thickBot="1" x14ac:dyDescent="0.35">
      <c r="A89" s="2" t="s">
        <v>454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28">
        <v>2.1231788200000001</v>
      </c>
      <c r="BK89" s="28">
        <v>2.0725188500000002</v>
      </c>
      <c r="BL89" s="28">
        <v>2.0621215899999998</v>
      </c>
      <c r="BM89" s="28">
        <v>2.081089159999999</v>
      </c>
      <c r="BN89" s="28">
        <f t="shared" ref="BN89:BN110" si="90">SUM(BJ89:BM89)</f>
        <v>8.3389084199999992</v>
      </c>
      <c r="BO89" s="28">
        <v>2.34075167</v>
      </c>
      <c r="BP89" s="28">
        <v>2.1920474199999993</v>
      </c>
      <c r="BQ89" s="28">
        <v>2.3717472200000009</v>
      </c>
      <c r="BR89" s="28">
        <v>2.3737807199999987</v>
      </c>
      <c r="BS89" s="28">
        <f t="shared" ref="BS89:BS110" si="91">SUM(BO89:BR89)</f>
        <v>9.2783270299999998</v>
      </c>
      <c r="BT89" s="28">
        <v>4.0964248999999997</v>
      </c>
      <c r="BU89" s="28">
        <v>2.36872069</v>
      </c>
      <c r="BV89" s="28">
        <v>2.5704535400000017</v>
      </c>
      <c r="BW89" s="28">
        <v>2.6363554099999993</v>
      </c>
      <c r="BX89" s="28">
        <f t="shared" ref="BX89:BX110" si="92">SUM(BT89:BW89)</f>
        <v>11.671954540000002</v>
      </c>
      <c r="BY89" s="28">
        <v>2.3959229300000002</v>
      </c>
      <c r="BZ89" s="28">
        <v>2.52576277</v>
      </c>
      <c r="CA89" s="28">
        <v>2.7322226000000001</v>
      </c>
      <c r="CB89" s="28">
        <v>2.6498706099999998</v>
      </c>
      <c r="CC89" s="28">
        <f t="shared" ref="CC89:CC110" si="93">SUM(BY89:CB89)</f>
        <v>10.30377891</v>
      </c>
      <c r="CD89" s="28">
        <v>2.8554129600000002</v>
      </c>
      <c r="CE89" s="28">
        <v>3.08886482</v>
      </c>
      <c r="CF89" s="28">
        <v>3.6985923199999999</v>
      </c>
      <c r="CG89" s="28">
        <v>3.3658598100000003</v>
      </c>
      <c r="CH89" s="28">
        <f t="shared" ref="CH89:CH110" si="94">SUM(CD89:CG89)</f>
        <v>13.00872991</v>
      </c>
      <c r="CI89" s="28">
        <v>2.0355373500000002</v>
      </c>
      <c r="CJ89" s="28">
        <v>2.0930762399999994</v>
      </c>
      <c r="CK89" s="28">
        <v>4.6617049899999996</v>
      </c>
      <c r="CL89" s="28">
        <v>5.7996153500000007</v>
      </c>
      <c r="CM89" s="28">
        <f t="shared" ref="CM89:CM110" si="95">SUM(CI89:CL89)</f>
        <v>14.589933930000001</v>
      </c>
      <c r="CN89" s="28">
        <v>5.0309159599999997</v>
      </c>
      <c r="CO89" s="28">
        <v>5.2219750499999993</v>
      </c>
      <c r="CP89" s="28">
        <v>5.3635281800000012</v>
      </c>
      <c r="CQ89" s="28">
        <f>19.401-SUM(CN89:CP89)</f>
        <v>3.7845808099999996</v>
      </c>
      <c r="CR89" s="28">
        <f t="shared" ref="CR89:CR110" si="96">SUM(CN89:CQ89)</f>
        <v>19.401</v>
      </c>
      <c r="CS89" s="28">
        <v>5.3888745199999999</v>
      </c>
      <c r="CT89" s="28">
        <v>5.7566482500000005</v>
      </c>
      <c r="CU89" s="28">
        <v>5.601209169999998</v>
      </c>
      <c r="CV89" s="28">
        <v>5.4539135999999999</v>
      </c>
      <c r="CW89" s="28">
        <f t="shared" si="89"/>
        <v>22.200645539999996</v>
      </c>
      <c r="CX89" s="28">
        <v>5.5030000000000001</v>
      </c>
      <c r="CY89" s="28">
        <v>5.4660000000000002</v>
      </c>
      <c r="CZ89" s="28">
        <v>5.1310000000000002</v>
      </c>
      <c r="DA89" s="28">
        <v>5.3150000000000004</v>
      </c>
      <c r="DB89" s="28">
        <f t="shared" ref="DB89:DB110" si="97">SUM(CX89:DA89)</f>
        <v>21.415000000000003</v>
      </c>
      <c r="DC89" s="28">
        <v>5.1760000000000002</v>
      </c>
      <c r="DD89" s="28">
        <v>5.2229999999999999</v>
      </c>
      <c r="DE89" s="28">
        <v>5.1920000000000002</v>
      </c>
      <c r="DF89" s="28">
        <v>5.1820000000000004</v>
      </c>
      <c r="DG89" s="28">
        <f t="shared" ref="DG89:DG110" si="98">SUM(DC89:DF89)</f>
        <v>20.773000000000003</v>
      </c>
      <c r="DH89" s="28">
        <v>5.6849999999999996</v>
      </c>
      <c r="DI89" s="28">
        <v>5.577</v>
      </c>
      <c r="DJ89" s="28">
        <v>5.6760000000000002</v>
      </c>
      <c r="DK89" s="28">
        <v>5.84</v>
      </c>
      <c r="DL89" s="28">
        <f t="shared" ref="DL89:DL110" si="99">SUM(DH89:DK89)</f>
        <v>22.778000000000002</v>
      </c>
      <c r="DM89" s="28">
        <v>6.24</v>
      </c>
      <c r="DN89" s="28">
        <v>6.4829999999999997</v>
      </c>
      <c r="DO89" s="28">
        <v>6.3090000000000002</v>
      </c>
      <c r="DP89" s="28">
        <v>6.2439999999999998</v>
      </c>
      <c r="DQ89" s="28">
        <f t="shared" ref="DQ89:DQ110" si="100">SUM(DM89:DP89)</f>
        <v>25.276</v>
      </c>
      <c r="DR89" s="28">
        <v>7.0419999999999998</v>
      </c>
      <c r="DS89" s="28">
        <v>7.8220000000000001</v>
      </c>
      <c r="DT89" s="28">
        <v>7.3220000000000001</v>
      </c>
      <c r="DU89" s="28">
        <v>3.6040000000000001</v>
      </c>
      <c r="DV89" s="28">
        <f t="shared" ref="DV89:DV110" si="101">SUM(DR89:DU89)</f>
        <v>25.79</v>
      </c>
      <c r="DW89" s="28">
        <v>6.6769999999999996</v>
      </c>
      <c r="DX89" s="28">
        <v>6.7329999999999997</v>
      </c>
      <c r="DY89" s="28">
        <f>1.67825471+6.65491669</f>
        <v>8.3331714000000012</v>
      </c>
      <c r="DZ89" s="28">
        <f>2.01217162+3.25240286</f>
        <v>5.2645744800000003</v>
      </c>
      <c r="EA89" s="28">
        <f t="shared" ref="EA89:EA110" si="102">SUM(DW89:DZ89)</f>
        <v>27.007745880000002</v>
      </c>
      <c r="EB89" s="28">
        <f>(1924279.6+8242280.49)/1000000</f>
        <v>10.166560089999999</v>
      </c>
      <c r="EC89" s="28">
        <v>7.3299373499999998</v>
      </c>
      <c r="ED89" s="28">
        <v>3.2549999999999999</v>
      </c>
      <c r="EE89" s="28">
        <v>2.8759321299999998</v>
      </c>
      <c r="EF89" s="28">
        <f>SUM(EB89:EE89)</f>
        <v>23.627429569999997</v>
      </c>
      <c r="EG89" s="28">
        <v>7.9409032399999999</v>
      </c>
      <c r="EH89" s="28">
        <v>7.5136125499999986</v>
      </c>
      <c r="EI89" s="28">
        <v>8.0760138000000001</v>
      </c>
    </row>
    <row r="90" spans="1:139" ht="15" thickTop="1" x14ac:dyDescent="0.3">
      <c r="A90" s="1" t="s">
        <v>442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27">
        <v>9.8154127199999994</v>
      </c>
      <c r="BK90" s="27">
        <v>9.780539580000001</v>
      </c>
      <c r="BL90" s="27">
        <v>9.8509571900000008</v>
      </c>
      <c r="BM90" s="27">
        <v>9.9806438099999948</v>
      </c>
      <c r="BN90" s="27">
        <f t="shared" si="90"/>
        <v>39.4275533</v>
      </c>
      <c r="BO90" s="27">
        <v>11.215446270000001</v>
      </c>
      <c r="BP90" s="27">
        <v>11.228994749999998</v>
      </c>
      <c r="BQ90" s="27">
        <v>11.260748290000002</v>
      </c>
      <c r="BR90" s="27">
        <v>11.280466629999992</v>
      </c>
      <c r="BS90" s="27">
        <f t="shared" si="91"/>
        <v>44.985655939999994</v>
      </c>
      <c r="BT90" s="27">
        <v>12.233382970000003</v>
      </c>
      <c r="BU90" s="27">
        <v>12.206352719999996</v>
      </c>
      <c r="BV90" s="27">
        <v>12.149130489999996</v>
      </c>
      <c r="BW90" s="27">
        <v>12.39133788</v>
      </c>
      <c r="BX90" s="27">
        <f t="shared" si="92"/>
        <v>48.980204059999998</v>
      </c>
      <c r="BY90" s="27">
        <v>13.02899324</v>
      </c>
      <c r="BZ90" s="27">
        <v>13.39751761</v>
      </c>
      <c r="CA90" s="27">
        <v>12.749920969999996</v>
      </c>
      <c r="CB90" s="27">
        <v>13.629501000000003</v>
      </c>
      <c r="CC90" s="27">
        <f t="shared" si="93"/>
        <v>52.805932820000002</v>
      </c>
      <c r="CD90" s="27">
        <v>15.319603349999998</v>
      </c>
      <c r="CE90" s="27">
        <v>15.818986450000001</v>
      </c>
      <c r="CF90" s="27">
        <v>12.234969430000007</v>
      </c>
      <c r="CG90" s="27">
        <v>15.724076529999998</v>
      </c>
      <c r="CH90" s="27">
        <f t="shared" si="94"/>
        <v>59.097635760000003</v>
      </c>
      <c r="CI90" s="27">
        <v>16.211931100000001</v>
      </c>
      <c r="CJ90" s="27">
        <v>16.565566539999999</v>
      </c>
      <c r="CK90" s="27">
        <v>16.859229999999997</v>
      </c>
      <c r="CL90" s="27">
        <v>16.594020090000008</v>
      </c>
      <c r="CM90" s="27">
        <f t="shared" si="95"/>
        <v>66.230747730000004</v>
      </c>
      <c r="CN90" s="27">
        <v>12.03683468</v>
      </c>
      <c r="CO90" s="27">
        <v>16.352948529999999</v>
      </c>
      <c r="CP90" s="27">
        <v>16.394196099999995</v>
      </c>
      <c r="CQ90" s="27">
        <f>54.339-SUM(CN90:CP90)</f>
        <v>9.5550206900000063</v>
      </c>
      <c r="CR90" s="27">
        <f t="shared" si="96"/>
        <v>54.338999999999999</v>
      </c>
      <c r="CS90" s="27">
        <v>14.88681952</v>
      </c>
      <c r="CT90" s="27">
        <v>15.713612489999999</v>
      </c>
      <c r="CU90" s="27">
        <v>15.411482569999997</v>
      </c>
      <c r="CV90" s="27">
        <v>15.463467230000012</v>
      </c>
      <c r="CW90" s="27">
        <f t="shared" si="89"/>
        <v>61.475381810000009</v>
      </c>
      <c r="CX90" s="27">
        <v>15.36</v>
      </c>
      <c r="CY90" s="27">
        <v>15.066000000000001</v>
      </c>
      <c r="CZ90" s="27">
        <v>14.718999999999999</v>
      </c>
      <c r="DA90" s="27">
        <v>14.378</v>
      </c>
      <c r="DB90" s="27">
        <f t="shared" si="97"/>
        <v>59.523000000000003</v>
      </c>
      <c r="DC90" s="27">
        <v>16.388999999999999</v>
      </c>
      <c r="DD90" s="27">
        <v>12.504</v>
      </c>
      <c r="DE90" s="27">
        <v>14.475</v>
      </c>
      <c r="DF90" s="27">
        <v>14.409000000000001</v>
      </c>
      <c r="DG90" s="27">
        <f t="shared" si="98"/>
        <v>57.777000000000001</v>
      </c>
      <c r="DH90" s="27">
        <v>15.137</v>
      </c>
      <c r="DI90" s="27">
        <v>14.855</v>
      </c>
      <c r="DJ90" s="27">
        <v>14.882999999999999</v>
      </c>
      <c r="DK90" s="27">
        <v>15.481</v>
      </c>
      <c r="DL90" s="27">
        <f t="shared" si="99"/>
        <v>60.356000000000002</v>
      </c>
      <c r="DM90" s="27">
        <v>15.573</v>
      </c>
      <c r="DN90" s="27">
        <v>15.629</v>
      </c>
      <c r="DO90" s="27">
        <v>15.567</v>
      </c>
      <c r="DP90" s="27">
        <v>15.551</v>
      </c>
      <c r="DQ90" s="27">
        <f t="shared" si="100"/>
        <v>62.32</v>
      </c>
      <c r="DR90" s="27">
        <v>18.457999999999998</v>
      </c>
      <c r="DS90" s="27">
        <v>23.007999999999999</v>
      </c>
      <c r="DT90" s="27">
        <v>18.446000000000002</v>
      </c>
      <c r="DU90" s="27">
        <v>17.651</v>
      </c>
      <c r="DV90" s="27">
        <f t="shared" si="101"/>
        <v>77.562999999999988</v>
      </c>
      <c r="DW90" s="27">
        <v>19.341000000000001</v>
      </c>
      <c r="DX90" s="27">
        <v>19.297000000000001</v>
      </c>
      <c r="DY90" s="27">
        <f>3.4411886+16.30702944</f>
        <v>19.748218040000001</v>
      </c>
      <c r="DZ90" s="27">
        <f>3.81232269+16.30702942</f>
        <v>20.119352109999998</v>
      </c>
      <c r="EA90" s="27">
        <f t="shared" si="102"/>
        <v>78.505570149999997</v>
      </c>
      <c r="EB90" s="27">
        <f>(3250542.01+22337623.95)/1000000</f>
        <v>25.588165960000001</v>
      </c>
      <c r="EC90" s="27">
        <v>25.819867179999999</v>
      </c>
      <c r="ED90" s="27">
        <v>26.545999999999999</v>
      </c>
      <c r="EE90" s="27">
        <v>25.78910999</v>
      </c>
      <c r="EF90" s="27">
        <f t="shared" ref="EF90:EF110" si="103">SUM(EB90:EE90)</f>
        <v>103.74314313000001</v>
      </c>
      <c r="EG90" s="27">
        <v>17.12464361</v>
      </c>
      <c r="EH90" s="27">
        <v>22.546053880000002</v>
      </c>
      <c r="EI90" s="27">
        <v>22.815286089999997</v>
      </c>
    </row>
    <row r="91" spans="1:139" ht="15" thickBot="1" x14ac:dyDescent="0.35">
      <c r="A91" s="2" t="s">
        <v>3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28">
        <v>4.3780135700000002</v>
      </c>
      <c r="BK91" s="28">
        <v>4.37785227</v>
      </c>
      <c r="BL91" s="28">
        <v>4.5270552500000001</v>
      </c>
      <c r="BM91" s="28">
        <v>4.5126682999999996</v>
      </c>
      <c r="BN91" s="28">
        <f t="shared" si="90"/>
        <v>17.79558939</v>
      </c>
      <c r="BO91" s="28">
        <v>4.7758745899999999</v>
      </c>
      <c r="BP91" s="28">
        <v>4.4567056200000001</v>
      </c>
      <c r="BQ91" s="28">
        <v>4.5636243700000003</v>
      </c>
      <c r="BR91" s="28">
        <v>4.597238739999999</v>
      </c>
      <c r="BS91" s="28">
        <f t="shared" si="91"/>
        <v>18.393443319999999</v>
      </c>
      <c r="BT91" s="28">
        <v>7.3716578300000002</v>
      </c>
      <c r="BU91" s="28">
        <v>2.5994091599999987</v>
      </c>
      <c r="BV91" s="28">
        <v>4.9096493899999984</v>
      </c>
      <c r="BW91" s="28">
        <v>5.9244139900000032</v>
      </c>
      <c r="BX91" s="28">
        <f t="shared" si="92"/>
        <v>20.805130370000001</v>
      </c>
      <c r="BY91" s="28">
        <v>5.1701548000000006</v>
      </c>
      <c r="BZ91" s="28">
        <v>5.2354771800000002</v>
      </c>
      <c r="CA91" s="28">
        <v>5.2918841899999975</v>
      </c>
      <c r="CB91" s="28">
        <v>5.7719372300000007</v>
      </c>
      <c r="CC91" s="28">
        <f t="shared" si="93"/>
        <v>21.469453399999999</v>
      </c>
      <c r="CD91" s="28">
        <v>5.5971582800000004</v>
      </c>
      <c r="CE91" s="28">
        <v>8.0657122799999978</v>
      </c>
      <c r="CF91" s="28">
        <v>6.1335934999999999</v>
      </c>
      <c r="CG91" s="28">
        <v>6.7911562900000035</v>
      </c>
      <c r="CH91" s="28">
        <f t="shared" si="94"/>
        <v>26.587620350000002</v>
      </c>
      <c r="CI91" s="28">
        <v>6.506890610000001</v>
      </c>
      <c r="CJ91" s="28">
        <v>6.5601843899999999</v>
      </c>
      <c r="CK91" s="28">
        <v>6.3547941199999958</v>
      </c>
      <c r="CL91" s="28">
        <v>6.3221102400000095</v>
      </c>
      <c r="CM91" s="28">
        <f t="shared" si="95"/>
        <v>25.743979360000004</v>
      </c>
      <c r="CN91" s="28">
        <v>4.4908959299999998</v>
      </c>
      <c r="CO91" s="28">
        <v>5.7806882100000001</v>
      </c>
      <c r="CP91" s="28">
        <v>6.2055346099999982</v>
      </c>
      <c r="CQ91" s="28">
        <f>20.464-SUM(CN91:CP91)</f>
        <v>3.9868812499999997</v>
      </c>
      <c r="CR91" s="28">
        <f t="shared" si="96"/>
        <v>20.463999999999999</v>
      </c>
      <c r="CS91" s="28">
        <v>5.8043369</v>
      </c>
      <c r="CT91" s="28">
        <v>5.9273754699999994</v>
      </c>
      <c r="CU91" s="28">
        <v>5.7713221299999997</v>
      </c>
      <c r="CV91" s="28">
        <v>5.9504459399999998</v>
      </c>
      <c r="CW91" s="28">
        <f t="shared" si="89"/>
        <v>23.45348044</v>
      </c>
      <c r="CX91" s="28">
        <v>5.6619999999999999</v>
      </c>
      <c r="CY91" s="28">
        <v>5.6740000000000004</v>
      </c>
      <c r="CZ91" s="28">
        <v>5.5549999999999997</v>
      </c>
      <c r="DA91" s="28">
        <v>5.5119999999999996</v>
      </c>
      <c r="DB91" s="28">
        <f t="shared" si="97"/>
        <v>22.402999999999999</v>
      </c>
      <c r="DC91" s="28">
        <v>5.6239999999999997</v>
      </c>
      <c r="DD91" s="28">
        <v>5.5149999999999997</v>
      </c>
      <c r="DE91" s="28">
        <v>5.56</v>
      </c>
      <c r="DF91" s="28">
        <v>5.5830000000000002</v>
      </c>
      <c r="DG91" s="28">
        <f t="shared" si="98"/>
        <v>22.281999999999996</v>
      </c>
      <c r="DH91" s="28">
        <v>6.1239999999999997</v>
      </c>
      <c r="DI91" s="28">
        <v>5.952</v>
      </c>
      <c r="DJ91" s="28">
        <v>6.4139999999999997</v>
      </c>
      <c r="DK91" s="28">
        <v>6.2430000000000003</v>
      </c>
      <c r="DL91" s="28">
        <f t="shared" si="99"/>
        <v>24.733000000000004</v>
      </c>
      <c r="DM91" s="28">
        <v>6.89</v>
      </c>
      <c r="DN91" s="28">
        <v>6.8129999999999997</v>
      </c>
      <c r="DO91" s="28">
        <v>6.8390000000000004</v>
      </c>
      <c r="DP91" s="28">
        <v>7.798</v>
      </c>
      <c r="DQ91" s="28">
        <f t="shared" si="100"/>
        <v>28.340000000000003</v>
      </c>
      <c r="DR91" s="28">
        <v>0.21099999999999999</v>
      </c>
      <c r="DS91" s="28">
        <v>7.0000000000000001E-3</v>
      </c>
      <c r="DT91" s="28">
        <v>2.5000000000000001E-2</v>
      </c>
      <c r="DU91" s="28">
        <f>-SUM(DR91:DT91)</f>
        <v>-0.24299999999999999</v>
      </c>
      <c r="DV91" s="28">
        <f t="shared" si="101"/>
        <v>0</v>
      </c>
      <c r="DW91" s="28">
        <v>0</v>
      </c>
      <c r="DX91" s="28">
        <v>0</v>
      </c>
      <c r="DY91" s="28">
        <v>0</v>
      </c>
      <c r="DZ91" s="28">
        <v>0</v>
      </c>
      <c r="EA91" s="28">
        <f t="shared" si="102"/>
        <v>0</v>
      </c>
      <c r="EB91" s="28">
        <v>0</v>
      </c>
      <c r="EC91" s="28">
        <v>0</v>
      </c>
      <c r="ED91" s="28">
        <v>0</v>
      </c>
      <c r="EE91" s="28">
        <v>0</v>
      </c>
      <c r="EF91" s="28">
        <f t="shared" si="103"/>
        <v>0</v>
      </c>
      <c r="EG91" s="28">
        <v>0</v>
      </c>
      <c r="EH91" s="28">
        <v>0</v>
      </c>
      <c r="EI91" s="28">
        <v>0</v>
      </c>
    </row>
    <row r="92" spans="1:139" ht="15" thickTop="1" x14ac:dyDescent="0.3">
      <c r="A92" s="1" t="s">
        <v>443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27">
        <v>2.9697625599999999</v>
      </c>
      <c r="BK92" s="27">
        <v>2.5627854299999995</v>
      </c>
      <c r="BL92" s="27">
        <v>2.6493087500000008</v>
      </c>
      <c r="BM92" s="27">
        <v>3.1128151099999992</v>
      </c>
      <c r="BN92" s="27">
        <f t="shared" si="90"/>
        <v>11.29467185</v>
      </c>
      <c r="BO92" s="27">
        <v>3.35523996</v>
      </c>
      <c r="BP92" s="27">
        <v>2.9639678099999993</v>
      </c>
      <c r="BQ92" s="27">
        <v>3.0917157200000003</v>
      </c>
      <c r="BR92" s="27">
        <v>3.2258706499999978</v>
      </c>
      <c r="BS92" s="27">
        <f t="shared" si="91"/>
        <v>12.636794139999997</v>
      </c>
      <c r="BT92" s="27">
        <v>3.25422447</v>
      </c>
      <c r="BU92" s="27">
        <v>2.9788854800000002</v>
      </c>
      <c r="BV92" s="27">
        <v>3.2034326399999977</v>
      </c>
      <c r="BW92" s="27">
        <v>3.1635187900000017</v>
      </c>
      <c r="BX92" s="27">
        <f t="shared" si="92"/>
        <v>12.60006138</v>
      </c>
      <c r="BY92" s="27">
        <v>3.2813323699999999</v>
      </c>
      <c r="BZ92" s="27">
        <v>3.1752507400000005</v>
      </c>
      <c r="CA92" s="27">
        <v>3.2569075599999979</v>
      </c>
      <c r="CB92" s="27">
        <v>3.3186893100000012</v>
      </c>
      <c r="CC92" s="27">
        <f t="shared" si="93"/>
        <v>13.03217998</v>
      </c>
      <c r="CD92" s="27">
        <v>4.7394529500000004</v>
      </c>
      <c r="CE92" s="27">
        <v>10.258612609999998</v>
      </c>
      <c r="CF92" s="27">
        <v>8.7387271400000035</v>
      </c>
      <c r="CG92" s="27">
        <v>8.1364174699999996</v>
      </c>
      <c r="CH92" s="27">
        <f t="shared" si="94"/>
        <v>31.87321017</v>
      </c>
      <c r="CI92" s="27">
        <v>5.9075634299999997</v>
      </c>
      <c r="CJ92" s="27">
        <v>10.892622449999998</v>
      </c>
      <c r="CK92" s="27">
        <v>8.451390650000004</v>
      </c>
      <c r="CL92" s="27">
        <v>8.5390995299999943</v>
      </c>
      <c r="CM92" s="27">
        <f t="shared" si="95"/>
        <v>33.790676059999996</v>
      </c>
      <c r="CN92" s="27">
        <v>5.4333810699999994</v>
      </c>
      <c r="CO92" s="27">
        <v>7.0598873299999987</v>
      </c>
      <c r="CP92" s="27">
        <v>7.111597040000003</v>
      </c>
      <c r="CQ92" s="27">
        <f>23.742-SUM(CN92:CP92)</f>
        <v>4.1371345599999998</v>
      </c>
      <c r="CR92" s="27">
        <f t="shared" si="96"/>
        <v>23.742000000000001</v>
      </c>
      <c r="CS92" s="27">
        <v>6.9063351199999996</v>
      </c>
      <c r="CT92" s="27">
        <v>7.9039343199999994</v>
      </c>
      <c r="CU92" s="27">
        <v>5.9626166799999982</v>
      </c>
      <c r="CV92" s="27">
        <v>7.0326930600000033</v>
      </c>
      <c r="CW92" s="27">
        <f t="shared" si="89"/>
        <v>27.805579179999999</v>
      </c>
      <c r="CX92" s="27">
        <v>6.8179999999999996</v>
      </c>
      <c r="CY92" s="27">
        <v>6.7850000000000001</v>
      </c>
      <c r="CZ92" s="27">
        <v>6.617</v>
      </c>
      <c r="DA92" s="27">
        <v>6.6619999999999999</v>
      </c>
      <c r="DB92" s="27">
        <f t="shared" si="97"/>
        <v>26.881999999999998</v>
      </c>
      <c r="DC92" s="27">
        <v>6.7030000000000003</v>
      </c>
      <c r="DD92" s="27">
        <v>6.5990000000000002</v>
      </c>
      <c r="DE92" s="27">
        <v>6.758</v>
      </c>
      <c r="DF92" s="27">
        <v>6.9009999999999998</v>
      </c>
      <c r="DG92" s="27">
        <f t="shared" si="98"/>
        <v>26.960999999999999</v>
      </c>
      <c r="DH92" s="27">
        <v>7.7140000000000004</v>
      </c>
      <c r="DI92" s="27">
        <v>7.6260000000000003</v>
      </c>
      <c r="DJ92" s="27">
        <v>7.8460000000000001</v>
      </c>
      <c r="DK92" s="27">
        <v>7.9950000000000001</v>
      </c>
      <c r="DL92" s="27">
        <f t="shared" si="99"/>
        <v>31.181000000000001</v>
      </c>
      <c r="DM92" s="27">
        <v>8.5990000000000002</v>
      </c>
      <c r="DN92" s="27">
        <v>8.734</v>
      </c>
      <c r="DO92" s="27">
        <v>8.6440000000000001</v>
      </c>
      <c r="DP92" s="27">
        <v>8.4350000000000005</v>
      </c>
      <c r="DQ92" s="27">
        <f t="shared" si="100"/>
        <v>34.411999999999999</v>
      </c>
      <c r="DR92" s="27">
        <v>9.68</v>
      </c>
      <c r="DS92" s="27">
        <v>10.090999999999999</v>
      </c>
      <c r="DT92" s="27">
        <v>9.9939999999999998</v>
      </c>
      <c r="DU92" s="27">
        <v>9.3510000000000009</v>
      </c>
      <c r="DV92" s="27">
        <f t="shared" si="101"/>
        <v>39.116</v>
      </c>
      <c r="DW92" s="27">
        <v>10.27</v>
      </c>
      <c r="DX92" s="27">
        <v>10.468</v>
      </c>
      <c r="DY92" s="27">
        <f>3.00588224+10.45847107</f>
        <v>13.46435331</v>
      </c>
      <c r="DZ92" s="27">
        <f>3.11831951+5.11128287</f>
        <v>8.2296023799999993</v>
      </c>
      <c r="EA92" s="27">
        <f t="shared" si="102"/>
        <v>42.431955689999995</v>
      </c>
      <c r="EB92" s="27">
        <f>(2462389.5+11399727.95)/1000000</f>
        <v>13.86211745</v>
      </c>
      <c r="EC92" s="27">
        <v>12.462826730000002</v>
      </c>
      <c r="ED92" s="27">
        <v>14.157</v>
      </c>
      <c r="EE92" s="27">
        <v>2.9379121100000014</v>
      </c>
      <c r="EF92" s="27">
        <f t="shared" si="103"/>
        <v>43.419856289999998</v>
      </c>
      <c r="EG92" s="27">
        <v>12.609083650000001</v>
      </c>
      <c r="EH92" s="27">
        <v>9.6733308399999984</v>
      </c>
      <c r="EI92" s="27">
        <v>9.9817940200000042</v>
      </c>
    </row>
    <row r="93" spans="1:139" ht="15" thickBot="1" x14ac:dyDescent="0.35">
      <c r="A93" s="2" t="s">
        <v>481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28">
        <v>0</v>
      </c>
      <c r="BK93" s="28">
        <v>0</v>
      </c>
      <c r="BL93" s="28">
        <v>0</v>
      </c>
      <c r="BM93" s="28">
        <v>0</v>
      </c>
      <c r="BN93" s="28">
        <f t="shared" si="90"/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f t="shared" si="91"/>
        <v>0</v>
      </c>
      <c r="BT93" s="28">
        <v>0</v>
      </c>
      <c r="BU93" s="28">
        <v>0</v>
      </c>
      <c r="BV93" s="28">
        <v>0.105</v>
      </c>
      <c r="BW93" s="28">
        <v>5.5990000000075146E-5</v>
      </c>
      <c r="BX93" s="28">
        <f t="shared" si="92"/>
        <v>0.10505599000000007</v>
      </c>
      <c r="BY93" s="28">
        <v>3.9489999999998415E-3</v>
      </c>
      <c r="BZ93" s="28">
        <v>2.1679044300000001</v>
      </c>
      <c r="CA93" s="28">
        <v>-0.87920012000000025</v>
      </c>
      <c r="CB93" s="28">
        <v>4.7418326500000001</v>
      </c>
      <c r="CC93" s="28">
        <f t="shared" si="93"/>
        <v>6.0344859599999996</v>
      </c>
      <c r="CD93" s="28">
        <v>6.6137817000000005</v>
      </c>
      <c r="CE93" s="28">
        <v>7.7947669200000007</v>
      </c>
      <c r="CF93" s="28">
        <v>6.5586168199999975</v>
      </c>
      <c r="CG93" s="28">
        <v>7.8482665400000009</v>
      </c>
      <c r="CH93" s="28">
        <f t="shared" si="94"/>
        <v>28.81543198</v>
      </c>
      <c r="CI93" s="28">
        <v>7.0083894899999999</v>
      </c>
      <c r="CJ93" s="28">
        <v>11.020902109999998</v>
      </c>
      <c r="CK93" s="28">
        <v>8.2436881800000066</v>
      </c>
      <c r="CL93" s="28">
        <v>8.3348863099999981</v>
      </c>
      <c r="CM93" s="28">
        <f t="shared" si="95"/>
        <v>34.607866090000002</v>
      </c>
      <c r="CN93" s="28">
        <v>8.3147375199999995</v>
      </c>
      <c r="CO93" s="28">
        <v>7.8269324600000001</v>
      </c>
      <c r="CP93" s="28">
        <v>8.462555029999999</v>
      </c>
      <c r="CQ93" s="28">
        <f>33.596-SUM(CN93:CP93)</f>
        <v>8.9917749899999961</v>
      </c>
      <c r="CR93" s="28">
        <f t="shared" si="96"/>
        <v>33.595999999999997</v>
      </c>
      <c r="CS93" s="28">
        <v>8.8459743599999996</v>
      </c>
      <c r="CT93" s="28">
        <v>8.8063270499999984</v>
      </c>
      <c r="CU93" s="28">
        <v>8.9786794300000032</v>
      </c>
      <c r="CV93" s="28">
        <v>8.5256689199999975</v>
      </c>
      <c r="CW93" s="28">
        <f t="shared" si="89"/>
        <v>35.156649760000001</v>
      </c>
      <c r="CX93" s="28">
        <v>9.0329999999999995</v>
      </c>
      <c r="CY93" s="28">
        <v>9.0269999999999992</v>
      </c>
      <c r="CZ93" s="28">
        <v>9.06</v>
      </c>
      <c r="DA93" s="28">
        <v>8.1669999999999998</v>
      </c>
      <c r="DB93" s="28">
        <f t="shared" si="97"/>
        <v>35.286999999999999</v>
      </c>
      <c r="DC93" s="28">
        <v>7.5490000000000004</v>
      </c>
      <c r="DD93" s="28">
        <v>7.58</v>
      </c>
      <c r="DE93" s="28">
        <v>7.7089999999999996</v>
      </c>
      <c r="DF93" s="28">
        <v>8.3330000000000002</v>
      </c>
      <c r="DG93" s="28">
        <f t="shared" si="98"/>
        <v>31.170999999999999</v>
      </c>
      <c r="DH93" s="28">
        <v>5.3920000000000003</v>
      </c>
      <c r="DI93" s="28">
        <v>4.3129999999999997</v>
      </c>
      <c r="DJ93" s="28">
        <v>4.851</v>
      </c>
      <c r="DK93" s="28">
        <v>5.2610000000000001</v>
      </c>
      <c r="DL93" s="28">
        <f t="shared" si="99"/>
        <v>19.817</v>
      </c>
      <c r="DM93" s="28">
        <v>5.0110000000000001</v>
      </c>
      <c r="DN93" s="28">
        <v>5.0289999999999999</v>
      </c>
      <c r="DO93" s="28">
        <v>7.6340000000000003</v>
      </c>
      <c r="DP93" s="28">
        <v>8.5350000000000001</v>
      </c>
      <c r="DQ93" s="28">
        <f t="shared" si="100"/>
        <v>26.209</v>
      </c>
      <c r="DR93" s="28">
        <v>7.1749999999999998</v>
      </c>
      <c r="DS93" s="28">
        <v>7.9909999999999997</v>
      </c>
      <c r="DT93" s="28">
        <v>0.48</v>
      </c>
      <c r="DU93" s="28">
        <v>5.843</v>
      </c>
      <c r="DV93" s="28">
        <f t="shared" si="101"/>
        <v>21.489000000000001</v>
      </c>
      <c r="DW93" s="28">
        <v>6.077</v>
      </c>
      <c r="DX93" s="28">
        <v>6.0289999999999999</v>
      </c>
      <c r="DY93" s="28">
        <f>6.25416874+1.59063106</f>
        <v>7.8447997999999997</v>
      </c>
      <c r="DZ93" s="28">
        <f>0.379198699999999+0.14637713</f>
        <v>0.52557582999999897</v>
      </c>
      <c r="EA93" s="28">
        <f t="shared" si="102"/>
        <v>20.476375629999996</v>
      </c>
      <c r="EB93" s="28">
        <f>(4403397.43+1881388.16)/1000000</f>
        <v>6.2847855900000003</v>
      </c>
      <c r="EC93" s="28">
        <v>6.5232265199999997</v>
      </c>
      <c r="ED93" s="28">
        <v>6.2089999999999996</v>
      </c>
      <c r="EE93" s="28">
        <v>6.000396590000002</v>
      </c>
      <c r="EF93" s="28">
        <f t="shared" si="103"/>
        <v>25.017408700000001</v>
      </c>
      <c r="EG93" s="28">
        <v>6.6565068299999997</v>
      </c>
      <c r="EH93" s="28">
        <v>7.1135596899999998</v>
      </c>
      <c r="EI93" s="28">
        <v>7.9460113500000009</v>
      </c>
    </row>
    <row r="94" spans="1:139" ht="15" thickTop="1" x14ac:dyDescent="0.3">
      <c r="A94" s="1" t="s">
        <v>445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27">
        <v>0</v>
      </c>
      <c r="BK94" s="27">
        <v>0</v>
      </c>
      <c r="BL94" s="27">
        <v>0</v>
      </c>
      <c r="BM94" s="27">
        <v>0</v>
      </c>
      <c r="BN94" s="27">
        <f t="shared" si="90"/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f t="shared" si="91"/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f t="shared" si="92"/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f t="shared" si="93"/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f t="shared" si="94"/>
        <v>0</v>
      </c>
      <c r="CI94" s="27">
        <v>0</v>
      </c>
      <c r="CJ94" s="27">
        <v>0.41705112999999999</v>
      </c>
      <c r="CK94" s="27">
        <v>2.9649426000000001</v>
      </c>
      <c r="CL94" s="27">
        <v>2.5643422299999998</v>
      </c>
      <c r="CM94" s="27">
        <f t="shared" si="95"/>
        <v>5.9463359599999999</v>
      </c>
      <c r="CN94" s="27">
        <v>1.7092942099999999</v>
      </c>
      <c r="CO94" s="27">
        <v>1.7675545200000005</v>
      </c>
      <c r="CP94" s="27">
        <v>1.9860536899999994</v>
      </c>
      <c r="CQ94" s="27">
        <f>7.284-SUM(CN94:CP94)</f>
        <v>1.82109758</v>
      </c>
      <c r="CR94" s="27">
        <f t="shared" si="96"/>
        <v>7.2839999999999998</v>
      </c>
      <c r="CS94" s="27">
        <v>2.1138743399999997</v>
      </c>
      <c r="CT94" s="27">
        <v>2.1146765899999997</v>
      </c>
      <c r="CU94" s="27">
        <v>2.1202193500000002</v>
      </c>
      <c r="CV94" s="27">
        <v>2.16836465</v>
      </c>
      <c r="CW94" s="27">
        <f t="shared" si="89"/>
        <v>8.5171349299999992</v>
      </c>
      <c r="CX94" s="27">
        <v>2.3159999999999998</v>
      </c>
      <c r="CY94" s="27">
        <v>1.8819999999999999</v>
      </c>
      <c r="CZ94" s="27">
        <v>2.1059999999999999</v>
      </c>
      <c r="DA94" s="27">
        <v>2.1469999999999998</v>
      </c>
      <c r="DB94" s="27">
        <f t="shared" si="97"/>
        <v>8.4509999999999987</v>
      </c>
      <c r="DC94" s="27">
        <v>2.0390000000000001</v>
      </c>
      <c r="DD94" s="27">
        <v>2.16</v>
      </c>
      <c r="DE94" s="27">
        <v>2.0409999999999999</v>
      </c>
      <c r="DF94" s="27">
        <v>2.0070000000000001</v>
      </c>
      <c r="DG94" s="27">
        <f t="shared" si="98"/>
        <v>8.2469999999999999</v>
      </c>
      <c r="DH94" s="27">
        <v>2.1179999999999999</v>
      </c>
      <c r="DI94" s="27">
        <v>1.631</v>
      </c>
      <c r="DJ94" s="27">
        <v>2.577</v>
      </c>
      <c r="DK94" s="27">
        <v>2.0979999999999999</v>
      </c>
      <c r="DL94" s="27">
        <f t="shared" si="99"/>
        <v>8.4239999999999995</v>
      </c>
      <c r="DM94" s="27">
        <v>2.202</v>
      </c>
      <c r="DN94" s="27">
        <v>2.3180000000000001</v>
      </c>
      <c r="DO94" s="27">
        <v>2.2309999999999999</v>
      </c>
      <c r="DP94" s="27">
        <v>2.323</v>
      </c>
      <c r="DQ94" s="27">
        <f t="shared" si="100"/>
        <v>9.0739999999999998</v>
      </c>
      <c r="DR94" s="27">
        <v>2.3969999999999998</v>
      </c>
      <c r="DS94" s="27">
        <v>2.3820000000000001</v>
      </c>
      <c r="DT94" s="27">
        <v>2.62</v>
      </c>
      <c r="DU94" s="27">
        <v>2.5169999999999999</v>
      </c>
      <c r="DV94" s="27">
        <f t="shared" si="101"/>
        <v>9.9160000000000004</v>
      </c>
      <c r="DW94" s="27">
        <v>1.948</v>
      </c>
      <c r="DX94" s="27">
        <v>1.9319999999999999</v>
      </c>
      <c r="DY94" s="27">
        <f>0.81665278+1.72307213</f>
        <v>2.5397249099999999</v>
      </c>
      <c r="DZ94" s="27">
        <f>0.81896181+0.53846005</f>
        <v>1.3574218600000001</v>
      </c>
      <c r="EA94" s="27">
        <f t="shared" si="102"/>
        <v>7.7771467699999999</v>
      </c>
      <c r="EB94" s="27">
        <f>(808310.43+2217429.9)/1000000</f>
        <v>3.0257403300000001</v>
      </c>
      <c r="EC94" s="27">
        <v>2.4882885799999999</v>
      </c>
      <c r="ED94" s="27">
        <v>2.0779999999999998</v>
      </c>
      <c r="EE94" s="27">
        <v>1.1841413300000005</v>
      </c>
      <c r="EF94" s="27">
        <f t="shared" si="103"/>
        <v>8.7761702400000008</v>
      </c>
      <c r="EG94" s="27">
        <v>2.6987466200000001</v>
      </c>
      <c r="EH94" s="27">
        <v>4.0111094100000004</v>
      </c>
      <c r="EI94" s="27">
        <v>0.53300900999999956</v>
      </c>
    </row>
    <row r="95" spans="1:139" ht="15" thickBot="1" x14ac:dyDescent="0.35">
      <c r="A95" s="2" t="s">
        <v>444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28">
        <v>0</v>
      </c>
      <c r="BK95" s="28">
        <v>0</v>
      </c>
      <c r="BL95" s="28">
        <v>0</v>
      </c>
      <c r="BM95" s="28">
        <v>0</v>
      </c>
      <c r="BN95" s="28">
        <f t="shared" si="90"/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f t="shared" si="91"/>
        <v>0</v>
      </c>
      <c r="BT95" s="28">
        <v>0</v>
      </c>
      <c r="BU95" s="28">
        <v>0</v>
      </c>
      <c r="BV95" s="28">
        <v>0</v>
      </c>
      <c r="BW95" s="28">
        <v>0</v>
      </c>
      <c r="BX95" s="28">
        <f t="shared" si="92"/>
        <v>0</v>
      </c>
      <c r="BY95" s="28">
        <v>0</v>
      </c>
      <c r="BZ95" s="28">
        <v>0</v>
      </c>
      <c r="CA95" s="28">
        <v>0</v>
      </c>
      <c r="CB95" s="28">
        <v>0</v>
      </c>
      <c r="CC95" s="28">
        <f t="shared" si="93"/>
        <v>0</v>
      </c>
      <c r="CD95" s="28">
        <v>0</v>
      </c>
      <c r="CE95" s="28">
        <v>0</v>
      </c>
      <c r="CF95" s="28">
        <v>0</v>
      </c>
      <c r="CG95" s="28">
        <v>0</v>
      </c>
      <c r="CH95" s="28">
        <f t="shared" si="94"/>
        <v>0</v>
      </c>
      <c r="CI95" s="28">
        <v>0</v>
      </c>
      <c r="CJ95" s="28">
        <v>0</v>
      </c>
      <c r="CK95" s="28">
        <v>0</v>
      </c>
      <c r="CL95" s="28">
        <v>0</v>
      </c>
      <c r="CM95" s="28">
        <f t="shared" si="95"/>
        <v>0</v>
      </c>
      <c r="CN95" s="28">
        <v>0</v>
      </c>
      <c r="CO95" s="28">
        <v>0</v>
      </c>
      <c r="CP95" s="28">
        <v>0</v>
      </c>
      <c r="CQ95" s="28">
        <v>0</v>
      </c>
      <c r="CR95" s="28">
        <f t="shared" si="96"/>
        <v>0</v>
      </c>
      <c r="CS95" s="28">
        <v>0</v>
      </c>
      <c r="CT95" s="28">
        <v>0</v>
      </c>
      <c r="CU95" s="28">
        <v>0</v>
      </c>
      <c r="CV95" s="28">
        <v>0</v>
      </c>
      <c r="CW95" s="28">
        <f t="shared" si="89"/>
        <v>0</v>
      </c>
      <c r="CX95" s="28">
        <f t="shared" ref="CX95:CY98" si="104">SUM(CT95:CW95)</f>
        <v>0</v>
      </c>
      <c r="CY95" s="28">
        <f t="shared" si="104"/>
        <v>0</v>
      </c>
      <c r="CZ95" s="28">
        <v>0</v>
      </c>
      <c r="DA95" s="28">
        <v>0</v>
      </c>
      <c r="DB95" s="28">
        <f t="shared" si="97"/>
        <v>0</v>
      </c>
      <c r="DC95" s="28">
        <v>0</v>
      </c>
      <c r="DD95" s="28">
        <v>0.81699999999999995</v>
      </c>
      <c r="DE95" s="28">
        <v>2.5219999999999998</v>
      </c>
      <c r="DF95" s="28">
        <v>3.637</v>
      </c>
      <c r="DG95" s="28">
        <f t="shared" si="98"/>
        <v>6.9759999999999991</v>
      </c>
      <c r="DH95" s="28">
        <v>6.6689999999999996</v>
      </c>
      <c r="DI95" s="28">
        <v>6.9850000000000003</v>
      </c>
      <c r="DJ95" s="28">
        <v>6.66</v>
      </c>
      <c r="DK95" s="28">
        <v>7.5620000000000003</v>
      </c>
      <c r="DL95" s="28">
        <f t="shared" si="99"/>
        <v>27.876000000000001</v>
      </c>
      <c r="DM95" s="28">
        <v>7.577</v>
      </c>
      <c r="DN95" s="28">
        <v>7.9390000000000001</v>
      </c>
      <c r="DO95" s="28">
        <v>2.2210000000000001</v>
      </c>
      <c r="DP95" s="28">
        <v>13.586</v>
      </c>
      <c r="DQ95" s="28">
        <f t="shared" si="100"/>
        <v>31.323</v>
      </c>
      <c r="DR95" s="28">
        <v>8.8149999999999995</v>
      </c>
      <c r="DS95" s="28">
        <v>8.7149999999999999</v>
      </c>
      <c r="DT95" s="28">
        <v>8.9930000000000003</v>
      </c>
      <c r="DU95" s="28">
        <v>7.1639999999999997</v>
      </c>
      <c r="DV95" s="28">
        <f t="shared" si="101"/>
        <v>33.687000000000005</v>
      </c>
      <c r="DW95" s="28">
        <v>8.2490000000000006</v>
      </c>
      <c r="DX95" s="28">
        <v>7.8810000000000002</v>
      </c>
      <c r="DY95" s="28">
        <f>4.05204946+5.51379236</f>
        <v>9.5658418199999993</v>
      </c>
      <c r="DZ95" s="28">
        <f>4.25179312+2.69471056</f>
        <v>6.9465036800000002</v>
      </c>
      <c r="EA95" s="28">
        <f t="shared" si="102"/>
        <v>32.642345500000005</v>
      </c>
      <c r="EB95" s="28">
        <f>(4451799.37+6828969.54)/1000000</f>
        <v>11.280768910000001</v>
      </c>
      <c r="EC95" s="28">
        <v>9.7848094200000002</v>
      </c>
      <c r="ED95" s="28">
        <v>8.5389999999999997</v>
      </c>
      <c r="EE95" s="28">
        <v>6.8116734000000019</v>
      </c>
      <c r="EF95" s="28">
        <f t="shared" si="103"/>
        <v>36.416251730000006</v>
      </c>
      <c r="EG95" s="28">
        <v>8.8382116699999997</v>
      </c>
      <c r="EH95" s="28">
        <v>8.3183559699999989</v>
      </c>
      <c r="EI95" s="28">
        <v>7.8227188600000002</v>
      </c>
    </row>
    <row r="96" spans="1:139" ht="15" thickTop="1" x14ac:dyDescent="0.3">
      <c r="A96" s="1" t="s">
        <v>456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27">
        <v>0</v>
      </c>
      <c r="BK96" s="27">
        <v>0</v>
      </c>
      <c r="BL96" s="27">
        <v>0</v>
      </c>
      <c r="BM96" s="27">
        <v>0</v>
      </c>
      <c r="BN96" s="27">
        <f t="shared" si="90"/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f t="shared" si="91"/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f t="shared" si="92"/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f t="shared" si="93"/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f t="shared" si="94"/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f t="shared" si="95"/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f t="shared" si="96"/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f t="shared" si="89"/>
        <v>0</v>
      </c>
      <c r="CX96" s="27">
        <f t="shared" si="104"/>
        <v>0</v>
      </c>
      <c r="CY96" s="27">
        <f t="shared" si="104"/>
        <v>0</v>
      </c>
      <c r="CZ96" s="27">
        <v>1.4950000000000001</v>
      </c>
      <c r="DA96" s="27">
        <v>-0.19700000000000001</v>
      </c>
      <c r="DB96" s="27">
        <f t="shared" si="97"/>
        <v>1.298</v>
      </c>
      <c r="DC96" s="27">
        <v>3.415</v>
      </c>
      <c r="DD96" s="27">
        <v>4.4690000000000003</v>
      </c>
      <c r="DE96" s="27">
        <v>4.1349999999999998</v>
      </c>
      <c r="DF96" s="27">
        <v>3.8929999999999998</v>
      </c>
      <c r="DG96" s="27">
        <f t="shared" si="98"/>
        <v>15.911999999999999</v>
      </c>
      <c r="DH96" s="27">
        <v>3.9729999999999999</v>
      </c>
      <c r="DI96" s="27">
        <v>4.6449999999999996</v>
      </c>
      <c r="DJ96" s="27">
        <v>4.3090000000000002</v>
      </c>
      <c r="DK96" s="27">
        <v>4.1639999999999997</v>
      </c>
      <c r="DL96" s="27">
        <f t="shared" si="99"/>
        <v>17.091000000000001</v>
      </c>
      <c r="DM96" s="27">
        <v>5.1630000000000003</v>
      </c>
      <c r="DN96" s="27">
        <v>4.9050000000000002</v>
      </c>
      <c r="DO96" s="27">
        <v>5.09</v>
      </c>
      <c r="DP96" s="27">
        <v>4.883</v>
      </c>
      <c r="DQ96" s="27">
        <f t="shared" si="100"/>
        <v>20.041</v>
      </c>
      <c r="DR96" s="27">
        <v>5.548</v>
      </c>
      <c r="DS96" s="27">
        <v>5.4989999999999997</v>
      </c>
      <c r="DT96" s="27">
        <v>5.4889999999999999</v>
      </c>
      <c r="DU96" s="27">
        <v>2.1819999999999999</v>
      </c>
      <c r="DV96" s="27">
        <f t="shared" si="101"/>
        <v>18.718</v>
      </c>
      <c r="DW96" s="27">
        <v>4.6790000000000003</v>
      </c>
      <c r="DX96" s="27">
        <v>4.6420000000000003</v>
      </c>
      <c r="DY96" s="27">
        <f>1.84006443+3.50667185</f>
        <v>5.34673628</v>
      </c>
      <c r="DZ96" s="27">
        <f>1.750613+2.47885423</f>
        <v>4.22946723</v>
      </c>
      <c r="EA96" s="27">
        <f t="shared" si="102"/>
        <v>18.897203510000001</v>
      </c>
      <c r="EB96" s="27">
        <f>(2398881.93+4304752.68)/1000000</f>
        <v>6.703634609999999</v>
      </c>
      <c r="EC96" s="27">
        <v>6.591693789999999</v>
      </c>
      <c r="ED96" s="27">
        <v>4.7889999999999997</v>
      </c>
      <c r="EE96" s="27">
        <v>1.45598508</v>
      </c>
      <c r="EF96" s="27">
        <f t="shared" si="103"/>
        <v>19.540313479999998</v>
      </c>
      <c r="EG96" s="27">
        <v>7.2799730999999994</v>
      </c>
      <c r="EH96" s="27">
        <v>3.7542123100000002</v>
      </c>
      <c r="EI96" s="27">
        <v>6.1561625599999994</v>
      </c>
    </row>
    <row r="97" spans="1:139" ht="15" thickBot="1" x14ac:dyDescent="0.35">
      <c r="A97" s="2" t="s">
        <v>446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28">
        <v>0</v>
      </c>
      <c r="BK97" s="28">
        <v>0</v>
      </c>
      <c r="BL97" s="28">
        <v>0</v>
      </c>
      <c r="BM97" s="28">
        <v>0</v>
      </c>
      <c r="BN97" s="28">
        <f t="shared" si="90"/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f t="shared" si="91"/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f t="shared" si="92"/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f t="shared" si="93"/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f t="shared" si="94"/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f t="shared" si="95"/>
        <v>0</v>
      </c>
      <c r="CN97" s="28">
        <v>0</v>
      </c>
      <c r="CO97" s="28">
        <v>0</v>
      </c>
      <c r="CP97" s="28">
        <v>0</v>
      </c>
      <c r="CQ97" s="28">
        <v>0</v>
      </c>
      <c r="CR97" s="28">
        <f t="shared" si="96"/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f t="shared" si="89"/>
        <v>0</v>
      </c>
      <c r="CX97" s="28">
        <f t="shared" si="104"/>
        <v>0</v>
      </c>
      <c r="CY97" s="28">
        <f t="shared" si="104"/>
        <v>0</v>
      </c>
      <c r="CZ97" s="28">
        <v>0</v>
      </c>
      <c r="DA97" s="28">
        <v>0</v>
      </c>
      <c r="DB97" s="28">
        <f t="shared" si="97"/>
        <v>0</v>
      </c>
      <c r="DC97" s="28">
        <v>0</v>
      </c>
      <c r="DD97" s="28">
        <v>0</v>
      </c>
      <c r="DE97" s="28">
        <v>0</v>
      </c>
      <c r="DF97" s="28">
        <v>1.4999999999999999E-2</v>
      </c>
      <c r="DG97" s="28">
        <f t="shared" si="98"/>
        <v>1.4999999999999999E-2</v>
      </c>
      <c r="DH97" s="28">
        <v>0.82699999999999996</v>
      </c>
      <c r="DI97" s="28">
        <v>1.145</v>
      </c>
      <c r="DJ97" s="28">
        <v>1.7210000000000001</v>
      </c>
      <c r="DK97" s="28">
        <v>4.0179999999999998</v>
      </c>
      <c r="DL97" s="28">
        <f t="shared" si="99"/>
        <v>7.7110000000000003</v>
      </c>
      <c r="DM97" s="28">
        <v>4.1390000000000002</v>
      </c>
      <c r="DN97" s="28">
        <v>2.6840000000000002</v>
      </c>
      <c r="DO97" s="28">
        <v>-1.845</v>
      </c>
      <c r="DP97" s="28">
        <v>11.151999999999999</v>
      </c>
      <c r="DQ97" s="28">
        <f t="shared" si="100"/>
        <v>16.13</v>
      </c>
      <c r="DR97" s="28">
        <v>4.54</v>
      </c>
      <c r="DS97" s="28">
        <v>4.3179999999999996</v>
      </c>
      <c r="DT97" s="28">
        <v>4.3250000000000002</v>
      </c>
      <c r="DU97" s="28">
        <v>2.7130000000000001</v>
      </c>
      <c r="DV97" s="28">
        <f t="shared" si="101"/>
        <v>15.896000000000001</v>
      </c>
      <c r="DW97" s="28">
        <v>4.1550000000000002</v>
      </c>
      <c r="DX97" s="28">
        <v>4.0019999999999998</v>
      </c>
      <c r="DY97" s="28">
        <f>3.353214+0.7688626</f>
        <v>4.1220765999999998</v>
      </c>
      <c r="DZ97" s="28">
        <f>2.89176551+1.5377252</f>
        <v>4.4294907099999996</v>
      </c>
      <c r="EA97" s="28">
        <f t="shared" si="102"/>
        <v>16.708567309999999</v>
      </c>
      <c r="EB97" s="28">
        <f>(3088037.92+3353773.41)/1000000</f>
        <v>6.4418113300000002</v>
      </c>
      <c r="EC97" s="28">
        <v>6.0660145400000003</v>
      </c>
      <c r="ED97" s="28">
        <v>5.61</v>
      </c>
      <c r="EE97" s="28">
        <v>4.4936034000000005</v>
      </c>
      <c r="EF97" s="28">
        <f t="shared" si="103"/>
        <v>22.611429270000002</v>
      </c>
      <c r="EG97" s="28">
        <v>5.5001346899999994</v>
      </c>
      <c r="EH97" s="28">
        <v>6.5848394099999998</v>
      </c>
      <c r="EI97" s="28">
        <v>3.5900009500000003</v>
      </c>
    </row>
    <row r="98" spans="1:139" ht="15" thickTop="1" x14ac:dyDescent="0.3">
      <c r="A98" s="1" t="s">
        <v>447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27">
        <v>0</v>
      </c>
      <c r="BK98" s="27">
        <v>0</v>
      </c>
      <c r="BL98" s="27">
        <v>0</v>
      </c>
      <c r="BM98" s="27">
        <v>0</v>
      </c>
      <c r="BN98" s="27">
        <f t="shared" si="90"/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f t="shared" si="91"/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f t="shared" si="92"/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f t="shared" si="93"/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f t="shared" si="94"/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f t="shared" si="95"/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f t="shared" si="96"/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f t="shared" si="89"/>
        <v>0</v>
      </c>
      <c r="CX98" s="27">
        <f t="shared" si="104"/>
        <v>0</v>
      </c>
      <c r="CY98" s="27">
        <f t="shared" si="104"/>
        <v>0</v>
      </c>
      <c r="CZ98" s="27">
        <v>0</v>
      </c>
      <c r="DA98" s="27">
        <v>0</v>
      </c>
      <c r="DB98" s="27">
        <f t="shared" si="97"/>
        <v>0</v>
      </c>
      <c r="DC98" s="27">
        <v>0</v>
      </c>
      <c r="DD98" s="27">
        <v>0</v>
      </c>
      <c r="DE98" s="27">
        <v>0</v>
      </c>
      <c r="DF98" s="27">
        <v>0</v>
      </c>
      <c r="DG98" s="27">
        <f t="shared" si="98"/>
        <v>0</v>
      </c>
      <c r="DH98" s="27">
        <v>0</v>
      </c>
      <c r="DI98" s="27">
        <v>0</v>
      </c>
      <c r="DJ98" s="27">
        <v>0</v>
      </c>
      <c r="DK98" s="27">
        <v>0</v>
      </c>
      <c r="DL98" s="27">
        <f t="shared" si="99"/>
        <v>0</v>
      </c>
      <c r="DM98" s="27">
        <v>0</v>
      </c>
      <c r="DN98" s="27">
        <v>0</v>
      </c>
      <c r="DO98" s="27">
        <v>0</v>
      </c>
      <c r="DP98" s="27">
        <v>1.232</v>
      </c>
      <c r="DQ98" s="27">
        <f t="shared" si="100"/>
        <v>1.232</v>
      </c>
      <c r="DR98" s="27">
        <v>1.226</v>
      </c>
      <c r="DS98" s="27">
        <v>9.4350000000000005</v>
      </c>
      <c r="DT98" s="27">
        <v>9.0909999999999993</v>
      </c>
      <c r="DU98" s="27">
        <v>6.39</v>
      </c>
      <c r="DV98" s="27">
        <f t="shared" si="101"/>
        <v>26.142000000000003</v>
      </c>
      <c r="DW98" s="27">
        <v>7.4</v>
      </c>
      <c r="DX98" s="27">
        <v>11.975</v>
      </c>
      <c r="DY98" s="27">
        <f>4.40363495+1.16942028</f>
        <v>5.5730552299999996</v>
      </c>
      <c r="DZ98" s="27">
        <f>7.13521977+3.21943842</f>
        <v>10.35465819</v>
      </c>
      <c r="EA98" s="27">
        <f t="shared" si="102"/>
        <v>35.302713420000003</v>
      </c>
      <c r="EB98" s="27">
        <f>(6240945.67+716211.69)/1000000</f>
        <v>6.9571573599999992</v>
      </c>
      <c r="EC98" s="27">
        <v>15.371456120000001</v>
      </c>
      <c r="ED98" s="27">
        <v>9.1389999999999993</v>
      </c>
      <c r="EE98" s="27">
        <v>10.344339269999999</v>
      </c>
      <c r="EF98" s="27">
        <f t="shared" si="103"/>
        <v>41.811952750000003</v>
      </c>
      <c r="EG98" s="27">
        <v>7.5061276999999995</v>
      </c>
      <c r="EH98" s="27">
        <v>9.4634249199999996</v>
      </c>
      <c r="EI98" s="27">
        <v>9.7805779299999998</v>
      </c>
    </row>
    <row r="99" spans="1:139" ht="15" thickBot="1" x14ac:dyDescent="0.35">
      <c r="A99" s="2" t="s">
        <v>448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28">
        <v>0</v>
      </c>
      <c r="BK99" s="28">
        <v>0</v>
      </c>
      <c r="BL99" s="28">
        <v>0</v>
      </c>
      <c r="BM99" s="28">
        <v>0</v>
      </c>
      <c r="BN99" s="28">
        <f t="shared" si="90"/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f t="shared" si="91"/>
        <v>0</v>
      </c>
      <c r="BT99" s="28">
        <v>0</v>
      </c>
      <c r="BU99" s="28">
        <v>0</v>
      </c>
      <c r="BV99" s="28">
        <v>0</v>
      </c>
      <c r="BW99" s="28">
        <v>0</v>
      </c>
      <c r="BX99" s="28">
        <f t="shared" si="92"/>
        <v>0</v>
      </c>
      <c r="BY99" s="28">
        <v>0</v>
      </c>
      <c r="BZ99" s="28">
        <v>0</v>
      </c>
      <c r="CA99" s="28">
        <v>0</v>
      </c>
      <c r="CB99" s="28">
        <v>0</v>
      </c>
      <c r="CC99" s="28">
        <f t="shared" si="93"/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f t="shared" si="94"/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f t="shared" si="95"/>
        <v>0</v>
      </c>
      <c r="CN99" s="28">
        <v>0</v>
      </c>
      <c r="CO99" s="28">
        <v>0</v>
      </c>
      <c r="CP99" s="28">
        <v>0</v>
      </c>
      <c r="CQ99" s="28">
        <v>0</v>
      </c>
      <c r="CR99" s="28">
        <f t="shared" si="96"/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f t="shared" si="89"/>
        <v>0</v>
      </c>
      <c r="CX99" s="28">
        <f>SUM(CT99:CW99)</f>
        <v>0</v>
      </c>
      <c r="CY99" s="28">
        <v>0</v>
      </c>
      <c r="CZ99" s="28">
        <v>0</v>
      </c>
      <c r="DA99" s="28">
        <v>0</v>
      </c>
      <c r="DB99" s="28">
        <f t="shared" si="97"/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f t="shared" si="98"/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f t="shared" si="99"/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f t="shared" si="100"/>
        <v>0</v>
      </c>
      <c r="DR99" s="28">
        <v>0</v>
      </c>
      <c r="DS99" s="28">
        <v>0</v>
      </c>
      <c r="DT99" s="28">
        <v>0</v>
      </c>
      <c r="DU99" s="28">
        <v>5.1529999999999996</v>
      </c>
      <c r="DV99" s="28">
        <f t="shared" si="101"/>
        <v>5.1529999999999996</v>
      </c>
      <c r="DW99" s="28">
        <v>6.218</v>
      </c>
      <c r="DX99" s="28">
        <v>13.375999999999999</v>
      </c>
      <c r="DY99" s="28">
        <f>12.20566736+1.90384204</f>
        <v>14.1095094</v>
      </c>
      <c r="DZ99" s="28">
        <f>14.00900949+3.80768408</f>
        <v>17.816693570000002</v>
      </c>
      <c r="EA99" s="28">
        <f t="shared" si="102"/>
        <v>51.52020297</v>
      </c>
      <c r="EB99" s="28">
        <f>(13435471.18+9015375.9)/1000000</f>
        <v>22.450847079999999</v>
      </c>
      <c r="EC99" s="28">
        <v>20.548631189999998</v>
      </c>
      <c r="ED99" s="28">
        <v>13.500999999999999</v>
      </c>
      <c r="EE99" s="28">
        <v>8.9558769900000019</v>
      </c>
      <c r="EF99" s="28">
        <f t="shared" si="103"/>
        <v>65.456355259999995</v>
      </c>
      <c r="EG99" s="28">
        <v>13.17679482</v>
      </c>
      <c r="EH99" s="28">
        <v>17.911634449999998</v>
      </c>
      <c r="EI99" s="28">
        <v>15.53686652</v>
      </c>
    </row>
    <row r="100" spans="1:139" ht="15" thickTop="1" x14ac:dyDescent="0.3">
      <c r="A100" s="1" t="s">
        <v>449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0</v>
      </c>
      <c r="CK100" s="27">
        <v>0</v>
      </c>
      <c r="CL100" s="27">
        <v>0</v>
      </c>
      <c r="CM100" s="27">
        <v>0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7">
        <v>0</v>
      </c>
      <c r="DB100" s="27">
        <v>0</v>
      </c>
      <c r="DC100" s="27">
        <v>0</v>
      </c>
      <c r="DD100" s="27">
        <v>0</v>
      </c>
      <c r="DE100" s="27">
        <v>0</v>
      </c>
      <c r="DF100" s="27">
        <v>0</v>
      </c>
      <c r="DG100" s="27">
        <v>0</v>
      </c>
      <c r="DH100" s="27">
        <v>0</v>
      </c>
      <c r="DI100" s="27">
        <v>0</v>
      </c>
      <c r="DJ100" s="27">
        <v>0</v>
      </c>
      <c r="DK100" s="27">
        <v>0</v>
      </c>
      <c r="DL100" s="27">
        <v>0</v>
      </c>
      <c r="DM100" s="27">
        <v>0</v>
      </c>
      <c r="DN100" s="27">
        <v>0</v>
      </c>
      <c r="DO100" s="27">
        <v>0</v>
      </c>
      <c r="DP100" s="27">
        <v>0</v>
      </c>
      <c r="DQ100" s="27">
        <v>0</v>
      </c>
      <c r="DR100" s="27">
        <v>0</v>
      </c>
      <c r="DS100" s="27">
        <v>0</v>
      </c>
      <c r="DT100" s="27">
        <v>0</v>
      </c>
      <c r="DU100" s="27">
        <v>0</v>
      </c>
      <c r="DV100" s="27">
        <v>0</v>
      </c>
      <c r="DW100" s="27">
        <v>0</v>
      </c>
      <c r="DX100" s="27">
        <v>3.016</v>
      </c>
      <c r="DY100" s="27">
        <f>6.83982265+2.34523656</f>
        <v>9.1850592100000004</v>
      </c>
      <c r="DZ100" s="27">
        <f>6.49159434+2.34523654</f>
        <v>8.8368308800000008</v>
      </c>
      <c r="EA100" s="27">
        <f t="shared" si="102"/>
        <v>21.037890090000001</v>
      </c>
      <c r="EB100" s="27">
        <f>(6946244.04+6046348.14)/1000000</f>
        <v>12.992592179999999</v>
      </c>
      <c r="EC100" s="27">
        <v>11.511255140000001</v>
      </c>
      <c r="ED100" s="27">
        <v>5.0519999999999996</v>
      </c>
      <c r="EE100" s="27">
        <v>8.1605991499999977</v>
      </c>
      <c r="EF100" s="27">
        <f t="shared" si="103"/>
        <v>37.716446469999994</v>
      </c>
      <c r="EG100" s="27">
        <v>7.2017782299999995</v>
      </c>
      <c r="EH100" s="27">
        <v>11.645565280000001</v>
      </c>
      <c r="EI100" s="27">
        <v>10.438185710000001</v>
      </c>
    </row>
    <row r="101" spans="1:139" ht="15" thickBot="1" x14ac:dyDescent="0.35">
      <c r="A101" s="2" t="s">
        <v>460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>
        <v>0</v>
      </c>
      <c r="EH101" s="28">
        <v>3.7513053599999999</v>
      </c>
      <c r="EI101" s="28">
        <v>6.2863227899999998</v>
      </c>
    </row>
    <row r="102" spans="1:139" ht="15" thickTop="1" x14ac:dyDescent="0.3">
      <c r="A102" s="1" t="s">
        <v>304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27">
        <v>0</v>
      </c>
      <c r="BK102" s="27">
        <v>0</v>
      </c>
      <c r="BL102" s="27">
        <v>0</v>
      </c>
      <c r="BM102" s="27">
        <v>0</v>
      </c>
      <c r="BN102" s="27">
        <f t="shared" si="90"/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f t="shared" si="91"/>
        <v>0</v>
      </c>
      <c r="BT102" s="27">
        <v>0</v>
      </c>
      <c r="BU102" s="27">
        <v>19.793971090000007</v>
      </c>
      <c r="BV102" s="27">
        <v>50.202692870000007</v>
      </c>
      <c r="BW102" s="27">
        <v>2.6191458749999992</v>
      </c>
      <c r="BX102" s="27">
        <f t="shared" si="92"/>
        <v>72.615809835000007</v>
      </c>
      <c r="BY102" s="27">
        <v>16.783423980000002</v>
      </c>
      <c r="BZ102" s="27">
        <v>19.397173719999994</v>
      </c>
      <c r="CA102" s="27">
        <v>19.947740749999994</v>
      </c>
      <c r="CB102" s="27">
        <v>60.914923180000009</v>
      </c>
      <c r="CC102" s="27">
        <f t="shared" si="93"/>
        <v>117.04326162999999</v>
      </c>
      <c r="CD102" s="27">
        <v>13.321023330000001</v>
      </c>
      <c r="CE102" s="27">
        <v>14.576305789999992</v>
      </c>
      <c r="CF102" s="27">
        <v>15.193187800000016</v>
      </c>
      <c r="CG102" s="27">
        <v>5.8020830999999795</v>
      </c>
      <c r="CH102" s="27">
        <f t="shared" si="94"/>
        <v>48.892600019999989</v>
      </c>
      <c r="CI102" s="27">
        <v>10.689026219999999</v>
      </c>
      <c r="CJ102" s="27">
        <v>8.6371116099999998</v>
      </c>
      <c r="CK102" s="27">
        <v>6.9012778800000021</v>
      </c>
      <c r="CL102" s="27">
        <v>3.6844894400000001</v>
      </c>
      <c r="CM102" s="27">
        <f t="shared" si="95"/>
        <v>29.911905150000003</v>
      </c>
      <c r="CN102" s="27">
        <v>3.8515808800000002</v>
      </c>
      <c r="CO102" s="27">
        <v>8.2543680100000003</v>
      </c>
      <c r="CP102" s="27">
        <v>9.6231349300000009</v>
      </c>
      <c r="CQ102" s="27">
        <f>151.044-SUM(CN102:CP102)</f>
        <v>129.31491618000001</v>
      </c>
      <c r="CR102" s="27">
        <f t="shared" si="96"/>
        <v>151.04400000000001</v>
      </c>
      <c r="CS102" s="27">
        <f>21.39814336+23.975-36.926</f>
        <v>8.4471433599999983</v>
      </c>
      <c r="CT102" s="27">
        <f>83.988-68.841-CS102</f>
        <v>6.6998566400000072</v>
      </c>
      <c r="CU102" s="27">
        <f>120.914-99.151-CT102-CS102</f>
        <v>6.6159999999999997</v>
      </c>
      <c r="CV102" s="27">
        <f>163.75-134.345-SUM(CS102:CU102)</f>
        <v>7.6419999999999959</v>
      </c>
      <c r="CW102" s="27">
        <f t="shared" ref="CW102:CW110" si="105">SUM(CS102:CV102)</f>
        <v>29.405000000000001</v>
      </c>
      <c r="CX102" s="27">
        <v>7.6139999999999999</v>
      </c>
      <c r="CY102" s="27">
        <v>7.4489999999999998</v>
      </c>
      <c r="CZ102" s="27">
        <v>8.6059999999999999</v>
      </c>
      <c r="DA102" s="27">
        <v>9.9580000000000002</v>
      </c>
      <c r="DB102" s="27">
        <f t="shared" si="97"/>
        <v>33.626999999999995</v>
      </c>
      <c r="DC102" s="27">
        <v>11.170999999999999</v>
      </c>
      <c r="DD102" s="27">
        <v>15.742000000000001</v>
      </c>
      <c r="DE102" s="27">
        <v>12.611000000000001</v>
      </c>
      <c r="DF102" s="27">
        <v>10.97</v>
      </c>
      <c r="DG102" s="27">
        <f t="shared" si="98"/>
        <v>50.494</v>
      </c>
      <c r="DH102" s="27">
        <v>8.7940000000000005</v>
      </c>
      <c r="DI102" s="27">
        <v>10.914999999999999</v>
      </c>
      <c r="DJ102" s="27">
        <v>10.602</v>
      </c>
      <c r="DK102" s="27">
        <v>11.127000000000001</v>
      </c>
      <c r="DL102" s="27">
        <f t="shared" si="99"/>
        <v>41.438000000000002</v>
      </c>
      <c r="DM102" s="27">
        <v>15.301</v>
      </c>
      <c r="DN102" s="27">
        <v>10.99</v>
      </c>
      <c r="DO102" s="27">
        <v>13.304</v>
      </c>
      <c r="DP102" s="27">
        <v>13.077</v>
      </c>
      <c r="DQ102" s="27">
        <f t="shared" si="100"/>
        <v>52.671999999999997</v>
      </c>
      <c r="DR102" s="27">
        <v>13.760999999999999</v>
      </c>
      <c r="DS102" s="27">
        <v>16.373999999999999</v>
      </c>
      <c r="DT102" s="27">
        <v>20.515000000000001</v>
      </c>
      <c r="DU102" s="27">
        <v>21.31</v>
      </c>
      <c r="DV102" s="27">
        <f t="shared" si="101"/>
        <v>71.959999999999994</v>
      </c>
      <c r="DW102" s="27">
        <v>20.893000000000001</v>
      </c>
      <c r="DX102" s="27">
        <v>12.733000000000001</v>
      </c>
      <c r="DY102" s="27">
        <f>(11041709.13+4666043.36)/1000000</f>
        <v>15.707752490000003</v>
      </c>
      <c r="DZ102" s="27">
        <v>17.560939740000002</v>
      </c>
      <c r="EA102" s="27">
        <f t="shared" si="102"/>
        <v>66.894692230000004</v>
      </c>
      <c r="EB102" s="27">
        <f>(15286247.99+3528608.3)/1000000</f>
        <v>18.814856289999998</v>
      </c>
      <c r="EC102" s="27">
        <v>18.319095340000001</v>
      </c>
      <c r="ED102" s="27">
        <v>21.010999999999999</v>
      </c>
      <c r="EE102" s="27">
        <v>26.317820199999996</v>
      </c>
      <c r="EF102" s="27">
        <f t="shared" si="103"/>
        <v>84.462771829999994</v>
      </c>
      <c r="EG102" s="27">
        <v>20.489052620000002</v>
      </c>
      <c r="EH102" s="27">
        <v>17.630970799999997</v>
      </c>
      <c r="EI102" s="27">
        <v>20.696099879999998</v>
      </c>
    </row>
    <row r="103" spans="1:139" ht="15" thickBot="1" x14ac:dyDescent="0.35">
      <c r="A103" s="2" t="s">
        <v>305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28">
        <v>0</v>
      </c>
      <c r="BK103" s="28">
        <v>0</v>
      </c>
      <c r="BL103" s="28">
        <v>0</v>
      </c>
      <c r="BM103" s="28">
        <v>0</v>
      </c>
      <c r="BN103" s="28">
        <f t="shared" si="90"/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f t="shared" si="91"/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f t="shared" si="92"/>
        <v>0</v>
      </c>
      <c r="BY103" s="28">
        <v>0</v>
      </c>
      <c r="BZ103" s="28">
        <v>0</v>
      </c>
      <c r="CA103" s="28">
        <v>0</v>
      </c>
      <c r="CB103" s="28">
        <v>0</v>
      </c>
      <c r="CC103" s="28">
        <f t="shared" si="93"/>
        <v>0</v>
      </c>
      <c r="CD103" s="28">
        <v>0</v>
      </c>
      <c r="CE103" s="28">
        <v>0</v>
      </c>
      <c r="CF103" s="28">
        <v>0</v>
      </c>
      <c r="CG103" s="28">
        <v>0</v>
      </c>
      <c r="CH103" s="28">
        <f t="shared" si="94"/>
        <v>0</v>
      </c>
      <c r="CI103" s="28"/>
      <c r="CJ103" s="28"/>
      <c r="CK103" s="28"/>
      <c r="CL103" s="28"/>
      <c r="CM103" s="28">
        <f t="shared" si="95"/>
        <v>0</v>
      </c>
      <c r="CN103" s="28"/>
      <c r="CO103" s="28"/>
      <c r="CP103" s="28"/>
      <c r="CQ103" s="28"/>
      <c r="CR103" s="28">
        <f t="shared" si="96"/>
        <v>0</v>
      </c>
      <c r="CS103" s="28"/>
      <c r="CT103" s="28"/>
      <c r="CU103" s="28"/>
      <c r="CV103" s="28"/>
      <c r="CW103" s="28">
        <f t="shared" si="105"/>
        <v>0</v>
      </c>
      <c r="CX103" s="28"/>
      <c r="CY103" s="28"/>
      <c r="CZ103" s="28">
        <v>0</v>
      </c>
      <c r="DA103" s="28">
        <v>0</v>
      </c>
      <c r="DB103" s="28">
        <f t="shared" si="97"/>
        <v>0</v>
      </c>
      <c r="DC103" s="28">
        <v>0.874</v>
      </c>
      <c r="DD103" s="28">
        <v>0.65</v>
      </c>
      <c r="DE103" s="28">
        <v>0.245</v>
      </c>
      <c r="DF103" s="28">
        <v>0.379</v>
      </c>
      <c r="DG103" s="28">
        <f t="shared" si="98"/>
        <v>2.1480000000000001</v>
      </c>
      <c r="DH103" s="28">
        <v>0.41199999999999998</v>
      </c>
      <c r="DI103" s="28">
        <v>0.60099999999999998</v>
      </c>
      <c r="DJ103" s="28">
        <v>0.64300000000000002</v>
      </c>
      <c r="DK103" s="28">
        <v>0.48399999999999999</v>
      </c>
      <c r="DL103" s="28">
        <f t="shared" si="99"/>
        <v>2.1399999999999997</v>
      </c>
      <c r="DM103" s="28">
        <v>0.48699999999999999</v>
      </c>
      <c r="DN103" s="28">
        <v>0.64</v>
      </c>
      <c r="DO103" s="28">
        <v>0.56399999999999995</v>
      </c>
      <c r="DP103" s="28">
        <v>0.41699999999999998</v>
      </c>
      <c r="DQ103" s="28">
        <f t="shared" si="100"/>
        <v>2.1079999999999997</v>
      </c>
      <c r="DR103" s="28">
        <v>0.747</v>
      </c>
      <c r="DS103" s="28">
        <v>1.099</v>
      </c>
      <c r="DT103" s="28">
        <v>0.91700000000000004</v>
      </c>
      <c r="DU103" s="28">
        <v>0.91300000000000003</v>
      </c>
      <c r="DV103" s="28">
        <f t="shared" si="101"/>
        <v>3.6760000000000002</v>
      </c>
      <c r="DW103" s="28">
        <v>0.80600000000000005</v>
      </c>
      <c r="DX103" s="28">
        <v>0.98299999999999998</v>
      </c>
      <c r="DY103" s="28">
        <v>0.57543490999999969</v>
      </c>
      <c r="DZ103" s="28">
        <v>0.97936535000000013</v>
      </c>
      <c r="EA103" s="28">
        <f t="shared" si="102"/>
        <v>3.3438002600000001</v>
      </c>
      <c r="EB103" s="28">
        <v>0.88255668000000009</v>
      </c>
      <c r="EC103" s="28">
        <v>1.1734072799999997</v>
      </c>
      <c r="ED103" s="28">
        <v>1.169</v>
      </c>
      <c r="EE103" s="28">
        <v>1.3972646800000001</v>
      </c>
      <c r="EF103" s="28">
        <f t="shared" si="103"/>
        <v>4.6222286399999994</v>
      </c>
      <c r="EG103" s="28">
        <v>0.76435861999999999</v>
      </c>
      <c r="EH103" s="28">
        <v>1.1010980099999998</v>
      </c>
      <c r="EI103" s="28">
        <v>1.2832710900000004</v>
      </c>
    </row>
    <row r="104" spans="1:139" ht="15" thickTop="1" x14ac:dyDescent="0.3">
      <c r="A104" s="1" t="s">
        <v>306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27">
        <v>1.2694820999999998</v>
      </c>
      <c r="BK104" s="27">
        <v>1.0604500700000004</v>
      </c>
      <c r="BL104" s="27">
        <v>1.6042982499999998</v>
      </c>
      <c r="BM104" s="27">
        <v>2.1859124899999989</v>
      </c>
      <c r="BN104" s="27">
        <f t="shared" si="90"/>
        <v>6.1201429099999984</v>
      </c>
      <c r="BO104" s="27">
        <v>1.3197088000000001</v>
      </c>
      <c r="BP104" s="27">
        <v>1.2676715200000002</v>
      </c>
      <c r="BQ104" s="27">
        <v>1.7745496699999987</v>
      </c>
      <c r="BR104" s="27">
        <v>2.3078034000000009</v>
      </c>
      <c r="BS104" s="27">
        <f t="shared" si="91"/>
        <v>6.6697333900000002</v>
      </c>
      <c r="BT104" s="27">
        <v>1.0442198499999999</v>
      </c>
      <c r="BU104" s="27">
        <v>1.1759218300000003</v>
      </c>
      <c r="BV104" s="27">
        <v>2.5092426799999998</v>
      </c>
      <c r="BW104" s="27">
        <v>3.2881922699999988</v>
      </c>
      <c r="BX104" s="27">
        <f t="shared" si="92"/>
        <v>8.0175766299999989</v>
      </c>
      <c r="BY104" s="27">
        <v>1.8201725</v>
      </c>
      <c r="BZ104" s="27">
        <v>3.13199001</v>
      </c>
      <c r="CA104" s="27">
        <v>2.3053088700000002</v>
      </c>
      <c r="CB104" s="27">
        <v>6.8809770500000003</v>
      </c>
      <c r="CC104" s="27">
        <f t="shared" si="93"/>
        <v>14.13844843</v>
      </c>
      <c r="CD104" s="27">
        <v>1.8599291800000002</v>
      </c>
      <c r="CE104" s="27">
        <v>3.0906327899999999</v>
      </c>
      <c r="CF104" s="27">
        <v>8.4186497900000017</v>
      </c>
      <c r="CG104" s="27">
        <v>5.3891362900000006</v>
      </c>
      <c r="CH104" s="27">
        <f t="shared" si="94"/>
        <v>18.758348050000002</v>
      </c>
      <c r="CI104" s="27">
        <v>1.5350892300000001</v>
      </c>
      <c r="CJ104" s="27">
        <v>0.86432259999999994</v>
      </c>
      <c r="CK104" s="27">
        <v>1.64062325</v>
      </c>
      <c r="CL104" s="27">
        <v>2.4433742800000005</v>
      </c>
      <c r="CM104" s="27">
        <f t="shared" si="95"/>
        <v>6.4834093600000005</v>
      </c>
      <c r="CN104" s="27">
        <v>1.13654122</v>
      </c>
      <c r="CO104" s="27">
        <v>1.16537183</v>
      </c>
      <c r="CP104" s="27">
        <v>0.7963448500000001</v>
      </c>
      <c r="CQ104" s="27">
        <f>2.919-SUM(CN104:CP104)</f>
        <v>-0.17925790000000008</v>
      </c>
      <c r="CR104" s="27">
        <f t="shared" si="96"/>
        <v>2.919</v>
      </c>
      <c r="CS104" s="27">
        <v>0.55403603000000001</v>
      </c>
      <c r="CT104" s="27">
        <v>1.1277137099999999</v>
      </c>
      <c r="CU104" s="27">
        <v>-0.21278201999999991</v>
      </c>
      <c r="CV104" s="27">
        <v>0.39075253000000032</v>
      </c>
      <c r="CW104" s="27">
        <f t="shared" si="105"/>
        <v>1.8597202500000003</v>
      </c>
      <c r="CX104" s="27">
        <v>1.873</v>
      </c>
      <c r="CY104" s="27">
        <v>1.7709999999999999</v>
      </c>
      <c r="CZ104" s="27">
        <v>3.2639999999999998</v>
      </c>
      <c r="DA104" s="27">
        <v>6.8209999999999997</v>
      </c>
      <c r="DB104" s="27">
        <f t="shared" si="97"/>
        <v>13.728999999999999</v>
      </c>
      <c r="DC104" s="27">
        <v>4.1269999999999998</v>
      </c>
      <c r="DD104" s="27">
        <v>0.76</v>
      </c>
      <c r="DE104" s="27">
        <v>1.8440000000000001</v>
      </c>
      <c r="DF104" s="27">
        <v>2.948</v>
      </c>
      <c r="DG104" s="27">
        <f t="shared" si="98"/>
        <v>9.6790000000000003</v>
      </c>
      <c r="DH104" s="27">
        <v>1.988</v>
      </c>
      <c r="DI104" s="27">
        <v>1.228</v>
      </c>
      <c r="DJ104" s="27">
        <v>2.1139999999999999</v>
      </c>
      <c r="DK104" s="27">
        <v>0.433</v>
      </c>
      <c r="DL104" s="27">
        <f t="shared" si="99"/>
        <v>5.7629999999999999</v>
      </c>
      <c r="DM104" s="27">
        <v>0.95799999999999996</v>
      </c>
      <c r="DN104" s="27">
        <v>1.9590000000000001</v>
      </c>
      <c r="DO104" s="27">
        <v>1.581</v>
      </c>
      <c r="DP104" s="27">
        <v>2.302</v>
      </c>
      <c r="DQ104" s="27">
        <f t="shared" si="100"/>
        <v>6.7999999999999989</v>
      </c>
      <c r="DR104" s="27">
        <v>4.8529999999999998</v>
      </c>
      <c r="DS104" s="27">
        <v>-2.508</v>
      </c>
      <c r="DT104" s="27">
        <v>0.59599999999999997</v>
      </c>
      <c r="DU104" s="27">
        <v>1.123</v>
      </c>
      <c r="DV104" s="27">
        <f t="shared" si="101"/>
        <v>4.0640000000000001</v>
      </c>
      <c r="DW104" s="27">
        <v>2.6749999999999998</v>
      </c>
      <c r="DX104" s="27">
        <v>1.1399999999999999</v>
      </c>
      <c r="DY104" s="27">
        <v>1.5178341599999996</v>
      </c>
      <c r="DZ104" s="27">
        <v>2.6732969400000006</v>
      </c>
      <c r="EA104" s="27">
        <f t="shared" si="102"/>
        <v>8.0061310999999993</v>
      </c>
      <c r="EB104" s="27">
        <v>1.8762286499999998</v>
      </c>
      <c r="EC104" s="27">
        <v>2.6265278699999994</v>
      </c>
      <c r="ED104" s="27">
        <v>3.08</v>
      </c>
      <c r="EE104" s="27">
        <v>3.411453840000001</v>
      </c>
      <c r="EF104" s="27">
        <f t="shared" si="103"/>
        <v>10.99421036</v>
      </c>
      <c r="EG104" s="27">
        <v>3.6549929900000002</v>
      </c>
      <c r="EH104" s="27">
        <v>4.8607263200000004</v>
      </c>
      <c r="EI104" s="27">
        <v>5.6021450700000006</v>
      </c>
    </row>
    <row r="105" spans="1:139" ht="15" thickBot="1" x14ac:dyDescent="0.35">
      <c r="A105" s="2" t="s">
        <v>323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28">
        <v>0</v>
      </c>
      <c r="BK105" s="28">
        <v>0</v>
      </c>
      <c r="BL105" s="28">
        <v>0</v>
      </c>
      <c r="BM105" s="28">
        <v>0</v>
      </c>
      <c r="BN105" s="28">
        <f t="shared" si="90"/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f t="shared" si="91"/>
        <v>0</v>
      </c>
      <c r="BT105" s="28">
        <v>0</v>
      </c>
      <c r="BU105" s="28">
        <v>0</v>
      </c>
      <c r="BV105" s="28">
        <v>0</v>
      </c>
      <c r="BW105" s="28">
        <v>0</v>
      </c>
      <c r="BX105" s="28">
        <f t="shared" si="92"/>
        <v>0</v>
      </c>
      <c r="BY105" s="28">
        <v>0</v>
      </c>
      <c r="BZ105" s="28">
        <v>0</v>
      </c>
      <c r="CA105" s="28">
        <v>0</v>
      </c>
      <c r="CB105" s="28">
        <v>0</v>
      </c>
      <c r="CC105" s="28">
        <f t="shared" si="93"/>
        <v>0</v>
      </c>
      <c r="CD105" s="28">
        <v>0</v>
      </c>
      <c r="CE105" s="28">
        <v>0</v>
      </c>
      <c r="CF105" s="28">
        <v>0</v>
      </c>
      <c r="CG105" s="28">
        <v>0</v>
      </c>
      <c r="CH105" s="28">
        <f t="shared" si="94"/>
        <v>0</v>
      </c>
      <c r="CI105" s="28">
        <v>0</v>
      </c>
      <c r="CJ105" s="28">
        <v>0</v>
      </c>
      <c r="CK105" s="28">
        <v>0</v>
      </c>
      <c r="CL105" s="28">
        <v>0</v>
      </c>
      <c r="CM105" s="28">
        <f t="shared" si="95"/>
        <v>0</v>
      </c>
      <c r="CN105" s="28">
        <v>0</v>
      </c>
      <c r="CO105" s="28">
        <v>0</v>
      </c>
      <c r="CP105" s="28">
        <v>0</v>
      </c>
      <c r="CQ105" s="28">
        <v>0</v>
      </c>
      <c r="CR105" s="28">
        <f t="shared" si="96"/>
        <v>0</v>
      </c>
      <c r="CS105" s="28">
        <v>0</v>
      </c>
      <c r="CT105" s="28">
        <v>0</v>
      </c>
      <c r="CU105" s="28">
        <v>0</v>
      </c>
      <c r="CV105" s="28">
        <v>0</v>
      </c>
      <c r="CW105" s="28">
        <f t="shared" si="105"/>
        <v>0</v>
      </c>
      <c r="CX105" s="28">
        <f t="shared" ref="CX105:DA109" si="106">SUM(CT105:CW105)</f>
        <v>0</v>
      </c>
      <c r="CY105" s="28">
        <f t="shared" si="106"/>
        <v>0</v>
      </c>
      <c r="CZ105" s="28">
        <f t="shared" si="106"/>
        <v>0</v>
      </c>
      <c r="DA105" s="28">
        <f t="shared" si="106"/>
        <v>0</v>
      </c>
      <c r="DB105" s="28">
        <f t="shared" si="97"/>
        <v>0</v>
      </c>
      <c r="DC105" s="28">
        <f t="shared" ref="DC105:DD109" si="107">SUM(CY105:DB105)</f>
        <v>0</v>
      </c>
      <c r="DD105" s="28">
        <f t="shared" si="107"/>
        <v>0</v>
      </c>
      <c r="DE105" s="28">
        <v>0</v>
      </c>
      <c r="DF105" s="28">
        <v>0</v>
      </c>
      <c r="DG105" s="28">
        <f t="shared" si="98"/>
        <v>0</v>
      </c>
      <c r="DH105" s="28">
        <v>0</v>
      </c>
      <c r="DI105" s="28">
        <v>0</v>
      </c>
      <c r="DJ105" s="28">
        <v>0</v>
      </c>
      <c r="DK105" s="28"/>
      <c r="DL105" s="28">
        <f t="shared" si="99"/>
        <v>0</v>
      </c>
      <c r="DM105" s="28">
        <v>0</v>
      </c>
      <c r="DN105" s="28">
        <v>0</v>
      </c>
      <c r="DO105" s="28">
        <v>0</v>
      </c>
      <c r="DP105" s="28">
        <v>0</v>
      </c>
      <c r="DQ105" s="28">
        <f t="shared" si="100"/>
        <v>0</v>
      </c>
      <c r="DR105" s="28">
        <v>0</v>
      </c>
      <c r="DS105" s="28">
        <v>0</v>
      </c>
      <c r="DT105" s="28">
        <v>0</v>
      </c>
      <c r="DU105" s="28">
        <v>0</v>
      </c>
      <c r="DV105" s="28">
        <f t="shared" si="101"/>
        <v>0</v>
      </c>
      <c r="DW105" s="28">
        <v>0</v>
      </c>
      <c r="DX105" s="28">
        <v>0</v>
      </c>
      <c r="DY105" s="28">
        <v>0</v>
      </c>
      <c r="DZ105" s="28">
        <v>0</v>
      </c>
      <c r="EA105" s="28">
        <f t="shared" si="102"/>
        <v>0</v>
      </c>
      <c r="EB105" s="28">
        <v>0</v>
      </c>
      <c r="EC105" s="28">
        <v>0</v>
      </c>
      <c r="ED105" s="28">
        <v>0</v>
      </c>
      <c r="EE105" s="28">
        <v>0</v>
      </c>
      <c r="EF105" s="28">
        <f t="shared" si="103"/>
        <v>0</v>
      </c>
      <c r="EG105" s="28">
        <v>0</v>
      </c>
      <c r="EH105" s="28">
        <v>0</v>
      </c>
      <c r="EI105" s="28">
        <v>0</v>
      </c>
    </row>
    <row r="106" spans="1:139" ht="15" thickTop="1" x14ac:dyDescent="0.3">
      <c r="A106" s="1" t="s">
        <v>322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27">
        <v>0</v>
      </c>
      <c r="BK106" s="27">
        <v>0</v>
      </c>
      <c r="BL106" s="27">
        <v>0</v>
      </c>
      <c r="BM106" s="27">
        <v>0</v>
      </c>
      <c r="BN106" s="27">
        <f t="shared" si="90"/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f t="shared" si="91"/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f t="shared" si="92"/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f t="shared" si="93"/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f t="shared" si="94"/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f t="shared" si="95"/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f t="shared" si="96"/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f t="shared" si="105"/>
        <v>0</v>
      </c>
      <c r="CX106" s="27">
        <f t="shared" si="106"/>
        <v>0</v>
      </c>
      <c r="CY106" s="27">
        <f t="shared" si="106"/>
        <v>0</v>
      </c>
      <c r="CZ106" s="27">
        <f t="shared" si="106"/>
        <v>0</v>
      </c>
      <c r="DA106" s="27">
        <f t="shared" si="106"/>
        <v>0</v>
      </c>
      <c r="DB106" s="27">
        <f t="shared" si="97"/>
        <v>0</v>
      </c>
      <c r="DC106" s="27">
        <f t="shared" si="107"/>
        <v>0</v>
      </c>
      <c r="DD106" s="27">
        <f t="shared" si="107"/>
        <v>0</v>
      </c>
      <c r="DE106" s="27">
        <f>SUM(DA106:DD106)</f>
        <v>0</v>
      </c>
      <c r="DF106" s="27">
        <v>0</v>
      </c>
      <c r="DG106" s="27">
        <f t="shared" si="98"/>
        <v>0</v>
      </c>
      <c r="DH106" s="27">
        <v>0</v>
      </c>
      <c r="DI106" s="27">
        <v>0</v>
      </c>
      <c r="DJ106" s="27">
        <v>0</v>
      </c>
      <c r="DK106" s="27">
        <v>0</v>
      </c>
      <c r="DL106" s="27">
        <f t="shared" si="99"/>
        <v>0</v>
      </c>
      <c r="DM106" s="27">
        <v>0</v>
      </c>
      <c r="DN106" s="27">
        <v>0</v>
      </c>
      <c r="DO106" s="27">
        <v>0</v>
      </c>
      <c r="DP106" s="27">
        <v>0</v>
      </c>
      <c r="DQ106" s="27">
        <f t="shared" si="100"/>
        <v>0</v>
      </c>
      <c r="DR106" s="27">
        <v>0</v>
      </c>
      <c r="DS106" s="27">
        <v>0</v>
      </c>
      <c r="DT106" s="27">
        <v>0</v>
      </c>
      <c r="DU106" s="27">
        <v>0</v>
      </c>
      <c r="DV106" s="27">
        <f t="shared" si="101"/>
        <v>0</v>
      </c>
      <c r="DW106" s="27">
        <v>0</v>
      </c>
      <c r="DX106" s="27">
        <v>0</v>
      </c>
      <c r="DY106" s="27">
        <v>0</v>
      </c>
      <c r="DZ106" s="27">
        <v>0</v>
      </c>
      <c r="EA106" s="27">
        <f t="shared" si="102"/>
        <v>0</v>
      </c>
      <c r="EB106" s="27">
        <v>0</v>
      </c>
      <c r="EC106" s="27">
        <v>0</v>
      </c>
      <c r="ED106" s="27">
        <v>0</v>
      </c>
      <c r="EE106" s="27">
        <v>0</v>
      </c>
      <c r="EF106" s="27">
        <f t="shared" si="103"/>
        <v>0</v>
      </c>
      <c r="EG106" s="27">
        <v>0</v>
      </c>
      <c r="EH106" s="27">
        <v>0</v>
      </c>
      <c r="EI106" s="27">
        <v>0</v>
      </c>
    </row>
    <row r="107" spans="1:139" ht="15" thickBot="1" x14ac:dyDescent="0.35">
      <c r="A107" s="2" t="s">
        <v>370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28">
        <v>0.51216202</v>
      </c>
      <c r="BK107" s="28">
        <v>0.76797499999999996</v>
      </c>
      <c r="BL107" s="28">
        <v>2.0515036100000001</v>
      </c>
      <c r="BM107" s="28">
        <v>2.0015371599999998</v>
      </c>
      <c r="BN107" s="28">
        <f t="shared" si="90"/>
        <v>5.3331777899999997</v>
      </c>
      <c r="BO107" s="28">
        <v>20.211909880000004</v>
      </c>
      <c r="BP107" s="28">
        <v>12.714382699999998</v>
      </c>
      <c r="BQ107" s="28">
        <v>21.667372329999996</v>
      </c>
      <c r="BR107" s="28">
        <v>22.891788219999999</v>
      </c>
      <c r="BS107" s="28">
        <f t="shared" si="91"/>
        <v>77.485453129999996</v>
      </c>
      <c r="BT107" s="28">
        <v>0</v>
      </c>
      <c r="BU107" s="28">
        <v>0</v>
      </c>
      <c r="BV107" s="28">
        <v>0</v>
      </c>
      <c r="BW107" s="28">
        <v>0</v>
      </c>
      <c r="BX107" s="28">
        <f t="shared" si="92"/>
        <v>0</v>
      </c>
      <c r="BY107" s="28">
        <v>0</v>
      </c>
      <c r="BZ107" s="28">
        <v>0</v>
      </c>
      <c r="CA107" s="28">
        <v>0</v>
      </c>
      <c r="CB107" s="28">
        <v>0</v>
      </c>
      <c r="CC107" s="28">
        <f t="shared" si="93"/>
        <v>0</v>
      </c>
      <c r="CD107" s="28">
        <v>0</v>
      </c>
      <c r="CE107" s="28">
        <v>0</v>
      </c>
      <c r="CF107" s="28">
        <v>0</v>
      </c>
      <c r="CG107" s="28">
        <v>0</v>
      </c>
      <c r="CH107" s="28">
        <f t="shared" si="94"/>
        <v>0</v>
      </c>
      <c r="CI107" s="28">
        <v>0</v>
      </c>
      <c r="CJ107" s="28">
        <v>0</v>
      </c>
      <c r="CK107" s="28">
        <v>0</v>
      </c>
      <c r="CL107" s="28">
        <v>0</v>
      </c>
      <c r="CM107" s="28">
        <f t="shared" si="95"/>
        <v>0</v>
      </c>
      <c r="CN107" s="28">
        <v>0</v>
      </c>
      <c r="CO107" s="28">
        <v>0</v>
      </c>
      <c r="CP107" s="28">
        <v>0</v>
      </c>
      <c r="CQ107" s="28">
        <v>0</v>
      </c>
      <c r="CR107" s="28">
        <f t="shared" si="96"/>
        <v>0</v>
      </c>
      <c r="CS107" s="28">
        <v>0</v>
      </c>
      <c r="CT107" s="28">
        <v>0</v>
      </c>
      <c r="CU107" s="28">
        <v>0</v>
      </c>
      <c r="CV107" s="28">
        <v>0</v>
      </c>
      <c r="CW107" s="28">
        <f t="shared" si="105"/>
        <v>0</v>
      </c>
      <c r="CX107" s="28">
        <f t="shared" si="106"/>
        <v>0</v>
      </c>
      <c r="CY107" s="28">
        <f t="shared" si="106"/>
        <v>0</v>
      </c>
      <c r="CZ107" s="28">
        <f t="shared" si="106"/>
        <v>0</v>
      </c>
      <c r="DA107" s="28">
        <f t="shared" si="106"/>
        <v>0</v>
      </c>
      <c r="DB107" s="28">
        <f t="shared" si="97"/>
        <v>0</v>
      </c>
      <c r="DC107" s="28">
        <f t="shared" si="107"/>
        <v>0</v>
      </c>
      <c r="DD107" s="28">
        <f t="shared" si="107"/>
        <v>0</v>
      </c>
      <c r="DE107" s="28">
        <f>SUM(DA107:DD107)</f>
        <v>0</v>
      </c>
      <c r="DF107" s="28">
        <v>0</v>
      </c>
      <c r="DG107" s="28">
        <f t="shared" si="98"/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f t="shared" si="99"/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f t="shared" si="100"/>
        <v>0</v>
      </c>
      <c r="DR107" s="28">
        <v>0</v>
      </c>
      <c r="DS107" s="28">
        <v>0</v>
      </c>
      <c r="DT107" s="28">
        <v>0</v>
      </c>
      <c r="DU107" s="28">
        <v>0</v>
      </c>
      <c r="DV107" s="28">
        <f t="shared" si="101"/>
        <v>0</v>
      </c>
      <c r="DW107" s="28">
        <v>0</v>
      </c>
      <c r="DX107" s="28">
        <v>0</v>
      </c>
      <c r="DY107" s="28">
        <v>0</v>
      </c>
      <c r="DZ107" s="28">
        <v>0</v>
      </c>
      <c r="EA107" s="28">
        <f t="shared" si="102"/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f t="shared" si="103"/>
        <v>0</v>
      </c>
      <c r="EG107" s="28">
        <v>0</v>
      </c>
      <c r="EH107" s="28">
        <v>0</v>
      </c>
      <c r="EI107" s="28">
        <v>0</v>
      </c>
    </row>
    <row r="108" spans="1:139" ht="15" thickTop="1" x14ac:dyDescent="0.3">
      <c r="A108" s="1" t="s">
        <v>338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27">
        <v>0.5519055100000001</v>
      </c>
      <c r="BK108" s="27">
        <v>0.49471288999999974</v>
      </c>
      <c r="BL108" s="27">
        <v>0.56340939000000012</v>
      </c>
      <c r="BM108" s="27">
        <v>0.62700378000000012</v>
      </c>
      <c r="BN108" s="27">
        <f t="shared" si="90"/>
        <v>2.2370315700000001</v>
      </c>
      <c r="BO108" s="27">
        <v>0.59096446000000014</v>
      </c>
      <c r="BP108" s="27">
        <v>0.63375537999999954</v>
      </c>
      <c r="BQ108" s="27">
        <v>0.67498282000000054</v>
      </c>
      <c r="BR108" s="27">
        <v>0.74597971863599954</v>
      </c>
      <c r="BS108" s="27">
        <f t="shared" si="91"/>
        <v>2.6456823786359998</v>
      </c>
      <c r="BT108" s="27">
        <v>0</v>
      </c>
      <c r="BU108" s="27">
        <v>0</v>
      </c>
      <c r="BV108" s="27">
        <v>0</v>
      </c>
      <c r="BW108" s="27">
        <v>0</v>
      </c>
      <c r="BX108" s="27">
        <f t="shared" si="92"/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f t="shared" si="93"/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f t="shared" si="94"/>
        <v>0</v>
      </c>
      <c r="CI108" s="27">
        <v>0</v>
      </c>
      <c r="CJ108" s="27">
        <v>0</v>
      </c>
      <c r="CK108" s="27">
        <v>0</v>
      </c>
      <c r="CL108" s="27">
        <v>0</v>
      </c>
      <c r="CM108" s="27">
        <f t="shared" si="95"/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f t="shared" si="96"/>
        <v>0</v>
      </c>
      <c r="CS108" s="27">
        <v>0</v>
      </c>
      <c r="CT108" s="27">
        <v>0</v>
      </c>
      <c r="CU108" s="27">
        <v>0</v>
      </c>
      <c r="CV108" s="27">
        <v>0</v>
      </c>
      <c r="CW108" s="27">
        <f t="shared" si="105"/>
        <v>0</v>
      </c>
      <c r="CX108" s="27">
        <f t="shared" si="106"/>
        <v>0</v>
      </c>
      <c r="CY108" s="27">
        <v>3.7999999999999999E-2</v>
      </c>
      <c r="CZ108" s="27">
        <v>5.6000000000000001E-2</v>
      </c>
      <c r="DA108" s="27">
        <v>0.19900000000000001</v>
      </c>
      <c r="DB108" s="27">
        <f>SUM(CX108:DA108)</f>
        <v>0.29300000000000004</v>
      </c>
      <c r="DC108" s="27">
        <v>0.01</v>
      </c>
      <c r="DD108" s="27">
        <v>-0.01</v>
      </c>
      <c r="DE108" s="27">
        <v>4.0000000000000001E-3</v>
      </c>
      <c r="DF108" s="27">
        <v>0</v>
      </c>
      <c r="DG108" s="27">
        <f>SUM(DC108:DF108)</f>
        <v>4.0000000000000001E-3</v>
      </c>
      <c r="DH108" s="27">
        <v>0</v>
      </c>
      <c r="DI108" s="27">
        <v>0</v>
      </c>
      <c r="DJ108" s="27">
        <v>0</v>
      </c>
      <c r="DK108" s="27">
        <v>0</v>
      </c>
      <c r="DL108" s="27">
        <f t="shared" si="99"/>
        <v>0</v>
      </c>
      <c r="DM108" s="27">
        <v>0</v>
      </c>
      <c r="DN108" s="27">
        <v>0</v>
      </c>
      <c r="DO108" s="27">
        <v>0</v>
      </c>
      <c r="DP108" s="27">
        <v>0</v>
      </c>
      <c r="DQ108" s="27">
        <f t="shared" si="100"/>
        <v>0</v>
      </c>
      <c r="DR108" s="27">
        <v>0</v>
      </c>
      <c r="DS108" s="27">
        <v>0</v>
      </c>
      <c r="DT108" s="27">
        <v>0</v>
      </c>
      <c r="DU108" s="27">
        <v>0</v>
      </c>
      <c r="DV108" s="27">
        <f t="shared" si="101"/>
        <v>0</v>
      </c>
      <c r="DW108" s="27">
        <v>0</v>
      </c>
      <c r="DX108" s="27">
        <v>0</v>
      </c>
      <c r="DY108" s="27">
        <v>0</v>
      </c>
      <c r="DZ108" s="27">
        <v>0</v>
      </c>
      <c r="EA108" s="27">
        <f t="shared" si="102"/>
        <v>0</v>
      </c>
      <c r="EB108" s="27">
        <v>0</v>
      </c>
      <c r="EC108" s="27">
        <v>0</v>
      </c>
      <c r="ED108" s="27">
        <v>0</v>
      </c>
      <c r="EE108" s="27">
        <v>0</v>
      </c>
      <c r="EF108" s="27">
        <f t="shared" si="103"/>
        <v>0</v>
      </c>
      <c r="EG108" s="27">
        <v>0</v>
      </c>
      <c r="EH108" s="27">
        <v>0</v>
      </c>
      <c r="EI108" s="27">
        <v>0</v>
      </c>
    </row>
    <row r="109" spans="1:139" ht="15" thickBot="1" x14ac:dyDescent="0.35">
      <c r="A109" s="2" t="s">
        <v>331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28">
        <v>0</v>
      </c>
      <c r="BK109" s="28">
        <v>0</v>
      </c>
      <c r="BL109" s="28">
        <v>0</v>
      </c>
      <c r="BM109" s="28">
        <v>0</v>
      </c>
      <c r="BN109" s="28">
        <f t="shared" si="90"/>
        <v>0</v>
      </c>
      <c r="BO109" s="28">
        <v>0</v>
      </c>
      <c r="BP109" s="28">
        <v>0</v>
      </c>
      <c r="BQ109" s="28">
        <v>0</v>
      </c>
      <c r="BR109" s="28">
        <v>0</v>
      </c>
      <c r="BS109" s="28">
        <f t="shared" si="91"/>
        <v>0</v>
      </c>
      <c r="BT109" s="28">
        <v>0</v>
      </c>
      <c r="BU109" s="28">
        <v>0</v>
      </c>
      <c r="BV109" s="28">
        <v>0</v>
      </c>
      <c r="BW109" s="28">
        <v>0</v>
      </c>
      <c r="BX109" s="28">
        <f t="shared" si="92"/>
        <v>0</v>
      </c>
      <c r="BY109" s="28">
        <v>0</v>
      </c>
      <c r="BZ109" s="28">
        <v>0</v>
      </c>
      <c r="CA109" s="28">
        <v>0</v>
      </c>
      <c r="CB109" s="28">
        <v>0</v>
      </c>
      <c r="CC109" s="28">
        <f t="shared" si="93"/>
        <v>0</v>
      </c>
      <c r="CD109" s="28">
        <v>0</v>
      </c>
      <c r="CE109" s="28">
        <v>0</v>
      </c>
      <c r="CF109" s="28">
        <v>0</v>
      </c>
      <c r="CG109" s="28">
        <v>0</v>
      </c>
      <c r="CH109" s="28">
        <f t="shared" si="94"/>
        <v>0</v>
      </c>
      <c r="CI109" s="28">
        <v>0</v>
      </c>
      <c r="CJ109" s="28">
        <v>0</v>
      </c>
      <c r="CK109" s="28">
        <v>0</v>
      </c>
      <c r="CL109" s="28">
        <v>0</v>
      </c>
      <c r="CM109" s="28">
        <f t="shared" si="95"/>
        <v>0</v>
      </c>
      <c r="CN109" s="28">
        <v>0</v>
      </c>
      <c r="CO109" s="28">
        <v>0</v>
      </c>
      <c r="CP109" s="28">
        <v>0</v>
      </c>
      <c r="CQ109" s="28">
        <v>0</v>
      </c>
      <c r="CR109" s="28">
        <f t="shared" si="96"/>
        <v>0</v>
      </c>
      <c r="CS109" s="28">
        <v>0</v>
      </c>
      <c r="CT109" s="28">
        <v>0</v>
      </c>
      <c r="CU109" s="28">
        <v>0</v>
      </c>
      <c r="CV109" s="28">
        <v>0</v>
      </c>
      <c r="CW109" s="28">
        <f t="shared" si="105"/>
        <v>0</v>
      </c>
      <c r="CX109" s="28">
        <f t="shared" si="106"/>
        <v>0</v>
      </c>
      <c r="CY109" s="28">
        <f t="shared" si="106"/>
        <v>0</v>
      </c>
      <c r="CZ109" s="28">
        <f t="shared" si="106"/>
        <v>0</v>
      </c>
      <c r="DA109" s="28">
        <f t="shared" si="106"/>
        <v>0</v>
      </c>
      <c r="DB109" s="28">
        <f t="shared" si="97"/>
        <v>0</v>
      </c>
      <c r="DC109" s="28">
        <f t="shared" si="107"/>
        <v>0</v>
      </c>
      <c r="DD109" s="28">
        <f t="shared" si="107"/>
        <v>0</v>
      </c>
      <c r="DE109" s="28">
        <f>SUM(DA109:DD109)</f>
        <v>0</v>
      </c>
      <c r="DF109" s="28">
        <v>0</v>
      </c>
      <c r="DG109" s="28">
        <f t="shared" si="98"/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f t="shared" si="99"/>
        <v>0</v>
      </c>
      <c r="DM109" s="28">
        <v>0</v>
      </c>
      <c r="DN109" s="28">
        <v>0</v>
      </c>
      <c r="DO109" s="28">
        <v>0</v>
      </c>
      <c r="DP109" s="28">
        <v>0</v>
      </c>
      <c r="DQ109" s="28">
        <f t="shared" si="100"/>
        <v>0</v>
      </c>
      <c r="DR109" s="28">
        <v>0</v>
      </c>
      <c r="DS109" s="28">
        <v>0</v>
      </c>
      <c r="DT109" s="28">
        <v>0</v>
      </c>
      <c r="DU109" s="28">
        <v>0</v>
      </c>
      <c r="DV109" s="28">
        <f t="shared" si="101"/>
        <v>0</v>
      </c>
      <c r="DW109" s="28">
        <v>0</v>
      </c>
      <c r="DX109" s="28">
        <v>0</v>
      </c>
      <c r="DY109" s="28">
        <v>0</v>
      </c>
      <c r="DZ109" s="28">
        <v>0</v>
      </c>
      <c r="EA109" s="28">
        <f t="shared" si="102"/>
        <v>0</v>
      </c>
      <c r="EB109" s="28">
        <v>0</v>
      </c>
      <c r="EC109" s="28">
        <v>0</v>
      </c>
      <c r="ED109" s="28">
        <v>0</v>
      </c>
      <c r="EE109" s="28">
        <v>0</v>
      </c>
      <c r="EF109" s="28">
        <f t="shared" si="103"/>
        <v>0</v>
      </c>
      <c r="EG109" s="28">
        <v>0</v>
      </c>
      <c r="EH109" s="28">
        <v>0</v>
      </c>
      <c r="EI109" s="28">
        <v>0</v>
      </c>
    </row>
    <row r="110" spans="1:139" ht="15" thickTop="1" x14ac:dyDescent="0.3">
      <c r="A110" s="1" t="s">
        <v>308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27">
        <v>-16.977</v>
      </c>
      <c r="BK110" s="27">
        <v>-17.205274970000001</v>
      </c>
      <c r="BL110" s="27">
        <v>-27.992350899999995</v>
      </c>
      <c r="BM110" s="27">
        <f>-8.85464037000001+0.3</f>
        <v>-8.5546403700000084</v>
      </c>
      <c r="BN110" s="27">
        <f t="shared" si="90"/>
        <v>-70.729266240000015</v>
      </c>
      <c r="BO110" s="27">
        <v>-23.216720779999999</v>
      </c>
      <c r="BP110" s="27">
        <v>-21.742847069999993</v>
      </c>
      <c r="BQ110" s="27">
        <v>-25.320364386000012</v>
      </c>
      <c r="BR110" s="27">
        <v>-70.119880273999968</v>
      </c>
      <c r="BS110" s="27">
        <f t="shared" si="91"/>
        <v>-140.39981250999998</v>
      </c>
      <c r="BT110" s="27">
        <v>-14.1</v>
      </c>
      <c r="BU110" s="27">
        <v>-21.7</v>
      </c>
      <c r="BV110" s="27">
        <v>-22.7</v>
      </c>
      <c r="BW110" s="27">
        <v>-18.399999999999999</v>
      </c>
      <c r="BX110" s="27">
        <f t="shared" si="92"/>
        <v>-76.900000000000006</v>
      </c>
      <c r="BY110" s="27">
        <v>-14.9</v>
      </c>
      <c r="BZ110" s="27">
        <v>-26.6</v>
      </c>
      <c r="CA110" s="27">
        <v>-10.3</v>
      </c>
      <c r="CB110" s="27">
        <v>-76.3</v>
      </c>
      <c r="CC110" s="27">
        <f t="shared" si="93"/>
        <v>-128.1</v>
      </c>
      <c r="CD110" s="27">
        <f>-31.80083026+3.266</f>
        <v>-28.53483026</v>
      </c>
      <c r="CE110" s="27">
        <v>-25.4</v>
      </c>
      <c r="CF110" s="27">
        <v>-35.200000000000003</v>
      </c>
      <c r="CG110" s="27">
        <v>-29.9</v>
      </c>
      <c r="CH110" s="27">
        <f t="shared" si="94"/>
        <v>-119.03483026000001</v>
      </c>
      <c r="CI110" s="27">
        <v>-29.902269630000006</v>
      </c>
      <c r="CJ110" s="27">
        <v>-29.808259939999992</v>
      </c>
      <c r="CK110" s="27">
        <v>-33.427162360000004</v>
      </c>
      <c r="CL110" s="27">
        <v>-34.784156119999977</v>
      </c>
      <c r="CM110" s="27">
        <f t="shared" si="95"/>
        <v>-127.92184804999998</v>
      </c>
      <c r="CN110" s="27">
        <v>-22.708962389999996</v>
      </c>
      <c r="CO110" s="27">
        <v>-31.222158220000004</v>
      </c>
      <c r="CP110" s="27">
        <v>-30.612241830000002</v>
      </c>
      <c r="CQ110" s="27">
        <f>-104.858-SUM(CN110:CP110)</f>
        <v>-20.314637559999994</v>
      </c>
      <c r="CR110" s="27">
        <f t="shared" si="96"/>
        <v>-104.858</v>
      </c>
      <c r="CS110" s="27">
        <v>-29.65720494</v>
      </c>
      <c r="CT110" s="27">
        <v>-29.622107080000006</v>
      </c>
      <c r="CU110" s="27">
        <v>-29.73040710999998</v>
      </c>
      <c r="CV110" s="27">
        <v>-29.066408630000026</v>
      </c>
      <c r="CW110" s="27">
        <f t="shared" si="105"/>
        <v>-118.07612776000001</v>
      </c>
      <c r="CX110" s="27">
        <v>-28.975999999999999</v>
      </c>
      <c r="CY110" s="27">
        <f>-0.073-28.927</f>
        <v>-29</v>
      </c>
      <c r="CZ110" s="27">
        <f>-0.12-28.639</f>
        <v>-28.759</v>
      </c>
      <c r="DA110" s="27">
        <v>-28.452999999999999</v>
      </c>
      <c r="DB110" s="27">
        <f t="shared" si="97"/>
        <v>-115.188</v>
      </c>
      <c r="DC110" s="27">
        <v>-31.102</v>
      </c>
      <c r="DD110" s="27">
        <v>-26.898</v>
      </c>
      <c r="DE110" s="27">
        <f>-30.483+0.011</f>
        <v>-30.472000000000001</v>
      </c>
      <c r="DF110" s="27">
        <f>-31.291+0.013</f>
        <v>-31.277999999999999</v>
      </c>
      <c r="DG110" s="27">
        <f t="shared" si="98"/>
        <v>-119.75</v>
      </c>
      <c r="DH110" s="27">
        <f>-34.555+0.004</f>
        <v>-34.551000000000002</v>
      </c>
      <c r="DI110" s="27">
        <f>-0.004-34.743</f>
        <v>-34.747</v>
      </c>
      <c r="DJ110" s="27">
        <v>-34.805</v>
      </c>
      <c r="DK110" s="27">
        <v>-34.927999999999997</v>
      </c>
      <c r="DL110" s="27">
        <f t="shared" si="99"/>
        <v>-139.03100000000001</v>
      </c>
      <c r="DM110" s="27">
        <v>-38.948999999999998</v>
      </c>
      <c r="DN110" s="27">
        <v>-38.085000000000001</v>
      </c>
      <c r="DO110" s="27">
        <v>-39.865000000000002</v>
      </c>
      <c r="DP110" s="27">
        <v>-37.253999999999998</v>
      </c>
      <c r="DQ110" s="27">
        <f t="shared" si="100"/>
        <v>-154.15299999999999</v>
      </c>
      <c r="DR110" s="27">
        <v>-37.807000000000002</v>
      </c>
      <c r="DS110" s="27">
        <v>-43.265999999999998</v>
      </c>
      <c r="DT110" s="27">
        <v>-37.807000000000002</v>
      </c>
      <c r="DU110" s="27">
        <v>-41.497</v>
      </c>
      <c r="DV110" s="27">
        <f t="shared" si="101"/>
        <v>-160.37700000000001</v>
      </c>
      <c r="DW110" s="27">
        <v>-43.731999999999999</v>
      </c>
      <c r="DX110" s="27">
        <v>-43.570999999999998</v>
      </c>
      <c r="DY110" s="27">
        <v>-51.941946080000001</v>
      </c>
      <c r="DZ110" s="27">
        <f>0+-41.43920136</f>
        <v>-41.439201359999998</v>
      </c>
      <c r="EA110" s="27">
        <f t="shared" si="102"/>
        <v>-180.68414744</v>
      </c>
      <c r="EB110" s="27">
        <v>-76.343881809999999</v>
      </c>
      <c r="EC110" s="27">
        <v>-73.490056680000009</v>
      </c>
      <c r="ED110" s="27">
        <v>-51.344000000000001</v>
      </c>
      <c r="EE110" s="27">
        <v>-34.756229520000012</v>
      </c>
      <c r="EF110" s="27">
        <f t="shared" si="103"/>
        <v>-235.93416801000001</v>
      </c>
      <c r="EG110" s="27">
        <v>-45.847216960000004</v>
      </c>
      <c r="EH110" s="27">
        <v>-52.591985510000001</v>
      </c>
      <c r="EI110" s="27">
        <v>-51.599228090000004</v>
      </c>
    </row>
    <row r="111" spans="1:139" x14ac:dyDescent="0.3">
      <c r="A111" s="5" t="s">
        <v>311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29">
        <f>SUM(BJ88:BJ110)</f>
        <v>8.6947072200000051</v>
      </c>
      <c r="BK111" s="29">
        <f t="shared" ref="BK111:DT111" si="108">SUM(BK88:BK110)</f>
        <v>7.8502900999999987</v>
      </c>
      <c r="BL111" s="29">
        <f t="shared" si="108"/>
        <v>-0.58711341999999789</v>
      </c>
      <c r="BM111" s="29">
        <f t="shared" si="108"/>
        <v>20.088794549999985</v>
      </c>
      <c r="BN111" s="29">
        <f t="shared" si="108"/>
        <v>36.046678449999973</v>
      </c>
      <c r="BO111" s="29">
        <f t="shared" si="108"/>
        <v>25.01759808000001</v>
      </c>
      <c r="BP111" s="29">
        <f t="shared" si="108"/>
        <v>17.62413827</v>
      </c>
      <c r="BQ111" s="29">
        <f t="shared" si="108"/>
        <v>24.323155493999995</v>
      </c>
      <c r="BR111" s="29">
        <f t="shared" si="108"/>
        <v>-18.158586355363987</v>
      </c>
      <c r="BS111" s="29">
        <f t="shared" si="108"/>
        <v>48.806305488636013</v>
      </c>
      <c r="BT111" s="29">
        <f t="shared" si="108"/>
        <v>18.301376009999998</v>
      </c>
      <c r="BU111" s="29">
        <f t="shared" si="108"/>
        <v>23.898965479999998</v>
      </c>
      <c r="BV111" s="29">
        <f t="shared" si="108"/>
        <v>57.529238500000005</v>
      </c>
      <c r="BW111" s="29">
        <f t="shared" si="108"/>
        <v>16.480670195000002</v>
      </c>
      <c r="BX111" s="29">
        <f t="shared" si="108"/>
        <v>116.21025018500001</v>
      </c>
      <c r="BY111" s="29">
        <f t="shared" si="108"/>
        <v>32.292422160000001</v>
      </c>
      <c r="BZ111" s="29">
        <f t="shared" si="108"/>
        <v>27.06477258999999</v>
      </c>
      <c r="CA111" s="29">
        <f t="shared" si="108"/>
        <v>39.955437129999979</v>
      </c>
      <c r="CB111" s="29">
        <f t="shared" si="108"/>
        <v>26.812376410000013</v>
      </c>
      <c r="CC111" s="29">
        <f t="shared" si="108"/>
        <v>126.12500828999998</v>
      </c>
      <c r="CD111" s="29">
        <f t="shared" si="108"/>
        <v>26.798019060000001</v>
      </c>
      <c r="CE111" s="29">
        <f t="shared" si="108"/>
        <v>42.553898219999986</v>
      </c>
      <c r="CF111" s="29">
        <f t="shared" si="108"/>
        <v>30.839660970000025</v>
      </c>
      <c r="CG111" s="29">
        <f t="shared" si="108"/>
        <v>28.38763342999998</v>
      </c>
      <c r="CH111" s="29">
        <f t="shared" si="108"/>
        <v>128.57921167999999</v>
      </c>
      <c r="CI111" s="29">
        <f t="shared" si="108"/>
        <v>25.14711969999999</v>
      </c>
      <c r="CJ111" s="29">
        <f t="shared" si="108"/>
        <v>32.434573090000001</v>
      </c>
      <c r="CK111" s="29">
        <f t="shared" si="108"/>
        <v>27.894150369999998</v>
      </c>
      <c r="CL111" s="29">
        <f t="shared" si="108"/>
        <v>24.824251420000039</v>
      </c>
      <c r="CM111" s="29">
        <f t="shared" si="108"/>
        <v>110.30009458000002</v>
      </c>
      <c r="CN111" s="29">
        <f t="shared" si="108"/>
        <v>23.360055360000004</v>
      </c>
      <c r="CO111" s="29">
        <f t="shared" si="108"/>
        <v>27.376633629999986</v>
      </c>
      <c r="CP111" s="29">
        <f t="shared" si="108"/>
        <v>30.474118439999991</v>
      </c>
      <c r="CQ111" s="29">
        <f t="shared" si="108"/>
        <v>144.50419257000001</v>
      </c>
      <c r="CR111" s="29">
        <f t="shared" si="108"/>
        <v>225.71499999999997</v>
      </c>
      <c r="CS111" s="29">
        <f t="shared" si="108"/>
        <v>28.299222709999995</v>
      </c>
      <c r="CT111" s="29">
        <f t="shared" si="108"/>
        <v>29.473779260000001</v>
      </c>
      <c r="CU111" s="29">
        <f t="shared" si="108"/>
        <v>25.568373850000015</v>
      </c>
      <c r="CV111" s="29">
        <f t="shared" si="108"/>
        <v>28.602553139999984</v>
      </c>
      <c r="CW111" s="29">
        <f t="shared" si="108"/>
        <v>111.94392895999998</v>
      </c>
      <c r="CX111" s="29">
        <f t="shared" si="108"/>
        <v>30.189</v>
      </c>
      <c r="CY111" s="29">
        <f t="shared" si="108"/>
        <v>29.169999999999995</v>
      </c>
      <c r="CZ111" s="29">
        <f t="shared" si="108"/>
        <v>32.71</v>
      </c>
      <c r="DA111" s="29">
        <f t="shared" si="108"/>
        <v>35.372</v>
      </c>
      <c r="DB111" s="29">
        <f t="shared" si="108"/>
        <v>127.44100000000002</v>
      </c>
      <c r="DC111" s="29">
        <f t="shared" si="108"/>
        <v>36.878</v>
      </c>
      <c r="DD111" s="29">
        <f t="shared" si="108"/>
        <v>39.980000000000004</v>
      </c>
      <c r="DE111" s="29">
        <f t="shared" si="108"/>
        <v>37.457999999999991</v>
      </c>
      <c r="DF111" s="29">
        <f t="shared" si="108"/>
        <v>37.847000000000001</v>
      </c>
      <c r="DG111" s="29">
        <f t="shared" si="108"/>
        <v>152.16300000000001</v>
      </c>
      <c r="DH111" s="29">
        <f t="shared" si="108"/>
        <v>35.697000000000003</v>
      </c>
      <c r="DI111" s="29">
        <f t="shared" si="108"/>
        <v>36.126999999999995</v>
      </c>
      <c r="DJ111" s="29">
        <f t="shared" si="108"/>
        <v>38.922000000000004</v>
      </c>
      <c r="DK111" s="29">
        <f t="shared" si="108"/>
        <v>41.393000000000001</v>
      </c>
      <c r="DL111" s="29">
        <f t="shared" si="108"/>
        <v>152.13900000000001</v>
      </c>
      <c r="DM111" s="29">
        <f t="shared" si="108"/>
        <v>45.191999999999993</v>
      </c>
      <c r="DN111" s="29">
        <f t="shared" si="108"/>
        <v>42.088000000000001</v>
      </c>
      <c r="DO111" s="29">
        <f t="shared" si="108"/>
        <v>34.342999999999996</v>
      </c>
      <c r="DP111" s="29">
        <f t="shared" si="108"/>
        <v>65.02000000000001</v>
      </c>
      <c r="DQ111" s="29">
        <f t="shared" si="108"/>
        <v>186.64300000000006</v>
      </c>
      <c r="DR111" s="29">
        <f t="shared" si="108"/>
        <v>49.278999999999982</v>
      </c>
      <c r="DS111" s="29">
        <f t="shared" si="108"/>
        <v>53.137999999999998</v>
      </c>
      <c r="DT111" s="29">
        <f t="shared" si="108"/>
        <v>53.227999999999994</v>
      </c>
      <c r="DU111" s="29">
        <f t="shared" ref="DU111:EA111" si="109">SUM(DU88:DU110)</f>
        <v>37.147999999999996</v>
      </c>
      <c r="DV111" s="29">
        <f t="shared" si="109"/>
        <v>192.79300000000001</v>
      </c>
      <c r="DW111" s="29">
        <f t="shared" si="109"/>
        <v>55.656000000000006</v>
      </c>
      <c r="DX111" s="29">
        <f t="shared" si="109"/>
        <v>60.636000000000024</v>
      </c>
      <c r="DY111" s="29">
        <f t="shared" si="109"/>
        <v>65.691621479999981</v>
      </c>
      <c r="DZ111" s="29">
        <f t="shared" si="109"/>
        <v>67.884571590000007</v>
      </c>
      <c r="EA111" s="29">
        <f t="shared" si="109"/>
        <v>249.86819307000013</v>
      </c>
      <c r="EB111" s="29">
        <f>SUM(EB88:EB110)</f>
        <v>70.983940700000005</v>
      </c>
      <c r="EC111" s="29">
        <f>SUM(EC88:EC110)</f>
        <v>73.126980369999956</v>
      </c>
      <c r="ED111" s="29">
        <f>SUM(ED88:ED110)</f>
        <v>72.790999999999997</v>
      </c>
      <c r="EE111" s="29">
        <f>SUM(EE88:EE110)</f>
        <v>75.379878640000015</v>
      </c>
      <c r="EF111" s="29">
        <f t="shared" ref="EF111" si="110">SUM(EF88:EF110)</f>
        <v>292.28179970999997</v>
      </c>
      <c r="EG111" s="29">
        <f>SUM(EG88:EG110)</f>
        <v>75.594091429999963</v>
      </c>
      <c r="EH111" s="29">
        <f>SUM(EH88:EH110)</f>
        <v>83.287813689999979</v>
      </c>
      <c r="EI111" s="29">
        <f>SUM(EI88:EI110)</f>
        <v>84.945237539999994</v>
      </c>
    </row>
    <row r="112" spans="1:139" x14ac:dyDescent="0.3">
      <c r="BY112" s="33"/>
      <c r="CD112" s="33"/>
      <c r="CE112" s="33"/>
      <c r="CH112" s="33"/>
    </row>
    <row r="114" spans="1:139" x14ac:dyDescent="0.3">
      <c r="A114" s="3" t="s">
        <v>324</v>
      </c>
      <c r="B114" s="6" t="s">
        <v>4</v>
      </c>
      <c r="C114" s="6" t="s">
        <v>5</v>
      </c>
      <c r="D114" s="6" t="s">
        <v>6</v>
      </c>
      <c r="E114" s="6" t="s">
        <v>7</v>
      </c>
      <c r="F114" s="6">
        <v>2018</v>
      </c>
      <c r="G114" s="6" t="s">
        <v>8</v>
      </c>
      <c r="H114" s="6" t="s">
        <v>9</v>
      </c>
      <c r="I114" s="6" t="s">
        <v>10</v>
      </c>
      <c r="J114" s="6" t="s">
        <v>11</v>
      </c>
      <c r="K114" s="6">
        <v>2019</v>
      </c>
      <c r="L114" s="6" t="s">
        <v>12</v>
      </c>
      <c r="M114" s="6" t="s">
        <v>13</v>
      </c>
      <c r="N114" s="6" t="s">
        <v>14</v>
      </c>
      <c r="O114" s="6" t="s">
        <v>15</v>
      </c>
      <c r="P114" s="6">
        <v>2000</v>
      </c>
      <c r="Q114" s="6" t="s">
        <v>16</v>
      </c>
      <c r="R114" s="6" t="s">
        <v>17</v>
      </c>
      <c r="S114" s="6" t="s">
        <v>18</v>
      </c>
      <c r="T114" s="6" t="s">
        <v>19</v>
      </c>
      <c r="U114" s="6">
        <v>2001</v>
      </c>
      <c r="V114" s="6" t="s">
        <v>20</v>
      </c>
      <c r="W114" s="6" t="s">
        <v>21</v>
      </c>
      <c r="X114" s="6" t="s">
        <v>22</v>
      </c>
      <c r="Y114" s="6" t="s">
        <v>23</v>
      </c>
      <c r="Z114" s="6">
        <v>2002</v>
      </c>
      <c r="AA114" s="6" t="s">
        <v>24</v>
      </c>
      <c r="AB114" s="6" t="s">
        <v>25</v>
      </c>
      <c r="AC114" s="6" t="s">
        <v>26</v>
      </c>
      <c r="AD114" s="6" t="s">
        <v>27</v>
      </c>
      <c r="AE114" s="6">
        <v>2003</v>
      </c>
      <c r="AF114" s="6" t="s">
        <v>28</v>
      </c>
      <c r="AG114" s="6" t="s">
        <v>29</v>
      </c>
      <c r="AH114" s="6" t="s">
        <v>30</v>
      </c>
      <c r="AI114" s="6" t="s">
        <v>31</v>
      </c>
      <c r="AJ114" s="6">
        <v>2004</v>
      </c>
      <c r="AK114" s="6" t="s">
        <v>32</v>
      </c>
      <c r="AL114" s="6" t="s">
        <v>33</v>
      </c>
      <c r="AM114" s="6" t="s">
        <v>34</v>
      </c>
      <c r="AN114" s="6" t="s">
        <v>35</v>
      </c>
      <c r="AO114" s="6">
        <v>2005</v>
      </c>
      <c r="AP114" s="6" t="s">
        <v>36</v>
      </c>
      <c r="AQ114" s="6" t="s">
        <v>37</v>
      </c>
      <c r="AR114" s="6" t="s">
        <v>38</v>
      </c>
      <c r="AS114" s="6" t="s">
        <v>39</v>
      </c>
      <c r="AT114" s="6">
        <v>2006</v>
      </c>
      <c r="AU114" s="6" t="s">
        <v>40</v>
      </c>
      <c r="AV114" s="6" t="s">
        <v>41</v>
      </c>
      <c r="AW114" s="6" t="s">
        <v>42</v>
      </c>
      <c r="AX114" s="6" t="s">
        <v>43</v>
      </c>
      <c r="AY114" s="6">
        <v>2007</v>
      </c>
      <c r="AZ114" s="6" t="s">
        <v>44</v>
      </c>
      <c r="BA114" s="6" t="s">
        <v>45</v>
      </c>
      <c r="BB114" s="6" t="s">
        <v>46</v>
      </c>
      <c r="BC114" s="6" t="s">
        <v>47</v>
      </c>
      <c r="BD114" s="6">
        <v>2008</v>
      </c>
      <c r="BE114" s="6" t="s">
        <v>48</v>
      </c>
      <c r="BF114" s="6" t="s">
        <v>49</v>
      </c>
      <c r="BG114" s="6" t="s">
        <v>50</v>
      </c>
      <c r="BH114" s="6" t="s">
        <v>51</v>
      </c>
      <c r="BI114" s="6">
        <v>2009</v>
      </c>
      <c r="BJ114" s="6" t="s">
        <v>52</v>
      </c>
      <c r="BK114" s="6" t="s">
        <v>53</v>
      </c>
      <c r="BL114" s="6" t="s">
        <v>54</v>
      </c>
      <c r="BM114" s="6" t="s">
        <v>55</v>
      </c>
      <c r="BN114" s="6">
        <v>2010</v>
      </c>
      <c r="BO114" s="6" t="s">
        <v>56</v>
      </c>
      <c r="BP114" s="6" t="s">
        <v>57</v>
      </c>
      <c r="BQ114" s="6" t="s">
        <v>58</v>
      </c>
      <c r="BR114" s="6" t="s">
        <v>59</v>
      </c>
      <c r="BS114" s="6">
        <v>2011</v>
      </c>
      <c r="BT114" s="6" t="s">
        <v>60</v>
      </c>
      <c r="BU114" s="6" t="s">
        <v>61</v>
      </c>
      <c r="BV114" s="6" t="s">
        <v>62</v>
      </c>
      <c r="BW114" s="6" t="s">
        <v>63</v>
      </c>
      <c r="BX114" s="6">
        <v>2012</v>
      </c>
      <c r="BY114" s="6" t="s">
        <v>64</v>
      </c>
      <c r="BZ114" s="6" t="s">
        <v>65</v>
      </c>
      <c r="CA114" s="6" t="s">
        <v>66</v>
      </c>
      <c r="CB114" s="6" t="s">
        <v>67</v>
      </c>
      <c r="CC114" s="6">
        <v>2013</v>
      </c>
      <c r="CD114" s="6" t="s">
        <v>68</v>
      </c>
      <c r="CE114" s="6" t="s">
        <v>69</v>
      </c>
      <c r="CF114" s="6" t="s">
        <v>70</v>
      </c>
      <c r="CG114" s="6" t="s">
        <v>71</v>
      </c>
      <c r="CH114" s="6">
        <v>2014</v>
      </c>
      <c r="CI114" s="6" t="s">
        <v>72</v>
      </c>
      <c r="CJ114" s="6" t="s">
        <v>73</v>
      </c>
      <c r="CK114" s="6" t="s">
        <v>74</v>
      </c>
      <c r="CL114" s="6" t="s">
        <v>75</v>
      </c>
      <c r="CM114" s="6">
        <v>2015</v>
      </c>
      <c r="CN114" s="6" t="s">
        <v>76</v>
      </c>
      <c r="CO114" s="6" t="s">
        <v>77</v>
      </c>
      <c r="CP114" s="6" t="s">
        <v>78</v>
      </c>
      <c r="CQ114" s="6" t="s">
        <v>79</v>
      </c>
      <c r="CR114" s="6">
        <v>2016</v>
      </c>
      <c r="CS114" s="6" t="s">
        <v>80</v>
      </c>
      <c r="CT114" s="6" t="s">
        <v>81</v>
      </c>
      <c r="CU114" s="6" t="s">
        <v>82</v>
      </c>
      <c r="CV114" s="6" t="s">
        <v>83</v>
      </c>
      <c r="CW114" s="6">
        <v>2017</v>
      </c>
      <c r="CX114" s="6" t="s">
        <v>84</v>
      </c>
      <c r="CY114" s="6" t="s">
        <v>85</v>
      </c>
      <c r="CZ114" s="6" t="s">
        <v>86</v>
      </c>
      <c r="DA114" s="6" t="s">
        <v>87</v>
      </c>
      <c r="DB114" s="6">
        <v>2018</v>
      </c>
      <c r="DC114" s="6" t="s">
        <v>88</v>
      </c>
      <c r="DD114" s="6" t="s">
        <v>89</v>
      </c>
      <c r="DE114" s="6" t="s">
        <v>90</v>
      </c>
      <c r="DF114" s="6" t="s">
        <v>91</v>
      </c>
      <c r="DG114" s="6">
        <v>2019</v>
      </c>
      <c r="DH114" s="6" t="s">
        <v>92</v>
      </c>
      <c r="DI114" s="6" t="s">
        <v>93</v>
      </c>
      <c r="DJ114" s="6" t="s">
        <v>94</v>
      </c>
      <c r="DK114" s="6" t="s">
        <v>95</v>
      </c>
      <c r="DL114" s="6">
        <v>2020</v>
      </c>
      <c r="DM114" s="6" t="s">
        <v>96</v>
      </c>
      <c r="DN114" s="6" t="s">
        <v>97</v>
      </c>
      <c r="DO114" s="6" t="s">
        <v>98</v>
      </c>
      <c r="DP114" s="6" t="s">
        <v>99</v>
      </c>
      <c r="DQ114" s="6">
        <v>2021</v>
      </c>
      <c r="DR114" s="6" t="s">
        <v>100</v>
      </c>
      <c r="DS114" s="6" t="s">
        <v>101</v>
      </c>
      <c r="DT114" s="6" t="s">
        <v>200</v>
      </c>
      <c r="DU114" s="6" t="s">
        <v>380</v>
      </c>
      <c r="DV114" s="6">
        <v>2022</v>
      </c>
      <c r="DW114" s="6" t="s">
        <v>379</v>
      </c>
      <c r="DX114" s="6" t="s">
        <v>402</v>
      </c>
      <c r="DY114" s="6" t="s">
        <v>414</v>
      </c>
      <c r="DZ114" s="6" t="s">
        <v>419</v>
      </c>
      <c r="EA114" s="6">
        <v>2023</v>
      </c>
      <c r="EB114" s="6" t="s">
        <v>424</v>
      </c>
      <c r="EC114" s="6" t="s">
        <v>429</v>
      </c>
      <c r="ED114" s="6" t="str">
        <f>$ED$1</f>
        <v>3T24</v>
      </c>
      <c r="EE114" s="6" t="str">
        <f>$EE$1</f>
        <v>4T24</v>
      </c>
      <c r="EF114" s="6">
        <f>$EF$1</f>
        <v>2024</v>
      </c>
      <c r="EG114" s="6" t="str">
        <f>EG$1</f>
        <v>1T25</v>
      </c>
      <c r="EH114" s="6" t="str">
        <f>EH$1</f>
        <v>2T25</v>
      </c>
      <c r="EI114" s="6" t="str">
        <f>EI$1</f>
        <v>3T25</v>
      </c>
    </row>
    <row r="115" spans="1:139" ht="15" thickBot="1" x14ac:dyDescent="0.35">
      <c r="A115" s="4" t="s">
        <v>325</v>
      </c>
      <c r="B115" s="7" t="s">
        <v>102</v>
      </c>
      <c r="C115" s="7" t="s">
        <v>103</v>
      </c>
      <c r="D115" s="7" t="s">
        <v>104</v>
      </c>
      <c r="E115" s="7" t="s">
        <v>105</v>
      </c>
      <c r="F115" s="7">
        <v>2018</v>
      </c>
      <c r="G115" s="7" t="s">
        <v>106</v>
      </c>
      <c r="H115" s="7" t="s">
        <v>107</v>
      </c>
      <c r="I115" s="7" t="s">
        <v>108</v>
      </c>
      <c r="J115" s="7" t="s">
        <v>109</v>
      </c>
      <c r="K115" s="7">
        <v>2019</v>
      </c>
      <c r="L115" s="7" t="s">
        <v>110</v>
      </c>
      <c r="M115" s="7" t="s">
        <v>111</v>
      </c>
      <c r="N115" s="7" t="s">
        <v>112</v>
      </c>
      <c r="O115" s="7" t="s">
        <v>113</v>
      </c>
      <c r="P115" s="7">
        <v>2000</v>
      </c>
      <c r="Q115" s="7" t="s">
        <v>114</v>
      </c>
      <c r="R115" s="7" t="s">
        <v>115</v>
      </c>
      <c r="S115" s="7" t="s">
        <v>116</v>
      </c>
      <c r="T115" s="7" t="s">
        <v>117</v>
      </c>
      <c r="U115" s="7">
        <v>2001</v>
      </c>
      <c r="V115" s="7" t="s">
        <v>118</v>
      </c>
      <c r="W115" s="7" t="s">
        <v>119</v>
      </c>
      <c r="X115" s="7" t="s">
        <v>120</v>
      </c>
      <c r="Y115" s="7" t="s">
        <v>121</v>
      </c>
      <c r="Z115" s="7">
        <v>2002</v>
      </c>
      <c r="AA115" s="7" t="s">
        <v>122</v>
      </c>
      <c r="AB115" s="7" t="s">
        <v>123</v>
      </c>
      <c r="AC115" s="7" t="s">
        <v>124</v>
      </c>
      <c r="AD115" s="7" t="s">
        <v>125</v>
      </c>
      <c r="AE115" s="7">
        <v>2003</v>
      </c>
      <c r="AF115" s="7" t="s">
        <v>126</v>
      </c>
      <c r="AG115" s="7" t="s">
        <v>127</v>
      </c>
      <c r="AH115" s="7" t="s">
        <v>128</v>
      </c>
      <c r="AI115" s="7" t="s">
        <v>129</v>
      </c>
      <c r="AJ115" s="7">
        <v>2004</v>
      </c>
      <c r="AK115" s="7" t="s">
        <v>130</v>
      </c>
      <c r="AL115" s="7" t="s">
        <v>131</v>
      </c>
      <c r="AM115" s="7" t="s">
        <v>132</v>
      </c>
      <c r="AN115" s="7" t="s">
        <v>133</v>
      </c>
      <c r="AO115" s="7">
        <v>2005</v>
      </c>
      <c r="AP115" s="7" t="s">
        <v>134</v>
      </c>
      <c r="AQ115" s="7" t="s">
        <v>135</v>
      </c>
      <c r="AR115" s="7" t="s">
        <v>136</v>
      </c>
      <c r="AS115" s="7" t="s">
        <v>137</v>
      </c>
      <c r="AT115" s="7">
        <v>2006</v>
      </c>
      <c r="AU115" s="7" t="s">
        <v>138</v>
      </c>
      <c r="AV115" s="7" t="s">
        <v>139</v>
      </c>
      <c r="AW115" s="7" t="s">
        <v>140</v>
      </c>
      <c r="AX115" s="7" t="s">
        <v>141</v>
      </c>
      <c r="AY115" s="7">
        <v>2007</v>
      </c>
      <c r="AZ115" s="7" t="s">
        <v>142</v>
      </c>
      <c r="BA115" s="7" t="s">
        <v>143</v>
      </c>
      <c r="BB115" s="7" t="s">
        <v>144</v>
      </c>
      <c r="BC115" s="7" t="s">
        <v>145</v>
      </c>
      <c r="BD115" s="7">
        <v>2008</v>
      </c>
      <c r="BE115" s="7" t="s">
        <v>146</v>
      </c>
      <c r="BF115" s="7" t="s">
        <v>147</v>
      </c>
      <c r="BG115" s="7" t="s">
        <v>148</v>
      </c>
      <c r="BH115" s="7" t="s">
        <v>149</v>
      </c>
      <c r="BI115" s="7">
        <v>2009</v>
      </c>
      <c r="BJ115" s="7" t="s">
        <v>150</v>
      </c>
      <c r="BK115" s="7" t="s">
        <v>151</v>
      </c>
      <c r="BL115" s="7" t="s">
        <v>152</v>
      </c>
      <c r="BM115" s="7" t="s">
        <v>153</v>
      </c>
      <c r="BN115" s="7">
        <v>2010</v>
      </c>
      <c r="BO115" s="7" t="s">
        <v>154</v>
      </c>
      <c r="BP115" s="7" t="s">
        <v>155</v>
      </c>
      <c r="BQ115" s="7" t="s">
        <v>156</v>
      </c>
      <c r="BR115" s="7" t="s">
        <v>157</v>
      </c>
      <c r="BS115" s="7">
        <v>2011</v>
      </c>
      <c r="BT115" s="7" t="s">
        <v>158</v>
      </c>
      <c r="BU115" s="7" t="s">
        <v>159</v>
      </c>
      <c r="BV115" s="7" t="s">
        <v>160</v>
      </c>
      <c r="BW115" s="7" t="s">
        <v>161</v>
      </c>
      <c r="BX115" s="7">
        <v>2012</v>
      </c>
      <c r="BY115" s="7" t="s">
        <v>162</v>
      </c>
      <c r="BZ115" s="7" t="s">
        <v>163</v>
      </c>
      <c r="CA115" s="7" t="s">
        <v>164</v>
      </c>
      <c r="CB115" s="7" t="s">
        <v>165</v>
      </c>
      <c r="CC115" s="7">
        <v>2013</v>
      </c>
      <c r="CD115" s="7" t="s">
        <v>166</v>
      </c>
      <c r="CE115" s="7" t="s">
        <v>167</v>
      </c>
      <c r="CF115" s="7" t="s">
        <v>168</v>
      </c>
      <c r="CG115" s="7" t="s">
        <v>169</v>
      </c>
      <c r="CH115" s="7">
        <v>2014</v>
      </c>
      <c r="CI115" s="7" t="s">
        <v>170</v>
      </c>
      <c r="CJ115" s="7" t="s">
        <v>171</v>
      </c>
      <c r="CK115" s="7" t="s">
        <v>172</v>
      </c>
      <c r="CL115" s="7" t="s">
        <v>173</v>
      </c>
      <c r="CM115" s="7">
        <v>2015</v>
      </c>
      <c r="CN115" s="7" t="s">
        <v>174</v>
      </c>
      <c r="CO115" s="7" t="s">
        <v>175</v>
      </c>
      <c r="CP115" s="7" t="s">
        <v>176</v>
      </c>
      <c r="CQ115" s="7" t="s">
        <v>177</v>
      </c>
      <c r="CR115" s="7">
        <v>2016</v>
      </c>
      <c r="CS115" s="7" t="s">
        <v>178</v>
      </c>
      <c r="CT115" s="7" t="s">
        <v>179</v>
      </c>
      <c r="CU115" s="7" t="s">
        <v>180</v>
      </c>
      <c r="CV115" s="7" t="s">
        <v>181</v>
      </c>
      <c r="CW115" s="7">
        <v>2017</v>
      </c>
      <c r="CX115" s="7" t="s">
        <v>182</v>
      </c>
      <c r="CY115" s="7" t="s">
        <v>183</v>
      </c>
      <c r="CZ115" s="7" t="s">
        <v>184</v>
      </c>
      <c r="DA115" s="7" t="s">
        <v>185</v>
      </c>
      <c r="DB115" s="7">
        <v>2018</v>
      </c>
      <c r="DC115" s="7" t="s">
        <v>186</v>
      </c>
      <c r="DD115" s="7" t="s">
        <v>187</v>
      </c>
      <c r="DE115" s="7" t="s">
        <v>188</v>
      </c>
      <c r="DF115" s="7" t="s">
        <v>189</v>
      </c>
      <c r="DG115" s="7">
        <v>2019</v>
      </c>
      <c r="DH115" s="7" t="s">
        <v>190</v>
      </c>
      <c r="DI115" s="7" t="s">
        <v>191</v>
      </c>
      <c r="DJ115" s="7" t="s">
        <v>192</v>
      </c>
      <c r="DK115" s="7" t="s">
        <v>193</v>
      </c>
      <c r="DL115" s="7">
        <v>2020</v>
      </c>
      <c r="DM115" s="7" t="s">
        <v>194</v>
      </c>
      <c r="DN115" s="7" t="s">
        <v>195</v>
      </c>
      <c r="DO115" s="7" t="s">
        <v>196</v>
      </c>
      <c r="DP115" s="7" t="s">
        <v>197</v>
      </c>
      <c r="DQ115" s="7">
        <v>2021</v>
      </c>
      <c r="DR115" s="7" t="s">
        <v>198</v>
      </c>
      <c r="DS115" s="7" t="s">
        <v>199</v>
      </c>
      <c r="DT115" s="7" t="s">
        <v>201</v>
      </c>
      <c r="DU115" s="7" t="s">
        <v>381</v>
      </c>
      <c r="DV115" s="7">
        <v>2022</v>
      </c>
      <c r="DW115" s="7" t="s">
        <v>382</v>
      </c>
      <c r="DX115" s="7" t="s">
        <v>403</v>
      </c>
      <c r="DY115" s="7" t="s">
        <v>415</v>
      </c>
      <c r="DZ115" s="7" t="s">
        <v>420</v>
      </c>
      <c r="EA115" s="7">
        <v>2023</v>
      </c>
      <c r="EB115" s="7" t="s">
        <v>425</v>
      </c>
      <c r="EC115" s="7" t="s">
        <v>430</v>
      </c>
      <c r="ED115" s="7" t="str">
        <f>$ED$2</f>
        <v>3Q24</v>
      </c>
      <c r="EE115" s="6" t="str">
        <f>$EE$2</f>
        <v>4Q24</v>
      </c>
      <c r="EF115" s="6">
        <f>$EF$2</f>
        <v>2024</v>
      </c>
      <c r="EG115" s="7" t="str">
        <f>EG$2</f>
        <v>1Q25</v>
      </c>
      <c r="EH115" s="7" t="str">
        <f>EH$2</f>
        <v>2Q25</v>
      </c>
      <c r="EI115" s="7" t="str">
        <f>EI$2</f>
        <v>3Q25</v>
      </c>
    </row>
    <row r="116" spans="1:139" ht="15" thickTop="1" x14ac:dyDescent="0.3">
      <c r="A116" s="1" t="s">
        <v>2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27">
        <v>1.68185791</v>
      </c>
      <c r="BK116" s="27">
        <v>1.78621808</v>
      </c>
      <c r="BL116" s="27">
        <v>1.8711568499999991</v>
      </c>
      <c r="BM116" s="27">
        <v>1.8865333500000003</v>
      </c>
      <c r="BN116" s="27">
        <f>SUM(BJ116:BM116)</f>
        <v>7.2257661899999999</v>
      </c>
      <c r="BO116" s="27">
        <v>1.94582012</v>
      </c>
      <c r="BP116" s="27">
        <v>2.0433189899999999</v>
      </c>
      <c r="BQ116" s="27">
        <v>2.2098411800000002</v>
      </c>
      <c r="BR116" s="27">
        <v>2.3924777800000006</v>
      </c>
      <c r="BS116" s="27">
        <f>SUM(BO116:BR116)</f>
        <v>8.5914580699999998</v>
      </c>
      <c r="BT116" s="27">
        <v>2.6559004500000003</v>
      </c>
      <c r="BU116" s="27">
        <v>2.7625753799999999</v>
      </c>
      <c r="BV116" s="27">
        <v>2.94969233</v>
      </c>
      <c r="BW116" s="27">
        <v>3.2945157700000007</v>
      </c>
      <c r="BX116" s="27">
        <f>SUM(BT116:BW116)</f>
        <v>11.66268393</v>
      </c>
      <c r="BY116" s="27">
        <v>2.7693853900000001</v>
      </c>
      <c r="BZ116" s="27">
        <v>2.6525611300000005</v>
      </c>
      <c r="CA116" s="27">
        <v>2.9797349799999999</v>
      </c>
      <c r="CB116" s="27">
        <v>6.3003257599999998</v>
      </c>
      <c r="CC116" s="27">
        <f>SUM(BY116:CB116)</f>
        <v>14.70200726</v>
      </c>
      <c r="CD116" s="27">
        <v>4.4189533299999999</v>
      </c>
      <c r="CE116" s="27">
        <v>4.1046372799999995</v>
      </c>
      <c r="CF116" s="27">
        <v>3.7782837299999992</v>
      </c>
      <c r="CG116" s="27">
        <v>4.0871882800000039</v>
      </c>
      <c r="CH116" s="27">
        <f>SUM(CD116:CG116)</f>
        <v>16.389062620000001</v>
      </c>
      <c r="CI116" s="27">
        <v>6.3318030300000006</v>
      </c>
      <c r="CJ116" s="27">
        <v>5.7100519099999998</v>
      </c>
      <c r="CK116" s="27">
        <v>5.1774617199999993</v>
      </c>
      <c r="CL116" s="27">
        <v>11.696740980000001</v>
      </c>
      <c r="CM116" s="27">
        <f>SUM(CI116:CL116)</f>
        <v>28.916057640000002</v>
      </c>
      <c r="CN116" s="27">
        <v>8.2038534100000007</v>
      </c>
      <c r="CO116" s="27">
        <v>8.1816131299999988</v>
      </c>
      <c r="CP116" s="27">
        <v>8.9058537099999988</v>
      </c>
      <c r="CQ116" s="27">
        <f>33.239-CP116-CO116-CN116</f>
        <v>7.9476797499999989</v>
      </c>
      <c r="CR116" s="27">
        <f>SUM(CN116:CQ116)</f>
        <v>33.238999999999997</v>
      </c>
      <c r="CS116" s="27">
        <v>9.5398045399999987</v>
      </c>
      <c r="CT116" s="27">
        <v>9.8671529000000042</v>
      </c>
      <c r="CU116" s="27">
        <v>10.429046169999996</v>
      </c>
      <c r="CV116" s="27">
        <v>10.335058500000002</v>
      </c>
      <c r="CW116" s="27">
        <f t="shared" ref="CW116:CW127" si="111">SUM(CS116:CV116)</f>
        <v>40.171062110000001</v>
      </c>
      <c r="CX116" s="27">
        <v>11.074</v>
      </c>
      <c r="CY116" s="27">
        <v>12.148999999999999</v>
      </c>
      <c r="CZ116" s="27">
        <v>12.422000000000001</v>
      </c>
      <c r="DA116" s="27">
        <v>12.835000000000001</v>
      </c>
      <c r="DB116" s="27">
        <f>SUM(CX116:DA116)</f>
        <v>48.48</v>
      </c>
      <c r="DC116" s="27">
        <v>11.978999999999999</v>
      </c>
      <c r="DD116" s="27">
        <v>11.579000000000001</v>
      </c>
      <c r="DE116" s="27">
        <v>13.16</v>
      </c>
      <c r="DF116" s="27">
        <v>16.236999999999998</v>
      </c>
      <c r="DG116" s="27">
        <f>SUM(DC116:DF116)</f>
        <v>52.954999999999998</v>
      </c>
      <c r="DH116" s="27">
        <v>12.678000000000001</v>
      </c>
      <c r="DI116" s="27">
        <v>14.516</v>
      </c>
      <c r="DJ116" s="27">
        <v>14.347</v>
      </c>
      <c r="DK116" s="27">
        <v>14.528</v>
      </c>
      <c r="DL116" s="27">
        <f>SUM(DH116:DK116)</f>
        <v>56.069000000000003</v>
      </c>
      <c r="DM116" s="27">
        <v>14.561999999999999</v>
      </c>
      <c r="DN116" s="27">
        <v>15.973000000000001</v>
      </c>
      <c r="DO116" s="27">
        <v>16.542000000000002</v>
      </c>
      <c r="DP116" s="27">
        <v>29.292000000000002</v>
      </c>
      <c r="DQ116" s="27">
        <f>SUM(DM116:DP116)</f>
        <v>76.369</v>
      </c>
      <c r="DR116" s="27">
        <v>0.17199999999999999</v>
      </c>
      <c r="DS116" s="27">
        <v>5.0999999999999997E-2</v>
      </c>
      <c r="DT116" s="27">
        <v>4.8000000000000001E-2</v>
      </c>
      <c r="DU116" s="27">
        <f>-SUM(DR116:DT116)</f>
        <v>-0.27099999999999996</v>
      </c>
      <c r="DV116" s="27">
        <f>SUM(DR116:DU116)</f>
        <v>0</v>
      </c>
      <c r="DW116" s="27">
        <v>0</v>
      </c>
      <c r="DX116" s="27">
        <v>0</v>
      </c>
      <c r="DY116" s="27">
        <v>0</v>
      </c>
      <c r="DZ116" s="27">
        <v>0</v>
      </c>
      <c r="EA116" s="27">
        <f>SUM(DW116:DZ116)</f>
        <v>0</v>
      </c>
      <c r="EB116" s="27">
        <v>0</v>
      </c>
      <c r="EC116" s="27">
        <v>0</v>
      </c>
      <c r="ED116" s="27">
        <v>0</v>
      </c>
      <c r="EE116" s="27">
        <v>0</v>
      </c>
      <c r="EF116" s="27">
        <f>SUM(EB116:EE116)</f>
        <v>0</v>
      </c>
      <c r="EG116" s="27">
        <v>0</v>
      </c>
      <c r="EH116" s="27">
        <v>0</v>
      </c>
      <c r="EI116" s="27">
        <v>0</v>
      </c>
    </row>
    <row r="117" spans="1:139" ht="15" thickBot="1" x14ac:dyDescent="0.35">
      <c r="A117" s="2" t="s">
        <v>454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28">
        <v>1.1472587599999999</v>
      </c>
      <c r="BK117" s="28">
        <v>1.20046231</v>
      </c>
      <c r="BL117" s="28">
        <v>1.30491019</v>
      </c>
      <c r="BM117" s="28">
        <v>1.3390580600000008</v>
      </c>
      <c r="BN117" s="28">
        <f t="shared" ref="BN117:BN138" si="112">SUM(BJ117:BM117)</f>
        <v>4.9916893200000008</v>
      </c>
      <c r="BO117" s="28">
        <v>1.4067838799999999</v>
      </c>
      <c r="BP117" s="28">
        <v>1.51154104</v>
      </c>
      <c r="BQ117" s="28">
        <v>1.5927642500000001</v>
      </c>
      <c r="BR117" s="28">
        <v>1.6871187499999998</v>
      </c>
      <c r="BS117" s="28">
        <f t="shared" ref="BS117:BS138" si="113">SUM(BO117:BR117)</f>
        <v>6.1982079199999998</v>
      </c>
      <c r="BT117" s="28">
        <v>1.6700635699999999</v>
      </c>
      <c r="BU117" s="28">
        <v>1.76194484</v>
      </c>
      <c r="BV117" s="28">
        <v>1.8674662800000004</v>
      </c>
      <c r="BW117" s="28">
        <v>2.1325605599999999</v>
      </c>
      <c r="BX117" s="28">
        <f t="shared" ref="BX117:BX138" si="114">SUM(BT117:BW117)</f>
        <v>7.4320352500000002</v>
      </c>
      <c r="BY117" s="28">
        <v>2.1006320399999998</v>
      </c>
      <c r="BZ117" s="28">
        <v>2.1270844700000007</v>
      </c>
      <c r="CA117" s="28">
        <v>2.2491373799999996</v>
      </c>
      <c r="CB117" s="28">
        <v>3.295203980000001</v>
      </c>
      <c r="CC117" s="28">
        <f t="shared" ref="CC117:CC138" si="115">SUM(BY117:CB117)</f>
        <v>9.7720578700000011</v>
      </c>
      <c r="CD117" s="28">
        <v>2.18289628</v>
      </c>
      <c r="CE117" s="28">
        <v>2.4395882700000002</v>
      </c>
      <c r="CF117" s="28">
        <v>2.5410947900000003</v>
      </c>
      <c r="CG117" s="28">
        <v>7.3770054700000003</v>
      </c>
      <c r="CH117" s="28">
        <f t="shared" ref="CH117:CH138" si="116">SUM(CD117:CG117)</f>
        <v>14.54058481</v>
      </c>
      <c r="CI117" s="28">
        <v>3.93655365</v>
      </c>
      <c r="CJ117" s="28">
        <v>4.8521752500000002</v>
      </c>
      <c r="CK117" s="28">
        <v>4.4988636</v>
      </c>
      <c r="CL117" s="28">
        <v>4.6155539899999969</v>
      </c>
      <c r="CM117" s="28">
        <f t="shared" ref="CM117:CM138" si="117">SUM(CI117:CL117)</f>
        <v>17.903146489999997</v>
      </c>
      <c r="CN117" s="28">
        <v>4.5705425499999999</v>
      </c>
      <c r="CO117" s="28">
        <v>4.8545767900000003</v>
      </c>
      <c r="CP117" s="28">
        <v>5.1910865699999986</v>
      </c>
      <c r="CQ117" s="28">
        <f>19.674-SUM(CN117:CP117)</f>
        <v>5.0577940900000016</v>
      </c>
      <c r="CR117" s="28">
        <f t="shared" ref="CR117:CR138" si="118">SUM(CN117:CQ117)</f>
        <v>19.673999999999999</v>
      </c>
      <c r="CS117" s="28">
        <v>6.74605122</v>
      </c>
      <c r="CT117" s="28">
        <v>7.1158093999999998</v>
      </c>
      <c r="CU117" s="28">
        <v>7.5924736900000003</v>
      </c>
      <c r="CV117" s="28">
        <v>7.7938491999999986</v>
      </c>
      <c r="CW117" s="28">
        <f t="shared" si="111"/>
        <v>29.248183509999997</v>
      </c>
      <c r="CX117" s="28">
        <v>8.702</v>
      </c>
      <c r="CY117" s="28">
        <v>9.3840000000000003</v>
      </c>
      <c r="CZ117" s="28">
        <v>9.2420000000000009</v>
      </c>
      <c r="DA117" s="28">
        <v>10.571999999999999</v>
      </c>
      <c r="DB117" s="28">
        <f t="shared" ref="DB117:DC138" si="119">SUM(CX117:DA117)</f>
        <v>37.9</v>
      </c>
      <c r="DC117" s="28">
        <v>11.363</v>
      </c>
      <c r="DD117" s="28">
        <v>11.869</v>
      </c>
      <c r="DE117" s="28">
        <v>12.429</v>
      </c>
      <c r="DF117" s="28">
        <v>12.875999999999999</v>
      </c>
      <c r="DG117" s="28">
        <f t="shared" ref="DG117:DG138" si="120">SUM(DC117:DF117)</f>
        <v>48.536999999999999</v>
      </c>
      <c r="DH117" s="28">
        <v>11.766</v>
      </c>
      <c r="DI117" s="28">
        <v>14.193</v>
      </c>
      <c r="DJ117" s="28">
        <v>14.154</v>
      </c>
      <c r="DK117" s="28">
        <v>11.997</v>
      </c>
      <c r="DL117" s="28">
        <f t="shared" ref="DL117:DL138" si="121">SUM(DH117:DK117)</f>
        <v>52.11</v>
      </c>
      <c r="DM117" s="28">
        <v>15.237</v>
      </c>
      <c r="DN117" s="28">
        <v>18.774000000000001</v>
      </c>
      <c r="DO117" s="28">
        <v>21.318000000000001</v>
      </c>
      <c r="DP117" s="28">
        <v>27.481999999999999</v>
      </c>
      <c r="DQ117" s="28">
        <f t="shared" ref="DQ117:DQ138" si="122">SUM(DM117:DP117)</f>
        <v>82.811000000000007</v>
      </c>
      <c r="DR117" s="28">
        <v>25.542999999999999</v>
      </c>
      <c r="DS117" s="28">
        <v>25.995000000000001</v>
      </c>
      <c r="DT117" s="28">
        <v>26.364000000000001</v>
      </c>
      <c r="DU117" s="28">
        <v>32.93</v>
      </c>
      <c r="DV117" s="28">
        <f t="shared" ref="DV117:DV138" si="123">SUM(DR117:DU117)</f>
        <v>110.83199999999999</v>
      </c>
      <c r="DW117" s="28">
        <v>34.622</v>
      </c>
      <c r="DX117" s="28">
        <v>32.829000000000001</v>
      </c>
      <c r="DY117" s="28">
        <v>33.628174030000004</v>
      </c>
      <c r="DZ117" s="28">
        <v>37.192191100000002</v>
      </c>
      <c r="EA117" s="28">
        <f t="shared" ref="EA117:EA138" si="124">SUM(DW117:DZ117)</f>
        <v>138.27136512999999</v>
      </c>
      <c r="EB117" s="28">
        <v>46.020830359999998</v>
      </c>
      <c r="EC117" s="28">
        <v>46.488544519999998</v>
      </c>
      <c r="ED117" s="28">
        <v>50.273000000000003</v>
      </c>
      <c r="EE117" s="28">
        <v>49.900551370000002</v>
      </c>
      <c r="EF117" s="28">
        <f t="shared" ref="EF117:EF138" si="125">SUM(EB117:EE117)</f>
        <v>192.68292624999998</v>
      </c>
      <c r="EG117" s="28">
        <v>62.184856979999999</v>
      </c>
      <c r="EH117" s="28">
        <v>57.458376229999999</v>
      </c>
      <c r="EI117" s="28">
        <v>55.433522920000001</v>
      </c>
    </row>
    <row r="118" spans="1:139" ht="15" thickTop="1" x14ac:dyDescent="0.3">
      <c r="A118" s="1" t="s">
        <v>442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27">
        <v>13.97805537</v>
      </c>
      <c r="BK118" s="27">
        <v>14.038949330000001</v>
      </c>
      <c r="BL118" s="27">
        <v>14.244483019999997</v>
      </c>
      <c r="BM118" s="27">
        <v>14.650817699999998</v>
      </c>
      <c r="BN118" s="27">
        <f t="shared" si="112"/>
        <v>56.912305419999996</v>
      </c>
      <c r="BO118" s="27">
        <v>15.1259462</v>
      </c>
      <c r="BP118" s="27">
        <v>15.404503400000001</v>
      </c>
      <c r="BQ118" s="27">
        <v>15.77333537</v>
      </c>
      <c r="BR118" s="27">
        <v>16.18203836</v>
      </c>
      <c r="BS118" s="27">
        <f t="shared" si="113"/>
        <v>62.485823330000002</v>
      </c>
      <c r="BT118" s="27">
        <v>17.251326599999999</v>
      </c>
      <c r="BU118" s="27">
        <v>17.441234090000002</v>
      </c>
      <c r="BV118" s="27">
        <v>16.061277919999995</v>
      </c>
      <c r="BW118" s="27">
        <v>19.973711220000006</v>
      </c>
      <c r="BX118" s="27">
        <f t="shared" si="114"/>
        <v>70.727549830000001</v>
      </c>
      <c r="BY118" s="27">
        <v>18.110770349999999</v>
      </c>
      <c r="BZ118" s="27">
        <v>18.531398930000005</v>
      </c>
      <c r="CA118" s="27">
        <v>19.567327079999995</v>
      </c>
      <c r="CB118" s="27">
        <v>27.228530310000007</v>
      </c>
      <c r="CC118" s="27">
        <f t="shared" si="115"/>
        <v>83.438026670000013</v>
      </c>
      <c r="CD118" s="27">
        <v>26.097179000000001</v>
      </c>
      <c r="CE118" s="27">
        <v>26.574856069999999</v>
      </c>
      <c r="CF118" s="27">
        <v>29.284730399999997</v>
      </c>
      <c r="CG118" s="27">
        <v>39.656430640000011</v>
      </c>
      <c r="CH118" s="27">
        <f t="shared" si="116"/>
        <v>121.61319611</v>
      </c>
      <c r="CI118" s="27">
        <v>30.280328879999999</v>
      </c>
      <c r="CJ118" s="27">
        <v>30.634762540000004</v>
      </c>
      <c r="CK118" s="27">
        <v>30.955427230000005</v>
      </c>
      <c r="CL118" s="27">
        <v>27.167740719999991</v>
      </c>
      <c r="CM118" s="27">
        <f t="shared" si="117"/>
        <v>119.03825936999999</v>
      </c>
      <c r="CN118" s="27">
        <v>32.209892959999998</v>
      </c>
      <c r="CO118" s="27">
        <v>30.76605558</v>
      </c>
      <c r="CP118" s="27">
        <v>31.641435420000001</v>
      </c>
      <c r="CQ118" s="27">
        <f>121.922-SUM(CN118:CP118)</f>
        <v>27.304616039999999</v>
      </c>
      <c r="CR118" s="27">
        <f t="shared" si="118"/>
        <v>121.922</v>
      </c>
      <c r="CS118" s="27">
        <v>36.799191899999997</v>
      </c>
      <c r="CT118" s="27">
        <v>36.944164979999996</v>
      </c>
      <c r="CU118" s="27">
        <v>37.362363290000005</v>
      </c>
      <c r="CV118" s="27">
        <v>38.710657279999978</v>
      </c>
      <c r="CW118" s="27">
        <f t="shared" si="111"/>
        <v>149.81637744999998</v>
      </c>
      <c r="CX118" s="27">
        <v>39.481999999999999</v>
      </c>
      <c r="CY118" s="27">
        <v>38.988999999999997</v>
      </c>
      <c r="CZ118" s="27">
        <v>38.072000000000003</v>
      </c>
      <c r="DA118" s="27">
        <v>14.016999999999999</v>
      </c>
      <c r="DB118" s="27">
        <f t="shared" si="119"/>
        <v>130.56</v>
      </c>
      <c r="DC118" s="27">
        <v>35.151000000000003</v>
      </c>
      <c r="DD118" s="27">
        <v>35.973999999999997</v>
      </c>
      <c r="DE118" s="27">
        <v>36.859000000000002</v>
      </c>
      <c r="DF118" s="27">
        <v>42.725000000000001</v>
      </c>
      <c r="DG118" s="27">
        <f t="shared" si="120"/>
        <v>150.709</v>
      </c>
      <c r="DH118" s="27">
        <v>31.712</v>
      </c>
      <c r="DI118" s="27">
        <v>29.445</v>
      </c>
      <c r="DJ118" s="27">
        <v>31.556000000000001</v>
      </c>
      <c r="DK118" s="27">
        <v>9.8859999999999992</v>
      </c>
      <c r="DL118" s="27">
        <f t="shared" si="121"/>
        <v>102.59899999999999</v>
      </c>
      <c r="DM118" s="27">
        <v>27.042999999999999</v>
      </c>
      <c r="DN118" s="27">
        <v>27.571999999999999</v>
      </c>
      <c r="DO118" s="27">
        <v>27.34</v>
      </c>
      <c r="DP118" s="27">
        <v>22.253</v>
      </c>
      <c r="DQ118" s="27">
        <f t="shared" si="122"/>
        <v>104.208</v>
      </c>
      <c r="DR118" s="27">
        <v>30.626999999999999</v>
      </c>
      <c r="DS118" s="27">
        <v>32.35</v>
      </c>
      <c r="DT118" s="27">
        <v>35.246000000000002</v>
      </c>
      <c r="DU118" s="27">
        <v>29.594000000000001</v>
      </c>
      <c r="DV118" s="27">
        <f t="shared" si="123"/>
        <v>127.81700000000001</v>
      </c>
      <c r="DW118" s="27">
        <v>34.728999999999999</v>
      </c>
      <c r="DX118" s="27">
        <v>34.454999999999998</v>
      </c>
      <c r="DY118" s="27">
        <v>33.729774040000009</v>
      </c>
      <c r="DZ118" s="27">
        <v>44.812773340000007</v>
      </c>
      <c r="EA118" s="27">
        <f t="shared" si="124"/>
        <v>147.72654738</v>
      </c>
      <c r="EB118" s="27">
        <v>37.551579880000006</v>
      </c>
      <c r="EC118" s="27">
        <v>38.642815259999999</v>
      </c>
      <c r="ED118" s="27">
        <v>42.186</v>
      </c>
      <c r="EE118" s="27">
        <v>48.400790390000019</v>
      </c>
      <c r="EF118" s="27">
        <f t="shared" si="125"/>
        <v>166.78118553000004</v>
      </c>
      <c r="EG118" s="27">
        <v>48.837129270000005</v>
      </c>
      <c r="EH118" s="27">
        <v>50.283854929999997</v>
      </c>
      <c r="EI118" s="27">
        <v>64.640381790000006</v>
      </c>
    </row>
    <row r="119" spans="1:139" ht="15" thickBot="1" x14ac:dyDescent="0.35">
      <c r="A119" s="2" t="s">
        <v>3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28">
        <v>1.85223111</v>
      </c>
      <c r="BK119" s="28">
        <v>1.8319678500000003</v>
      </c>
      <c r="BL119" s="28">
        <v>1.84577897</v>
      </c>
      <c r="BM119" s="28">
        <v>7.8781127299999998</v>
      </c>
      <c r="BN119" s="28">
        <f t="shared" si="112"/>
        <v>13.408090659999999</v>
      </c>
      <c r="BO119" s="28">
        <v>8.4493995000000002</v>
      </c>
      <c r="BP119" s="28">
        <v>8.236000940000002</v>
      </c>
      <c r="BQ119" s="28">
        <v>7.7275126099999962</v>
      </c>
      <c r="BR119" s="28">
        <v>7.7932162199999961</v>
      </c>
      <c r="BS119" s="28">
        <f t="shared" si="113"/>
        <v>32.206129269999998</v>
      </c>
      <c r="BT119" s="28">
        <v>8.6956822499999991</v>
      </c>
      <c r="BU119" s="28">
        <v>8.8770085100000014</v>
      </c>
      <c r="BV119" s="28">
        <v>9.1745013000000011</v>
      </c>
      <c r="BW119" s="28">
        <v>9.9574631299999918</v>
      </c>
      <c r="BX119" s="28">
        <f t="shared" si="114"/>
        <v>36.704655189999997</v>
      </c>
      <c r="BY119" s="28">
        <v>9.0524476099999998</v>
      </c>
      <c r="BZ119" s="28">
        <v>9.2272722300000023</v>
      </c>
      <c r="CA119" s="28">
        <v>9.3632988899999976</v>
      </c>
      <c r="CB119" s="28">
        <v>11.21685495</v>
      </c>
      <c r="CC119" s="28">
        <f t="shared" si="115"/>
        <v>38.85987368</v>
      </c>
      <c r="CD119" s="28">
        <v>10.243179809999999</v>
      </c>
      <c r="CE119" s="28">
        <v>10.22051731</v>
      </c>
      <c r="CF119" s="28">
        <v>10.237045529999998</v>
      </c>
      <c r="CG119" s="28">
        <v>13.072189540000005</v>
      </c>
      <c r="CH119" s="28">
        <f t="shared" si="116"/>
        <v>43.772932189999999</v>
      </c>
      <c r="CI119" s="28">
        <v>11.381150740000001</v>
      </c>
      <c r="CJ119" s="28">
        <v>11.519133869999999</v>
      </c>
      <c r="CK119" s="28">
        <v>11.95894069</v>
      </c>
      <c r="CL119" s="28">
        <v>12.033509709999999</v>
      </c>
      <c r="CM119" s="28">
        <f t="shared" si="117"/>
        <v>46.892735009999996</v>
      </c>
      <c r="CN119" s="28">
        <v>12.3033023</v>
      </c>
      <c r="CO119" s="28">
        <v>12.534262120000003</v>
      </c>
      <c r="CP119" s="28">
        <v>12.869485530000004</v>
      </c>
      <c r="CQ119" s="28">
        <f>51.781-SUM(CN119:CP119)</f>
        <v>14.073950049999993</v>
      </c>
      <c r="CR119" s="28">
        <f t="shared" si="118"/>
        <v>51.780999999999999</v>
      </c>
      <c r="CS119" s="28">
        <v>15.00556592</v>
      </c>
      <c r="CT119" s="28">
        <v>15.33660701</v>
      </c>
      <c r="CU119" s="28">
        <v>15.606714369999994</v>
      </c>
      <c r="CV119" s="28">
        <v>16.115060679999999</v>
      </c>
      <c r="CW119" s="28">
        <f t="shared" si="111"/>
        <v>62.063947979999995</v>
      </c>
      <c r="CX119" s="28">
        <v>18.297999999999998</v>
      </c>
      <c r="CY119" s="28">
        <v>20.111999999999998</v>
      </c>
      <c r="CZ119" s="28">
        <v>20.821000000000002</v>
      </c>
      <c r="DA119" s="28">
        <v>22.495999999999999</v>
      </c>
      <c r="DB119" s="28">
        <f t="shared" si="119"/>
        <v>81.72699999999999</v>
      </c>
      <c r="DC119" s="28">
        <v>23.751000000000001</v>
      </c>
      <c r="DD119" s="28">
        <v>24.013000000000002</v>
      </c>
      <c r="DE119" s="28">
        <v>24.187000000000001</v>
      </c>
      <c r="DF119" s="28">
        <v>25.721</v>
      </c>
      <c r="DG119" s="28">
        <f t="shared" si="120"/>
        <v>97.672000000000011</v>
      </c>
      <c r="DH119" s="28">
        <v>24.745999999999999</v>
      </c>
      <c r="DI119" s="28">
        <v>25.091999999999999</v>
      </c>
      <c r="DJ119" s="28">
        <v>25.212</v>
      </c>
      <c r="DK119" s="28">
        <v>29.021000000000001</v>
      </c>
      <c r="DL119" s="28">
        <f t="shared" si="121"/>
        <v>104.071</v>
      </c>
      <c r="DM119" s="28">
        <v>39.71</v>
      </c>
      <c r="DN119" s="28">
        <v>42.722000000000001</v>
      </c>
      <c r="DO119" s="28">
        <v>44.241</v>
      </c>
      <c r="DP119" s="28">
        <v>22.193000000000001</v>
      </c>
      <c r="DQ119" s="28">
        <f t="shared" si="122"/>
        <v>148.86600000000001</v>
      </c>
      <c r="DR119" s="28">
        <v>0.33700000000000002</v>
      </c>
      <c r="DS119" s="28">
        <v>-0.70599999999999996</v>
      </c>
      <c r="DT119" s="28">
        <v>0.13</v>
      </c>
      <c r="DU119" s="28">
        <f>-SUM(DR119:DT119)</f>
        <v>0.23899999999999993</v>
      </c>
      <c r="DV119" s="28">
        <f t="shared" si="123"/>
        <v>0</v>
      </c>
      <c r="DW119" s="28">
        <v>0</v>
      </c>
      <c r="DX119" s="28">
        <v>0</v>
      </c>
      <c r="DY119" s="28">
        <v>0</v>
      </c>
      <c r="DZ119" s="28">
        <v>0</v>
      </c>
      <c r="EA119" s="28">
        <f t="shared" si="124"/>
        <v>0</v>
      </c>
      <c r="EB119" s="28">
        <v>0</v>
      </c>
      <c r="EC119" s="28">
        <v>0</v>
      </c>
      <c r="ED119" s="28">
        <v>3.0000000000000001E-3</v>
      </c>
      <c r="EE119" s="28">
        <v>-3.4425100000000002E-3</v>
      </c>
      <c r="EF119" s="28">
        <f t="shared" si="125"/>
        <v>-4.4251000000000013E-4</v>
      </c>
      <c r="EG119" s="28">
        <v>0</v>
      </c>
      <c r="EH119" s="28">
        <v>0</v>
      </c>
      <c r="EI119" s="28">
        <v>0</v>
      </c>
    </row>
    <row r="120" spans="1:139" ht="15" thickTop="1" x14ac:dyDescent="0.3">
      <c r="A120" s="1" t="s">
        <v>443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27">
        <v>3.6848242300000003</v>
      </c>
      <c r="BK120" s="27">
        <v>3.8575810499999994</v>
      </c>
      <c r="BL120" s="27">
        <v>4.1433869299999992</v>
      </c>
      <c r="BM120" s="27">
        <v>4.3337348200000001</v>
      </c>
      <c r="BN120" s="27">
        <f t="shared" si="112"/>
        <v>16.019527029999999</v>
      </c>
      <c r="BO120" s="27">
        <v>4.5976123900000001</v>
      </c>
      <c r="BP120" s="27">
        <v>4.7851505799999998</v>
      </c>
      <c r="BQ120" s="27">
        <v>4.9359098299999999</v>
      </c>
      <c r="BR120" s="27">
        <v>5.2056659000000014</v>
      </c>
      <c r="BS120" s="27">
        <f t="shared" si="113"/>
        <v>19.524338700000001</v>
      </c>
      <c r="BT120" s="27">
        <v>5.3066512399999999</v>
      </c>
      <c r="BU120" s="27">
        <v>5.7264935800000023</v>
      </c>
      <c r="BV120" s="27">
        <v>6.0022688899999972</v>
      </c>
      <c r="BW120" s="27">
        <v>6.5683202800000027</v>
      </c>
      <c r="BX120" s="27">
        <f t="shared" si="114"/>
        <v>23.603733990000002</v>
      </c>
      <c r="BY120" s="27">
        <v>6.0209667300000005</v>
      </c>
      <c r="BZ120" s="27">
        <v>6.3552910900000006</v>
      </c>
      <c r="CA120" s="27">
        <v>6.5951440399999983</v>
      </c>
      <c r="CB120" s="27">
        <v>15.003447319999999</v>
      </c>
      <c r="CC120" s="27">
        <f t="shared" si="115"/>
        <v>33.97484918</v>
      </c>
      <c r="CD120" s="27">
        <v>9.8044558100000003</v>
      </c>
      <c r="CE120" s="27">
        <v>9.7219496099999994</v>
      </c>
      <c r="CF120" s="27">
        <v>10.20250888</v>
      </c>
      <c r="CG120" s="27">
        <v>7.5522800399999994</v>
      </c>
      <c r="CH120" s="27">
        <f t="shared" si="116"/>
        <v>37.281194339999999</v>
      </c>
      <c r="CI120" s="27">
        <v>9.7905283399999998</v>
      </c>
      <c r="CJ120" s="27">
        <v>9.9770893400000009</v>
      </c>
      <c r="CK120" s="27">
        <v>10.209827490000004</v>
      </c>
      <c r="CL120" s="27">
        <v>10.487194159999996</v>
      </c>
      <c r="CM120" s="27">
        <f t="shared" si="117"/>
        <v>40.464639329999997</v>
      </c>
      <c r="CN120" s="27">
        <v>8.428764880000001</v>
      </c>
      <c r="CO120" s="27">
        <v>8.5888832900000001</v>
      </c>
      <c r="CP120" s="27">
        <v>8.4954581899999955</v>
      </c>
      <c r="CQ120" s="27">
        <f>31.953-SUM(CN120:CP120)</f>
        <v>6.4398936400000046</v>
      </c>
      <c r="CR120" s="27">
        <f t="shared" si="118"/>
        <v>31.952999999999999</v>
      </c>
      <c r="CS120" s="27">
        <v>12.948856490000001</v>
      </c>
      <c r="CT120" s="27">
        <v>13.194537389999997</v>
      </c>
      <c r="CU120" s="27">
        <v>13.812292939999999</v>
      </c>
      <c r="CV120" s="27">
        <v>12.481385540000005</v>
      </c>
      <c r="CW120" s="27">
        <f t="shared" si="111"/>
        <v>52.437072360000002</v>
      </c>
      <c r="CX120" s="27">
        <v>15.842000000000001</v>
      </c>
      <c r="CY120" s="27">
        <v>12.787000000000001</v>
      </c>
      <c r="CZ120" s="27">
        <v>14.721</v>
      </c>
      <c r="DA120" s="27">
        <v>2.9980000000000002</v>
      </c>
      <c r="DB120" s="27">
        <f t="shared" si="119"/>
        <v>46.347999999999999</v>
      </c>
      <c r="DC120" s="27">
        <v>14.590999999999999</v>
      </c>
      <c r="DD120" s="27">
        <v>14.7</v>
      </c>
      <c r="DE120" s="27">
        <v>13.221</v>
      </c>
      <c r="DF120" s="27">
        <v>-4.9050000000000002</v>
      </c>
      <c r="DG120" s="27">
        <f t="shared" si="120"/>
        <v>37.606999999999999</v>
      </c>
      <c r="DH120" s="27">
        <v>8.3729999999999993</v>
      </c>
      <c r="DI120" s="27">
        <v>6.1520000000000001</v>
      </c>
      <c r="DJ120" s="27">
        <v>7.2110000000000003</v>
      </c>
      <c r="DK120" s="27">
        <v>11.561</v>
      </c>
      <c r="DL120" s="27">
        <f t="shared" si="121"/>
        <v>33.296999999999997</v>
      </c>
      <c r="DM120" s="27">
        <v>9.4649999999999999</v>
      </c>
      <c r="DN120" s="27">
        <v>9.7279999999999998</v>
      </c>
      <c r="DO120" s="27">
        <v>10.127000000000001</v>
      </c>
      <c r="DP120" s="27">
        <v>18.553000000000001</v>
      </c>
      <c r="DQ120" s="27">
        <f t="shared" si="122"/>
        <v>47.873000000000005</v>
      </c>
      <c r="DR120" s="27">
        <v>11.333</v>
      </c>
      <c r="DS120" s="27">
        <v>11.102</v>
      </c>
      <c r="DT120" s="27">
        <v>11.275</v>
      </c>
      <c r="DU120" s="27">
        <v>11.196999999999999</v>
      </c>
      <c r="DV120" s="27">
        <f t="shared" si="123"/>
        <v>44.906999999999996</v>
      </c>
      <c r="DW120" s="27">
        <v>11.239000000000001</v>
      </c>
      <c r="DX120" s="27">
        <v>11.472</v>
      </c>
      <c r="DY120" s="27">
        <v>11.256876460000001</v>
      </c>
      <c r="DZ120" s="27">
        <v>19.932136660000005</v>
      </c>
      <c r="EA120" s="27">
        <f t="shared" si="124"/>
        <v>53.900013120000004</v>
      </c>
      <c r="EB120" s="27">
        <v>15.22948506</v>
      </c>
      <c r="EC120" s="27">
        <v>15.90158699</v>
      </c>
      <c r="ED120" s="27">
        <v>16.527000000000001</v>
      </c>
      <c r="EE120" s="27">
        <v>25.212020689999999</v>
      </c>
      <c r="EF120" s="27">
        <f t="shared" si="125"/>
        <v>72.870092740000004</v>
      </c>
      <c r="EG120" s="27">
        <v>21.60616319</v>
      </c>
      <c r="EH120" s="27">
        <v>21.00308412</v>
      </c>
      <c r="EI120" s="27">
        <v>20.606347769999996</v>
      </c>
    </row>
    <row r="121" spans="1:139" ht="15" thickBot="1" x14ac:dyDescent="0.35">
      <c r="A121" s="2" t="s">
        <v>481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28">
        <v>0</v>
      </c>
      <c r="BK121" s="28">
        <v>0</v>
      </c>
      <c r="BL121" s="28">
        <v>0</v>
      </c>
      <c r="BM121" s="28">
        <v>0</v>
      </c>
      <c r="BN121" s="28">
        <f t="shared" si="112"/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f t="shared" si="113"/>
        <v>0</v>
      </c>
      <c r="BT121" s="28">
        <v>0</v>
      </c>
      <c r="BU121" s="28">
        <v>0</v>
      </c>
      <c r="BV121" s="28">
        <v>1.1104929999999999E-2</v>
      </c>
      <c r="BW121" s="28">
        <v>-3.4694469519536142E-18</v>
      </c>
      <c r="BX121" s="28">
        <f t="shared" si="114"/>
        <v>1.1104929999999995E-2</v>
      </c>
      <c r="BY121" s="28">
        <v>0</v>
      </c>
      <c r="BZ121" s="28">
        <v>6.3241290000000006E-2</v>
      </c>
      <c r="CA121" s="28">
        <v>-6.2768870000000004E-2</v>
      </c>
      <c r="CB121" s="28">
        <v>0.20110125000000001</v>
      </c>
      <c r="CC121" s="28">
        <f t="shared" si="115"/>
        <v>0.20157367000000001</v>
      </c>
      <c r="CD121" s="28">
        <v>7.2885100000000425E-2</v>
      </c>
      <c r="CE121" s="28">
        <v>3.6722699099999994</v>
      </c>
      <c r="CF121" s="28">
        <v>1.7094828400000004</v>
      </c>
      <c r="CG121" s="28">
        <v>3.2225503799999999</v>
      </c>
      <c r="CH121" s="28">
        <f t="shared" si="116"/>
        <v>8.6771882300000005</v>
      </c>
      <c r="CI121" s="28">
        <v>3.90921472</v>
      </c>
      <c r="CJ121" s="28">
        <v>4.5017097899999996</v>
      </c>
      <c r="CK121" s="28">
        <v>4.6540488200000016</v>
      </c>
      <c r="CL121" s="28">
        <v>4.7160524899999992</v>
      </c>
      <c r="CM121" s="28">
        <f t="shared" si="117"/>
        <v>17.78102582</v>
      </c>
      <c r="CN121" s="28">
        <v>3.9970354100000001</v>
      </c>
      <c r="CO121" s="28">
        <v>4.0740155700000003</v>
      </c>
      <c r="CP121" s="28">
        <v>4.1334979399999998</v>
      </c>
      <c r="CQ121" s="28">
        <f>15.813-SUM(CN121:CP121)</f>
        <v>3.60845108</v>
      </c>
      <c r="CR121" s="28">
        <f t="shared" si="118"/>
        <v>15.813000000000001</v>
      </c>
      <c r="CS121" s="28">
        <v>4.9253175999999996</v>
      </c>
      <c r="CT121" s="28">
        <v>5.4727109000000009</v>
      </c>
      <c r="CU121" s="28">
        <v>5.6409520699999991</v>
      </c>
      <c r="CV121" s="28">
        <v>6.7045868199999976</v>
      </c>
      <c r="CW121" s="28">
        <f t="shared" si="111"/>
        <v>22.743567389999995</v>
      </c>
      <c r="CX121" s="28">
        <v>6.3079999999999998</v>
      </c>
      <c r="CY121" s="28">
        <v>7.1589999999999998</v>
      </c>
      <c r="CZ121" s="28">
        <v>7.1870000000000003</v>
      </c>
      <c r="DA121" s="28">
        <v>8.7780000000000005</v>
      </c>
      <c r="DB121" s="28">
        <f t="shared" si="119"/>
        <v>29.432000000000002</v>
      </c>
      <c r="DC121" s="28">
        <v>8.9369999999999994</v>
      </c>
      <c r="DD121" s="28">
        <v>9.2240000000000002</v>
      </c>
      <c r="DE121" s="28">
        <v>9.8979999999999997</v>
      </c>
      <c r="DF121" s="28">
        <v>11.317</v>
      </c>
      <c r="DG121" s="28">
        <f t="shared" si="120"/>
        <v>39.376000000000005</v>
      </c>
      <c r="DH121" s="28">
        <v>10.308999999999999</v>
      </c>
      <c r="DI121" s="28">
        <v>10.737</v>
      </c>
      <c r="DJ121" s="28">
        <v>11.465</v>
      </c>
      <c r="DK121" s="28">
        <v>14.557</v>
      </c>
      <c r="DL121" s="28">
        <f t="shared" si="121"/>
        <v>47.067999999999998</v>
      </c>
      <c r="DM121" s="28">
        <v>13.865</v>
      </c>
      <c r="DN121" s="28">
        <v>15.673</v>
      </c>
      <c r="DO121" s="28">
        <v>14.156000000000001</v>
      </c>
      <c r="DP121" s="28">
        <v>12.022</v>
      </c>
      <c r="DQ121" s="28">
        <f t="shared" si="122"/>
        <v>55.716000000000001</v>
      </c>
      <c r="DR121" s="28">
        <v>14.315</v>
      </c>
      <c r="DS121" s="28">
        <v>14.734999999999999</v>
      </c>
      <c r="DT121" s="28">
        <v>16.45</v>
      </c>
      <c r="DU121" s="28">
        <v>20.204999999999998</v>
      </c>
      <c r="DV121" s="28">
        <f t="shared" si="123"/>
        <v>65.704999999999998</v>
      </c>
      <c r="DW121" s="28">
        <v>19.552</v>
      </c>
      <c r="DX121" s="28">
        <v>19.821000000000002</v>
      </c>
      <c r="DY121" s="28">
        <v>19.645606279999992</v>
      </c>
      <c r="DZ121" s="28">
        <v>23.616514460000008</v>
      </c>
      <c r="EA121" s="28">
        <f t="shared" si="124"/>
        <v>82.635120740000005</v>
      </c>
      <c r="EB121" s="28">
        <v>20.101959059999999</v>
      </c>
      <c r="EC121" s="28">
        <v>21.018224660000001</v>
      </c>
      <c r="ED121" s="28">
        <v>22.795999999999999</v>
      </c>
      <c r="EE121" s="28">
        <v>24.985543749999991</v>
      </c>
      <c r="EF121" s="28">
        <f t="shared" si="125"/>
        <v>88.901727469999997</v>
      </c>
      <c r="EG121" s="28">
        <v>25.414387089999998</v>
      </c>
      <c r="EH121" s="28">
        <v>27.375326720000004</v>
      </c>
      <c r="EI121" s="28">
        <v>25.667295519999996</v>
      </c>
    </row>
    <row r="122" spans="1:139" ht="15" thickTop="1" x14ac:dyDescent="0.3">
      <c r="A122" s="1" t="s">
        <v>445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27">
        <v>0</v>
      </c>
      <c r="BK122" s="27">
        <v>0</v>
      </c>
      <c r="BL122" s="27">
        <v>0</v>
      </c>
      <c r="BM122" s="27">
        <v>0</v>
      </c>
      <c r="BN122" s="27">
        <f t="shared" si="112"/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f t="shared" si="113"/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f t="shared" si="114"/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f t="shared" si="115"/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f t="shared" si="116"/>
        <v>0</v>
      </c>
      <c r="CI122" s="27">
        <v>0</v>
      </c>
      <c r="CJ122" s="27">
        <v>1.6618E-3</v>
      </c>
      <c r="CK122" s="27">
        <v>8.873433E-2</v>
      </c>
      <c r="CL122" s="27">
        <v>1.35491245</v>
      </c>
      <c r="CM122" s="27">
        <f t="shared" si="117"/>
        <v>1.4453085800000001</v>
      </c>
      <c r="CN122" s="27">
        <v>0.74045593999999992</v>
      </c>
      <c r="CO122" s="27">
        <v>0.88917802000000012</v>
      </c>
      <c r="CP122" s="27">
        <v>1.0404222999999999</v>
      </c>
      <c r="CQ122" s="27">
        <f>3.833-SUM(CN122:CP122)</f>
        <v>1.1629437400000002</v>
      </c>
      <c r="CR122" s="27">
        <f t="shared" si="118"/>
        <v>3.8330000000000002</v>
      </c>
      <c r="CS122" s="27">
        <v>1.37192008</v>
      </c>
      <c r="CT122" s="27">
        <v>1.6091063400000001</v>
      </c>
      <c r="CU122" s="27">
        <v>2.0436976600000003</v>
      </c>
      <c r="CV122" s="27">
        <v>2.1186951899999995</v>
      </c>
      <c r="CW122" s="27">
        <f t="shared" si="111"/>
        <v>7.1434192699999999</v>
      </c>
      <c r="CX122" s="27">
        <v>1.456</v>
      </c>
      <c r="CY122" s="27">
        <v>2.73</v>
      </c>
      <c r="CZ122" s="27">
        <v>2.222</v>
      </c>
      <c r="DA122" s="27">
        <v>2.524</v>
      </c>
      <c r="DB122" s="27">
        <f t="shared" si="119"/>
        <v>8.9319999999999986</v>
      </c>
      <c r="DC122" s="27">
        <v>3.14</v>
      </c>
      <c r="DD122" s="27">
        <v>3.7040000000000002</v>
      </c>
      <c r="DE122" s="27">
        <v>4.3330000000000002</v>
      </c>
      <c r="DF122" s="27">
        <v>4.58</v>
      </c>
      <c r="DG122" s="27">
        <f t="shared" si="120"/>
        <v>15.757</v>
      </c>
      <c r="DH122" s="27">
        <v>2.5339999999999998</v>
      </c>
      <c r="DI122" s="27">
        <v>3.1379999999999999</v>
      </c>
      <c r="DJ122" s="27">
        <v>3.3809999999999998</v>
      </c>
      <c r="DK122" s="27">
        <v>4.7729999999999997</v>
      </c>
      <c r="DL122" s="27">
        <f t="shared" si="121"/>
        <v>13.825999999999999</v>
      </c>
      <c r="DM122" s="27">
        <v>4.84</v>
      </c>
      <c r="DN122" s="27">
        <v>4.1310000000000002</v>
      </c>
      <c r="DO122" s="27">
        <v>4.5570000000000004</v>
      </c>
      <c r="DP122" s="27">
        <v>4.7729999999999997</v>
      </c>
      <c r="DQ122" s="27">
        <f t="shared" si="122"/>
        <v>18.301000000000002</v>
      </c>
      <c r="DR122" s="27">
        <v>4.8780000000000001</v>
      </c>
      <c r="DS122" s="27">
        <v>5.0789999999999997</v>
      </c>
      <c r="DT122" s="27">
        <v>5.1029999999999998</v>
      </c>
      <c r="DU122" s="27">
        <v>4.6420000000000003</v>
      </c>
      <c r="DV122" s="27">
        <f t="shared" si="123"/>
        <v>19.702000000000002</v>
      </c>
      <c r="DW122" s="27">
        <v>6.9820000000000002</v>
      </c>
      <c r="DX122" s="27">
        <v>7.0750000000000002</v>
      </c>
      <c r="DY122" s="27">
        <v>7.1608267900000007</v>
      </c>
      <c r="DZ122" s="27">
        <v>7.7256424699999986</v>
      </c>
      <c r="EA122" s="27">
        <f t="shared" si="124"/>
        <v>28.943469260000001</v>
      </c>
      <c r="EB122" s="27">
        <v>7.6295142199999999</v>
      </c>
      <c r="EC122" s="27">
        <v>7.7893932800000005</v>
      </c>
      <c r="ED122" s="27">
        <v>8.0920000000000005</v>
      </c>
      <c r="EE122" s="27">
        <v>8.6379247699999997</v>
      </c>
      <c r="EF122" s="27">
        <f t="shared" si="125"/>
        <v>32.14883227</v>
      </c>
      <c r="EG122" s="27">
        <v>10.00790338</v>
      </c>
      <c r="EH122" s="27">
        <v>8.5607563800000008</v>
      </c>
      <c r="EI122" s="27">
        <v>9.2932571999999993</v>
      </c>
    </row>
    <row r="123" spans="1:139" ht="15" thickBot="1" x14ac:dyDescent="0.35">
      <c r="A123" s="2" t="s">
        <v>444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28">
        <v>0</v>
      </c>
      <c r="BK123" s="28">
        <v>0</v>
      </c>
      <c r="BL123" s="28">
        <v>0</v>
      </c>
      <c r="BM123" s="28">
        <v>0</v>
      </c>
      <c r="BN123" s="28">
        <f t="shared" si="112"/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f t="shared" si="113"/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f t="shared" si="114"/>
        <v>0</v>
      </c>
      <c r="BY123" s="28">
        <v>0</v>
      </c>
      <c r="BZ123" s="28">
        <v>0</v>
      </c>
      <c r="CA123" s="28">
        <v>0</v>
      </c>
      <c r="CB123" s="28">
        <v>0</v>
      </c>
      <c r="CC123" s="28">
        <f t="shared" si="115"/>
        <v>0</v>
      </c>
      <c r="CD123" s="28">
        <v>0</v>
      </c>
      <c r="CE123" s="28">
        <v>0</v>
      </c>
      <c r="CF123" s="28">
        <v>0</v>
      </c>
      <c r="CG123" s="28">
        <v>0</v>
      </c>
      <c r="CH123" s="28">
        <f t="shared" si="116"/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f t="shared" si="117"/>
        <v>0</v>
      </c>
      <c r="CN123" s="28">
        <v>0</v>
      </c>
      <c r="CO123" s="28">
        <v>0</v>
      </c>
      <c r="CP123" s="28">
        <v>0</v>
      </c>
      <c r="CQ123" s="28">
        <v>0</v>
      </c>
      <c r="CR123" s="28">
        <f t="shared" si="118"/>
        <v>0</v>
      </c>
      <c r="CS123" s="28">
        <v>0</v>
      </c>
      <c r="CT123" s="28">
        <v>0</v>
      </c>
      <c r="CU123" s="28">
        <v>0</v>
      </c>
      <c r="CV123" s="28">
        <v>0</v>
      </c>
      <c r="CW123" s="28">
        <f t="shared" si="111"/>
        <v>0</v>
      </c>
      <c r="CX123" s="28">
        <v>0</v>
      </c>
      <c r="CY123" s="28">
        <v>0</v>
      </c>
      <c r="CZ123" s="28">
        <v>0</v>
      </c>
      <c r="DA123" s="28">
        <v>0</v>
      </c>
      <c r="DB123" s="28">
        <f t="shared" si="119"/>
        <v>0</v>
      </c>
      <c r="DC123" s="28">
        <v>0</v>
      </c>
      <c r="DD123" s="28">
        <v>3.87</v>
      </c>
      <c r="DE123" s="28">
        <v>13.006</v>
      </c>
      <c r="DF123" s="28">
        <v>8.1310000000000002</v>
      </c>
      <c r="DG123" s="28">
        <f t="shared" si="120"/>
        <v>25.007000000000001</v>
      </c>
      <c r="DH123" s="28">
        <v>12.1</v>
      </c>
      <c r="DI123" s="28">
        <v>13.686</v>
      </c>
      <c r="DJ123" s="28">
        <v>12.295999999999999</v>
      </c>
      <c r="DK123" s="28">
        <v>14.654</v>
      </c>
      <c r="DL123" s="28">
        <f t="shared" si="121"/>
        <v>52.736000000000004</v>
      </c>
      <c r="DM123" s="28">
        <v>11.205</v>
      </c>
      <c r="DN123" s="28">
        <v>11.093</v>
      </c>
      <c r="DO123" s="28">
        <v>12.061999999999999</v>
      </c>
      <c r="DP123" s="28">
        <v>11.945</v>
      </c>
      <c r="DQ123" s="28">
        <f t="shared" si="122"/>
        <v>46.305</v>
      </c>
      <c r="DR123" s="28">
        <v>11.727</v>
      </c>
      <c r="DS123" s="28">
        <v>11.816000000000001</v>
      </c>
      <c r="DT123" s="28">
        <v>12.707000000000001</v>
      </c>
      <c r="DU123" s="28">
        <v>9.1790000000000003</v>
      </c>
      <c r="DV123" s="28">
        <f t="shared" si="123"/>
        <v>45.429000000000002</v>
      </c>
      <c r="DW123" s="28">
        <v>14.417999999999999</v>
      </c>
      <c r="DX123" s="28">
        <v>15.468999999999999</v>
      </c>
      <c r="DY123" s="28">
        <v>15.438939830000002</v>
      </c>
      <c r="DZ123" s="28">
        <v>17.192660099999994</v>
      </c>
      <c r="EA123" s="28">
        <f t="shared" si="124"/>
        <v>62.518599929999993</v>
      </c>
      <c r="EB123" s="28">
        <v>17.087770920000001</v>
      </c>
      <c r="EC123" s="28">
        <v>17.414196379999996</v>
      </c>
      <c r="ED123" s="28">
        <v>18.128</v>
      </c>
      <c r="EE123" s="28">
        <v>18.633306820000001</v>
      </c>
      <c r="EF123" s="28">
        <f t="shared" si="125"/>
        <v>71.263274120000005</v>
      </c>
      <c r="EG123" s="28">
        <v>24.875697210000002</v>
      </c>
      <c r="EH123" s="28">
        <v>19.862170280000001</v>
      </c>
      <c r="EI123" s="28">
        <v>22.651274770000004</v>
      </c>
    </row>
    <row r="124" spans="1:139" ht="15" thickTop="1" x14ac:dyDescent="0.3">
      <c r="A124" s="1" t="s">
        <v>456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27">
        <v>0</v>
      </c>
      <c r="BK124" s="27">
        <v>0</v>
      </c>
      <c r="BL124" s="27">
        <v>0</v>
      </c>
      <c r="BM124" s="27">
        <v>0</v>
      </c>
      <c r="BN124" s="27">
        <f t="shared" si="112"/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f t="shared" si="113"/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f t="shared" si="114"/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f t="shared" si="115"/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f t="shared" si="116"/>
        <v>0</v>
      </c>
      <c r="CI124" s="27">
        <v>0</v>
      </c>
      <c r="CJ124" s="27">
        <v>0</v>
      </c>
      <c r="CK124" s="27">
        <v>0</v>
      </c>
      <c r="CL124" s="27">
        <v>0</v>
      </c>
      <c r="CM124" s="27">
        <f t="shared" si="117"/>
        <v>0</v>
      </c>
      <c r="CN124" s="27">
        <v>0</v>
      </c>
      <c r="CO124" s="27">
        <v>0</v>
      </c>
      <c r="CP124" s="27">
        <v>0</v>
      </c>
      <c r="CQ124" s="27">
        <v>0</v>
      </c>
      <c r="CR124" s="27">
        <f t="shared" si="118"/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f t="shared" si="111"/>
        <v>0</v>
      </c>
      <c r="CX124" s="27">
        <v>0</v>
      </c>
      <c r="CY124" s="27">
        <v>5.0000000000000001E-3</v>
      </c>
      <c r="CZ124" s="27">
        <v>7.0999999999999994E-2</v>
      </c>
      <c r="DA124" s="27">
        <v>0.58699999999999997</v>
      </c>
      <c r="DB124" s="27">
        <f t="shared" si="119"/>
        <v>0.66299999999999992</v>
      </c>
      <c r="DC124" s="27">
        <v>0</v>
      </c>
      <c r="DD124" s="27">
        <v>5.0460000000000003</v>
      </c>
      <c r="DE124" s="27">
        <v>5.359</v>
      </c>
      <c r="DF124" s="27">
        <v>6.5250000000000004</v>
      </c>
      <c r="DG124" s="27">
        <f t="shared" si="120"/>
        <v>16.93</v>
      </c>
      <c r="DH124" s="27">
        <v>5.57</v>
      </c>
      <c r="DI124" s="27">
        <v>7.8179999999999996</v>
      </c>
      <c r="DJ124" s="27">
        <v>6.8769999999999998</v>
      </c>
      <c r="DK124" s="27">
        <v>5.0620000000000003</v>
      </c>
      <c r="DL124" s="27">
        <f t="shared" si="121"/>
        <v>25.327000000000002</v>
      </c>
      <c r="DM124" s="27">
        <v>5.9950000000000001</v>
      </c>
      <c r="DN124" s="27">
        <v>5.77</v>
      </c>
      <c r="DO124" s="27">
        <v>5.968</v>
      </c>
      <c r="DP124" s="27">
        <v>8.3059999999999992</v>
      </c>
      <c r="DQ124" s="27">
        <f t="shared" si="122"/>
        <v>26.039000000000001</v>
      </c>
      <c r="DR124" s="27">
        <v>9.3469999999999995</v>
      </c>
      <c r="DS124" s="27">
        <v>8.6620000000000008</v>
      </c>
      <c r="DT124" s="27">
        <v>5.9390000000000001</v>
      </c>
      <c r="DU124" s="27">
        <v>7.9359999999999999</v>
      </c>
      <c r="DV124" s="27">
        <f t="shared" si="123"/>
        <v>31.884</v>
      </c>
      <c r="DW124" s="27">
        <v>7.2069999999999999</v>
      </c>
      <c r="DX124" s="27">
        <v>10.868</v>
      </c>
      <c r="DY124" s="27">
        <v>11.387703480000001</v>
      </c>
      <c r="DZ124" s="27">
        <v>12.21144561</v>
      </c>
      <c r="EA124" s="27">
        <f t="shared" si="124"/>
        <v>41.67414909</v>
      </c>
      <c r="EB124" s="27">
        <v>13.270454050000001</v>
      </c>
      <c r="EC124" s="27">
        <v>15.173611629999998</v>
      </c>
      <c r="ED124" s="27">
        <v>18.948</v>
      </c>
      <c r="EE124" s="27">
        <v>17.50847589</v>
      </c>
      <c r="EF124" s="27">
        <f t="shared" si="125"/>
        <v>64.900541570000001</v>
      </c>
      <c r="EG124" s="27">
        <v>19.926740949999999</v>
      </c>
      <c r="EH124" s="27">
        <v>22.40059213</v>
      </c>
      <c r="EI124" s="27">
        <v>22.420714090000004</v>
      </c>
    </row>
    <row r="125" spans="1:139" ht="15" thickBot="1" x14ac:dyDescent="0.35">
      <c r="A125" s="2" t="s">
        <v>446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28">
        <v>0</v>
      </c>
      <c r="BK125" s="28">
        <v>0</v>
      </c>
      <c r="BL125" s="28">
        <v>0</v>
      </c>
      <c r="BM125" s="28">
        <v>0</v>
      </c>
      <c r="BN125" s="28">
        <f t="shared" si="112"/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f t="shared" si="113"/>
        <v>0</v>
      </c>
      <c r="BT125" s="28">
        <v>0</v>
      </c>
      <c r="BU125" s="28">
        <v>0</v>
      </c>
      <c r="BV125" s="28">
        <v>0</v>
      </c>
      <c r="BW125" s="28">
        <v>0</v>
      </c>
      <c r="BX125" s="28">
        <f t="shared" si="114"/>
        <v>0</v>
      </c>
      <c r="BY125" s="28">
        <v>0</v>
      </c>
      <c r="BZ125" s="28">
        <v>0</v>
      </c>
      <c r="CA125" s="28">
        <v>0</v>
      </c>
      <c r="CB125" s="28">
        <v>0</v>
      </c>
      <c r="CC125" s="28">
        <f t="shared" si="115"/>
        <v>0</v>
      </c>
      <c r="CD125" s="28">
        <v>0</v>
      </c>
      <c r="CE125" s="28">
        <v>0</v>
      </c>
      <c r="CF125" s="28">
        <v>0</v>
      </c>
      <c r="CG125" s="28">
        <v>0</v>
      </c>
      <c r="CH125" s="28">
        <f t="shared" si="116"/>
        <v>0</v>
      </c>
      <c r="CI125" s="28">
        <v>0</v>
      </c>
      <c r="CJ125" s="28">
        <v>0</v>
      </c>
      <c r="CK125" s="28">
        <v>0</v>
      </c>
      <c r="CL125" s="28">
        <v>0</v>
      </c>
      <c r="CM125" s="28">
        <f t="shared" si="117"/>
        <v>0</v>
      </c>
      <c r="CN125" s="28">
        <v>0</v>
      </c>
      <c r="CO125" s="28">
        <v>0</v>
      </c>
      <c r="CP125" s="28">
        <v>0</v>
      </c>
      <c r="CQ125" s="28">
        <v>0</v>
      </c>
      <c r="CR125" s="28">
        <f t="shared" si="118"/>
        <v>0</v>
      </c>
      <c r="CS125" s="28">
        <v>0</v>
      </c>
      <c r="CT125" s="28">
        <v>0</v>
      </c>
      <c r="CU125" s="28">
        <v>0</v>
      </c>
      <c r="CV125" s="28">
        <v>0</v>
      </c>
      <c r="CW125" s="28">
        <f t="shared" si="111"/>
        <v>0</v>
      </c>
      <c r="CX125" s="28">
        <v>0</v>
      </c>
      <c r="CY125" s="28">
        <v>0</v>
      </c>
      <c r="CZ125" s="28">
        <v>0</v>
      </c>
      <c r="DA125" s="28">
        <v>0</v>
      </c>
      <c r="DB125" s="28">
        <f t="shared" si="119"/>
        <v>0</v>
      </c>
      <c r="DC125" s="28">
        <v>0</v>
      </c>
      <c r="DD125" s="28">
        <v>0</v>
      </c>
      <c r="DE125" s="28">
        <v>0</v>
      </c>
      <c r="DF125" s="28">
        <v>0</v>
      </c>
      <c r="DG125" s="28">
        <f t="shared" si="120"/>
        <v>0</v>
      </c>
      <c r="DH125" s="28">
        <v>0</v>
      </c>
      <c r="DI125" s="28">
        <v>0</v>
      </c>
      <c r="DJ125" s="28">
        <v>0</v>
      </c>
      <c r="DK125" s="28">
        <v>0.27500000000000002</v>
      </c>
      <c r="DL125" s="28">
        <f t="shared" si="121"/>
        <v>0.27500000000000002</v>
      </c>
      <c r="DM125" s="28">
        <v>2.5169999999999999</v>
      </c>
      <c r="DN125" s="28">
        <v>2.738</v>
      </c>
      <c r="DO125" s="28">
        <v>5.702</v>
      </c>
      <c r="DP125" s="28">
        <v>2.1749999999999998</v>
      </c>
      <c r="DQ125" s="28">
        <f t="shared" si="122"/>
        <v>13.132000000000001</v>
      </c>
      <c r="DR125" s="28">
        <v>3.7090000000000001</v>
      </c>
      <c r="DS125" s="28">
        <v>3.8929999999999998</v>
      </c>
      <c r="DT125" s="28">
        <v>4.2359999999999998</v>
      </c>
      <c r="DU125" s="28">
        <v>5.6369999999999996</v>
      </c>
      <c r="DV125" s="28">
        <f t="shared" si="123"/>
        <v>17.475000000000001</v>
      </c>
      <c r="DW125" s="28">
        <v>6.08</v>
      </c>
      <c r="DX125" s="28">
        <v>6.0940000000000003</v>
      </c>
      <c r="DY125" s="28">
        <v>6.4969377999999987</v>
      </c>
      <c r="DZ125" s="28">
        <v>7.5522280000000004</v>
      </c>
      <c r="EA125" s="28">
        <f t="shared" si="124"/>
        <v>26.223165799999997</v>
      </c>
      <c r="EB125" s="28">
        <v>7.3559988199999999</v>
      </c>
      <c r="EC125" s="28">
        <v>7.8263149499999995</v>
      </c>
      <c r="ED125" s="28">
        <v>8.9629999999999992</v>
      </c>
      <c r="EE125" s="28">
        <v>15.810046870000001</v>
      </c>
      <c r="EF125" s="28">
        <f t="shared" si="125"/>
        <v>39.955360640000002</v>
      </c>
      <c r="EG125" s="28">
        <v>12.640387669999999</v>
      </c>
      <c r="EH125" s="28">
        <v>12.822058720000001</v>
      </c>
      <c r="EI125" s="28">
        <v>13.349970950000003</v>
      </c>
    </row>
    <row r="126" spans="1:139" ht="15" thickTop="1" x14ac:dyDescent="0.3">
      <c r="A126" s="1" t="s">
        <v>447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27">
        <v>0</v>
      </c>
      <c r="BK126" s="27">
        <v>0</v>
      </c>
      <c r="BL126" s="27">
        <v>0</v>
      </c>
      <c r="BM126" s="27">
        <v>0</v>
      </c>
      <c r="BN126" s="27">
        <f t="shared" si="112"/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f t="shared" si="113"/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f t="shared" si="114"/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f t="shared" si="115"/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f t="shared" si="116"/>
        <v>0</v>
      </c>
      <c r="CI126" s="27">
        <v>0</v>
      </c>
      <c r="CJ126" s="27">
        <v>0</v>
      </c>
      <c r="CK126" s="27">
        <v>0</v>
      </c>
      <c r="CL126" s="27">
        <v>0</v>
      </c>
      <c r="CM126" s="27">
        <f t="shared" si="117"/>
        <v>0</v>
      </c>
      <c r="CN126" s="27">
        <v>0</v>
      </c>
      <c r="CO126" s="27">
        <v>0</v>
      </c>
      <c r="CP126" s="27">
        <v>0</v>
      </c>
      <c r="CQ126" s="27">
        <v>0</v>
      </c>
      <c r="CR126" s="27">
        <f t="shared" si="118"/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f t="shared" si="111"/>
        <v>0</v>
      </c>
      <c r="CX126" s="27">
        <v>0</v>
      </c>
      <c r="CY126" s="27">
        <v>0</v>
      </c>
      <c r="CZ126" s="27">
        <v>0</v>
      </c>
      <c r="DA126" s="27">
        <v>0</v>
      </c>
      <c r="DB126" s="27">
        <f t="shared" si="119"/>
        <v>0</v>
      </c>
      <c r="DC126" s="27">
        <v>0</v>
      </c>
      <c r="DD126" s="27">
        <v>0</v>
      </c>
      <c r="DE126" s="27">
        <v>0</v>
      </c>
      <c r="DF126" s="27">
        <v>0</v>
      </c>
      <c r="DG126" s="27">
        <f t="shared" si="120"/>
        <v>0</v>
      </c>
      <c r="DH126" s="27">
        <v>0</v>
      </c>
      <c r="DI126" s="27">
        <v>0</v>
      </c>
      <c r="DJ126" s="27">
        <v>0</v>
      </c>
      <c r="DK126" s="27">
        <v>0</v>
      </c>
      <c r="DL126" s="27">
        <f t="shared" si="121"/>
        <v>0</v>
      </c>
      <c r="DM126" s="27">
        <v>0</v>
      </c>
      <c r="DN126" s="27">
        <v>0</v>
      </c>
      <c r="DO126" s="27">
        <v>2.9000000000000001E-2</v>
      </c>
      <c r="DP126" s="27">
        <v>8.6999999999999994E-2</v>
      </c>
      <c r="DQ126" s="27">
        <f t="shared" si="122"/>
        <v>0.11599999999999999</v>
      </c>
      <c r="DR126" s="27">
        <v>0.46</v>
      </c>
      <c r="DS126" s="27">
        <v>1.8109999999999999</v>
      </c>
      <c r="DT126" s="27">
        <v>3.3940000000000001</v>
      </c>
      <c r="DU126" s="27">
        <v>16.632999999999999</v>
      </c>
      <c r="DV126" s="27">
        <f t="shared" si="123"/>
        <v>22.297999999999998</v>
      </c>
      <c r="DW126" s="27">
        <v>15.288</v>
      </c>
      <c r="DX126" s="27">
        <v>20.492000000000001</v>
      </c>
      <c r="DY126" s="27">
        <v>8.1789797199999992</v>
      </c>
      <c r="DZ126" s="27">
        <v>16.868614999999998</v>
      </c>
      <c r="EA126" s="27">
        <f t="shared" si="124"/>
        <v>60.82759472</v>
      </c>
      <c r="EB126" s="27">
        <v>16.382405289999998</v>
      </c>
      <c r="EC126" s="27">
        <v>18.685272670000003</v>
      </c>
      <c r="ED126" s="27">
        <v>21.838000000000001</v>
      </c>
      <c r="EE126" s="27">
        <v>23.750821979999998</v>
      </c>
      <c r="EF126" s="27">
        <f t="shared" si="125"/>
        <v>80.656499940000003</v>
      </c>
      <c r="EG126" s="27">
        <v>25.375245170000003</v>
      </c>
      <c r="EH126" s="27">
        <v>26.605134920000001</v>
      </c>
      <c r="EI126" s="27">
        <v>28.071903729999988</v>
      </c>
    </row>
    <row r="127" spans="1:139" ht="15" thickBot="1" x14ac:dyDescent="0.35">
      <c r="A127" s="2" t="s">
        <v>448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28">
        <v>0</v>
      </c>
      <c r="BK127" s="28">
        <v>0</v>
      </c>
      <c r="BL127" s="28">
        <v>0</v>
      </c>
      <c r="BM127" s="28">
        <v>0</v>
      </c>
      <c r="BN127" s="28">
        <f t="shared" si="112"/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f t="shared" si="113"/>
        <v>0</v>
      </c>
      <c r="BT127" s="28">
        <v>0</v>
      </c>
      <c r="BU127" s="28">
        <v>0</v>
      </c>
      <c r="BV127" s="28">
        <v>0</v>
      </c>
      <c r="BW127" s="28">
        <v>0</v>
      </c>
      <c r="BX127" s="28">
        <f t="shared" si="114"/>
        <v>0</v>
      </c>
      <c r="BY127" s="28">
        <v>0</v>
      </c>
      <c r="BZ127" s="28">
        <v>0</v>
      </c>
      <c r="CA127" s="28">
        <v>0</v>
      </c>
      <c r="CB127" s="28">
        <v>0</v>
      </c>
      <c r="CC127" s="28">
        <f t="shared" si="115"/>
        <v>0</v>
      </c>
      <c r="CD127" s="28">
        <v>0</v>
      </c>
      <c r="CE127" s="28">
        <v>0</v>
      </c>
      <c r="CF127" s="28">
        <v>0</v>
      </c>
      <c r="CG127" s="28">
        <v>0</v>
      </c>
      <c r="CH127" s="28">
        <f t="shared" si="116"/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f t="shared" si="117"/>
        <v>0</v>
      </c>
      <c r="CN127" s="28">
        <v>0</v>
      </c>
      <c r="CO127" s="28">
        <v>0</v>
      </c>
      <c r="CP127" s="28">
        <v>0</v>
      </c>
      <c r="CQ127" s="28">
        <v>0</v>
      </c>
      <c r="CR127" s="28">
        <f t="shared" si="118"/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f t="shared" si="111"/>
        <v>0</v>
      </c>
      <c r="CX127" s="28">
        <v>0</v>
      </c>
      <c r="CY127" s="28">
        <v>0</v>
      </c>
      <c r="CZ127" s="28">
        <v>0</v>
      </c>
      <c r="DA127" s="28">
        <v>0</v>
      </c>
      <c r="DB127" s="28">
        <f t="shared" si="119"/>
        <v>0</v>
      </c>
      <c r="DC127" s="28">
        <v>0</v>
      </c>
      <c r="DD127" s="28">
        <v>0</v>
      </c>
      <c r="DE127" s="28">
        <v>0</v>
      </c>
      <c r="DF127" s="28">
        <v>0</v>
      </c>
      <c r="DG127" s="28">
        <f t="shared" si="120"/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f t="shared" si="121"/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f t="shared" si="122"/>
        <v>0</v>
      </c>
      <c r="DR127" s="28">
        <v>0</v>
      </c>
      <c r="DS127" s="28">
        <v>0</v>
      </c>
      <c r="DT127" s="28">
        <v>0</v>
      </c>
      <c r="DU127" s="28">
        <v>9.7000000000000003E-2</v>
      </c>
      <c r="DV127" s="28">
        <f t="shared" si="123"/>
        <v>9.7000000000000003E-2</v>
      </c>
      <c r="DW127" s="28">
        <v>0.73099999999999998</v>
      </c>
      <c r="DX127" s="28">
        <v>2.919</v>
      </c>
      <c r="DY127" s="28">
        <v>5.4149620400000007</v>
      </c>
      <c r="DZ127" s="28">
        <v>7.3777327499999998</v>
      </c>
      <c r="EA127" s="28">
        <f t="shared" si="124"/>
        <v>16.442694790000001</v>
      </c>
      <c r="EB127" s="28">
        <v>9.2692832500000009</v>
      </c>
      <c r="EC127" s="28">
        <v>12.302362370000001</v>
      </c>
      <c r="ED127" s="28">
        <v>12.614000000000001</v>
      </c>
      <c r="EE127" s="28">
        <v>16.464462170000001</v>
      </c>
      <c r="EF127" s="28">
        <f t="shared" si="125"/>
        <v>50.650107790000007</v>
      </c>
      <c r="EG127" s="28">
        <v>16.94117902</v>
      </c>
      <c r="EH127" s="28">
        <v>19.049175169999998</v>
      </c>
      <c r="EI127" s="28">
        <v>21.923271700000004</v>
      </c>
    </row>
    <row r="128" spans="1:139" ht="15" thickTop="1" x14ac:dyDescent="0.3">
      <c r="A128" s="1" t="s">
        <v>449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27">
        <v>0</v>
      </c>
      <c r="CK128" s="27"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7">
        <v>0</v>
      </c>
      <c r="DB128" s="27">
        <v>0</v>
      </c>
      <c r="DC128" s="27">
        <v>0</v>
      </c>
      <c r="DD128" s="27">
        <v>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7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5.2130000000000001</v>
      </c>
      <c r="DY128" s="27">
        <v>6.1208064100000001</v>
      </c>
      <c r="DZ128" s="27">
        <v>9.1148835300000002</v>
      </c>
      <c r="EA128" s="27">
        <f t="shared" si="124"/>
        <v>20.448689940000001</v>
      </c>
      <c r="EB128" s="27">
        <v>7.0237931500000004</v>
      </c>
      <c r="EC128" s="27">
        <v>8.3744967599999995</v>
      </c>
      <c r="ED128" s="27">
        <v>13.363</v>
      </c>
      <c r="EE128" s="27">
        <v>12.914183920000001</v>
      </c>
      <c r="EF128" s="27">
        <f t="shared" si="125"/>
        <v>41.675473830000001</v>
      </c>
      <c r="EG128" s="27">
        <v>15.558777390000001</v>
      </c>
      <c r="EH128" s="27">
        <v>18.686905049999996</v>
      </c>
      <c r="EI128" s="27">
        <v>19.818236630000001</v>
      </c>
    </row>
    <row r="129" spans="1:139" ht="15" thickBot="1" x14ac:dyDescent="0.35">
      <c r="A129" s="2" t="s">
        <v>460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>
        <v>0</v>
      </c>
      <c r="EH129" s="28">
        <v>23.402763019999998</v>
      </c>
      <c r="EI129" s="28">
        <v>28.328069220000003</v>
      </c>
    </row>
    <row r="130" spans="1:139" ht="15" thickTop="1" x14ac:dyDescent="0.3">
      <c r="A130" s="1" t="s">
        <v>304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27">
        <v>0</v>
      </c>
      <c r="BK130" s="27">
        <v>0</v>
      </c>
      <c r="BL130" s="27">
        <v>0</v>
      </c>
      <c r="BM130" s="27">
        <v>0</v>
      </c>
      <c r="BN130" s="27">
        <f t="shared" si="112"/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f t="shared" si="113"/>
        <v>0</v>
      </c>
      <c r="BT130" s="27">
        <v>0</v>
      </c>
      <c r="BU130" s="27">
        <v>2.3668975299999997</v>
      </c>
      <c r="BV130" s="27">
        <v>7.1230258300000013</v>
      </c>
      <c r="BW130" s="27">
        <v>6.4941286250000001</v>
      </c>
      <c r="BX130" s="27">
        <f t="shared" si="114"/>
        <v>15.984051985000001</v>
      </c>
      <c r="BY130" s="27">
        <v>4.8543315299999996</v>
      </c>
      <c r="BZ130" s="27">
        <v>5.3526541400000003</v>
      </c>
      <c r="CA130" s="27">
        <v>5.4006816300000011</v>
      </c>
      <c r="CB130" s="27">
        <v>5.237294480000001</v>
      </c>
      <c r="CC130" s="27">
        <f t="shared" si="115"/>
        <v>20.844961780000002</v>
      </c>
      <c r="CD130" s="27">
        <v>5.6766741000000005</v>
      </c>
      <c r="CE130" s="27">
        <v>4.5113705000000008</v>
      </c>
      <c r="CF130" s="27">
        <v>4.5723851099999981</v>
      </c>
      <c r="CG130" s="27">
        <v>4.2875597799999943</v>
      </c>
      <c r="CH130" s="27">
        <f t="shared" si="116"/>
        <v>19.047989489999996</v>
      </c>
      <c r="CI130" s="27">
        <v>4.2943154700000008</v>
      </c>
      <c r="CJ130" s="27">
        <v>4.8651801599999978</v>
      </c>
      <c r="CK130" s="27">
        <v>6.2093322400000002</v>
      </c>
      <c r="CL130" s="27">
        <v>5.3177385399999988</v>
      </c>
      <c r="CM130" s="27">
        <f t="shared" si="117"/>
        <v>20.686566409999998</v>
      </c>
      <c r="CN130" s="27">
        <v>5.0308582199999998</v>
      </c>
      <c r="CO130" s="27">
        <v>4.0325893699999993</v>
      </c>
      <c r="CP130" s="27">
        <v>4.2035845600000021</v>
      </c>
      <c r="CQ130" s="27">
        <f>17.694-SUM(CN130:CP130)</f>
        <v>4.4269678499999969</v>
      </c>
      <c r="CR130" s="27">
        <f t="shared" si="118"/>
        <v>17.693999999999999</v>
      </c>
      <c r="CS130" s="27">
        <f>3.47402645+0.077</f>
        <v>3.5510264500000002</v>
      </c>
      <c r="CT130" s="27">
        <f>6.437-CS130</f>
        <v>2.8859735500000001</v>
      </c>
      <c r="CU130" s="27">
        <f>9.214-SUM(CS130:CT130)</f>
        <v>2.7770000000000001</v>
      </c>
      <c r="CV130" s="27">
        <f>12.348-SUM(CS130:CU130)</f>
        <v>3.1340000000000003</v>
      </c>
      <c r="CW130" s="27">
        <f t="shared" ref="CW130:CW138" si="126">SUM(CS130:CV130)</f>
        <v>12.348000000000001</v>
      </c>
      <c r="CX130" s="27">
        <v>3.03</v>
      </c>
      <c r="CY130" s="27">
        <v>2.9830000000000001</v>
      </c>
      <c r="CZ130" s="27">
        <v>2.9660000000000002</v>
      </c>
      <c r="DA130" s="27">
        <v>2.8969999999999998</v>
      </c>
      <c r="DB130" s="27">
        <f t="shared" si="119"/>
        <v>11.875999999999999</v>
      </c>
      <c r="DC130" s="27">
        <v>3.468</v>
      </c>
      <c r="DD130" s="27">
        <v>4.8</v>
      </c>
      <c r="DE130" s="27">
        <v>4.0410000000000004</v>
      </c>
      <c r="DF130" s="27">
        <v>4.1859999999999999</v>
      </c>
      <c r="DG130" s="27">
        <f t="shared" si="120"/>
        <v>16.495000000000001</v>
      </c>
      <c r="DH130" s="27">
        <v>3.2389999999999999</v>
      </c>
      <c r="DI130" s="27">
        <v>2.6779999999999999</v>
      </c>
      <c r="DJ130" s="27">
        <v>2.5169999999999999</v>
      </c>
      <c r="DK130" s="27">
        <v>1.329</v>
      </c>
      <c r="DL130" s="27">
        <f t="shared" si="121"/>
        <v>9.7629999999999999</v>
      </c>
      <c r="DM130" s="27">
        <v>2.3010000000000002</v>
      </c>
      <c r="DN130" s="27">
        <v>9.3230000000000004</v>
      </c>
      <c r="DO130" s="27">
        <v>10.409000000000001</v>
      </c>
      <c r="DP130" s="27">
        <v>11.589</v>
      </c>
      <c r="DQ130" s="27">
        <f t="shared" si="122"/>
        <v>33.622</v>
      </c>
      <c r="DR130" s="27">
        <v>10.82</v>
      </c>
      <c r="DS130" s="27">
        <v>12.696</v>
      </c>
      <c r="DT130" s="27">
        <v>12.44</v>
      </c>
      <c r="DU130" s="27">
        <v>13.398</v>
      </c>
      <c r="DV130" s="27">
        <f t="shared" si="123"/>
        <v>49.353999999999999</v>
      </c>
      <c r="DW130" s="27">
        <v>20.614000000000001</v>
      </c>
      <c r="DX130" s="27">
        <v>22.065999999999999</v>
      </c>
      <c r="DY130" s="27">
        <f>(13335793.63+503512.82)/1000000</f>
        <v>13.83930645</v>
      </c>
      <c r="DZ130" s="27">
        <f>(11212753.88+499622.91)/1000000</f>
        <v>11.71237679</v>
      </c>
      <c r="EA130" s="27">
        <f t="shared" si="124"/>
        <v>68.231683239999995</v>
      </c>
      <c r="EB130" s="27">
        <f>(693365.32+499600.95)/1000000</f>
        <v>1.1929662700000001</v>
      </c>
      <c r="EC130" s="27">
        <v>7.5812074699999998</v>
      </c>
      <c r="ED130" s="27">
        <v>-5.9589999999999996</v>
      </c>
      <c r="EE130" s="27">
        <v>3.1183882499999998</v>
      </c>
      <c r="EF130" s="27">
        <f t="shared" si="125"/>
        <v>5.9335619900000003</v>
      </c>
      <c r="EG130" s="27">
        <v>1.63869971</v>
      </c>
      <c r="EH130" s="27">
        <v>2.1055802499999996</v>
      </c>
      <c r="EI130" s="27">
        <v>3.2744915700000004</v>
      </c>
    </row>
    <row r="131" spans="1:139" ht="15" thickBot="1" x14ac:dyDescent="0.35">
      <c r="A131" s="2" t="s">
        <v>305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28">
        <v>0</v>
      </c>
      <c r="BK131" s="28">
        <v>0</v>
      </c>
      <c r="BL131" s="28">
        <v>0</v>
      </c>
      <c r="BM131" s="28">
        <v>0</v>
      </c>
      <c r="BN131" s="28">
        <f t="shared" si="112"/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f t="shared" si="113"/>
        <v>0</v>
      </c>
      <c r="BT131" s="28">
        <v>0</v>
      </c>
      <c r="BU131" s="28">
        <v>0</v>
      </c>
      <c r="BV131" s="28">
        <v>0</v>
      </c>
      <c r="BW131" s="28">
        <v>0</v>
      </c>
      <c r="BX131" s="28">
        <f t="shared" si="114"/>
        <v>0</v>
      </c>
      <c r="BY131" s="28">
        <v>0</v>
      </c>
      <c r="BZ131" s="28">
        <v>0</v>
      </c>
      <c r="CA131" s="28">
        <v>0</v>
      </c>
      <c r="CB131" s="28">
        <v>0</v>
      </c>
      <c r="CC131" s="28">
        <f t="shared" si="115"/>
        <v>0</v>
      </c>
      <c r="CD131" s="28">
        <v>0</v>
      </c>
      <c r="CE131" s="28">
        <v>0</v>
      </c>
      <c r="CF131" s="28">
        <v>0</v>
      </c>
      <c r="CG131" s="28">
        <v>0</v>
      </c>
      <c r="CH131" s="28">
        <f t="shared" si="116"/>
        <v>0</v>
      </c>
      <c r="CI131" s="28"/>
      <c r="CJ131" s="28"/>
      <c r="CK131" s="28"/>
      <c r="CL131" s="28"/>
      <c r="CM131" s="28">
        <f t="shared" si="117"/>
        <v>0</v>
      </c>
      <c r="CN131" s="28"/>
      <c r="CO131" s="28"/>
      <c r="CP131" s="28"/>
      <c r="CQ131" s="28"/>
      <c r="CR131" s="28">
        <f t="shared" si="118"/>
        <v>0</v>
      </c>
      <c r="CS131" s="28"/>
      <c r="CT131" s="28"/>
      <c r="CU131" s="28"/>
      <c r="CV131" s="28"/>
      <c r="CW131" s="28">
        <f t="shared" si="126"/>
        <v>0</v>
      </c>
      <c r="CX131" s="28">
        <v>0</v>
      </c>
      <c r="CY131" s="28"/>
      <c r="CZ131" s="28">
        <v>0</v>
      </c>
      <c r="DA131" s="28"/>
      <c r="DB131" s="28">
        <f t="shared" si="119"/>
        <v>0</v>
      </c>
      <c r="DC131" s="28">
        <v>2</v>
      </c>
      <c r="DD131" s="28">
        <v>1.9790000000000001</v>
      </c>
      <c r="DE131" s="28">
        <v>2.153</v>
      </c>
      <c r="DF131" s="28">
        <v>2.0270000000000001</v>
      </c>
      <c r="DG131" s="28">
        <f t="shared" si="120"/>
        <v>8.1589999999999989</v>
      </c>
      <c r="DH131" s="28">
        <v>1.99</v>
      </c>
      <c r="DI131" s="28">
        <v>1.998</v>
      </c>
      <c r="DJ131" s="28">
        <v>2.0019999999999998</v>
      </c>
      <c r="DK131" s="28">
        <v>2</v>
      </c>
      <c r="DL131" s="28">
        <f t="shared" si="121"/>
        <v>7.99</v>
      </c>
      <c r="DM131" s="28">
        <v>2</v>
      </c>
      <c r="DN131" s="28">
        <v>2.0099999999999998</v>
      </c>
      <c r="DO131" s="28">
        <v>1.8280000000000001</v>
      </c>
      <c r="DP131" s="28">
        <v>1.8520000000000001</v>
      </c>
      <c r="DQ131" s="28">
        <f t="shared" si="122"/>
        <v>7.69</v>
      </c>
      <c r="DR131" s="28">
        <v>1.871</v>
      </c>
      <c r="DS131" s="28">
        <v>1.895</v>
      </c>
      <c r="DT131" s="28">
        <v>1.9039999999999999</v>
      </c>
      <c r="DU131" s="28">
        <v>1.5349999999999999</v>
      </c>
      <c r="DV131" s="28">
        <f t="shared" si="123"/>
        <v>7.2050000000000001</v>
      </c>
      <c r="DW131" s="28">
        <v>1.5429999999999999</v>
      </c>
      <c r="DX131" s="28">
        <v>1.5309999999999999</v>
      </c>
      <c r="DY131" s="28">
        <v>1.5385449999999996</v>
      </c>
      <c r="DZ131" s="28">
        <v>1.5459943600000003</v>
      </c>
      <c r="EA131" s="28">
        <f t="shared" si="124"/>
        <v>6.1585393599999989</v>
      </c>
      <c r="EB131" s="28">
        <v>1.5939505600000001</v>
      </c>
      <c r="EC131" s="28">
        <v>1.6170349499999996</v>
      </c>
      <c r="ED131" s="28">
        <v>1.627</v>
      </c>
      <c r="EE131" s="28">
        <v>1.6198159700000008</v>
      </c>
      <c r="EF131" s="28">
        <f t="shared" si="125"/>
        <v>6.4578014800000005</v>
      </c>
      <c r="EG131" s="28">
        <v>1.5589021699999999</v>
      </c>
      <c r="EH131" s="28">
        <v>1.4971172000000001</v>
      </c>
      <c r="EI131" s="28">
        <v>1.5379422400000002</v>
      </c>
    </row>
    <row r="132" spans="1:139" ht="15" thickTop="1" x14ac:dyDescent="0.3">
      <c r="A132" s="1" t="s">
        <v>306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27">
        <v>7.2826526600000001</v>
      </c>
      <c r="BK132" s="27">
        <v>7.3294424400000011</v>
      </c>
      <c r="BL132" s="27">
        <v>7.3727746199999977</v>
      </c>
      <c r="BM132" s="27">
        <v>5.3958596800000009</v>
      </c>
      <c r="BN132" s="27">
        <f t="shared" si="112"/>
        <v>27.3807294</v>
      </c>
      <c r="BO132" s="27">
        <v>1.26516473</v>
      </c>
      <c r="BP132" s="27">
        <v>1.31407389</v>
      </c>
      <c r="BQ132" s="27">
        <v>1.3904528000000003</v>
      </c>
      <c r="BR132" s="27">
        <v>1.4211031800000002</v>
      </c>
      <c r="BS132" s="27">
        <f t="shared" si="113"/>
        <v>5.3907946000000004</v>
      </c>
      <c r="BT132" s="27">
        <v>1.4798952300000001</v>
      </c>
      <c r="BU132" s="27">
        <v>1.7409699099999998</v>
      </c>
      <c r="BV132" s="27">
        <v>1.7985524200000003</v>
      </c>
      <c r="BW132" s="27">
        <v>1.8478599199999997</v>
      </c>
      <c r="BX132" s="27">
        <f t="shared" si="114"/>
        <v>6.8672774799999994</v>
      </c>
      <c r="BY132" s="27">
        <v>1.9110934900000001</v>
      </c>
      <c r="BZ132" s="27">
        <v>2.0122621799999996</v>
      </c>
      <c r="CA132" s="27">
        <v>2.0827259000000007</v>
      </c>
      <c r="CB132" s="27">
        <v>2.1644461799999997</v>
      </c>
      <c r="CC132" s="27">
        <f t="shared" si="115"/>
        <v>8.1705277499999998</v>
      </c>
      <c r="CD132" s="27">
        <v>2.3377356900000001</v>
      </c>
      <c r="CE132" s="27">
        <v>2.4756956299999993</v>
      </c>
      <c r="CF132" s="27">
        <v>2.5011773499999994</v>
      </c>
      <c r="CG132" s="27">
        <v>2.5912732800000033</v>
      </c>
      <c r="CH132" s="27">
        <f t="shared" si="116"/>
        <v>9.9058819500000013</v>
      </c>
      <c r="CI132" s="27">
        <v>2.8289677200000001</v>
      </c>
      <c r="CJ132" s="27">
        <v>2.9297854999999999</v>
      </c>
      <c r="CK132" s="27">
        <v>2.9537902900000002</v>
      </c>
      <c r="CL132" s="27">
        <v>2.9360082000000012</v>
      </c>
      <c r="CM132" s="27">
        <f t="shared" si="117"/>
        <v>11.648551710000001</v>
      </c>
      <c r="CN132" s="27">
        <v>2.9496284500000001</v>
      </c>
      <c r="CO132" s="27">
        <v>2.9702579500000001</v>
      </c>
      <c r="CP132" s="27">
        <v>3.0053386799999999</v>
      </c>
      <c r="CQ132" s="27">
        <f>11.987-SUM(CN132:CP132)</f>
        <v>3.0617749199999995</v>
      </c>
      <c r="CR132" s="27">
        <f t="shared" si="118"/>
        <v>11.987</v>
      </c>
      <c r="CS132" s="27">
        <v>3.1175491600000003</v>
      </c>
      <c r="CT132" s="27">
        <v>2.89806045</v>
      </c>
      <c r="CU132" s="27">
        <v>2.8479906100000001</v>
      </c>
      <c r="CV132" s="27">
        <v>2.8320159900000004</v>
      </c>
      <c r="CW132" s="27">
        <f t="shared" si="126"/>
        <v>11.695616210000001</v>
      </c>
      <c r="CX132" s="27">
        <v>2.8210000000000002</v>
      </c>
      <c r="CY132" s="27">
        <v>2.8769999999999998</v>
      </c>
      <c r="CZ132" s="27">
        <v>3.0209999999999999</v>
      </c>
      <c r="DA132" s="27">
        <v>2.992</v>
      </c>
      <c r="DB132" s="27">
        <f t="shared" si="119"/>
        <v>11.711000000000002</v>
      </c>
      <c r="DC132" s="27">
        <v>3.3279999999999998</v>
      </c>
      <c r="DD132" s="27">
        <v>3.145</v>
      </c>
      <c r="DE132" s="27">
        <v>3.0070000000000001</v>
      </c>
      <c r="DF132" s="27">
        <v>2.899</v>
      </c>
      <c r="DG132" s="27">
        <f t="shared" si="120"/>
        <v>12.379000000000001</v>
      </c>
      <c r="DH132" s="27">
        <v>2.5960000000000001</v>
      </c>
      <c r="DI132" s="27">
        <v>2.7370000000000001</v>
      </c>
      <c r="DJ132" s="27">
        <v>2.74</v>
      </c>
      <c r="DK132" s="27">
        <v>2.214</v>
      </c>
      <c r="DL132" s="27">
        <f t="shared" si="121"/>
        <v>10.287000000000001</v>
      </c>
      <c r="DM132" s="27">
        <v>2.3730000000000002</v>
      </c>
      <c r="DN132" s="27">
        <v>3.3460000000000001</v>
      </c>
      <c r="DO132" s="27">
        <v>2.992</v>
      </c>
      <c r="DP132" s="27">
        <v>3.1960000000000002</v>
      </c>
      <c r="DQ132" s="27">
        <f t="shared" si="122"/>
        <v>11.907</v>
      </c>
      <c r="DR132" s="27">
        <v>3.4319999999999999</v>
      </c>
      <c r="DS132" s="27">
        <v>3.6469999999999998</v>
      </c>
      <c r="DT132" s="27">
        <v>4.3550000000000004</v>
      </c>
      <c r="DU132" s="27">
        <v>5.4109999999999996</v>
      </c>
      <c r="DV132" s="27">
        <f t="shared" si="123"/>
        <v>16.844999999999999</v>
      </c>
      <c r="DW132" s="27">
        <v>5.883</v>
      </c>
      <c r="DX132" s="27">
        <v>5.7450000000000001</v>
      </c>
      <c r="DY132" s="27">
        <v>6.9207248599999991</v>
      </c>
      <c r="DZ132" s="27">
        <v>8.1803769700000029</v>
      </c>
      <c r="EA132" s="27">
        <f t="shared" si="124"/>
        <v>26.729101830000005</v>
      </c>
      <c r="EB132" s="27">
        <v>7.9995871200000002</v>
      </c>
      <c r="EC132" s="27">
        <v>9.0693016100000001</v>
      </c>
      <c r="ED132" s="27">
        <v>10.271000000000001</v>
      </c>
      <c r="EE132" s="27">
        <v>12.629671270000003</v>
      </c>
      <c r="EF132" s="27">
        <f t="shared" si="125"/>
        <v>39.969560000000001</v>
      </c>
      <c r="EG132" s="27">
        <v>11.97230442</v>
      </c>
      <c r="EH132" s="27">
        <v>11.39246694</v>
      </c>
      <c r="EI132" s="27">
        <v>15.167622969999998</v>
      </c>
    </row>
    <row r="133" spans="1:139" ht="15" thickBot="1" x14ac:dyDescent="0.35">
      <c r="A133" s="2" t="s">
        <v>323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28">
        <v>0</v>
      </c>
      <c r="BK133" s="28">
        <v>0</v>
      </c>
      <c r="BL133" s="28">
        <v>0</v>
      </c>
      <c r="BM133" s="28">
        <v>0</v>
      </c>
      <c r="BN133" s="28">
        <f t="shared" si="112"/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f t="shared" si="113"/>
        <v>0</v>
      </c>
      <c r="BT133" s="28">
        <v>0</v>
      </c>
      <c r="BU133" s="28">
        <v>0</v>
      </c>
      <c r="BV133" s="28">
        <v>0</v>
      </c>
      <c r="BW133" s="28">
        <v>0</v>
      </c>
      <c r="BX133" s="28">
        <f t="shared" si="114"/>
        <v>0</v>
      </c>
      <c r="BY133" s="28">
        <v>0</v>
      </c>
      <c r="BZ133" s="28">
        <v>0</v>
      </c>
      <c r="CA133" s="28">
        <v>0</v>
      </c>
      <c r="CB133" s="28">
        <v>0</v>
      </c>
      <c r="CC133" s="28">
        <f t="shared" si="115"/>
        <v>0</v>
      </c>
      <c r="CD133" s="28">
        <v>0</v>
      </c>
      <c r="CE133" s="28">
        <v>0</v>
      </c>
      <c r="CF133" s="28">
        <v>0</v>
      </c>
      <c r="CG133" s="28">
        <v>0</v>
      </c>
      <c r="CH133" s="28">
        <f t="shared" si="116"/>
        <v>0</v>
      </c>
      <c r="CI133" s="28">
        <v>0</v>
      </c>
      <c r="CJ133" s="28">
        <v>0</v>
      </c>
      <c r="CK133" s="28">
        <v>0</v>
      </c>
      <c r="CL133" s="28">
        <v>0</v>
      </c>
      <c r="CM133" s="28">
        <f t="shared" si="117"/>
        <v>0</v>
      </c>
      <c r="CN133" s="28">
        <v>0</v>
      </c>
      <c r="CO133" s="28">
        <v>0</v>
      </c>
      <c r="CP133" s="28">
        <v>0</v>
      </c>
      <c r="CQ133" s="28">
        <v>0</v>
      </c>
      <c r="CR133" s="28">
        <f t="shared" si="118"/>
        <v>0</v>
      </c>
      <c r="CS133" s="28">
        <v>0</v>
      </c>
      <c r="CT133" s="28">
        <v>0</v>
      </c>
      <c r="CU133" s="28">
        <v>0</v>
      </c>
      <c r="CV133" s="28">
        <v>0</v>
      </c>
      <c r="CW133" s="28">
        <f t="shared" si="126"/>
        <v>0</v>
      </c>
      <c r="CX133" s="28">
        <f t="shared" ref="CX133:DA137" si="127">SUM(CT133:CW133)</f>
        <v>0</v>
      </c>
      <c r="CY133" s="28">
        <f t="shared" si="127"/>
        <v>0</v>
      </c>
      <c r="CZ133" s="28">
        <f t="shared" si="127"/>
        <v>0</v>
      </c>
      <c r="DA133" s="28">
        <f t="shared" si="127"/>
        <v>0</v>
      </c>
      <c r="DB133" s="28">
        <f t="shared" si="119"/>
        <v>0</v>
      </c>
      <c r="DC133" s="28">
        <f t="shared" si="119"/>
        <v>0</v>
      </c>
      <c r="DD133" s="28">
        <f t="shared" ref="DD133:DF137" si="128">SUM(CZ133:DC133)</f>
        <v>0</v>
      </c>
      <c r="DE133" s="28">
        <f t="shared" si="128"/>
        <v>0</v>
      </c>
      <c r="DF133" s="28">
        <f t="shared" si="128"/>
        <v>0</v>
      </c>
      <c r="DG133" s="28">
        <f t="shared" si="120"/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f t="shared" si="121"/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f t="shared" si="122"/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f t="shared" si="123"/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f t="shared" si="124"/>
        <v>0</v>
      </c>
      <c r="EB133" s="28">
        <v>0</v>
      </c>
      <c r="EC133" s="28">
        <v>0</v>
      </c>
      <c r="ED133" s="28">
        <v>0</v>
      </c>
      <c r="EE133" s="28">
        <v>0</v>
      </c>
      <c r="EF133" s="28">
        <f t="shared" si="125"/>
        <v>0</v>
      </c>
      <c r="EG133" s="28">
        <v>0</v>
      </c>
      <c r="EH133" s="28">
        <v>0</v>
      </c>
      <c r="EI133" s="28">
        <v>0</v>
      </c>
    </row>
    <row r="134" spans="1:139" ht="15" thickTop="1" x14ac:dyDescent="0.3">
      <c r="A134" s="1" t="s">
        <v>322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27">
        <v>0</v>
      </c>
      <c r="BK134" s="27">
        <v>0</v>
      </c>
      <c r="BL134" s="27">
        <v>0</v>
      </c>
      <c r="BM134" s="27">
        <v>0</v>
      </c>
      <c r="BN134" s="27">
        <f t="shared" si="112"/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f t="shared" si="113"/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f t="shared" si="114"/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f t="shared" si="115"/>
        <v>0</v>
      </c>
      <c r="CD134" s="27">
        <v>0</v>
      </c>
      <c r="CE134" s="27">
        <v>0</v>
      </c>
      <c r="CF134" s="27">
        <v>0</v>
      </c>
      <c r="CG134" s="27">
        <v>0</v>
      </c>
      <c r="CH134" s="27">
        <f t="shared" si="116"/>
        <v>0</v>
      </c>
      <c r="CI134" s="27">
        <v>0</v>
      </c>
      <c r="CJ134" s="27">
        <v>0</v>
      </c>
      <c r="CK134" s="27">
        <v>0</v>
      </c>
      <c r="CL134" s="27">
        <v>0</v>
      </c>
      <c r="CM134" s="27">
        <f t="shared" si="117"/>
        <v>0</v>
      </c>
      <c r="CN134" s="27">
        <v>0</v>
      </c>
      <c r="CO134" s="27">
        <v>0</v>
      </c>
      <c r="CP134" s="27">
        <v>0</v>
      </c>
      <c r="CQ134" s="27">
        <v>0</v>
      </c>
      <c r="CR134" s="27">
        <f t="shared" si="118"/>
        <v>0</v>
      </c>
      <c r="CS134" s="27">
        <v>0</v>
      </c>
      <c r="CT134" s="27">
        <v>0</v>
      </c>
      <c r="CU134" s="27">
        <v>0</v>
      </c>
      <c r="CV134" s="27">
        <v>0</v>
      </c>
      <c r="CW134" s="27">
        <f t="shared" si="126"/>
        <v>0</v>
      </c>
      <c r="CX134" s="27">
        <f t="shared" si="127"/>
        <v>0</v>
      </c>
      <c r="CY134" s="27">
        <f t="shared" si="127"/>
        <v>0</v>
      </c>
      <c r="CZ134" s="27">
        <f t="shared" si="127"/>
        <v>0</v>
      </c>
      <c r="DA134" s="27">
        <f t="shared" si="127"/>
        <v>0</v>
      </c>
      <c r="DB134" s="27">
        <f t="shared" si="119"/>
        <v>0</v>
      </c>
      <c r="DC134" s="27">
        <f t="shared" si="119"/>
        <v>0</v>
      </c>
      <c r="DD134" s="27">
        <f t="shared" si="128"/>
        <v>0</v>
      </c>
      <c r="DE134" s="27">
        <f t="shared" si="128"/>
        <v>0</v>
      </c>
      <c r="DF134" s="27">
        <f t="shared" si="128"/>
        <v>0</v>
      </c>
      <c r="DG134" s="27">
        <f t="shared" si="120"/>
        <v>0</v>
      </c>
      <c r="DH134" s="27">
        <v>0</v>
      </c>
      <c r="DI134" s="27">
        <v>0</v>
      </c>
      <c r="DJ134" s="27">
        <v>0</v>
      </c>
      <c r="DK134" s="27">
        <v>0</v>
      </c>
      <c r="DL134" s="27">
        <f t="shared" si="121"/>
        <v>0</v>
      </c>
      <c r="DM134" s="27">
        <v>0</v>
      </c>
      <c r="DN134" s="27">
        <v>0</v>
      </c>
      <c r="DO134" s="27">
        <v>0</v>
      </c>
      <c r="DP134" s="27">
        <v>0</v>
      </c>
      <c r="DQ134" s="27">
        <f t="shared" si="122"/>
        <v>0</v>
      </c>
      <c r="DR134" s="27">
        <v>0</v>
      </c>
      <c r="DS134" s="27">
        <v>0</v>
      </c>
      <c r="DT134" s="27">
        <v>0</v>
      </c>
      <c r="DU134" s="27">
        <v>0</v>
      </c>
      <c r="DV134" s="27">
        <f t="shared" si="123"/>
        <v>0</v>
      </c>
      <c r="DW134" s="27">
        <v>0</v>
      </c>
      <c r="DX134" s="27">
        <v>0</v>
      </c>
      <c r="DY134" s="27">
        <v>0</v>
      </c>
      <c r="DZ134" s="27">
        <v>0</v>
      </c>
      <c r="EA134" s="27">
        <f t="shared" si="124"/>
        <v>0</v>
      </c>
      <c r="EB134" s="27">
        <v>0</v>
      </c>
      <c r="EC134" s="27">
        <v>0</v>
      </c>
      <c r="ED134" s="27">
        <v>0</v>
      </c>
      <c r="EE134" s="27">
        <v>0</v>
      </c>
      <c r="EF134" s="27">
        <f t="shared" si="125"/>
        <v>0</v>
      </c>
      <c r="EG134" s="27">
        <v>0</v>
      </c>
      <c r="EH134" s="27">
        <v>0</v>
      </c>
      <c r="EI134" s="27">
        <v>0</v>
      </c>
    </row>
    <row r="135" spans="1:139" ht="15" thickBot="1" x14ac:dyDescent="0.35">
      <c r="A135" s="2" t="s">
        <v>370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28">
        <v>1.5683517</v>
      </c>
      <c r="BK135" s="28">
        <v>1.7590124900000004</v>
      </c>
      <c r="BL135" s="28">
        <v>1.8179986599999993</v>
      </c>
      <c r="BM135" s="28">
        <v>1.8648618000000003</v>
      </c>
      <c r="BN135" s="28">
        <f t="shared" si="112"/>
        <v>7.0102246499999996</v>
      </c>
      <c r="BO135" s="28">
        <v>4.0965534300000002</v>
      </c>
      <c r="BP135" s="28">
        <v>3.8958190400000001</v>
      </c>
      <c r="BQ135" s="28">
        <v>4.1343909699999983</v>
      </c>
      <c r="BR135" s="28">
        <v>3.5407149100000028</v>
      </c>
      <c r="BS135" s="28">
        <f t="shared" si="113"/>
        <v>15.66747835</v>
      </c>
      <c r="BT135" s="28">
        <v>0</v>
      </c>
      <c r="BU135" s="28">
        <v>0</v>
      </c>
      <c r="BV135" s="28">
        <v>0</v>
      </c>
      <c r="BW135" s="28">
        <v>0</v>
      </c>
      <c r="BX135" s="28">
        <f t="shared" si="114"/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f t="shared" si="115"/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f t="shared" si="116"/>
        <v>0</v>
      </c>
      <c r="CI135" s="28">
        <v>0</v>
      </c>
      <c r="CJ135" s="28">
        <v>0</v>
      </c>
      <c r="CK135" s="28">
        <v>0</v>
      </c>
      <c r="CL135" s="28">
        <v>0</v>
      </c>
      <c r="CM135" s="28">
        <f t="shared" si="117"/>
        <v>0</v>
      </c>
      <c r="CN135" s="28">
        <v>0</v>
      </c>
      <c r="CO135" s="28">
        <v>0</v>
      </c>
      <c r="CP135" s="28">
        <v>0</v>
      </c>
      <c r="CQ135" s="28">
        <v>0</v>
      </c>
      <c r="CR135" s="28">
        <f t="shared" si="118"/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f t="shared" si="126"/>
        <v>0</v>
      </c>
      <c r="CX135" s="28">
        <f t="shared" si="127"/>
        <v>0</v>
      </c>
      <c r="CY135" s="28">
        <f t="shared" si="127"/>
        <v>0</v>
      </c>
      <c r="CZ135" s="28">
        <f t="shared" si="127"/>
        <v>0</v>
      </c>
      <c r="DA135" s="28">
        <f t="shared" si="127"/>
        <v>0</v>
      </c>
      <c r="DB135" s="28">
        <f t="shared" si="119"/>
        <v>0</v>
      </c>
      <c r="DC135" s="28">
        <f t="shared" si="119"/>
        <v>0</v>
      </c>
      <c r="DD135" s="28">
        <f t="shared" si="128"/>
        <v>0</v>
      </c>
      <c r="DE135" s="28">
        <f t="shared" si="128"/>
        <v>0</v>
      </c>
      <c r="DF135" s="28">
        <f t="shared" si="128"/>
        <v>0</v>
      </c>
      <c r="DG135" s="28">
        <f t="shared" si="120"/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f t="shared" si="121"/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f t="shared" si="122"/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f t="shared" si="123"/>
        <v>0</v>
      </c>
      <c r="DW135" s="28">
        <v>0</v>
      </c>
      <c r="DX135" s="28">
        <v>0</v>
      </c>
      <c r="DY135" s="28">
        <v>0</v>
      </c>
      <c r="DZ135" s="28">
        <v>0</v>
      </c>
      <c r="EA135" s="28">
        <f t="shared" si="124"/>
        <v>0</v>
      </c>
      <c r="EB135" s="28">
        <v>0</v>
      </c>
      <c r="EC135" s="28">
        <v>0</v>
      </c>
      <c r="ED135" s="28">
        <v>0</v>
      </c>
      <c r="EE135" s="28">
        <v>0</v>
      </c>
      <c r="EF135" s="28">
        <f t="shared" si="125"/>
        <v>0</v>
      </c>
      <c r="EG135" s="28">
        <v>0</v>
      </c>
      <c r="EH135" s="28">
        <v>0</v>
      </c>
      <c r="EI135" s="28">
        <v>0</v>
      </c>
    </row>
    <row r="136" spans="1:139" ht="15" thickTop="1" x14ac:dyDescent="0.3">
      <c r="A136" s="1" t="s">
        <v>338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27">
        <v>0.91138359000000002</v>
      </c>
      <c r="BK136" s="27">
        <v>0.77154324000000019</v>
      </c>
      <c r="BL136" s="27">
        <v>0.86538521999999962</v>
      </c>
      <c r="BM136" s="27">
        <v>1.0828290300000003</v>
      </c>
      <c r="BN136" s="27">
        <f t="shared" si="112"/>
        <v>3.6311410799999999</v>
      </c>
      <c r="BO136" s="27">
        <v>1.04281826</v>
      </c>
      <c r="BP136" s="27">
        <v>1.1216293900000001</v>
      </c>
      <c r="BQ136" s="27">
        <v>1.2666067899999998</v>
      </c>
      <c r="BR136" s="27">
        <v>-0.83134561649199967</v>
      </c>
      <c r="BS136" s="27">
        <f t="shared" si="113"/>
        <v>2.5997088235080001</v>
      </c>
      <c r="BT136" s="27">
        <v>0</v>
      </c>
      <c r="BU136" s="27">
        <v>0</v>
      </c>
      <c r="BV136" s="27">
        <v>0</v>
      </c>
      <c r="BW136" s="27">
        <v>0</v>
      </c>
      <c r="BX136" s="27">
        <f t="shared" si="114"/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f t="shared" si="115"/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f t="shared" si="116"/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f t="shared" si="117"/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f t="shared" si="118"/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f t="shared" si="126"/>
        <v>0</v>
      </c>
      <c r="CX136" s="27">
        <f t="shared" si="127"/>
        <v>0</v>
      </c>
      <c r="CY136" s="27">
        <f t="shared" si="127"/>
        <v>0</v>
      </c>
      <c r="CZ136" s="27">
        <f t="shared" si="127"/>
        <v>0</v>
      </c>
      <c r="DA136" s="27">
        <f t="shared" si="127"/>
        <v>0</v>
      </c>
      <c r="DB136" s="27">
        <f t="shared" si="119"/>
        <v>0</v>
      </c>
      <c r="DC136" s="27">
        <f t="shared" si="119"/>
        <v>0</v>
      </c>
      <c r="DD136" s="27">
        <f t="shared" si="128"/>
        <v>0</v>
      </c>
      <c r="DE136" s="27">
        <f t="shared" si="128"/>
        <v>0</v>
      </c>
      <c r="DF136" s="27">
        <f t="shared" si="128"/>
        <v>0</v>
      </c>
      <c r="DG136" s="27">
        <f t="shared" si="120"/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f t="shared" si="121"/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f t="shared" si="122"/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f t="shared" si="123"/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f t="shared" si="124"/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f t="shared" si="125"/>
        <v>0</v>
      </c>
      <c r="EG136" s="27">
        <v>0</v>
      </c>
      <c r="EH136" s="27">
        <v>0</v>
      </c>
      <c r="EI136" s="27">
        <v>0</v>
      </c>
    </row>
    <row r="137" spans="1:139" ht="15" thickBot="1" x14ac:dyDescent="0.35">
      <c r="A137" s="2" t="s">
        <v>331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28">
        <v>0</v>
      </c>
      <c r="BK137" s="28">
        <v>0</v>
      </c>
      <c r="BL137" s="28">
        <v>0</v>
      </c>
      <c r="BM137" s="28">
        <v>0</v>
      </c>
      <c r="BN137" s="28">
        <f t="shared" si="112"/>
        <v>0</v>
      </c>
      <c r="BO137" s="28">
        <v>0</v>
      </c>
      <c r="BP137" s="28">
        <v>0</v>
      </c>
      <c r="BQ137" s="28">
        <v>0</v>
      </c>
      <c r="BR137" s="28">
        <v>0</v>
      </c>
      <c r="BS137" s="28">
        <f t="shared" si="113"/>
        <v>0</v>
      </c>
      <c r="BT137" s="28">
        <v>0</v>
      </c>
      <c r="BU137" s="28">
        <v>0</v>
      </c>
      <c r="BV137" s="28">
        <v>0</v>
      </c>
      <c r="BW137" s="28">
        <v>0</v>
      </c>
      <c r="BX137" s="28">
        <f t="shared" si="114"/>
        <v>0</v>
      </c>
      <c r="BY137" s="28">
        <v>0</v>
      </c>
      <c r="BZ137" s="28">
        <v>0</v>
      </c>
      <c r="CA137" s="28">
        <v>0</v>
      </c>
      <c r="CB137" s="28">
        <v>0</v>
      </c>
      <c r="CC137" s="28">
        <f t="shared" si="115"/>
        <v>0</v>
      </c>
      <c r="CD137" s="28">
        <v>0</v>
      </c>
      <c r="CE137" s="28">
        <v>0</v>
      </c>
      <c r="CF137" s="28">
        <v>0</v>
      </c>
      <c r="CG137" s="28">
        <v>0</v>
      </c>
      <c r="CH137" s="28">
        <f t="shared" si="116"/>
        <v>0</v>
      </c>
      <c r="CI137" s="28">
        <v>0</v>
      </c>
      <c r="CJ137" s="28">
        <v>0</v>
      </c>
      <c r="CK137" s="28">
        <v>0</v>
      </c>
      <c r="CL137" s="28">
        <v>0</v>
      </c>
      <c r="CM137" s="28">
        <f t="shared" si="117"/>
        <v>0</v>
      </c>
      <c r="CN137" s="28">
        <v>0</v>
      </c>
      <c r="CO137" s="28">
        <v>0</v>
      </c>
      <c r="CP137" s="28">
        <v>0</v>
      </c>
      <c r="CQ137" s="28">
        <v>0</v>
      </c>
      <c r="CR137" s="28">
        <f t="shared" si="118"/>
        <v>0</v>
      </c>
      <c r="CS137" s="28">
        <v>0</v>
      </c>
      <c r="CT137" s="28">
        <v>0</v>
      </c>
      <c r="CU137" s="28">
        <v>0</v>
      </c>
      <c r="CV137" s="28">
        <v>0</v>
      </c>
      <c r="CW137" s="28">
        <f t="shared" si="126"/>
        <v>0</v>
      </c>
      <c r="CX137" s="28">
        <f t="shared" si="127"/>
        <v>0</v>
      </c>
      <c r="CY137" s="28">
        <f t="shared" si="127"/>
        <v>0</v>
      </c>
      <c r="CZ137" s="28">
        <f t="shared" si="127"/>
        <v>0</v>
      </c>
      <c r="DA137" s="28">
        <f t="shared" si="127"/>
        <v>0</v>
      </c>
      <c r="DB137" s="28">
        <f t="shared" si="119"/>
        <v>0</v>
      </c>
      <c r="DC137" s="28">
        <f t="shared" si="119"/>
        <v>0</v>
      </c>
      <c r="DD137" s="28">
        <f t="shared" si="128"/>
        <v>0</v>
      </c>
      <c r="DE137" s="28">
        <f t="shared" si="128"/>
        <v>0</v>
      </c>
      <c r="DF137" s="28">
        <f t="shared" si="128"/>
        <v>0</v>
      </c>
      <c r="DG137" s="28">
        <f t="shared" si="120"/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f t="shared" si="121"/>
        <v>0</v>
      </c>
      <c r="DM137" s="28">
        <v>0</v>
      </c>
      <c r="DN137" s="28">
        <v>0</v>
      </c>
      <c r="DO137" s="28">
        <v>0</v>
      </c>
      <c r="DP137" s="28">
        <v>0</v>
      </c>
      <c r="DQ137" s="28">
        <f t="shared" si="122"/>
        <v>0</v>
      </c>
      <c r="DR137" s="28">
        <v>0</v>
      </c>
      <c r="DS137" s="28">
        <v>0</v>
      </c>
      <c r="DT137" s="28">
        <v>0</v>
      </c>
      <c r="DU137" s="28">
        <v>0</v>
      </c>
      <c r="DV137" s="28">
        <f t="shared" si="123"/>
        <v>0</v>
      </c>
      <c r="DW137" s="28">
        <v>0</v>
      </c>
      <c r="DX137" s="28">
        <v>0</v>
      </c>
      <c r="DY137" s="28">
        <v>0</v>
      </c>
      <c r="DZ137" s="28">
        <v>0</v>
      </c>
      <c r="EA137" s="28">
        <f t="shared" si="124"/>
        <v>0</v>
      </c>
      <c r="EB137" s="28">
        <v>0</v>
      </c>
      <c r="EC137" s="28">
        <v>0</v>
      </c>
      <c r="ED137" s="28">
        <v>0</v>
      </c>
      <c r="EE137" s="28">
        <v>0</v>
      </c>
      <c r="EF137" s="28">
        <f t="shared" si="125"/>
        <v>0</v>
      </c>
      <c r="EG137" s="28">
        <v>0</v>
      </c>
      <c r="EH137" s="28">
        <v>0</v>
      </c>
      <c r="EI137" s="28">
        <v>0</v>
      </c>
    </row>
    <row r="138" spans="1:139" ht="15" thickTop="1" x14ac:dyDescent="0.3">
      <c r="A138" s="1" t="s">
        <v>308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27">
        <v>1.0248917799999999</v>
      </c>
      <c r="BK138" s="27">
        <v>0.67271570999999986</v>
      </c>
      <c r="BL138" s="27">
        <v>0.6607676700000007</v>
      </c>
      <c r="BM138" s="27">
        <v>0.65106754000000011</v>
      </c>
      <c r="BN138" s="27">
        <f t="shared" si="112"/>
        <v>3.0094427000000006</v>
      </c>
      <c r="BO138" s="27">
        <v>2.9313700200000001</v>
      </c>
      <c r="BP138" s="27">
        <v>2.8963153299999993</v>
      </c>
      <c r="BQ138" s="27">
        <v>2.8827710800000013</v>
      </c>
      <c r="BR138" s="27">
        <v>1.7825720099999991</v>
      </c>
      <c r="BS138" s="27">
        <f t="shared" si="113"/>
        <v>10.49302844</v>
      </c>
      <c r="BT138" s="27">
        <v>0.9</v>
      </c>
      <c r="BU138" s="27">
        <v>0.4</v>
      </c>
      <c r="BV138" s="27">
        <v>17.8</v>
      </c>
      <c r="BW138" s="27">
        <v>9.1999999999999993</v>
      </c>
      <c r="BX138" s="27">
        <f t="shared" si="114"/>
        <v>28.3</v>
      </c>
      <c r="BY138" s="27">
        <v>0</v>
      </c>
      <c r="BZ138" s="27">
        <v>8.8000000000000007</v>
      </c>
      <c r="CA138" s="27">
        <v>7.2</v>
      </c>
      <c r="CB138" s="27">
        <v>7.2</v>
      </c>
      <c r="CC138" s="27">
        <f t="shared" si="115"/>
        <v>23.2</v>
      </c>
      <c r="CD138" s="27">
        <f>8.90323679-1.532</f>
        <v>7.3712367899999993</v>
      </c>
      <c r="CE138" s="27">
        <v>8</v>
      </c>
      <c r="CF138" s="27">
        <v>7.6</v>
      </c>
      <c r="CG138" s="27">
        <v>7.8</v>
      </c>
      <c r="CH138" s="27">
        <f t="shared" si="116"/>
        <v>30.77123679</v>
      </c>
      <c r="CI138" s="27">
        <v>7.8280084900000002</v>
      </c>
      <c r="CJ138" s="27">
        <v>7.8274192200000012</v>
      </c>
      <c r="CK138" s="27">
        <v>7.8269173699999968</v>
      </c>
      <c r="CL138" s="27">
        <v>9.4847403599999982</v>
      </c>
      <c r="CM138" s="27">
        <f t="shared" si="117"/>
        <v>32.967085439999998</v>
      </c>
      <c r="CN138" s="27">
        <v>7.85147656</v>
      </c>
      <c r="CO138" s="27">
        <v>7.9060848200000002</v>
      </c>
      <c r="CP138" s="27">
        <v>5.5634226599999987</v>
      </c>
      <c r="CQ138" s="27">
        <f>26.093-SUM(CN138:CP138)</f>
        <v>4.7720159600000009</v>
      </c>
      <c r="CR138" s="27">
        <f t="shared" si="118"/>
        <v>26.093</v>
      </c>
      <c r="CS138" s="27">
        <v>5.44724232</v>
      </c>
      <c r="CT138" s="27">
        <v>5.45158699</v>
      </c>
      <c r="CU138" s="27">
        <v>5.4421956299999996</v>
      </c>
      <c r="CV138" s="27">
        <v>5.4472423200000017</v>
      </c>
      <c r="CW138" s="27">
        <f t="shared" si="126"/>
        <v>21.788267260000001</v>
      </c>
      <c r="CX138" s="27">
        <v>4.2830000000000004</v>
      </c>
      <c r="CY138" s="27">
        <v>4.2830000000000004</v>
      </c>
      <c r="CZ138" s="27">
        <v>4.2830000000000004</v>
      </c>
      <c r="DA138" s="27">
        <v>4.2830000000000004</v>
      </c>
      <c r="DB138" s="27">
        <f t="shared" si="119"/>
        <v>17.132000000000001</v>
      </c>
      <c r="DC138" s="27">
        <v>3.9529999999999998</v>
      </c>
      <c r="DD138" s="27">
        <v>3.9529999999999998</v>
      </c>
      <c r="DE138" s="27">
        <v>6.8620000000000001</v>
      </c>
      <c r="DF138" s="27">
        <f>7.474+13.562</f>
        <v>21.036000000000001</v>
      </c>
      <c r="DG138" s="27">
        <f t="shared" si="120"/>
        <v>35.804000000000002</v>
      </c>
      <c r="DH138" s="27">
        <v>-6.7149999999999999</v>
      </c>
      <c r="DI138" s="27">
        <v>6.8470000000000004</v>
      </c>
      <c r="DJ138" s="27">
        <v>6.8470000000000004</v>
      </c>
      <c r="DK138" s="27">
        <v>6.383</v>
      </c>
      <c r="DL138" s="27">
        <f t="shared" si="121"/>
        <v>13.362000000000002</v>
      </c>
      <c r="DM138" s="27">
        <v>1.2</v>
      </c>
      <c r="DN138" s="27">
        <v>5.7539999999999996</v>
      </c>
      <c r="DO138" s="27">
        <v>2.649</v>
      </c>
      <c r="DP138" s="27">
        <v>2.1720000000000002</v>
      </c>
      <c r="DQ138" s="27">
        <f t="shared" si="122"/>
        <v>11.775</v>
      </c>
      <c r="DR138" s="27">
        <v>3.4889999999999999</v>
      </c>
      <c r="DS138" s="27">
        <v>3.4929999999999999</v>
      </c>
      <c r="DT138" s="27">
        <v>3.4790000000000001</v>
      </c>
      <c r="DU138" s="27">
        <v>3.6110000000000002</v>
      </c>
      <c r="DV138" s="27">
        <f t="shared" si="123"/>
        <v>14.071999999999999</v>
      </c>
      <c r="DW138" s="27">
        <v>3.8290000000000002</v>
      </c>
      <c r="DX138" s="27">
        <v>4.1890000000000001</v>
      </c>
      <c r="DY138" s="27">
        <v>3.3242651599999991</v>
      </c>
      <c r="DZ138" s="27">
        <v>3.1452731100000011</v>
      </c>
      <c r="EA138" s="27">
        <f t="shared" si="124"/>
        <v>14.487538270000002</v>
      </c>
      <c r="EB138" s="27">
        <v>3.83192281</v>
      </c>
      <c r="EC138" s="27">
        <v>4.1994469299999997</v>
      </c>
      <c r="ED138" s="27">
        <v>3.6930000000000001</v>
      </c>
      <c r="EE138" s="27">
        <v>3.3531869799999985</v>
      </c>
      <c r="EF138" s="27">
        <f t="shared" si="125"/>
        <v>15.077556719999997</v>
      </c>
      <c r="EG138" s="27">
        <v>3.5546702799999998</v>
      </c>
      <c r="EH138" s="27">
        <v>3.5237984500000006</v>
      </c>
      <c r="EI138" s="27">
        <v>3.4541785499999991</v>
      </c>
    </row>
    <row r="139" spans="1:139" x14ac:dyDescent="0.3">
      <c r="A139" s="5" t="s">
        <v>311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29">
        <f>SUM(BJ116:BJ138)</f>
        <v>33.131507110000001</v>
      </c>
      <c r="BK139" s="29">
        <f t="shared" ref="BK139:DT139" si="129">SUM(BK116:BK138)</f>
        <v>33.247892500000006</v>
      </c>
      <c r="BL139" s="29">
        <f t="shared" si="129"/>
        <v>34.126642129999993</v>
      </c>
      <c r="BM139" s="29">
        <f t="shared" si="129"/>
        <v>39.082874709999999</v>
      </c>
      <c r="BN139" s="29">
        <f t="shared" si="129"/>
        <v>139.58891645</v>
      </c>
      <c r="BO139" s="29">
        <f t="shared" si="129"/>
        <v>40.861468530000003</v>
      </c>
      <c r="BP139" s="29">
        <f t="shared" si="129"/>
        <v>41.208352600000005</v>
      </c>
      <c r="BQ139" s="29">
        <f t="shared" si="129"/>
        <v>41.913584879999988</v>
      </c>
      <c r="BR139" s="29">
        <f t="shared" si="129"/>
        <v>39.173561493508004</v>
      </c>
      <c r="BS139" s="29">
        <f t="shared" si="129"/>
        <v>163.15696750350801</v>
      </c>
      <c r="BT139" s="29">
        <f t="shared" si="129"/>
        <v>37.959519339999993</v>
      </c>
      <c r="BU139" s="29">
        <f t="shared" si="129"/>
        <v>41.077123840000006</v>
      </c>
      <c r="BV139" s="29">
        <f t="shared" si="129"/>
        <v>62.787889899999996</v>
      </c>
      <c r="BW139" s="29">
        <f t="shared" si="129"/>
        <v>59.468559505000002</v>
      </c>
      <c r="BX139" s="29">
        <f t="shared" si="129"/>
        <v>201.29309258500001</v>
      </c>
      <c r="BY139" s="29">
        <f t="shared" si="129"/>
        <v>44.819627139999994</v>
      </c>
      <c r="BZ139" s="29">
        <f t="shared" si="129"/>
        <v>55.121765460000006</v>
      </c>
      <c r="CA139" s="29">
        <f t="shared" si="129"/>
        <v>55.375281029999996</v>
      </c>
      <c r="CB139" s="29">
        <f t="shared" si="129"/>
        <v>77.847204230000003</v>
      </c>
      <c r="CC139" s="29">
        <f t="shared" si="129"/>
        <v>233.16387785999999</v>
      </c>
      <c r="CD139" s="29">
        <f t="shared" si="129"/>
        <v>68.20519591</v>
      </c>
      <c r="CE139" s="29">
        <f t="shared" si="129"/>
        <v>71.720884579999989</v>
      </c>
      <c r="CF139" s="29">
        <f t="shared" si="129"/>
        <v>72.426708629999979</v>
      </c>
      <c r="CG139" s="29">
        <f t="shared" si="129"/>
        <v>89.646477410000031</v>
      </c>
      <c r="CH139" s="29">
        <f t="shared" si="129"/>
        <v>301.99926653</v>
      </c>
      <c r="CI139" s="29">
        <f t="shared" si="129"/>
        <v>80.580871039999991</v>
      </c>
      <c r="CJ139" s="29">
        <f t="shared" si="129"/>
        <v>82.818969379999984</v>
      </c>
      <c r="CK139" s="29">
        <f t="shared" si="129"/>
        <v>84.533343779999996</v>
      </c>
      <c r="CL139" s="29">
        <f t="shared" si="129"/>
        <v>89.810191599999982</v>
      </c>
      <c r="CM139" s="29">
        <f t="shared" si="129"/>
        <v>337.74337580000002</v>
      </c>
      <c r="CN139" s="29">
        <f t="shared" si="129"/>
        <v>86.285810679999997</v>
      </c>
      <c r="CO139" s="29">
        <f t="shared" si="129"/>
        <v>84.797516640000012</v>
      </c>
      <c r="CP139" s="29">
        <f t="shared" si="129"/>
        <v>85.049585559999997</v>
      </c>
      <c r="CQ139" s="29">
        <f t="shared" si="129"/>
        <v>77.856087119999998</v>
      </c>
      <c r="CR139" s="29">
        <f t="shared" si="129"/>
        <v>333.98900000000003</v>
      </c>
      <c r="CS139" s="29">
        <f t="shared" si="129"/>
        <v>99.45252567999998</v>
      </c>
      <c r="CT139" s="29">
        <f t="shared" si="129"/>
        <v>100.77570990999999</v>
      </c>
      <c r="CU139" s="29">
        <f t="shared" si="129"/>
        <v>103.55472642999999</v>
      </c>
      <c r="CV139" s="29">
        <f t="shared" si="129"/>
        <v>105.67255151999998</v>
      </c>
      <c r="CW139" s="29">
        <f t="shared" si="129"/>
        <v>409.45551353999997</v>
      </c>
      <c r="CX139" s="29">
        <f t="shared" si="129"/>
        <v>111.29599999999999</v>
      </c>
      <c r="CY139" s="29">
        <f t="shared" si="129"/>
        <v>113.45800000000001</v>
      </c>
      <c r="CZ139" s="29">
        <f t="shared" si="129"/>
        <v>115.02799999999999</v>
      </c>
      <c r="DA139" s="29">
        <f t="shared" si="129"/>
        <v>84.979000000000013</v>
      </c>
      <c r="DB139" s="29">
        <f t="shared" si="129"/>
        <v>424.76100000000002</v>
      </c>
      <c r="DC139" s="29">
        <f t="shared" si="129"/>
        <v>121.661</v>
      </c>
      <c r="DD139" s="29">
        <f t="shared" si="129"/>
        <v>133.85600000000002</v>
      </c>
      <c r="DE139" s="29">
        <f t="shared" si="129"/>
        <v>148.51499999999999</v>
      </c>
      <c r="DF139" s="29">
        <f t="shared" si="129"/>
        <v>153.35499999999999</v>
      </c>
      <c r="DG139" s="29">
        <f t="shared" si="129"/>
        <v>557.38699999999994</v>
      </c>
      <c r="DH139" s="29">
        <f t="shared" si="129"/>
        <v>120.89800000000001</v>
      </c>
      <c r="DI139" s="29">
        <f t="shared" si="129"/>
        <v>139.03700000000001</v>
      </c>
      <c r="DJ139" s="29">
        <f t="shared" si="129"/>
        <v>140.60500000000005</v>
      </c>
      <c r="DK139" s="29">
        <f t="shared" si="129"/>
        <v>128.23999999999998</v>
      </c>
      <c r="DL139" s="29">
        <f t="shared" si="129"/>
        <v>528.77999999999986</v>
      </c>
      <c r="DM139" s="29">
        <f t="shared" si="129"/>
        <v>152.31299999999996</v>
      </c>
      <c r="DN139" s="29">
        <f t="shared" si="129"/>
        <v>174.60699999999997</v>
      </c>
      <c r="DO139" s="29">
        <f t="shared" si="129"/>
        <v>179.91999999999996</v>
      </c>
      <c r="DP139" s="29">
        <f t="shared" si="129"/>
        <v>177.89</v>
      </c>
      <c r="DQ139" s="29">
        <f t="shared" si="129"/>
        <v>684.7299999999999</v>
      </c>
      <c r="DR139" s="29">
        <f t="shared" si="129"/>
        <v>132.06</v>
      </c>
      <c r="DS139" s="29">
        <f t="shared" si="129"/>
        <v>136.51900000000001</v>
      </c>
      <c r="DT139" s="29">
        <f t="shared" si="129"/>
        <v>143.07000000000002</v>
      </c>
      <c r="DU139" s="29">
        <f t="shared" ref="DU139:EA139" si="130">SUM(DU116:DU138)</f>
        <v>161.97299999999998</v>
      </c>
      <c r="DV139" s="29">
        <f t="shared" si="130"/>
        <v>573.62200000000007</v>
      </c>
      <c r="DW139" s="29">
        <f t="shared" si="130"/>
        <v>182.71700000000004</v>
      </c>
      <c r="DX139" s="29">
        <f t="shared" si="130"/>
        <v>200.23799999999997</v>
      </c>
      <c r="DY139" s="29">
        <f t="shared" si="130"/>
        <v>184.08242835000007</v>
      </c>
      <c r="DZ139" s="29">
        <f t="shared" si="130"/>
        <v>228.18084425000006</v>
      </c>
      <c r="EA139" s="29">
        <f t="shared" si="130"/>
        <v>795.21827259999975</v>
      </c>
      <c r="EB139" s="29">
        <f>SUM(EB116:EB138)</f>
        <v>211.54150082000004</v>
      </c>
      <c r="EC139" s="29">
        <f>SUM(EC116:EC138)</f>
        <v>232.08381043000003</v>
      </c>
      <c r="ED139" s="29">
        <f>SUM(ED116:ED138)</f>
        <v>243.36300000000003</v>
      </c>
      <c r="EE139" s="29">
        <f>SUM(EE116:EE138)</f>
        <v>282.93574858000005</v>
      </c>
      <c r="EF139" s="29">
        <f t="shared" ref="EF139" si="131">SUM(EF116:EF138)</f>
        <v>969.92405982999992</v>
      </c>
      <c r="EG139" s="29">
        <f>SUM(EG116:EG138)</f>
        <v>302.0930439</v>
      </c>
      <c r="EH139" s="29">
        <f>SUM(EH116:EH138)</f>
        <v>326.02916051000005</v>
      </c>
      <c r="EI139" s="29">
        <f>SUM(EI116:EI138)</f>
        <v>355.63848162000005</v>
      </c>
    </row>
    <row r="140" spans="1:139" x14ac:dyDescent="0.3">
      <c r="CE140" s="33"/>
      <c r="CH140" s="33"/>
    </row>
    <row r="142" spans="1:139" x14ac:dyDescent="0.3">
      <c r="A142" s="3" t="s">
        <v>371</v>
      </c>
      <c r="B142" s="6" t="s">
        <v>4</v>
      </c>
      <c r="C142" s="6" t="s">
        <v>5</v>
      </c>
      <c r="D142" s="6" t="s">
        <v>6</v>
      </c>
      <c r="E142" s="6" t="s">
        <v>7</v>
      </c>
      <c r="F142" s="6">
        <v>2018</v>
      </c>
      <c r="G142" s="6" t="s">
        <v>8</v>
      </c>
      <c r="H142" s="6" t="s">
        <v>9</v>
      </c>
      <c r="I142" s="6" t="s">
        <v>10</v>
      </c>
      <c r="J142" s="6" t="s">
        <v>11</v>
      </c>
      <c r="K142" s="6">
        <v>2019</v>
      </c>
      <c r="L142" s="6" t="s">
        <v>12</v>
      </c>
      <c r="M142" s="6" t="s">
        <v>13</v>
      </c>
      <c r="N142" s="6" t="s">
        <v>14</v>
      </c>
      <c r="O142" s="6" t="s">
        <v>15</v>
      </c>
      <c r="P142" s="6">
        <v>2000</v>
      </c>
      <c r="Q142" s="6" t="s">
        <v>16</v>
      </c>
      <c r="R142" s="6" t="s">
        <v>17</v>
      </c>
      <c r="S142" s="6" t="s">
        <v>18</v>
      </c>
      <c r="T142" s="6" t="s">
        <v>19</v>
      </c>
      <c r="U142" s="6">
        <v>2001</v>
      </c>
      <c r="V142" s="6" t="s">
        <v>20</v>
      </c>
      <c r="W142" s="6" t="s">
        <v>21</v>
      </c>
      <c r="X142" s="6" t="s">
        <v>22</v>
      </c>
      <c r="Y142" s="6" t="s">
        <v>23</v>
      </c>
      <c r="Z142" s="6">
        <v>2002</v>
      </c>
      <c r="AA142" s="6" t="s">
        <v>24</v>
      </c>
      <c r="AB142" s="6" t="s">
        <v>25</v>
      </c>
      <c r="AC142" s="6" t="s">
        <v>26</v>
      </c>
      <c r="AD142" s="6" t="s">
        <v>27</v>
      </c>
      <c r="AE142" s="6">
        <v>2003</v>
      </c>
      <c r="AF142" s="6" t="s">
        <v>28</v>
      </c>
      <c r="AG142" s="6" t="s">
        <v>29</v>
      </c>
      <c r="AH142" s="6" t="s">
        <v>30</v>
      </c>
      <c r="AI142" s="6" t="s">
        <v>31</v>
      </c>
      <c r="AJ142" s="6">
        <v>2004</v>
      </c>
      <c r="AK142" s="6" t="s">
        <v>32</v>
      </c>
      <c r="AL142" s="6" t="s">
        <v>33</v>
      </c>
      <c r="AM142" s="6" t="s">
        <v>34</v>
      </c>
      <c r="AN142" s="6" t="s">
        <v>35</v>
      </c>
      <c r="AO142" s="6">
        <v>2005</v>
      </c>
      <c r="AP142" s="6" t="s">
        <v>36</v>
      </c>
      <c r="AQ142" s="6" t="s">
        <v>37</v>
      </c>
      <c r="AR142" s="6" t="s">
        <v>38</v>
      </c>
      <c r="AS142" s="6" t="s">
        <v>39</v>
      </c>
      <c r="AT142" s="6">
        <v>2006</v>
      </c>
      <c r="AU142" s="6" t="s">
        <v>40</v>
      </c>
      <c r="AV142" s="6" t="s">
        <v>41</v>
      </c>
      <c r="AW142" s="6" t="s">
        <v>42</v>
      </c>
      <c r="AX142" s="6" t="s">
        <v>43</v>
      </c>
      <c r="AY142" s="6">
        <v>2007</v>
      </c>
      <c r="AZ142" s="6" t="s">
        <v>44</v>
      </c>
      <c r="BA142" s="6" t="s">
        <v>45</v>
      </c>
      <c r="BB142" s="6" t="s">
        <v>46</v>
      </c>
      <c r="BC142" s="6" t="s">
        <v>47</v>
      </c>
      <c r="BD142" s="6">
        <v>2008</v>
      </c>
      <c r="BE142" s="6" t="s">
        <v>48</v>
      </c>
      <c r="BF142" s="6" t="s">
        <v>49</v>
      </c>
      <c r="BG142" s="6" t="s">
        <v>50</v>
      </c>
      <c r="BH142" s="6" t="s">
        <v>51</v>
      </c>
      <c r="BI142" s="6">
        <v>2009</v>
      </c>
      <c r="BJ142" s="6" t="s">
        <v>52</v>
      </c>
      <c r="BK142" s="6" t="s">
        <v>53</v>
      </c>
      <c r="BL142" s="6" t="s">
        <v>54</v>
      </c>
      <c r="BM142" s="6" t="s">
        <v>55</v>
      </c>
      <c r="BN142" s="6">
        <v>2010</v>
      </c>
      <c r="BO142" s="6" t="s">
        <v>56</v>
      </c>
      <c r="BP142" s="6" t="s">
        <v>57</v>
      </c>
      <c r="BQ142" s="6" t="s">
        <v>58</v>
      </c>
      <c r="BR142" s="6" t="s">
        <v>59</v>
      </c>
      <c r="BS142" s="6">
        <v>2011</v>
      </c>
      <c r="BT142" s="6" t="s">
        <v>60</v>
      </c>
      <c r="BU142" s="6" t="s">
        <v>61</v>
      </c>
      <c r="BV142" s="6" t="s">
        <v>62</v>
      </c>
      <c r="BW142" s="6" t="s">
        <v>63</v>
      </c>
      <c r="BX142" s="6">
        <v>2012</v>
      </c>
      <c r="BY142" s="6" t="s">
        <v>64</v>
      </c>
      <c r="BZ142" s="6" t="s">
        <v>65</v>
      </c>
      <c r="CA142" s="6" t="s">
        <v>66</v>
      </c>
      <c r="CB142" s="6" t="s">
        <v>67</v>
      </c>
      <c r="CC142" s="6">
        <v>2013</v>
      </c>
      <c r="CD142" s="6" t="s">
        <v>68</v>
      </c>
      <c r="CE142" s="6" t="s">
        <v>69</v>
      </c>
      <c r="CF142" s="6" t="s">
        <v>70</v>
      </c>
      <c r="CG142" s="6" t="s">
        <v>71</v>
      </c>
      <c r="CH142" s="6">
        <v>2014</v>
      </c>
      <c r="CI142" s="6" t="s">
        <v>72</v>
      </c>
      <c r="CJ142" s="6" t="s">
        <v>73</v>
      </c>
      <c r="CK142" s="6" t="s">
        <v>74</v>
      </c>
      <c r="CL142" s="6" t="s">
        <v>75</v>
      </c>
      <c r="CM142" s="6">
        <v>2015</v>
      </c>
      <c r="CN142" s="6" t="s">
        <v>76</v>
      </c>
      <c r="CO142" s="6" t="s">
        <v>77</v>
      </c>
      <c r="CP142" s="6" t="s">
        <v>78</v>
      </c>
      <c r="CQ142" s="6" t="s">
        <v>79</v>
      </c>
      <c r="CR142" s="6">
        <v>2016</v>
      </c>
      <c r="CS142" s="6" t="s">
        <v>80</v>
      </c>
      <c r="CT142" s="6" t="s">
        <v>81</v>
      </c>
      <c r="CU142" s="6" t="s">
        <v>82</v>
      </c>
      <c r="CV142" s="6" t="s">
        <v>83</v>
      </c>
      <c r="CW142" s="6">
        <v>2017</v>
      </c>
      <c r="CX142" s="6" t="s">
        <v>84</v>
      </c>
      <c r="CY142" s="6" t="s">
        <v>85</v>
      </c>
      <c r="CZ142" s="6" t="s">
        <v>86</v>
      </c>
      <c r="DA142" s="6" t="s">
        <v>87</v>
      </c>
      <c r="DB142" s="6">
        <v>2018</v>
      </c>
      <c r="DC142" s="6" t="s">
        <v>88</v>
      </c>
      <c r="DD142" s="6" t="s">
        <v>89</v>
      </c>
      <c r="DE142" s="6" t="s">
        <v>90</v>
      </c>
      <c r="DF142" s="6" t="s">
        <v>91</v>
      </c>
      <c r="DG142" s="6">
        <v>2019</v>
      </c>
      <c r="DH142" s="6" t="s">
        <v>92</v>
      </c>
      <c r="DI142" s="6" t="s">
        <v>93</v>
      </c>
      <c r="DJ142" s="6" t="s">
        <v>94</v>
      </c>
      <c r="DK142" s="6" t="s">
        <v>95</v>
      </c>
      <c r="DL142" s="6">
        <v>2020</v>
      </c>
      <c r="DM142" s="6" t="s">
        <v>96</v>
      </c>
      <c r="DN142" s="6" t="s">
        <v>97</v>
      </c>
      <c r="DO142" s="6" t="s">
        <v>98</v>
      </c>
      <c r="DP142" s="6" t="s">
        <v>99</v>
      </c>
      <c r="DQ142" s="6">
        <v>2021</v>
      </c>
      <c r="DR142" s="6" t="s">
        <v>100</v>
      </c>
      <c r="DS142" s="6" t="s">
        <v>101</v>
      </c>
      <c r="DT142" s="6" t="s">
        <v>200</v>
      </c>
      <c r="DU142" s="6" t="s">
        <v>380</v>
      </c>
      <c r="DV142" s="6">
        <v>2022</v>
      </c>
      <c r="DW142" s="6" t="s">
        <v>379</v>
      </c>
      <c r="DX142" s="6" t="s">
        <v>402</v>
      </c>
      <c r="DY142" s="6" t="s">
        <v>414</v>
      </c>
      <c r="DZ142" s="6" t="s">
        <v>419</v>
      </c>
      <c r="EA142" s="6">
        <v>2023</v>
      </c>
      <c r="EB142" s="6" t="s">
        <v>424</v>
      </c>
      <c r="EC142" s="6" t="s">
        <v>429</v>
      </c>
      <c r="ED142" s="6" t="str">
        <f>$ED$1</f>
        <v>3T24</v>
      </c>
      <c r="EE142" s="6" t="str">
        <f>$EE$1</f>
        <v>4T24</v>
      </c>
      <c r="EF142" s="6">
        <f>$EF$1</f>
        <v>2024</v>
      </c>
      <c r="EG142" s="6" t="str">
        <f>EG$1</f>
        <v>1T25</v>
      </c>
      <c r="EH142" s="6" t="str">
        <f>EH$1</f>
        <v>2T25</v>
      </c>
      <c r="EI142" s="6" t="str">
        <f>EI$1</f>
        <v>3T25</v>
      </c>
    </row>
    <row r="143" spans="1:139" ht="15" thickBot="1" x14ac:dyDescent="0.35">
      <c r="A143" s="4" t="s">
        <v>372</v>
      </c>
      <c r="B143" s="7" t="s">
        <v>102</v>
      </c>
      <c r="C143" s="7" t="s">
        <v>103</v>
      </c>
      <c r="D143" s="7" t="s">
        <v>104</v>
      </c>
      <c r="E143" s="7" t="s">
        <v>105</v>
      </c>
      <c r="F143" s="7">
        <v>2018</v>
      </c>
      <c r="G143" s="7" t="s">
        <v>106</v>
      </c>
      <c r="H143" s="7" t="s">
        <v>107</v>
      </c>
      <c r="I143" s="7" t="s">
        <v>108</v>
      </c>
      <c r="J143" s="7" t="s">
        <v>109</v>
      </c>
      <c r="K143" s="7">
        <v>2019</v>
      </c>
      <c r="L143" s="7" t="s">
        <v>110</v>
      </c>
      <c r="M143" s="7" t="s">
        <v>111</v>
      </c>
      <c r="N143" s="7" t="s">
        <v>112</v>
      </c>
      <c r="O143" s="7" t="s">
        <v>113</v>
      </c>
      <c r="P143" s="7">
        <v>2000</v>
      </c>
      <c r="Q143" s="7" t="s">
        <v>114</v>
      </c>
      <c r="R143" s="7" t="s">
        <v>115</v>
      </c>
      <c r="S143" s="7" t="s">
        <v>116</v>
      </c>
      <c r="T143" s="7" t="s">
        <v>117</v>
      </c>
      <c r="U143" s="7">
        <v>2001</v>
      </c>
      <c r="V143" s="7" t="s">
        <v>118</v>
      </c>
      <c r="W143" s="7" t="s">
        <v>119</v>
      </c>
      <c r="X143" s="7" t="s">
        <v>120</v>
      </c>
      <c r="Y143" s="7" t="s">
        <v>121</v>
      </c>
      <c r="Z143" s="7">
        <v>2002</v>
      </c>
      <c r="AA143" s="7" t="s">
        <v>122</v>
      </c>
      <c r="AB143" s="7" t="s">
        <v>123</v>
      </c>
      <c r="AC143" s="7" t="s">
        <v>124</v>
      </c>
      <c r="AD143" s="7" t="s">
        <v>125</v>
      </c>
      <c r="AE143" s="7">
        <v>2003</v>
      </c>
      <c r="AF143" s="7" t="s">
        <v>126</v>
      </c>
      <c r="AG143" s="7" t="s">
        <v>127</v>
      </c>
      <c r="AH143" s="7" t="s">
        <v>128</v>
      </c>
      <c r="AI143" s="7" t="s">
        <v>129</v>
      </c>
      <c r="AJ143" s="7">
        <v>2004</v>
      </c>
      <c r="AK143" s="7" t="s">
        <v>130</v>
      </c>
      <c r="AL143" s="7" t="s">
        <v>131</v>
      </c>
      <c r="AM143" s="7" t="s">
        <v>132</v>
      </c>
      <c r="AN143" s="7" t="s">
        <v>133</v>
      </c>
      <c r="AO143" s="7">
        <v>2005</v>
      </c>
      <c r="AP143" s="7" t="s">
        <v>134</v>
      </c>
      <c r="AQ143" s="7" t="s">
        <v>135</v>
      </c>
      <c r="AR143" s="7" t="s">
        <v>136</v>
      </c>
      <c r="AS143" s="7" t="s">
        <v>137</v>
      </c>
      <c r="AT143" s="7">
        <v>2006</v>
      </c>
      <c r="AU143" s="7" t="s">
        <v>138</v>
      </c>
      <c r="AV143" s="7" t="s">
        <v>139</v>
      </c>
      <c r="AW143" s="7" t="s">
        <v>140</v>
      </c>
      <c r="AX143" s="7" t="s">
        <v>141</v>
      </c>
      <c r="AY143" s="7">
        <v>2007</v>
      </c>
      <c r="AZ143" s="7" t="s">
        <v>142</v>
      </c>
      <c r="BA143" s="7" t="s">
        <v>143</v>
      </c>
      <c r="BB143" s="7" t="s">
        <v>144</v>
      </c>
      <c r="BC143" s="7" t="s">
        <v>145</v>
      </c>
      <c r="BD143" s="7">
        <v>2008</v>
      </c>
      <c r="BE143" s="7" t="s">
        <v>146</v>
      </c>
      <c r="BF143" s="7" t="s">
        <v>147</v>
      </c>
      <c r="BG143" s="7" t="s">
        <v>148</v>
      </c>
      <c r="BH143" s="7" t="s">
        <v>149</v>
      </c>
      <c r="BI143" s="7">
        <v>2009</v>
      </c>
      <c r="BJ143" s="7" t="s">
        <v>150</v>
      </c>
      <c r="BK143" s="7" t="s">
        <v>151</v>
      </c>
      <c r="BL143" s="7" t="s">
        <v>152</v>
      </c>
      <c r="BM143" s="7" t="s">
        <v>153</v>
      </c>
      <c r="BN143" s="7">
        <v>2010</v>
      </c>
      <c r="BO143" s="7" t="s">
        <v>154</v>
      </c>
      <c r="BP143" s="7" t="s">
        <v>155</v>
      </c>
      <c r="BQ143" s="7" t="s">
        <v>156</v>
      </c>
      <c r="BR143" s="7" t="s">
        <v>157</v>
      </c>
      <c r="BS143" s="7">
        <v>2011</v>
      </c>
      <c r="BT143" s="7" t="s">
        <v>158</v>
      </c>
      <c r="BU143" s="7" t="s">
        <v>159</v>
      </c>
      <c r="BV143" s="7" t="s">
        <v>160</v>
      </c>
      <c r="BW143" s="7" t="s">
        <v>161</v>
      </c>
      <c r="BX143" s="7">
        <v>2012</v>
      </c>
      <c r="BY143" s="7" t="s">
        <v>162</v>
      </c>
      <c r="BZ143" s="7" t="s">
        <v>163</v>
      </c>
      <c r="CA143" s="7" t="s">
        <v>164</v>
      </c>
      <c r="CB143" s="7" t="s">
        <v>165</v>
      </c>
      <c r="CC143" s="7">
        <v>2013</v>
      </c>
      <c r="CD143" s="7" t="s">
        <v>166</v>
      </c>
      <c r="CE143" s="7" t="s">
        <v>167</v>
      </c>
      <c r="CF143" s="7" t="s">
        <v>168</v>
      </c>
      <c r="CG143" s="7" t="s">
        <v>169</v>
      </c>
      <c r="CH143" s="7">
        <v>2014</v>
      </c>
      <c r="CI143" s="7" t="s">
        <v>170</v>
      </c>
      <c r="CJ143" s="7" t="s">
        <v>171</v>
      </c>
      <c r="CK143" s="7" t="s">
        <v>172</v>
      </c>
      <c r="CL143" s="7" t="s">
        <v>173</v>
      </c>
      <c r="CM143" s="7">
        <v>2015</v>
      </c>
      <c r="CN143" s="7" t="s">
        <v>174</v>
      </c>
      <c r="CO143" s="7" t="s">
        <v>175</v>
      </c>
      <c r="CP143" s="7" t="s">
        <v>176</v>
      </c>
      <c r="CQ143" s="7" t="s">
        <v>177</v>
      </c>
      <c r="CR143" s="7">
        <v>2016</v>
      </c>
      <c r="CS143" s="7" t="s">
        <v>178</v>
      </c>
      <c r="CT143" s="7" t="s">
        <v>179</v>
      </c>
      <c r="CU143" s="7" t="s">
        <v>180</v>
      </c>
      <c r="CV143" s="7" t="s">
        <v>181</v>
      </c>
      <c r="CW143" s="7">
        <v>2017</v>
      </c>
      <c r="CX143" s="7" t="s">
        <v>182</v>
      </c>
      <c r="CY143" s="7" t="s">
        <v>183</v>
      </c>
      <c r="CZ143" s="7" t="s">
        <v>184</v>
      </c>
      <c r="DA143" s="7" t="s">
        <v>185</v>
      </c>
      <c r="DB143" s="7">
        <v>2018</v>
      </c>
      <c r="DC143" s="7" t="s">
        <v>186</v>
      </c>
      <c r="DD143" s="7" t="s">
        <v>187</v>
      </c>
      <c r="DE143" s="7" t="s">
        <v>188</v>
      </c>
      <c r="DF143" s="7" t="s">
        <v>189</v>
      </c>
      <c r="DG143" s="7">
        <v>2019</v>
      </c>
      <c r="DH143" s="7" t="s">
        <v>190</v>
      </c>
      <c r="DI143" s="7" t="s">
        <v>191</v>
      </c>
      <c r="DJ143" s="7" t="s">
        <v>192</v>
      </c>
      <c r="DK143" s="7" t="s">
        <v>193</v>
      </c>
      <c r="DL143" s="7">
        <v>2020</v>
      </c>
      <c r="DM143" s="7" t="s">
        <v>194</v>
      </c>
      <c r="DN143" s="7" t="s">
        <v>195</v>
      </c>
      <c r="DO143" s="7" t="s">
        <v>196</v>
      </c>
      <c r="DP143" s="7" t="s">
        <v>197</v>
      </c>
      <c r="DQ143" s="7">
        <v>2021</v>
      </c>
      <c r="DR143" s="7" t="s">
        <v>198</v>
      </c>
      <c r="DS143" s="7" t="s">
        <v>199</v>
      </c>
      <c r="DT143" s="7" t="s">
        <v>201</v>
      </c>
      <c r="DU143" s="7" t="s">
        <v>381</v>
      </c>
      <c r="DV143" s="7">
        <v>2022</v>
      </c>
      <c r="DW143" s="7" t="s">
        <v>382</v>
      </c>
      <c r="DX143" s="7" t="s">
        <v>403</v>
      </c>
      <c r="DY143" s="7" t="s">
        <v>415</v>
      </c>
      <c r="DZ143" s="7" t="s">
        <v>420</v>
      </c>
      <c r="EA143" s="7">
        <v>2023</v>
      </c>
      <c r="EB143" s="7" t="s">
        <v>425</v>
      </c>
      <c r="EC143" s="7" t="s">
        <v>430</v>
      </c>
      <c r="ED143" s="7" t="str">
        <f>$ED$2</f>
        <v>3Q24</v>
      </c>
      <c r="EE143" s="6" t="str">
        <f>$EE$2</f>
        <v>4Q24</v>
      </c>
      <c r="EF143" s="6">
        <f>$EF$2</f>
        <v>2024</v>
      </c>
      <c r="EG143" s="7" t="str">
        <f>EG$2</f>
        <v>1Q25</v>
      </c>
      <c r="EH143" s="7" t="str">
        <f>EH$2</f>
        <v>2Q25</v>
      </c>
      <c r="EI143" s="7" t="str">
        <f>EI$2</f>
        <v>3Q25</v>
      </c>
    </row>
    <row r="144" spans="1:139" ht="15" thickTop="1" x14ac:dyDescent="0.3">
      <c r="A144" s="1" t="s">
        <v>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27">
        <v>0.89767494000000003</v>
      </c>
      <c r="BK144" s="27">
        <v>0.90084207000000005</v>
      </c>
      <c r="BL144" s="27">
        <v>0.88556603</v>
      </c>
      <c r="BM144" s="27">
        <v>0.64974662999999999</v>
      </c>
      <c r="BN144" s="27">
        <f>SUM(BJ144:BM144)</f>
        <v>3.3338296700000001</v>
      </c>
      <c r="BO144" s="27">
        <v>0.79412631999999994</v>
      </c>
      <c r="BP144" s="27">
        <v>1.1603694</v>
      </c>
      <c r="BQ144" s="27">
        <v>1.1670619299999998</v>
      </c>
      <c r="BR144" s="27">
        <v>1.0107870899999998</v>
      </c>
      <c r="BS144" s="27">
        <f>SUM(BO144:BR144)</f>
        <v>4.1323447399999997</v>
      </c>
      <c r="BT144" s="27">
        <v>0.95394517000000001</v>
      </c>
      <c r="BU144" s="27">
        <v>1.0452193400000001</v>
      </c>
      <c r="BV144" s="27">
        <v>1.0515604099999996</v>
      </c>
      <c r="BW144" s="27">
        <v>1.0798283199999998</v>
      </c>
      <c r="BX144" s="27">
        <f>SUM(BT144:BW144)</f>
        <v>4.1305532399999993</v>
      </c>
      <c r="BY144" s="27">
        <v>1.1032135400000003</v>
      </c>
      <c r="BZ144" s="27">
        <v>1.1844473699999998</v>
      </c>
      <c r="CA144" s="27">
        <v>1.2353849900000002</v>
      </c>
      <c r="CB144" s="27">
        <v>1.0375627999999992</v>
      </c>
      <c r="CC144" s="27">
        <f>SUM(BY144:CB144)</f>
        <v>4.5606086999999995</v>
      </c>
      <c r="CD144" s="27">
        <v>0.70178979000000008</v>
      </c>
      <c r="CE144" s="27">
        <v>1.2972145999999998</v>
      </c>
      <c r="CF144" s="27">
        <v>1.2881636700000001</v>
      </c>
      <c r="CG144" s="27">
        <v>1.33512271</v>
      </c>
      <c r="CH144" s="27">
        <f>SUM(CD144:CG144)</f>
        <v>4.6222907700000002</v>
      </c>
      <c r="CI144" s="27">
        <v>1.46906615</v>
      </c>
      <c r="CJ144" s="27">
        <v>1.4302565100000002</v>
      </c>
      <c r="CK144" s="27">
        <v>1.3735117899999991</v>
      </c>
      <c r="CL144" s="27">
        <v>1.4756119599999999</v>
      </c>
      <c r="CM144" s="27">
        <f>SUM(CI144:CL144)</f>
        <v>5.7484464099999997</v>
      </c>
      <c r="CN144" s="27">
        <v>1.47465585</v>
      </c>
      <c r="CO144" s="27">
        <v>1.50111097</v>
      </c>
      <c r="CP144" s="27">
        <v>1.4685328199999996</v>
      </c>
      <c r="CQ144" s="27">
        <f>5.922-SUM(CN144:CP144)</f>
        <v>1.47770036</v>
      </c>
      <c r="CR144" s="27">
        <f>SUM(CN144:CQ144)</f>
        <v>5.9219999999999997</v>
      </c>
      <c r="CS144" s="27">
        <v>1.4259910599999999</v>
      </c>
      <c r="CT144" s="27">
        <v>1.5018847900000003</v>
      </c>
      <c r="CU144" s="27">
        <v>1.5002311000000004</v>
      </c>
      <c r="CV144" s="27">
        <v>1.5000129599999998</v>
      </c>
      <c r="CW144" s="27">
        <f>SUM(CS144:CV144)</f>
        <v>5.9281199100000013</v>
      </c>
      <c r="CX144" s="27">
        <v>1.5289999999999999</v>
      </c>
      <c r="CY144" s="27">
        <v>1.5389999999999999</v>
      </c>
      <c r="CZ144" s="27">
        <v>1.5429999999999999</v>
      </c>
      <c r="DA144" s="27">
        <v>1.585</v>
      </c>
      <c r="DB144" s="27">
        <f>SUM(CX144:DA144)</f>
        <v>6.1959999999999997</v>
      </c>
      <c r="DC144" s="27">
        <v>1.4379999999999999</v>
      </c>
      <c r="DD144" s="27">
        <v>1.395</v>
      </c>
      <c r="DE144" s="27">
        <v>1.4059999999999999</v>
      </c>
      <c r="DF144" s="27">
        <v>1.486</v>
      </c>
      <c r="DG144" s="27">
        <f>SUM(DC144:DF144)</f>
        <v>5.7249999999999996</v>
      </c>
      <c r="DH144" s="27">
        <v>1.4530000000000001</v>
      </c>
      <c r="DI144" s="27">
        <v>1.472</v>
      </c>
      <c r="DJ144" s="27">
        <v>1.5109999999999999</v>
      </c>
      <c r="DK144" s="27">
        <v>1.514</v>
      </c>
      <c r="DL144" s="27">
        <f>SUM(DH144:DK144)</f>
        <v>5.95</v>
      </c>
      <c r="DM144" s="27">
        <v>1.5640000000000001</v>
      </c>
      <c r="DN144" s="27">
        <v>1.6339999999999999</v>
      </c>
      <c r="DO144" s="27">
        <v>1.599</v>
      </c>
      <c r="DP144" s="27">
        <v>1.3560000000000001</v>
      </c>
      <c r="DQ144" s="27">
        <f>SUM(DM144:DP144)</f>
        <v>6.1529999999999996</v>
      </c>
      <c r="DR144" s="27">
        <v>5.2999999999999999E-2</v>
      </c>
      <c r="DS144" s="27">
        <v>3.7999999999999999E-2</v>
      </c>
      <c r="DT144" s="27">
        <v>2.1999999999999999E-2</v>
      </c>
      <c r="DU144" s="27">
        <f>-SUM(DR144:DT144)</f>
        <v>-0.11299999999999999</v>
      </c>
      <c r="DV144" s="27">
        <f>SUM(DR144:DU144)</f>
        <v>0</v>
      </c>
      <c r="DW144" s="27">
        <v>0</v>
      </c>
      <c r="DX144" s="27">
        <v>0</v>
      </c>
      <c r="DY144" s="27">
        <v>0</v>
      </c>
      <c r="DZ144" s="27">
        <v>0</v>
      </c>
      <c r="EA144" s="27">
        <f>SUM(DW144:DZ144)</f>
        <v>0</v>
      </c>
      <c r="EB144" s="27">
        <v>0</v>
      </c>
      <c r="EC144" s="27">
        <v>0</v>
      </c>
      <c r="ED144" s="27">
        <v>0</v>
      </c>
      <c r="EE144" s="27">
        <v>0</v>
      </c>
      <c r="EF144" s="27">
        <f>SUM(EB144:EE144)</f>
        <v>0</v>
      </c>
      <c r="EG144" s="27">
        <v>0</v>
      </c>
      <c r="EH144" s="27">
        <v>0</v>
      </c>
      <c r="EI144" s="27">
        <v>0</v>
      </c>
    </row>
    <row r="145" spans="1:139" ht="15" thickBot="1" x14ac:dyDescent="0.35">
      <c r="A145" s="2" t="s">
        <v>454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28">
        <v>0.41815465000000007</v>
      </c>
      <c r="BK145" s="28">
        <v>0.45824867999999996</v>
      </c>
      <c r="BL145" s="28">
        <v>0.46190349000000008</v>
      </c>
      <c r="BM145" s="28">
        <v>0.42882135999999971</v>
      </c>
      <c r="BN145" s="28">
        <f t="shared" ref="BN145:BN166" si="132">SUM(BJ145:BM145)</f>
        <v>1.7671281799999998</v>
      </c>
      <c r="BO145" s="28">
        <v>0.46993489999999999</v>
      </c>
      <c r="BP145" s="28">
        <v>0.67458373999999988</v>
      </c>
      <c r="BQ145" s="28">
        <v>0.58604747000000046</v>
      </c>
      <c r="BR145" s="28">
        <v>0.55117147999999938</v>
      </c>
      <c r="BS145" s="28">
        <f t="shared" ref="BS145:BS166" si="133">SUM(BO145:BR145)</f>
        <v>2.2817375899999996</v>
      </c>
      <c r="BT145" s="28">
        <v>0.5896750999999999</v>
      </c>
      <c r="BU145" s="28">
        <v>0.64194606000000032</v>
      </c>
      <c r="BV145" s="28">
        <v>0.60096395999999974</v>
      </c>
      <c r="BW145" s="28">
        <v>0.59929595000000024</v>
      </c>
      <c r="BX145" s="28">
        <f t="shared" ref="BX145:BX166" si="134">SUM(BT145:BW145)</f>
        <v>2.4318810700000002</v>
      </c>
      <c r="BY145" s="28">
        <v>0.66647478000000004</v>
      </c>
      <c r="BZ145" s="28">
        <v>0.81128466999999993</v>
      </c>
      <c r="CA145" s="28">
        <v>0.77893348999999967</v>
      </c>
      <c r="CB145" s="28">
        <v>0.69404223000000009</v>
      </c>
      <c r="CC145" s="28">
        <f t="shared" ref="CC145:CC166" si="135">SUM(BY145:CB145)</f>
        <v>2.9507351699999997</v>
      </c>
      <c r="CD145" s="28">
        <v>0.70953497999999993</v>
      </c>
      <c r="CE145" s="28">
        <v>0.78635710999999997</v>
      </c>
      <c r="CF145" s="28">
        <v>0.9464829899999998</v>
      </c>
      <c r="CG145" s="28">
        <v>0.77380893000000039</v>
      </c>
      <c r="CH145" s="28">
        <f t="shared" ref="CH145:CH166" si="136">SUM(CD145:CG145)</f>
        <v>3.2161840100000001</v>
      </c>
      <c r="CI145" s="28">
        <v>0.81830579000000014</v>
      </c>
      <c r="CJ145" s="28">
        <v>0.87368859999999993</v>
      </c>
      <c r="CK145" s="28">
        <v>0.83940158000000009</v>
      </c>
      <c r="CL145" s="28">
        <v>0.73418394999999936</v>
      </c>
      <c r="CM145" s="28">
        <f t="shared" ref="CM145:CM166" si="137">SUM(CI145:CL145)</f>
        <v>3.2655799199999995</v>
      </c>
      <c r="CN145" s="28">
        <v>0.97306428</v>
      </c>
      <c r="CO145" s="28">
        <v>1.1012560499999999</v>
      </c>
      <c r="CP145" s="28">
        <v>1.0042175800000002</v>
      </c>
      <c r="CQ145" s="28">
        <f>3.976-SUM(CN145:CP145)</f>
        <v>0.89746208999999988</v>
      </c>
      <c r="CR145" s="28">
        <f t="shared" ref="CR145:CR166" si="138">SUM(CN145:CQ145)</f>
        <v>3.976</v>
      </c>
      <c r="CS145" s="28">
        <v>0.96911999000000004</v>
      </c>
      <c r="CT145" s="28">
        <v>1.1256538900000002</v>
      </c>
      <c r="CU145" s="28">
        <v>1.08336013</v>
      </c>
      <c r="CV145" s="28">
        <v>1.0110797300000001</v>
      </c>
      <c r="CW145" s="28">
        <f t="shared" ref="CW145:DA166" si="139">SUM(CS145:CV145)</f>
        <v>4.1892137399999996</v>
      </c>
      <c r="CX145" s="28">
        <v>1.0029999999999999</v>
      </c>
      <c r="CY145" s="28">
        <v>1.099</v>
      </c>
      <c r="CZ145" s="28">
        <v>1.046</v>
      </c>
      <c r="DA145" s="28">
        <v>1.0049999999999999</v>
      </c>
      <c r="DB145" s="28">
        <f t="shared" ref="DB145:DB166" si="140">SUM(CX145:DA145)</f>
        <v>4.1529999999999996</v>
      </c>
      <c r="DC145" s="28">
        <v>0.91900000000000004</v>
      </c>
      <c r="DD145" s="28">
        <v>1.0049999999999999</v>
      </c>
      <c r="DE145" s="28">
        <v>1.0680000000000001</v>
      </c>
      <c r="DF145" s="28">
        <v>1.0580000000000001</v>
      </c>
      <c r="DG145" s="28">
        <f t="shared" ref="DG145:DG166" si="141">SUM(DC145:DF145)</f>
        <v>4.05</v>
      </c>
      <c r="DH145" s="28">
        <v>0.96499999999999997</v>
      </c>
      <c r="DI145" s="28">
        <v>1.0920000000000001</v>
      </c>
      <c r="DJ145" s="28">
        <v>1.0009999999999999</v>
      </c>
      <c r="DK145" s="28">
        <v>0.92100000000000004</v>
      </c>
      <c r="DL145" s="28">
        <f t="shared" ref="DL145:DL166" si="142">SUM(DH145:DK145)</f>
        <v>3.9790000000000001</v>
      </c>
      <c r="DM145" s="28">
        <v>0.93500000000000005</v>
      </c>
      <c r="DN145" s="28">
        <v>1.3759999999999999</v>
      </c>
      <c r="DO145" s="28">
        <v>1.2470000000000001</v>
      </c>
      <c r="DP145" s="28">
        <v>1.23</v>
      </c>
      <c r="DQ145" s="28">
        <f t="shared" ref="DQ145:DQ166" si="143">SUM(DM145:DP145)</f>
        <v>4.7880000000000003</v>
      </c>
      <c r="DR145" s="28">
        <v>1.292</v>
      </c>
      <c r="DS145" s="28">
        <v>1.0820000000000001</v>
      </c>
      <c r="DT145" s="28">
        <v>1.4730000000000001</v>
      </c>
      <c r="DU145" s="28">
        <v>2.1629999999999998</v>
      </c>
      <c r="DV145" s="28">
        <f t="shared" ref="DV145:DV166" si="144">SUM(DR145:DU145)</f>
        <v>6.01</v>
      </c>
      <c r="DW145" s="28">
        <v>1.617</v>
      </c>
      <c r="DX145" s="28">
        <v>1.9430000000000001</v>
      </c>
      <c r="DY145" s="28">
        <v>2.2121606100000002</v>
      </c>
      <c r="DZ145" s="28">
        <v>1.8475721400000005</v>
      </c>
      <c r="EA145" s="28">
        <f t="shared" ref="EA145:EA166" si="145">SUM(DW145:DZ145)</f>
        <v>7.6197327500000007</v>
      </c>
      <c r="EB145" s="28">
        <v>1.8772159900000001</v>
      </c>
      <c r="EC145" s="28">
        <v>1.8985526799999999</v>
      </c>
      <c r="ED145" s="28">
        <v>1.9450000000000001</v>
      </c>
      <c r="EE145" s="28">
        <v>2.4868369599999998</v>
      </c>
      <c r="EF145" s="28">
        <f t="shared" ref="EF145:EF166" si="146">SUM(EB145:EE145)</f>
        <v>8.2076056299999998</v>
      </c>
      <c r="EG145" s="28">
        <v>2.1120382100000006</v>
      </c>
      <c r="EH145" s="28">
        <v>2.0267508999999997</v>
      </c>
      <c r="EI145" s="28">
        <v>2.2432707800000005</v>
      </c>
    </row>
    <row r="146" spans="1:139" ht="15" thickTop="1" x14ac:dyDescent="0.3">
      <c r="A146" s="1" t="s">
        <v>442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27">
        <v>5.9371165999999995</v>
      </c>
      <c r="BK146" s="27">
        <v>5.766383359999999</v>
      </c>
      <c r="BL146" s="27">
        <v>9.8560898800000025</v>
      </c>
      <c r="BM146" s="27">
        <v>9.2297020500000002</v>
      </c>
      <c r="BN146" s="27">
        <f t="shared" si="132"/>
        <v>30.789291890000001</v>
      </c>
      <c r="BO146" s="27">
        <v>9.3522456999999992</v>
      </c>
      <c r="BP146" s="27">
        <v>10.5454937</v>
      </c>
      <c r="BQ146" s="27">
        <v>11.294225010000003</v>
      </c>
      <c r="BR146" s="27">
        <v>10.897771509999997</v>
      </c>
      <c r="BS146" s="27">
        <f t="shared" si="133"/>
        <v>42.089735920000003</v>
      </c>
      <c r="BT146" s="27">
        <v>7.8896608199999996</v>
      </c>
      <c r="BU146" s="27">
        <v>6.9029957999999993</v>
      </c>
      <c r="BV146" s="27">
        <v>8.2012318999999962</v>
      </c>
      <c r="BW146" s="27">
        <v>8.396720380000005</v>
      </c>
      <c r="BX146" s="27">
        <f t="shared" si="134"/>
        <v>31.3906089</v>
      </c>
      <c r="BY146" s="27">
        <v>8.0260245399999999</v>
      </c>
      <c r="BZ146" s="27">
        <v>7.6690285300000003</v>
      </c>
      <c r="CA146" s="27">
        <v>5.5760582099999958</v>
      </c>
      <c r="CB146" s="27">
        <v>6.9212385800000042</v>
      </c>
      <c r="CC146" s="27">
        <f t="shared" si="135"/>
        <v>28.19234986</v>
      </c>
      <c r="CD146" s="27">
        <v>5.6075983999999996</v>
      </c>
      <c r="CE146" s="27">
        <v>4.1753474899999992</v>
      </c>
      <c r="CF146" s="27">
        <v>6.4009670499999993</v>
      </c>
      <c r="CG146" s="27">
        <v>5.8564897400000016</v>
      </c>
      <c r="CH146" s="27">
        <f t="shared" si="136"/>
        <v>22.04040268</v>
      </c>
      <c r="CI146" s="27">
        <v>5.5511328799999999</v>
      </c>
      <c r="CJ146" s="27">
        <v>5.4256582199999999</v>
      </c>
      <c r="CK146" s="27">
        <v>5.6243608400000022</v>
      </c>
      <c r="CL146" s="27">
        <v>5.8533905599999985</v>
      </c>
      <c r="CM146" s="27">
        <f t="shared" si="137"/>
        <v>22.454542499999999</v>
      </c>
      <c r="CN146" s="27">
        <v>5.6356228399999999</v>
      </c>
      <c r="CO146" s="27">
        <v>5.1197623800000009</v>
      </c>
      <c r="CP146" s="27">
        <v>5.2189058199999998</v>
      </c>
      <c r="CQ146" s="27">
        <f>21.625-SUM(CN146:CP146)</f>
        <v>5.6507089599999993</v>
      </c>
      <c r="CR146" s="27">
        <f t="shared" si="138"/>
        <v>21.625</v>
      </c>
      <c r="CS146" s="27">
        <v>5.8291526300000003</v>
      </c>
      <c r="CT146" s="27">
        <v>5.4059308799999997</v>
      </c>
      <c r="CU146" s="27">
        <v>5.7433584900000003</v>
      </c>
      <c r="CV146" s="27">
        <v>5.8767073799999983</v>
      </c>
      <c r="CW146" s="27">
        <f t="shared" si="139"/>
        <v>22.85514938</v>
      </c>
      <c r="CX146" s="27">
        <v>5.9870000000000001</v>
      </c>
      <c r="CY146" s="27">
        <v>5.2489999999999997</v>
      </c>
      <c r="CZ146" s="27">
        <v>5.5469999999999997</v>
      </c>
      <c r="DA146" s="27">
        <v>5.7910000000000004</v>
      </c>
      <c r="DB146" s="27">
        <f t="shared" si="140"/>
        <v>22.574000000000002</v>
      </c>
      <c r="DC146" s="27">
        <v>5.0350000000000001</v>
      </c>
      <c r="DD146" s="27">
        <v>4.4450000000000003</v>
      </c>
      <c r="DE146" s="27">
        <v>5.4130000000000003</v>
      </c>
      <c r="DF146" s="27">
        <v>5.8109999999999999</v>
      </c>
      <c r="DG146" s="27">
        <f t="shared" si="141"/>
        <v>20.704000000000001</v>
      </c>
      <c r="DH146" s="27">
        <v>5.1040000000000001</v>
      </c>
      <c r="DI146" s="27">
        <v>4.1189999999999998</v>
      </c>
      <c r="DJ146" s="27">
        <v>5.0259999999999998</v>
      </c>
      <c r="DK146" s="27">
        <v>5.3540000000000001</v>
      </c>
      <c r="DL146" s="27">
        <f t="shared" si="142"/>
        <v>19.602999999999998</v>
      </c>
      <c r="DM146" s="27">
        <v>5.1980000000000004</v>
      </c>
      <c r="DN146" s="27">
        <v>5.1150000000000002</v>
      </c>
      <c r="DO146" s="27">
        <v>5.6349999999999998</v>
      </c>
      <c r="DP146" s="27">
        <v>6.4969999999999999</v>
      </c>
      <c r="DQ146" s="27">
        <f t="shared" si="143"/>
        <v>22.445</v>
      </c>
      <c r="DR146" s="27">
        <v>6.875</v>
      </c>
      <c r="DS146" s="27">
        <v>4.6429999999999998</v>
      </c>
      <c r="DT146" s="27">
        <v>6.4530000000000003</v>
      </c>
      <c r="DU146" s="27">
        <v>6.6029999999999998</v>
      </c>
      <c r="DV146" s="27">
        <f t="shared" si="144"/>
        <v>24.573999999999998</v>
      </c>
      <c r="DW146" s="27">
        <v>7.0549999999999997</v>
      </c>
      <c r="DX146" s="27">
        <v>7.0149999999999997</v>
      </c>
      <c r="DY146" s="27">
        <v>7.9578060800000001</v>
      </c>
      <c r="DZ146" s="27">
        <v>6.5217029599999989</v>
      </c>
      <c r="EA146" s="27">
        <f t="shared" si="145"/>
        <v>28.54950904</v>
      </c>
      <c r="EB146" s="27">
        <v>7.925123779999999</v>
      </c>
      <c r="EC146" s="27">
        <v>7.4805054599999989</v>
      </c>
      <c r="ED146" s="27">
        <v>8.1020000000000003</v>
      </c>
      <c r="EE146" s="27">
        <v>7.3750212199999989</v>
      </c>
      <c r="EF146" s="27">
        <f t="shared" si="146"/>
        <v>30.882650460000001</v>
      </c>
      <c r="EG146" s="27">
        <v>8.3698281699999999</v>
      </c>
      <c r="EH146" s="27">
        <v>7.9640277700000013</v>
      </c>
      <c r="EI146" s="27">
        <v>8.2228519899999988</v>
      </c>
    </row>
    <row r="147" spans="1:139" ht="15" thickBot="1" x14ac:dyDescent="0.35">
      <c r="A147" s="2" t="s">
        <v>3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28">
        <v>0.85054914000000004</v>
      </c>
      <c r="BK147" s="28">
        <v>0.85191243000000005</v>
      </c>
      <c r="BL147" s="28">
        <v>0.8575683199999995</v>
      </c>
      <c r="BM147" s="28">
        <v>0.87193984999999996</v>
      </c>
      <c r="BN147" s="28">
        <f t="shared" si="132"/>
        <v>3.4319697399999995</v>
      </c>
      <c r="BO147" s="28">
        <v>0.85186634999999999</v>
      </c>
      <c r="BP147" s="28">
        <v>1.5026959500000001</v>
      </c>
      <c r="BQ147" s="28">
        <v>1.10571763</v>
      </c>
      <c r="BR147" s="28">
        <v>1.0794784500000003</v>
      </c>
      <c r="BS147" s="28">
        <f t="shared" si="133"/>
        <v>4.5397583800000003</v>
      </c>
      <c r="BT147" s="28">
        <v>1.3070666900000001</v>
      </c>
      <c r="BU147" s="28">
        <v>1.0532537199999998</v>
      </c>
      <c r="BV147" s="28">
        <v>1.21812232</v>
      </c>
      <c r="BW147" s="28">
        <v>1.2480063500000007</v>
      </c>
      <c r="BX147" s="28">
        <f t="shared" si="134"/>
        <v>4.8264490800000006</v>
      </c>
      <c r="BY147" s="28">
        <v>1.2304504300000001</v>
      </c>
      <c r="BZ147" s="28">
        <v>1.4295972099999996</v>
      </c>
      <c r="CA147" s="28">
        <v>1.5563884399999994</v>
      </c>
      <c r="CB147" s="28">
        <v>1.456887900000001</v>
      </c>
      <c r="CC147" s="28">
        <f t="shared" si="135"/>
        <v>5.6733239800000002</v>
      </c>
      <c r="CD147" s="28">
        <v>1.8041240200000002</v>
      </c>
      <c r="CE147" s="28">
        <v>1.6426831000000002</v>
      </c>
      <c r="CF147" s="28">
        <v>1.6922161799999995</v>
      </c>
      <c r="CG147" s="28">
        <v>1.6576977799999999</v>
      </c>
      <c r="CH147" s="28">
        <f t="shared" si="136"/>
        <v>6.7967210799999993</v>
      </c>
      <c r="CI147" s="28">
        <v>1.6625539800000002</v>
      </c>
      <c r="CJ147" s="28">
        <v>1.6828007399999998</v>
      </c>
      <c r="CK147" s="28">
        <v>1.6930380299999999</v>
      </c>
      <c r="CL147" s="28">
        <v>1.8667342100000002</v>
      </c>
      <c r="CM147" s="28">
        <f t="shared" si="137"/>
        <v>6.9051269600000005</v>
      </c>
      <c r="CN147" s="28">
        <v>1.9571539</v>
      </c>
      <c r="CO147" s="28">
        <v>1.8966468699999999</v>
      </c>
      <c r="CP147" s="28">
        <v>1.8865349000000007</v>
      </c>
      <c r="CQ147" s="28">
        <f>7.738-SUM(CN147:CP147)</f>
        <v>1.9976643300000001</v>
      </c>
      <c r="CR147" s="28">
        <f t="shared" si="138"/>
        <v>7.7380000000000004</v>
      </c>
      <c r="CS147" s="28">
        <v>2.0400501200000001</v>
      </c>
      <c r="CT147" s="28">
        <v>2.04019482</v>
      </c>
      <c r="CU147" s="28">
        <v>2.0360069299999997</v>
      </c>
      <c r="CV147" s="28">
        <v>1.9977705200000004</v>
      </c>
      <c r="CW147" s="28">
        <f t="shared" si="139"/>
        <v>8.1140223899999988</v>
      </c>
      <c r="CX147" s="28">
        <v>1.9990000000000001</v>
      </c>
      <c r="CY147" s="28">
        <v>2.0230000000000001</v>
      </c>
      <c r="CZ147" s="28">
        <v>2.0529999999999999</v>
      </c>
      <c r="DA147" s="28">
        <v>2.1080000000000001</v>
      </c>
      <c r="DB147" s="28">
        <f t="shared" si="140"/>
        <v>8.1829999999999998</v>
      </c>
      <c r="DC147" s="28">
        <v>2.1059999999999999</v>
      </c>
      <c r="DD147" s="28">
        <v>2.1659999999999999</v>
      </c>
      <c r="DE147" s="28">
        <v>2.258</v>
      </c>
      <c r="DF147" s="28">
        <v>2.181</v>
      </c>
      <c r="DG147" s="28">
        <f t="shared" si="141"/>
        <v>8.7110000000000003</v>
      </c>
      <c r="DH147" s="28">
        <v>1.9330000000000001</v>
      </c>
      <c r="DI147" s="28">
        <v>1.9690000000000001</v>
      </c>
      <c r="DJ147" s="28">
        <v>2.04</v>
      </c>
      <c r="DK147" s="28">
        <v>2.1850000000000001</v>
      </c>
      <c r="DL147" s="28">
        <f t="shared" si="142"/>
        <v>8.1270000000000007</v>
      </c>
      <c r="DM147" s="28">
        <v>2.1379999999999999</v>
      </c>
      <c r="DN147" s="28">
        <v>2.27</v>
      </c>
      <c r="DO147" s="28">
        <v>2.1040000000000001</v>
      </c>
      <c r="DP147" s="28">
        <v>1.6279999999999999</v>
      </c>
      <c r="DQ147" s="28">
        <f t="shared" si="143"/>
        <v>8.1399999999999988</v>
      </c>
      <c r="DR147" s="28">
        <v>0.14499999999999999</v>
      </c>
      <c r="DS147" s="28">
        <v>4.9000000000000002E-2</v>
      </c>
      <c r="DT147" s="28">
        <v>1.4999999999999999E-2</v>
      </c>
      <c r="DU147" s="28">
        <f>-SUM(DR147:DT147)</f>
        <v>-0.20900000000000002</v>
      </c>
      <c r="DV147" s="28">
        <f t="shared" si="144"/>
        <v>0</v>
      </c>
      <c r="DW147" s="28">
        <v>0</v>
      </c>
      <c r="DX147" s="28">
        <v>0</v>
      </c>
      <c r="DY147" s="28">
        <v>0</v>
      </c>
      <c r="DZ147" s="28">
        <v>0</v>
      </c>
      <c r="EA147" s="28">
        <f t="shared" si="145"/>
        <v>0</v>
      </c>
      <c r="EB147" s="28">
        <v>0</v>
      </c>
      <c r="EC147" s="28">
        <v>0</v>
      </c>
      <c r="ED147" s="28">
        <v>0</v>
      </c>
      <c r="EE147" s="28">
        <v>0</v>
      </c>
      <c r="EF147" s="28">
        <f t="shared" si="146"/>
        <v>0</v>
      </c>
      <c r="EG147" s="28">
        <v>0</v>
      </c>
      <c r="EH147" s="28">
        <v>0</v>
      </c>
      <c r="EI147" s="28">
        <v>0</v>
      </c>
    </row>
    <row r="148" spans="1:139" ht="15" thickTop="1" x14ac:dyDescent="0.3">
      <c r="A148" s="1" t="s">
        <v>443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27">
        <v>2.35030911</v>
      </c>
      <c r="BK148" s="27">
        <v>2.4161536500000005</v>
      </c>
      <c r="BL148" s="27">
        <v>2.3318769499999994</v>
      </c>
      <c r="BM148" s="27">
        <v>2.4595982399999996</v>
      </c>
      <c r="BN148" s="27">
        <f t="shared" si="132"/>
        <v>9.5579379499999995</v>
      </c>
      <c r="BO148" s="27">
        <v>2.0067925999999998</v>
      </c>
      <c r="BP148" s="27">
        <v>2.92379283</v>
      </c>
      <c r="BQ148" s="27">
        <v>2.6925483199999993</v>
      </c>
      <c r="BR148" s="27">
        <v>2.8307112900000018</v>
      </c>
      <c r="BS148" s="27">
        <f t="shared" si="133"/>
        <v>10.453845040000001</v>
      </c>
      <c r="BT148" s="27">
        <v>2.8224815199999997</v>
      </c>
      <c r="BU148" s="27">
        <v>2.7375847500000003</v>
      </c>
      <c r="BV148" s="27">
        <v>2.9295564700000019</v>
      </c>
      <c r="BW148" s="27">
        <v>3.0272927699999994</v>
      </c>
      <c r="BX148" s="27">
        <f t="shared" si="134"/>
        <v>11.51691551</v>
      </c>
      <c r="BY148" s="27">
        <v>2.8992777300000001</v>
      </c>
      <c r="BZ148" s="27">
        <v>2.75936548</v>
      </c>
      <c r="CA148" s="27">
        <v>2.1466481399999995</v>
      </c>
      <c r="CB148" s="27">
        <v>2.4915226499999998</v>
      </c>
      <c r="CC148" s="27">
        <f t="shared" si="135"/>
        <v>10.296813999999999</v>
      </c>
      <c r="CD148" s="27">
        <v>2.0907847400000001</v>
      </c>
      <c r="CE148" s="27">
        <v>2.0123259899999999</v>
      </c>
      <c r="CF148" s="27">
        <v>2.0779441900000002</v>
      </c>
      <c r="CG148" s="27">
        <v>1.8186535100000008</v>
      </c>
      <c r="CH148" s="27">
        <f t="shared" si="136"/>
        <v>7.999708430000001</v>
      </c>
      <c r="CI148" s="27">
        <v>1.8301305999999999</v>
      </c>
      <c r="CJ148" s="27">
        <v>1.8479177500000001</v>
      </c>
      <c r="CK148" s="27">
        <v>1.8882098799999998</v>
      </c>
      <c r="CL148" s="27">
        <v>1.8798505700000003</v>
      </c>
      <c r="CM148" s="27">
        <f t="shared" si="137"/>
        <v>7.4461088000000002</v>
      </c>
      <c r="CN148" s="27">
        <v>1.9703922300000001</v>
      </c>
      <c r="CO148" s="27">
        <v>1.8754096</v>
      </c>
      <c r="CP148" s="27">
        <v>1.7765051000000003</v>
      </c>
      <c r="CQ148" s="27">
        <f>7.483-SUM(CN148:CP148)</f>
        <v>1.8606930699999991</v>
      </c>
      <c r="CR148" s="27">
        <f t="shared" si="138"/>
        <v>7.4829999999999997</v>
      </c>
      <c r="CS148" s="27">
        <v>1.58567905</v>
      </c>
      <c r="CT148" s="27">
        <v>1.5076181599999998</v>
      </c>
      <c r="CU148" s="27">
        <v>1.6117469700000002</v>
      </c>
      <c r="CV148" s="27">
        <v>1.66090893</v>
      </c>
      <c r="CW148" s="27">
        <f t="shared" si="139"/>
        <v>6.3659531099999995</v>
      </c>
      <c r="CX148" s="27">
        <v>1.6539999999999999</v>
      </c>
      <c r="CY148" s="27">
        <v>1.5289999999999999</v>
      </c>
      <c r="CZ148" s="27">
        <v>1.6919999999999999</v>
      </c>
      <c r="DA148" s="27">
        <v>1.8</v>
      </c>
      <c r="DB148" s="27">
        <f t="shared" si="140"/>
        <v>6.6749999999999998</v>
      </c>
      <c r="DC148" s="27">
        <v>1.6160000000000001</v>
      </c>
      <c r="DD148" s="27">
        <v>1.601</v>
      </c>
      <c r="DE148" s="27">
        <v>1.655</v>
      </c>
      <c r="DF148" s="27">
        <v>1.7430000000000001</v>
      </c>
      <c r="DG148" s="27">
        <f t="shared" si="141"/>
        <v>6.6150000000000002</v>
      </c>
      <c r="DH148" s="27">
        <v>1.4370000000000001</v>
      </c>
      <c r="DI148" s="27">
        <v>1.41</v>
      </c>
      <c r="DJ148" s="27">
        <v>1.4710000000000001</v>
      </c>
      <c r="DK148" s="27">
        <v>1.647</v>
      </c>
      <c r="DL148" s="27">
        <f t="shared" si="142"/>
        <v>5.9649999999999999</v>
      </c>
      <c r="DM148" s="27">
        <v>1.528</v>
      </c>
      <c r="DN148" s="27">
        <v>1.546</v>
      </c>
      <c r="DO148" s="27">
        <v>1.742</v>
      </c>
      <c r="DP148" s="27">
        <v>1.87</v>
      </c>
      <c r="DQ148" s="27">
        <f t="shared" si="143"/>
        <v>6.6859999999999999</v>
      </c>
      <c r="DR148" s="27">
        <v>1.7569999999999999</v>
      </c>
      <c r="DS148" s="27">
        <v>1.7470000000000001</v>
      </c>
      <c r="DT148" s="27">
        <v>2.0550000000000002</v>
      </c>
      <c r="DU148" s="27">
        <v>2.1259999999999999</v>
      </c>
      <c r="DV148" s="27">
        <f t="shared" si="144"/>
        <v>7.6850000000000005</v>
      </c>
      <c r="DW148" s="27">
        <v>2.069</v>
      </c>
      <c r="DX148" s="27">
        <v>1.89</v>
      </c>
      <c r="DY148" s="27">
        <v>2.5600192299999995</v>
      </c>
      <c r="DZ148" s="27">
        <v>1.8912078600000002</v>
      </c>
      <c r="EA148" s="27">
        <f t="shared" si="145"/>
        <v>8.4102270899999994</v>
      </c>
      <c r="EB148" s="27">
        <v>2.47434215</v>
      </c>
      <c r="EC148" s="27">
        <v>2.3655736000000003</v>
      </c>
      <c r="ED148" s="27">
        <v>2.855</v>
      </c>
      <c r="EE148" s="27">
        <v>2.8443098800000004</v>
      </c>
      <c r="EF148" s="27">
        <f t="shared" si="146"/>
        <v>10.539225630000001</v>
      </c>
      <c r="EG148" s="27">
        <v>2.8273051100000002</v>
      </c>
      <c r="EH148" s="27">
        <v>2.6309134999999997</v>
      </c>
      <c r="EI148" s="27">
        <v>3.0112936499999998</v>
      </c>
    </row>
    <row r="149" spans="1:139" ht="15" thickBot="1" x14ac:dyDescent="0.35">
      <c r="A149" s="2" t="s">
        <v>481</v>
      </c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28">
        <v>0</v>
      </c>
      <c r="BK149" s="28">
        <v>0</v>
      </c>
      <c r="BL149" s="28">
        <v>0</v>
      </c>
      <c r="BM149" s="28">
        <v>0</v>
      </c>
      <c r="BN149" s="28">
        <f t="shared" si="132"/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f t="shared" si="133"/>
        <v>0</v>
      </c>
      <c r="BT149" s="28">
        <v>0</v>
      </c>
      <c r="BU149" s="28">
        <v>0</v>
      </c>
      <c r="BV149" s="28">
        <v>0.51936353999999996</v>
      </c>
      <c r="BW149" s="28">
        <v>0.68717766000000002</v>
      </c>
      <c r="BX149" s="28">
        <f t="shared" si="134"/>
        <v>1.2065412</v>
      </c>
      <c r="BY149" s="28">
        <v>0.69466285999999999</v>
      </c>
      <c r="BZ149" s="28">
        <v>1.3556936600000002</v>
      </c>
      <c r="CA149" s="28">
        <v>-0.36350526000000039</v>
      </c>
      <c r="CB149" s="28">
        <v>1.2685643600000001</v>
      </c>
      <c r="CC149" s="28">
        <f t="shared" si="135"/>
        <v>2.9554156200000001</v>
      </c>
      <c r="CD149" s="28">
        <v>1.36716697</v>
      </c>
      <c r="CE149" s="28">
        <v>1.5180258700000002</v>
      </c>
      <c r="CF149" s="28">
        <v>1.4953242199999996</v>
      </c>
      <c r="CG149" s="28">
        <v>4.6609865799999994</v>
      </c>
      <c r="CH149" s="28">
        <f t="shared" si="136"/>
        <v>9.0415036399999984</v>
      </c>
      <c r="CI149" s="28">
        <v>2.5643196700000002</v>
      </c>
      <c r="CJ149" s="28">
        <v>2.3876079399999992</v>
      </c>
      <c r="CK149" s="28">
        <v>2.5112909399999999</v>
      </c>
      <c r="CL149" s="28">
        <v>4.2330517100000016</v>
      </c>
      <c r="CM149" s="28">
        <f t="shared" si="137"/>
        <v>11.69627026</v>
      </c>
      <c r="CN149" s="28">
        <v>2.4083752999999999</v>
      </c>
      <c r="CO149" s="28">
        <v>2.8636566000000001</v>
      </c>
      <c r="CP149" s="28">
        <v>2.8841267699999995</v>
      </c>
      <c r="CQ149" s="28">
        <f>10.871-SUM(CN149:CP149)</f>
        <v>2.7148413300000005</v>
      </c>
      <c r="CR149" s="28">
        <f t="shared" si="138"/>
        <v>10.871</v>
      </c>
      <c r="CS149" s="28">
        <v>2.7945234000000001</v>
      </c>
      <c r="CT149" s="28">
        <v>2.7926206600000003</v>
      </c>
      <c r="CU149" s="28">
        <v>2.9733838299999995</v>
      </c>
      <c r="CV149" s="28">
        <v>2.8313213400000001</v>
      </c>
      <c r="CW149" s="28">
        <f t="shared" si="139"/>
        <v>11.39184923</v>
      </c>
      <c r="CX149" s="28">
        <v>2.8039999999999998</v>
      </c>
      <c r="CY149" s="28">
        <v>2.706</v>
      </c>
      <c r="CZ149" s="28">
        <v>2.6019999999999999</v>
      </c>
      <c r="DA149" s="28">
        <v>2.645</v>
      </c>
      <c r="DB149" s="28">
        <f t="shared" si="140"/>
        <v>10.757</v>
      </c>
      <c r="DC149" s="28">
        <v>2.536</v>
      </c>
      <c r="DD149" s="28">
        <v>2.6110000000000002</v>
      </c>
      <c r="DE149" s="28">
        <v>2.6859999999999999</v>
      </c>
      <c r="DF149" s="28">
        <v>2.6819999999999999</v>
      </c>
      <c r="DG149" s="28">
        <f t="shared" si="141"/>
        <v>10.515000000000001</v>
      </c>
      <c r="DH149" s="28">
        <v>2.4249999999999998</v>
      </c>
      <c r="DI149" s="28">
        <v>2.3439999999999999</v>
      </c>
      <c r="DJ149" s="28">
        <v>2.7549999999999999</v>
      </c>
      <c r="DK149" s="28">
        <v>2.544</v>
      </c>
      <c r="DL149" s="28">
        <f t="shared" si="142"/>
        <v>10.068</v>
      </c>
      <c r="DM149" s="28">
        <v>2.6459999999999999</v>
      </c>
      <c r="DN149" s="28">
        <v>2.6640000000000001</v>
      </c>
      <c r="DO149" s="28">
        <v>2.6920000000000002</v>
      </c>
      <c r="DP149" s="28">
        <v>2.6680000000000001</v>
      </c>
      <c r="DQ149" s="28">
        <f t="shared" si="143"/>
        <v>10.670000000000002</v>
      </c>
      <c r="DR149" s="28">
        <v>2.851</v>
      </c>
      <c r="DS149" s="28">
        <v>2.9169999999999998</v>
      </c>
      <c r="DT149" s="28">
        <v>2.9710000000000001</v>
      </c>
      <c r="DU149" s="28">
        <v>3.0859999999999999</v>
      </c>
      <c r="DV149" s="28">
        <f t="shared" si="144"/>
        <v>11.825000000000001</v>
      </c>
      <c r="DW149" s="28">
        <v>3.0169999999999999</v>
      </c>
      <c r="DX149" s="28">
        <v>3.1640000000000001</v>
      </c>
      <c r="DY149" s="28">
        <v>3.6173450700000003</v>
      </c>
      <c r="DZ149" s="28">
        <v>2.8589572800000003</v>
      </c>
      <c r="EA149" s="28">
        <f t="shared" si="145"/>
        <v>12.65730235</v>
      </c>
      <c r="EB149" s="28">
        <v>3.6684183699999999</v>
      </c>
      <c r="EC149" s="28">
        <v>3.3486322099999999</v>
      </c>
      <c r="ED149" s="28">
        <v>4.0609999999999999</v>
      </c>
      <c r="EE149" s="28">
        <v>2.9654739599999989</v>
      </c>
      <c r="EF149" s="28">
        <f t="shared" si="146"/>
        <v>14.043524539999998</v>
      </c>
      <c r="EG149" s="28">
        <v>3.7095393699999999</v>
      </c>
      <c r="EH149" s="28">
        <v>3.71154195</v>
      </c>
      <c r="EI149" s="28">
        <v>4.7275144200000003</v>
      </c>
    </row>
    <row r="150" spans="1:139" ht="15" thickTop="1" x14ac:dyDescent="0.3">
      <c r="A150" s="1" t="s">
        <v>445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27">
        <v>0</v>
      </c>
      <c r="BK150" s="27">
        <v>0</v>
      </c>
      <c r="BL150" s="27">
        <v>0</v>
      </c>
      <c r="BM150" s="27">
        <v>0</v>
      </c>
      <c r="BN150" s="27">
        <f t="shared" si="132"/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f t="shared" si="133"/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f t="shared" si="134"/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f t="shared" si="135"/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f t="shared" si="136"/>
        <v>0</v>
      </c>
      <c r="CI150" s="27">
        <v>0</v>
      </c>
      <c r="CJ150" s="27">
        <v>0.58911818999999999</v>
      </c>
      <c r="CK150" s="27">
        <v>1.1411074000000001</v>
      </c>
      <c r="CL150" s="27">
        <v>2.0869249700000001</v>
      </c>
      <c r="CM150" s="27">
        <f t="shared" si="137"/>
        <v>3.81715056</v>
      </c>
      <c r="CN150" s="27">
        <v>1.6003206699999999</v>
      </c>
      <c r="CO150" s="27">
        <v>1.4371231100000004</v>
      </c>
      <c r="CP150" s="27">
        <v>1.8778174799999983</v>
      </c>
      <c r="CQ150" s="27">
        <f>6.565-SUM(CN150:CP150)</f>
        <v>1.6497387400000019</v>
      </c>
      <c r="CR150" s="27">
        <f t="shared" si="138"/>
        <v>6.5650000000000004</v>
      </c>
      <c r="CS150" s="27">
        <v>1.39751333</v>
      </c>
      <c r="CT150" s="27">
        <v>1.3989675400000001</v>
      </c>
      <c r="CU150" s="27">
        <v>1.3880691700000001</v>
      </c>
      <c r="CV150" s="27">
        <v>1.3968933900000002</v>
      </c>
      <c r="CW150" s="27">
        <f t="shared" si="139"/>
        <v>5.5814434300000002</v>
      </c>
      <c r="CX150" s="27">
        <v>1.4079999999999999</v>
      </c>
      <c r="CY150" s="27">
        <v>1.391</v>
      </c>
      <c r="CZ150" s="27">
        <v>1.3959999999999999</v>
      </c>
      <c r="DA150" s="27">
        <v>1.4119999999999999</v>
      </c>
      <c r="DB150" s="27">
        <f t="shared" si="140"/>
        <v>5.6070000000000002</v>
      </c>
      <c r="DC150" s="27">
        <v>1.3440000000000001</v>
      </c>
      <c r="DD150" s="27">
        <v>1.375</v>
      </c>
      <c r="DE150" s="27">
        <v>1.427</v>
      </c>
      <c r="DF150" s="27">
        <v>1.4490000000000001</v>
      </c>
      <c r="DG150" s="27">
        <f t="shared" si="141"/>
        <v>5.5950000000000006</v>
      </c>
      <c r="DH150" s="27">
        <v>1.351</v>
      </c>
      <c r="DI150" s="27">
        <v>1.3939999999999999</v>
      </c>
      <c r="DJ150" s="27">
        <v>1.454</v>
      </c>
      <c r="DK150" s="27">
        <v>1.48</v>
      </c>
      <c r="DL150" s="27">
        <f t="shared" si="142"/>
        <v>5.6790000000000003</v>
      </c>
      <c r="DM150" s="27">
        <v>1.4279999999999999</v>
      </c>
      <c r="DN150" s="27">
        <v>1.5189999999999999</v>
      </c>
      <c r="DO150" s="27">
        <v>1.371</v>
      </c>
      <c r="DP150" s="27">
        <v>1.52</v>
      </c>
      <c r="DQ150" s="27">
        <f t="shared" si="143"/>
        <v>5.8379999999999992</v>
      </c>
      <c r="DR150" s="27">
        <v>1.377</v>
      </c>
      <c r="DS150" s="27">
        <v>1.444</v>
      </c>
      <c r="DT150" s="27">
        <v>1.609</v>
      </c>
      <c r="DU150" s="27">
        <v>1.833</v>
      </c>
      <c r="DV150" s="27">
        <f t="shared" si="144"/>
        <v>6.2629999999999999</v>
      </c>
      <c r="DW150" s="27">
        <v>1.64</v>
      </c>
      <c r="DX150" s="27">
        <v>2.371</v>
      </c>
      <c r="DY150" s="27">
        <v>2.2105794800000003</v>
      </c>
      <c r="DZ150" s="27">
        <v>2.0457778499999995</v>
      </c>
      <c r="EA150" s="27">
        <f t="shared" si="145"/>
        <v>8.2673573299999994</v>
      </c>
      <c r="EB150" s="27">
        <v>1.9541496100000002</v>
      </c>
      <c r="EC150" s="27">
        <v>1.8480702500000001</v>
      </c>
      <c r="ED150" s="27">
        <v>1.952</v>
      </c>
      <c r="EE150" s="27">
        <v>2.65115363</v>
      </c>
      <c r="EF150" s="27">
        <f t="shared" si="146"/>
        <v>8.4053734900000006</v>
      </c>
      <c r="EG150" s="27">
        <v>2.0620712199999995</v>
      </c>
      <c r="EH150" s="27">
        <v>2.26595024</v>
      </c>
      <c r="EI150" s="27">
        <v>2.1051404399999996</v>
      </c>
    </row>
    <row r="151" spans="1:139" ht="15" thickBot="1" x14ac:dyDescent="0.35">
      <c r="A151" s="2" t="s">
        <v>444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28">
        <v>0</v>
      </c>
      <c r="BK151" s="28">
        <v>0</v>
      </c>
      <c r="BL151" s="28">
        <v>0</v>
      </c>
      <c r="BM151" s="28">
        <v>0</v>
      </c>
      <c r="BN151" s="28">
        <f t="shared" si="132"/>
        <v>0</v>
      </c>
      <c r="BO151" s="28">
        <v>0</v>
      </c>
      <c r="BP151" s="28">
        <v>0</v>
      </c>
      <c r="BQ151" s="28">
        <v>0</v>
      </c>
      <c r="BR151" s="28">
        <v>0</v>
      </c>
      <c r="BS151" s="28">
        <f t="shared" si="133"/>
        <v>0</v>
      </c>
      <c r="BT151" s="28">
        <v>0</v>
      </c>
      <c r="BU151" s="28">
        <v>0</v>
      </c>
      <c r="BV151" s="28">
        <v>0</v>
      </c>
      <c r="BW151" s="28">
        <v>0</v>
      </c>
      <c r="BX151" s="28">
        <f t="shared" si="134"/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f t="shared" si="135"/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f t="shared" si="136"/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f t="shared" si="137"/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f t="shared" si="138"/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f t="shared" si="139"/>
        <v>0</v>
      </c>
      <c r="CX151" s="28">
        <f t="shared" si="139"/>
        <v>0</v>
      </c>
      <c r="CY151" s="28">
        <f t="shared" si="139"/>
        <v>0</v>
      </c>
      <c r="CZ151" s="28">
        <f t="shared" si="139"/>
        <v>0</v>
      </c>
      <c r="DA151" s="28">
        <f t="shared" si="139"/>
        <v>0</v>
      </c>
      <c r="DB151" s="28">
        <f t="shared" si="140"/>
        <v>0</v>
      </c>
      <c r="DC151" s="28">
        <v>0</v>
      </c>
      <c r="DD151" s="28">
        <v>0.622</v>
      </c>
      <c r="DE151" s="28">
        <v>1.6060000000000001</v>
      </c>
      <c r="DF151" s="28">
        <v>0.51400000000000001</v>
      </c>
      <c r="DG151" s="28">
        <f t="shared" si="141"/>
        <v>2.742</v>
      </c>
      <c r="DH151" s="28">
        <v>3.5259999999999998</v>
      </c>
      <c r="DI151" s="28">
        <v>2.0219999999999998</v>
      </c>
      <c r="DJ151" s="28">
        <v>1.9950000000000001</v>
      </c>
      <c r="DK151" s="28">
        <v>1.0920000000000001</v>
      </c>
      <c r="DL151" s="28">
        <f t="shared" si="142"/>
        <v>8.6349999999999998</v>
      </c>
      <c r="DM151" s="28">
        <v>1.869</v>
      </c>
      <c r="DN151" s="28">
        <v>1.94</v>
      </c>
      <c r="DO151" s="28">
        <v>1.9930000000000001</v>
      </c>
      <c r="DP151" s="28">
        <v>1.4970000000000001</v>
      </c>
      <c r="DQ151" s="28">
        <f t="shared" si="143"/>
        <v>7.2990000000000004</v>
      </c>
      <c r="DR151" s="28">
        <v>2.181</v>
      </c>
      <c r="DS151" s="28">
        <v>2.1480000000000001</v>
      </c>
      <c r="DT151" s="28">
        <v>2.3239999999999998</v>
      </c>
      <c r="DU151" s="28">
        <v>2.4380000000000002</v>
      </c>
      <c r="DV151" s="28">
        <f t="shared" si="144"/>
        <v>9.0910000000000011</v>
      </c>
      <c r="DW151" s="28">
        <v>2.3889999999999998</v>
      </c>
      <c r="DX151" s="28">
        <v>2.1869999999999998</v>
      </c>
      <c r="DY151" s="28">
        <v>2.3720217899999998</v>
      </c>
      <c r="DZ151" s="28">
        <v>2.2333401200000011</v>
      </c>
      <c r="EA151" s="28">
        <f t="shared" si="145"/>
        <v>9.1813619099999997</v>
      </c>
      <c r="EB151" s="28">
        <v>2.41818497</v>
      </c>
      <c r="EC151" s="28">
        <v>2.3918412500000006</v>
      </c>
      <c r="ED151" s="28">
        <v>2.5640000000000001</v>
      </c>
      <c r="EE151" s="28">
        <v>2.5249596099999998</v>
      </c>
      <c r="EF151" s="28">
        <f t="shared" si="146"/>
        <v>9.8989858300000009</v>
      </c>
      <c r="EG151" s="28">
        <v>2.7295495000000001</v>
      </c>
      <c r="EH151" s="28">
        <v>2.8425057199999997</v>
      </c>
      <c r="EI151" s="28">
        <v>3.75653565</v>
      </c>
    </row>
    <row r="152" spans="1:139" ht="15" thickTop="1" x14ac:dyDescent="0.3">
      <c r="A152" s="1" t="s">
        <v>456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27">
        <v>0</v>
      </c>
      <c r="BK152" s="27">
        <v>0</v>
      </c>
      <c r="BL152" s="27">
        <v>0</v>
      </c>
      <c r="BM152" s="27">
        <v>0</v>
      </c>
      <c r="BN152" s="27">
        <f t="shared" si="132"/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f t="shared" si="133"/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f t="shared" si="134"/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f t="shared" si="135"/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f t="shared" si="136"/>
        <v>0</v>
      </c>
      <c r="CI152" s="27">
        <v>0</v>
      </c>
      <c r="CJ152" s="27">
        <v>0</v>
      </c>
      <c r="CK152" s="27">
        <v>0</v>
      </c>
      <c r="CL152" s="27">
        <v>0</v>
      </c>
      <c r="CM152" s="27">
        <f t="shared" si="137"/>
        <v>0</v>
      </c>
      <c r="CN152" s="27">
        <v>0</v>
      </c>
      <c r="CO152" s="27">
        <v>0</v>
      </c>
      <c r="CP152" s="27">
        <v>0</v>
      </c>
      <c r="CQ152" s="27">
        <v>0</v>
      </c>
      <c r="CR152" s="27">
        <f t="shared" si="138"/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f t="shared" si="139"/>
        <v>0</v>
      </c>
      <c r="CX152" s="27">
        <f t="shared" si="139"/>
        <v>0</v>
      </c>
      <c r="CY152" s="27">
        <v>1.4999999999999999E-2</v>
      </c>
      <c r="CZ152" s="27">
        <v>0.41799999999999998</v>
      </c>
      <c r="DA152" s="27">
        <v>1.3939999999999999</v>
      </c>
      <c r="DB152" s="27">
        <f t="shared" si="140"/>
        <v>1.827</v>
      </c>
      <c r="DC152" s="27">
        <v>2.2200000000000002</v>
      </c>
      <c r="DD152" s="27">
        <v>1.9930000000000001</v>
      </c>
      <c r="DE152" s="27">
        <v>1.9319999999999999</v>
      </c>
      <c r="DF152" s="27">
        <v>1.5249999999999999</v>
      </c>
      <c r="DG152" s="27">
        <f t="shared" si="141"/>
        <v>7.67</v>
      </c>
      <c r="DH152" s="27">
        <v>0.96499999999999997</v>
      </c>
      <c r="DI152" s="27">
        <v>-0.26700000000000002</v>
      </c>
      <c r="DJ152" s="27">
        <v>1.016</v>
      </c>
      <c r="DK152" s="27">
        <v>1.43</v>
      </c>
      <c r="DL152" s="27">
        <f t="shared" si="142"/>
        <v>3.1440000000000001</v>
      </c>
      <c r="DM152" s="27">
        <v>1.0429999999999999</v>
      </c>
      <c r="DN152" s="27">
        <v>1.0229999999999999</v>
      </c>
      <c r="DO152" s="27">
        <v>0.995</v>
      </c>
      <c r="DP152" s="27">
        <v>0.91300000000000003</v>
      </c>
      <c r="DQ152" s="27">
        <f t="shared" si="143"/>
        <v>3.9740000000000002</v>
      </c>
      <c r="DR152" s="27">
        <v>1.081</v>
      </c>
      <c r="DS152" s="27">
        <v>0.96699999999999997</v>
      </c>
      <c r="DT152" s="27">
        <v>1.2569999999999999</v>
      </c>
      <c r="DU152" s="27">
        <v>1.3120000000000001</v>
      </c>
      <c r="DV152" s="27">
        <f t="shared" si="144"/>
        <v>4.617</v>
      </c>
      <c r="DW152" s="27">
        <v>1.389</v>
      </c>
      <c r="DX152" s="27">
        <v>1.165</v>
      </c>
      <c r="DY152" s="27">
        <v>1.2894058800000001</v>
      </c>
      <c r="DZ152" s="27">
        <v>1.2924689599999999</v>
      </c>
      <c r="EA152" s="27">
        <f t="shared" si="145"/>
        <v>5.1358748400000005</v>
      </c>
      <c r="EB152" s="27">
        <v>1.2258617700000001</v>
      </c>
      <c r="EC152" s="27">
        <v>1.2968646399999999</v>
      </c>
      <c r="ED152" s="27">
        <v>1.258</v>
      </c>
      <c r="EE152" s="27">
        <v>1.1745555899999998</v>
      </c>
      <c r="EF152" s="27">
        <f t="shared" si="146"/>
        <v>4.9552819999999995</v>
      </c>
      <c r="EG152" s="27">
        <v>1.27450701</v>
      </c>
      <c r="EH152" s="27">
        <v>1.47296732</v>
      </c>
      <c r="EI152" s="27">
        <v>1.2065190699999999</v>
      </c>
    </row>
    <row r="153" spans="1:139" ht="15" thickBot="1" x14ac:dyDescent="0.35">
      <c r="A153" s="2" t="s">
        <v>446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28">
        <v>0</v>
      </c>
      <c r="BK153" s="28">
        <v>0</v>
      </c>
      <c r="BL153" s="28">
        <v>0</v>
      </c>
      <c r="BM153" s="28">
        <v>0</v>
      </c>
      <c r="BN153" s="28">
        <f t="shared" si="132"/>
        <v>0</v>
      </c>
      <c r="BO153" s="28">
        <v>0</v>
      </c>
      <c r="BP153" s="28">
        <v>0</v>
      </c>
      <c r="BQ153" s="28">
        <v>0</v>
      </c>
      <c r="BR153" s="28">
        <v>0</v>
      </c>
      <c r="BS153" s="28">
        <f t="shared" si="133"/>
        <v>0</v>
      </c>
      <c r="BT153" s="28">
        <v>0</v>
      </c>
      <c r="BU153" s="28">
        <v>0</v>
      </c>
      <c r="BV153" s="28">
        <v>0</v>
      </c>
      <c r="BW153" s="28">
        <v>0</v>
      </c>
      <c r="BX153" s="28">
        <f t="shared" si="134"/>
        <v>0</v>
      </c>
      <c r="BY153" s="28">
        <v>0</v>
      </c>
      <c r="BZ153" s="28">
        <v>0</v>
      </c>
      <c r="CA153" s="28">
        <v>0</v>
      </c>
      <c r="CB153" s="28">
        <v>0</v>
      </c>
      <c r="CC153" s="28">
        <f t="shared" si="135"/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f t="shared" si="136"/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f t="shared" si="137"/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f t="shared" si="138"/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f t="shared" si="139"/>
        <v>0</v>
      </c>
      <c r="CX153" s="28">
        <f t="shared" si="139"/>
        <v>0</v>
      </c>
      <c r="CY153" s="28">
        <f t="shared" si="139"/>
        <v>0</v>
      </c>
      <c r="CZ153" s="28">
        <f t="shared" si="139"/>
        <v>0</v>
      </c>
      <c r="DA153" s="28">
        <f t="shared" si="139"/>
        <v>0</v>
      </c>
      <c r="DB153" s="28">
        <f t="shared" si="140"/>
        <v>0</v>
      </c>
      <c r="DC153" s="28">
        <v>0</v>
      </c>
      <c r="DD153" s="28"/>
      <c r="DE153" s="28">
        <v>0</v>
      </c>
      <c r="DF153" s="28">
        <v>0</v>
      </c>
      <c r="DG153" s="28">
        <f t="shared" si="141"/>
        <v>0</v>
      </c>
      <c r="DH153" s="28">
        <v>0.49099999999999999</v>
      </c>
      <c r="DI153" s="28">
        <v>1.2210000000000001</v>
      </c>
      <c r="DJ153" s="28">
        <v>2.6</v>
      </c>
      <c r="DK153" s="28">
        <v>2.214</v>
      </c>
      <c r="DL153" s="28">
        <f t="shared" si="142"/>
        <v>6.5259999999999998</v>
      </c>
      <c r="DM153" s="28">
        <v>1.653</v>
      </c>
      <c r="DN153" s="28">
        <v>1.8160000000000001</v>
      </c>
      <c r="DO153" s="28">
        <v>0.61799999999999999</v>
      </c>
      <c r="DP153" s="28">
        <v>2.7919999999999998</v>
      </c>
      <c r="DQ153" s="28">
        <f t="shared" si="143"/>
        <v>6.8790000000000004</v>
      </c>
      <c r="DR153" s="28">
        <v>1.7010000000000001</v>
      </c>
      <c r="DS153" s="28">
        <v>1.7250000000000001</v>
      </c>
      <c r="DT153" s="28">
        <v>1.732</v>
      </c>
      <c r="DU153" s="28">
        <v>1.659</v>
      </c>
      <c r="DV153" s="28">
        <f t="shared" si="144"/>
        <v>6.8170000000000002</v>
      </c>
      <c r="DW153" s="28">
        <v>1.407</v>
      </c>
      <c r="DX153" s="28">
        <v>1.4850000000000001</v>
      </c>
      <c r="DY153" s="28">
        <v>1.3976255400000002</v>
      </c>
      <c r="DZ153" s="28">
        <v>2.2432990199999994</v>
      </c>
      <c r="EA153" s="28">
        <f t="shared" si="145"/>
        <v>6.5329245599999997</v>
      </c>
      <c r="EB153" s="28">
        <v>1.58597915</v>
      </c>
      <c r="EC153" s="28">
        <v>1.5294240699999999</v>
      </c>
      <c r="ED153" s="28">
        <v>1.738</v>
      </c>
      <c r="EE153" s="28">
        <v>1.4980825</v>
      </c>
      <c r="EF153" s="28">
        <f t="shared" si="146"/>
        <v>6.3514857200000003</v>
      </c>
      <c r="EG153" s="28">
        <v>1.8522174600000001</v>
      </c>
      <c r="EH153" s="28">
        <v>1.7933443600000001</v>
      </c>
      <c r="EI153" s="28">
        <v>1.9439288899999996</v>
      </c>
    </row>
    <row r="154" spans="1:139" ht="15" thickTop="1" x14ac:dyDescent="0.3">
      <c r="A154" s="1" t="s">
        <v>447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27">
        <v>0</v>
      </c>
      <c r="BK154" s="27">
        <v>0</v>
      </c>
      <c r="BL154" s="27">
        <v>0</v>
      </c>
      <c r="BM154" s="27">
        <v>0</v>
      </c>
      <c r="BN154" s="27">
        <f t="shared" si="132"/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f t="shared" si="133"/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f t="shared" si="134"/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f t="shared" si="135"/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f t="shared" si="136"/>
        <v>0</v>
      </c>
      <c r="CI154" s="27">
        <v>0</v>
      </c>
      <c r="CJ154" s="27">
        <v>0</v>
      </c>
      <c r="CK154" s="27">
        <v>0</v>
      </c>
      <c r="CL154" s="27">
        <v>0</v>
      </c>
      <c r="CM154" s="27">
        <f t="shared" si="137"/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f t="shared" si="138"/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f t="shared" si="139"/>
        <v>0</v>
      </c>
      <c r="CX154" s="27">
        <f t="shared" si="139"/>
        <v>0</v>
      </c>
      <c r="CY154" s="27">
        <f t="shared" si="139"/>
        <v>0</v>
      </c>
      <c r="CZ154" s="27">
        <f t="shared" si="139"/>
        <v>0</v>
      </c>
      <c r="DA154" s="27">
        <f t="shared" si="139"/>
        <v>0</v>
      </c>
      <c r="DB154" s="27">
        <f t="shared" si="140"/>
        <v>0</v>
      </c>
      <c r="DC154" s="27">
        <v>0</v>
      </c>
      <c r="DD154" s="27"/>
      <c r="DE154" s="27">
        <v>0</v>
      </c>
      <c r="DF154" s="27">
        <v>0</v>
      </c>
      <c r="DG154" s="27">
        <f t="shared" si="141"/>
        <v>0</v>
      </c>
      <c r="DH154" s="27">
        <v>0</v>
      </c>
      <c r="DI154" s="27">
        <v>0</v>
      </c>
      <c r="DJ154" s="27">
        <v>0</v>
      </c>
      <c r="DK154" s="27">
        <v>0</v>
      </c>
      <c r="DL154" s="27">
        <f t="shared" si="142"/>
        <v>0</v>
      </c>
      <c r="DM154" s="27">
        <v>0</v>
      </c>
      <c r="DN154" s="27">
        <v>0</v>
      </c>
      <c r="DO154" s="27">
        <v>0.17899999999999999</v>
      </c>
      <c r="DP154" s="27">
        <v>3.06</v>
      </c>
      <c r="DQ154" s="27">
        <f t="shared" si="143"/>
        <v>3.2389999999999999</v>
      </c>
      <c r="DR154" s="27">
        <v>3.516</v>
      </c>
      <c r="DS154" s="27">
        <v>3.6459999999999999</v>
      </c>
      <c r="DT154" s="27">
        <v>3.7120000000000002</v>
      </c>
      <c r="DU154" s="27">
        <v>4.1429999999999998</v>
      </c>
      <c r="DV154" s="27">
        <f t="shared" si="144"/>
        <v>15.016999999999999</v>
      </c>
      <c r="DW154" s="27">
        <v>3.6760000000000002</v>
      </c>
      <c r="DX154" s="27">
        <v>4.2709999999999999</v>
      </c>
      <c r="DY154" s="27">
        <v>3.7434011200000001</v>
      </c>
      <c r="DZ154" s="27">
        <v>2.6112013400000005</v>
      </c>
      <c r="EA154" s="27">
        <f t="shared" si="145"/>
        <v>14.301602460000002</v>
      </c>
      <c r="EB154" s="27">
        <v>3.7213191999999999</v>
      </c>
      <c r="EC154" s="27">
        <v>4.2436821299999998</v>
      </c>
      <c r="ED154" s="27">
        <v>4.0049999999999999</v>
      </c>
      <c r="EE154" s="27">
        <v>4.5161555199999999</v>
      </c>
      <c r="EF154" s="27">
        <f t="shared" si="146"/>
        <v>16.48615685</v>
      </c>
      <c r="EG154" s="27">
        <v>4.0619664599999998</v>
      </c>
      <c r="EH154" s="27">
        <v>4.8834836899999994</v>
      </c>
      <c r="EI154" s="27">
        <v>3.75298321</v>
      </c>
    </row>
    <row r="155" spans="1:139" ht="15" thickBot="1" x14ac:dyDescent="0.35">
      <c r="A155" s="2" t="s">
        <v>448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28">
        <v>0</v>
      </c>
      <c r="BK155" s="28">
        <v>0</v>
      </c>
      <c r="BL155" s="28">
        <v>0</v>
      </c>
      <c r="BM155" s="28">
        <v>0</v>
      </c>
      <c r="BN155" s="28">
        <f t="shared" si="132"/>
        <v>0</v>
      </c>
      <c r="BO155" s="28">
        <v>0</v>
      </c>
      <c r="BP155" s="28">
        <v>0</v>
      </c>
      <c r="BQ155" s="28">
        <v>0</v>
      </c>
      <c r="BR155" s="28">
        <v>0</v>
      </c>
      <c r="BS155" s="28">
        <f t="shared" si="133"/>
        <v>0</v>
      </c>
      <c r="BT155" s="28">
        <v>0</v>
      </c>
      <c r="BU155" s="28">
        <v>0</v>
      </c>
      <c r="BV155" s="28">
        <v>0</v>
      </c>
      <c r="BW155" s="28">
        <v>0</v>
      </c>
      <c r="BX155" s="28">
        <f t="shared" si="134"/>
        <v>0</v>
      </c>
      <c r="BY155" s="28">
        <v>0</v>
      </c>
      <c r="BZ155" s="28">
        <v>0</v>
      </c>
      <c r="CA155" s="28">
        <v>0</v>
      </c>
      <c r="CB155" s="28">
        <v>0</v>
      </c>
      <c r="CC155" s="28">
        <f t="shared" si="135"/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f t="shared" si="136"/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f t="shared" si="137"/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f t="shared" si="138"/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f t="shared" si="139"/>
        <v>0</v>
      </c>
      <c r="CX155" s="28">
        <f t="shared" si="139"/>
        <v>0</v>
      </c>
      <c r="CY155" s="28">
        <f t="shared" si="139"/>
        <v>0</v>
      </c>
      <c r="CZ155" s="28">
        <f t="shared" si="139"/>
        <v>0</v>
      </c>
      <c r="DA155" s="28">
        <f t="shared" si="139"/>
        <v>0</v>
      </c>
      <c r="DB155" s="28">
        <f t="shared" si="140"/>
        <v>0</v>
      </c>
      <c r="DC155" s="28">
        <v>0</v>
      </c>
      <c r="DD155" s="28"/>
      <c r="DE155" s="28">
        <v>0</v>
      </c>
      <c r="DF155" s="28">
        <v>0</v>
      </c>
      <c r="DG155" s="28">
        <f t="shared" si="141"/>
        <v>0</v>
      </c>
      <c r="DH155" s="28">
        <v>0</v>
      </c>
      <c r="DI155" s="28">
        <v>0</v>
      </c>
      <c r="DJ155" s="28">
        <v>0</v>
      </c>
      <c r="DK155" s="28">
        <v>0</v>
      </c>
      <c r="DL155" s="28">
        <f t="shared" si="142"/>
        <v>0</v>
      </c>
      <c r="DM155" s="28">
        <v>0</v>
      </c>
      <c r="DN155" s="28">
        <v>0</v>
      </c>
      <c r="DO155" s="28">
        <v>0</v>
      </c>
      <c r="DP155" s="28">
        <v>0</v>
      </c>
      <c r="DQ155" s="28">
        <f t="shared" si="143"/>
        <v>0</v>
      </c>
      <c r="DR155" s="28">
        <v>0</v>
      </c>
      <c r="DS155" s="28">
        <v>0</v>
      </c>
      <c r="DT155" s="28">
        <v>0.245</v>
      </c>
      <c r="DU155" s="28">
        <v>6.2480000000000002</v>
      </c>
      <c r="DV155" s="28">
        <f t="shared" si="144"/>
        <v>6.4930000000000003</v>
      </c>
      <c r="DW155" s="28">
        <v>6.3259999999999996</v>
      </c>
      <c r="DX155" s="28">
        <v>6.5460000000000003</v>
      </c>
      <c r="DY155" s="28">
        <v>6.6138737899999986</v>
      </c>
      <c r="DZ155" s="28">
        <v>6.1513915000000017</v>
      </c>
      <c r="EA155" s="28">
        <f t="shared" si="145"/>
        <v>25.637265290000002</v>
      </c>
      <c r="EB155" s="28">
        <v>6.9683138300000005</v>
      </c>
      <c r="EC155" s="28">
        <v>4.9791886200000004</v>
      </c>
      <c r="ED155" s="28">
        <v>5.9829999999999997</v>
      </c>
      <c r="EE155" s="28">
        <v>6.298229919999998</v>
      </c>
      <c r="EF155" s="28">
        <f t="shared" si="146"/>
        <v>24.228732369999999</v>
      </c>
      <c r="EG155" s="28">
        <v>6.1028398100000008</v>
      </c>
      <c r="EH155" s="28">
        <v>6.3346765700000001</v>
      </c>
      <c r="EI155" s="28">
        <v>6.2367300999999999</v>
      </c>
    </row>
    <row r="156" spans="1:139" ht="15" thickTop="1" x14ac:dyDescent="0.3">
      <c r="A156" s="1" t="s">
        <v>449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7">
        <v>0</v>
      </c>
      <c r="DS156" s="27">
        <v>0</v>
      </c>
      <c r="DT156" s="27">
        <v>0</v>
      </c>
      <c r="DU156" s="27">
        <v>0</v>
      </c>
      <c r="DV156" s="27">
        <v>0</v>
      </c>
      <c r="DW156" s="27">
        <v>0</v>
      </c>
      <c r="DX156" s="27">
        <v>4.3179999999999996</v>
      </c>
      <c r="DY156" s="27">
        <v>7.3606051600000004</v>
      </c>
      <c r="DZ156" s="27">
        <v>7.7640043999999993</v>
      </c>
      <c r="EA156" s="27">
        <f t="shared" si="145"/>
        <v>19.442609560000001</v>
      </c>
      <c r="EB156" s="27">
        <v>5.13598818</v>
      </c>
      <c r="EC156" s="27">
        <v>1.8511006999999999</v>
      </c>
      <c r="ED156" s="27">
        <v>1.722</v>
      </c>
      <c r="EE156" s="27">
        <v>2.3637568799999995</v>
      </c>
      <c r="EF156" s="27">
        <f t="shared" si="146"/>
        <v>11.07284576</v>
      </c>
      <c r="EG156" s="27">
        <v>1.60798467</v>
      </c>
      <c r="EH156" s="27">
        <v>2.1319313099999997</v>
      </c>
      <c r="EI156" s="27">
        <v>1.4934499399999999</v>
      </c>
    </row>
    <row r="157" spans="1:139" ht="15" thickBot="1" x14ac:dyDescent="0.35">
      <c r="A157" s="2" t="s">
        <v>460</v>
      </c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>
        <v>0</v>
      </c>
      <c r="EH157" s="28">
        <v>0.94176996999999996</v>
      </c>
      <c r="EI157" s="28">
        <v>1.0858374799999999</v>
      </c>
    </row>
    <row r="158" spans="1:139" ht="15" thickTop="1" x14ac:dyDescent="0.3">
      <c r="A158" s="1" t="s">
        <v>304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27">
        <v>0</v>
      </c>
      <c r="BK158" s="27">
        <v>0</v>
      </c>
      <c r="BL158" s="27">
        <v>0</v>
      </c>
      <c r="BM158" s="27">
        <v>0</v>
      </c>
      <c r="BN158" s="27">
        <f t="shared" si="132"/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f t="shared" si="133"/>
        <v>0</v>
      </c>
      <c r="BT158" s="27">
        <v>0</v>
      </c>
      <c r="BU158" s="27">
        <v>1.2428150200000001</v>
      </c>
      <c r="BV158" s="27">
        <v>3.5381102500000008</v>
      </c>
      <c r="BW158" s="27">
        <v>0.21272501999999882</v>
      </c>
      <c r="BX158" s="27">
        <f t="shared" si="134"/>
        <v>4.9936502899999997</v>
      </c>
      <c r="BY158" s="27">
        <v>2.3276796900000005</v>
      </c>
      <c r="BZ158" s="27">
        <v>13.431007430000001</v>
      </c>
      <c r="CA158" s="27">
        <v>13.604977479999995</v>
      </c>
      <c r="CB158" s="27">
        <v>3.0991017800000082</v>
      </c>
      <c r="CC158" s="27">
        <f t="shared" si="135"/>
        <v>32.462766380000005</v>
      </c>
      <c r="CD158" s="27">
        <v>7.4773187000000005</v>
      </c>
      <c r="CE158" s="27">
        <v>10.469078139999997</v>
      </c>
      <c r="CF158" s="27">
        <v>8.9662656300000023</v>
      </c>
      <c r="CG158" s="27">
        <v>9.5869980100000021</v>
      </c>
      <c r="CH158" s="27">
        <f t="shared" si="136"/>
        <v>36.499660480000003</v>
      </c>
      <c r="CI158" s="27">
        <v>8.1713679700000004</v>
      </c>
      <c r="CJ158" s="27">
        <v>7.6051570500000008</v>
      </c>
      <c r="CK158" s="27">
        <v>7.8809509300000027</v>
      </c>
      <c r="CL158" s="27">
        <v>6.0623907199999962</v>
      </c>
      <c r="CM158" s="27">
        <f t="shared" si="137"/>
        <v>29.719866670000002</v>
      </c>
      <c r="CN158" s="27">
        <v>5.6272977399999995</v>
      </c>
      <c r="CO158" s="27">
        <v>5.8763782800000008</v>
      </c>
      <c r="CP158" s="27">
        <v>6.490951759999998</v>
      </c>
      <c r="CQ158" s="27">
        <f>23.678-SUM(CN158:CP158)</f>
        <v>5.6833722200000025</v>
      </c>
      <c r="CR158" s="27">
        <f t="shared" si="138"/>
        <v>23.678000000000001</v>
      </c>
      <c r="CS158" s="27">
        <f>4.00241146+1.527</f>
        <v>5.5294114600000004</v>
      </c>
      <c r="CT158" s="27">
        <f>10.612-CS158</f>
        <v>5.0825885399999997</v>
      </c>
      <c r="CU158" s="27">
        <f>15.703-SUM(CS158:CT158)</f>
        <v>5.0909999999999993</v>
      </c>
      <c r="CV158" s="27">
        <f>23.576-SUM(CS158:CU158)</f>
        <v>7.8730000000000011</v>
      </c>
      <c r="CW158" s="27">
        <f t="shared" si="139"/>
        <v>23.576000000000001</v>
      </c>
      <c r="CX158" s="27">
        <v>5.6059999999999999</v>
      </c>
      <c r="CY158" s="27">
        <v>9.35</v>
      </c>
      <c r="CZ158" s="27">
        <v>6.08</v>
      </c>
      <c r="DA158" s="27">
        <v>7.3049999999999997</v>
      </c>
      <c r="DB158" s="27">
        <f t="shared" si="140"/>
        <v>28.341000000000001</v>
      </c>
      <c r="DC158" s="27">
        <v>6.0090000000000003</v>
      </c>
      <c r="DD158" s="27">
        <v>6.4729999999999999</v>
      </c>
      <c r="DE158" s="27">
        <v>6.0330000000000004</v>
      </c>
      <c r="DF158" s="27">
        <v>5.6429999999999998</v>
      </c>
      <c r="DG158" s="27">
        <f t="shared" si="141"/>
        <v>24.158000000000001</v>
      </c>
      <c r="DH158" s="27">
        <v>5.3049999999999997</v>
      </c>
      <c r="DI158" s="27">
        <v>5.2080000000000002</v>
      </c>
      <c r="DJ158" s="27">
        <v>5.7210000000000001</v>
      </c>
      <c r="DK158" s="27">
        <v>6.4039999999999999</v>
      </c>
      <c r="DL158" s="27">
        <f t="shared" si="142"/>
        <v>22.638000000000002</v>
      </c>
      <c r="DM158" s="27">
        <v>7.0960000000000001</v>
      </c>
      <c r="DN158" s="27">
        <v>6.7679999999999998</v>
      </c>
      <c r="DO158" s="27">
        <v>7.9610000000000003</v>
      </c>
      <c r="DP158" s="27">
        <v>8.7629999999999999</v>
      </c>
      <c r="DQ158" s="27">
        <f t="shared" si="143"/>
        <v>30.588000000000001</v>
      </c>
      <c r="DR158" s="27">
        <v>9.2880000000000003</v>
      </c>
      <c r="DS158" s="27">
        <v>9.3659999999999997</v>
      </c>
      <c r="DT158" s="27">
        <v>11.468999999999999</v>
      </c>
      <c r="DU158" s="27">
        <v>10.486000000000001</v>
      </c>
      <c r="DV158" s="27">
        <f t="shared" si="144"/>
        <v>40.608999999999995</v>
      </c>
      <c r="DW158" s="27">
        <v>10.243</v>
      </c>
      <c r="DX158" s="27">
        <v>10.736000000000001</v>
      </c>
      <c r="DY158" s="27">
        <f>((6986640.27+4043334.88)/1000)/1000</f>
        <v>11.029975149999999</v>
      </c>
      <c r="DZ158" s="27">
        <v>10.39563601</v>
      </c>
      <c r="EA158" s="27">
        <f t="shared" si="145"/>
        <v>42.404611160000002</v>
      </c>
      <c r="EB158" s="27">
        <f>(7258042.17+3180342.98)/1000000</f>
        <v>10.43838515</v>
      </c>
      <c r="EC158" s="27">
        <v>11.001022769999999</v>
      </c>
      <c r="ED158" s="27">
        <v>11.84</v>
      </c>
      <c r="EE158" s="27">
        <v>14.271813689999998</v>
      </c>
      <c r="EF158" s="27">
        <f t="shared" si="146"/>
        <v>47.551221609999999</v>
      </c>
      <c r="EG158" s="27">
        <v>16.261452569999999</v>
      </c>
      <c r="EH158" s="27">
        <v>14.50038825</v>
      </c>
      <c r="EI158" s="27">
        <v>14.238962299999997</v>
      </c>
    </row>
    <row r="159" spans="1:139" ht="15" thickBot="1" x14ac:dyDescent="0.35">
      <c r="A159" s="2" t="s">
        <v>305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28">
        <v>0</v>
      </c>
      <c r="BK159" s="28">
        <v>0</v>
      </c>
      <c r="BL159" s="28">
        <v>0</v>
      </c>
      <c r="BM159" s="28">
        <v>0</v>
      </c>
      <c r="BN159" s="28">
        <f t="shared" si="132"/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f t="shared" si="133"/>
        <v>0</v>
      </c>
      <c r="BT159" s="28">
        <v>0</v>
      </c>
      <c r="BU159" s="28">
        <v>0</v>
      </c>
      <c r="BV159" s="28">
        <v>0</v>
      </c>
      <c r="BW159" s="28">
        <v>0</v>
      </c>
      <c r="BX159" s="28">
        <f t="shared" si="134"/>
        <v>0</v>
      </c>
      <c r="BY159" s="28">
        <v>0</v>
      </c>
      <c r="BZ159" s="28">
        <v>0</v>
      </c>
      <c r="CA159" s="28">
        <v>0</v>
      </c>
      <c r="CB159" s="28">
        <v>0</v>
      </c>
      <c r="CC159" s="28">
        <f t="shared" si="135"/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f t="shared" si="136"/>
        <v>0</v>
      </c>
      <c r="CI159" s="28"/>
      <c r="CJ159" s="28"/>
      <c r="CK159" s="28"/>
      <c r="CL159" s="28"/>
      <c r="CM159" s="28">
        <f t="shared" si="137"/>
        <v>0</v>
      </c>
      <c r="CN159" s="28"/>
      <c r="CO159" s="28"/>
      <c r="CP159" s="28"/>
      <c r="CQ159" s="28"/>
      <c r="CR159" s="28">
        <f t="shared" si="138"/>
        <v>0</v>
      </c>
      <c r="CS159" s="28"/>
      <c r="CT159" s="28"/>
      <c r="CU159" s="28"/>
      <c r="CV159" s="28"/>
      <c r="CW159" s="28">
        <f t="shared" si="139"/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f t="shared" si="140"/>
        <v>0</v>
      </c>
      <c r="DC159" s="28">
        <v>0.39600000000000002</v>
      </c>
      <c r="DD159" s="28">
        <v>0.31</v>
      </c>
      <c r="DE159" s="28">
        <v>0.36</v>
      </c>
      <c r="DF159" s="28">
        <v>0.16500000000000001</v>
      </c>
      <c r="DG159" s="28">
        <f t="shared" si="141"/>
        <v>1.2309999999999999</v>
      </c>
      <c r="DH159" s="28">
        <v>0.189</v>
      </c>
      <c r="DI159" s="28">
        <v>0.13300000000000001</v>
      </c>
      <c r="DJ159" s="28">
        <v>0.16700000000000001</v>
      </c>
      <c r="DK159" s="28">
        <v>0.19800000000000001</v>
      </c>
      <c r="DL159" s="28">
        <f t="shared" si="142"/>
        <v>0.68700000000000006</v>
      </c>
      <c r="DM159" s="28">
        <v>0.26300000000000001</v>
      </c>
      <c r="DN159" s="28">
        <v>0.24199999999999999</v>
      </c>
      <c r="DO159" s="28">
        <v>0.23699999999999999</v>
      </c>
      <c r="DP159" s="28">
        <v>0.24299999999999999</v>
      </c>
      <c r="DQ159" s="28">
        <f t="shared" si="143"/>
        <v>0.98499999999999999</v>
      </c>
      <c r="DR159" s="28">
        <v>0.23799999999999999</v>
      </c>
      <c r="DS159" s="28">
        <v>0.25600000000000001</v>
      </c>
      <c r="DT159" s="28">
        <v>0.26900000000000002</v>
      </c>
      <c r="DU159" s="28">
        <v>0.245</v>
      </c>
      <c r="DV159" s="28">
        <f t="shared" si="144"/>
        <v>1.008</v>
      </c>
      <c r="DW159" s="28">
        <v>0.24299999999999999</v>
      </c>
      <c r="DX159" s="28">
        <v>0.248</v>
      </c>
      <c r="DY159" s="28">
        <v>0.29760876999999991</v>
      </c>
      <c r="DZ159" s="28">
        <v>0.27356676000000002</v>
      </c>
      <c r="EA159" s="28">
        <f t="shared" si="145"/>
        <v>1.06217553</v>
      </c>
      <c r="EB159" s="28">
        <v>0.25250863000000001</v>
      </c>
      <c r="EC159" s="28">
        <v>0.32943799000000007</v>
      </c>
      <c r="ED159" s="28">
        <v>0.34399999999999997</v>
      </c>
      <c r="EE159" s="28">
        <v>0.31782235999999997</v>
      </c>
      <c r="EF159" s="28">
        <f t="shared" si="146"/>
        <v>1.24376898</v>
      </c>
      <c r="EG159" s="28">
        <v>0.27486066000000003</v>
      </c>
      <c r="EH159" s="28">
        <v>0.29608429999999997</v>
      </c>
      <c r="EI159" s="28">
        <v>0.25060233999999998</v>
      </c>
    </row>
    <row r="160" spans="1:139" ht="15" thickTop="1" x14ac:dyDescent="0.3">
      <c r="A160" s="1" t="s">
        <v>306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27">
        <v>0</v>
      </c>
      <c r="BK160" s="27">
        <v>1.4703000000000001E-4</v>
      </c>
      <c r="BL160" s="27">
        <v>-1.4703000000000001E-4</v>
      </c>
      <c r="BM160" s="27">
        <v>0</v>
      </c>
      <c r="BN160" s="27">
        <f t="shared" si="132"/>
        <v>0</v>
      </c>
      <c r="BO160" s="27">
        <v>0</v>
      </c>
      <c r="BP160" s="27">
        <v>0.78605477000000001</v>
      </c>
      <c r="BQ160" s="27">
        <v>0.46019834000000004</v>
      </c>
      <c r="BR160" s="27">
        <v>0.46313611999999993</v>
      </c>
      <c r="BS160" s="27">
        <f t="shared" si="133"/>
        <v>1.70938923</v>
      </c>
      <c r="BT160" s="27">
        <v>0.46236970999999999</v>
      </c>
      <c r="BU160" s="27">
        <v>0.39218197000000005</v>
      </c>
      <c r="BV160" s="27">
        <v>0.62599571999999992</v>
      </c>
      <c r="BW160" s="27">
        <v>0.41512433000000021</v>
      </c>
      <c r="BX160" s="27">
        <f t="shared" si="134"/>
        <v>1.8956717300000001</v>
      </c>
      <c r="BY160" s="27">
        <v>0.61928767000000007</v>
      </c>
      <c r="BZ160" s="27">
        <v>0.51188977999999974</v>
      </c>
      <c r="CA160" s="27">
        <v>0.51936155000000017</v>
      </c>
      <c r="CB160" s="27">
        <v>0.6458749399999999</v>
      </c>
      <c r="CC160" s="27">
        <f t="shared" si="135"/>
        <v>2.2964139399999999</v>
      </c>
      <c r="CD160" s="27">
        <v>0.58315998000000002</v>
      </c>
      <c r="CE160" s="27">
        <v>0.76736068999999985</v>
      </c>
      <c r="CF160" s="27">
        <v>0.70534894999999986</v>
      </c>
      <c r="CG160" s="27">
        <v>0.86194685000000026</v>
      </c>
      <c r="CH160" s="27">
        <f t="shared" si="136"/>
        <v>2.91781647</v>
      </c>
      <c r="CI160" s="27">
        <v>0.72685918000000005</v>
      </c>
      <c r="CJ160" s="27">
        <v>0.41935099999999992</v>
      </c>
      <c r="CK160" s="27">
        <v>0.62142394000000001</v>
      </c>
      <c r="CL160" s="27">
        <v>0.71926060999999997</v>
      </c>
      <c r="CM160" s="27">
        <f t="shared" si="137"/>
        <v>2.4868947299999999</v>
      </c>
      <c r="CN160" s="27">
        <v>0.44681056000000002</v>
      </c>
      <c r="CO160" s="27">
        <v>0.41566310000000001</v>
      </c>
      <c r="CP160" s="27">
        <v>0.47130340000000009</v>
      </c>
      <c r="CQ160" s="27">
        <f>1.883-SUM(CN160:CP160)</f>
        <v>0.54922293999999994</v>
      </c>
      <c r="CR160" s="27">
        <f t="shared" si="138"/>
        <v>1.883</v>
      </c>
      <c r="CS160" s="27">
        <v>0.39197226999999996</v>
      </c>
      <c r="CT160" s="27">
        <v>0.33209590999999999</v>
      </c>
      <c r="CU160" s="27">
        <v>0.24120743000000006</v>
      </c>
      <c r="CV160" s="27">
        <v>0.3596209199999999</v>
      </c>
      <c r="CW160" s="27">
        <f t="shared" si="139"/>
        <v>1.3248965299999997</v>
      </c>
      <c r="CX160" s="27">
        <v>0.27800000000000002</v>
      </c>
      <c r="CY160" s="27">
        <v>0.31</v>
      </c>
      <c r="CZ160" s="27">
        <v>0.26700000000000002</v>
      </c>
      <c r="DA160" s="27">
        <v>0.33400000000000002</v>
      </c>
      <c r="DB160" s="27">
        <f t="shared" si="140"/>
        <v>1.1890000000000001</v>
      </c>
      <c r="DC160" s="27">
        <v>-0.93100000000000005</v>
      </c>
      <c r="DD160" s="27">
        <v>-0.9</v>
      </c>
      <c r="DE160" s="27">
        <v>-0.81299999999999994</v>
      </c>
      <c r="DF160" s="27">
        <v>-0.65</v>
      </c>
      <c r="DG160" s="27">
        <f t="shared" si="141"/>
        <v>-3.294</v>
      </c>
      <c r="DH160" s="27">
        <v>0.19800000000000001</v>
      </c>
      <c r="DI160" s="27">
        <v>0.22600000000000001</v>
      </c>
      <c r="DJ160" s="27">
        <v>0.44800000000000001</v>
      </c>
      <c r="DK160" s="27">
        <v>0.53700000000000003</v>
      </c>
      <c r="DL160" s="27">
        <f t="shared" si="142"/>
        <v>1.4090000000000003</v>
      </c>
      <c r="DM160" s="27">
        <v>0.32900000000000001</v>
      </c>
      <c r="DN160" s="27">
        <v>0.26</v>
      </c>
      <c r="DO160" s="27">
        <v>0.01</v>
      </c>
      <c r="DP160" s="27">
        <v>5.8999999999999997E-2</v>
      </c>
      <c r="DQ160" s="27">
        <f t="shared" si="143"/>
        <v>0.65799999999999992</v>
      </c>
      <c r="DR160" s="27">
        <v>0.20899999999999999</v>
      </c>
      <c r="DS160" s="27">
        <v>0.28000000000000003</v>
      </c>
      <c r="DT160" s="27">
        <v>0.41899999999999998</v>
      </c>
      <c r="DU160" s="27">
        <v>-0.223</v>
      </c>
      <c r="DV160" s="27">
        <f t="shared" si="144"/>
        <v>0.68499999999999994</v>
      </c>
      <c r="DW160" s="27">
        <v>0.23400000000000001</v>
      </c>
      <c r="DX160" s="27">
        <v>0.41099999999999998</v>
      </c>
      <c r="DY160" s="27">
        <v>0.38999124999999996</v>
      </c>
      <c r="DZ160" s="27">
        <v>0.42247493999999997</v>
      </c>
      <c r="EA160" s="27">
        <f t="shared" si="145"/>
        <v>1.4574661899999999</v>
      </c>
      <c r="EB160" s="27">
        <v>0.43760442000000005</v>
      </c>
      <c r="EC160" s="27">
        <v>0.95266626999999993</v>
      </c>
      <c r="ED160" s="27">
        <v>1.105</v>
      </c>
      <c r="EE160" s="27">
        <v>0.29092853999999996</v>
      </c>
      <c r="EF160" s="27">
        <f t="shared" si="146"/>
        <v>2.7861992299999998</v>
      </c>
      <c r="EG160" s="27">
        <v>0.81616252</v>
      </c>
      <c r="EH160" s="27">
        <v>1.0876967399999999</v>
      </c>
      <c r="EI160" s="27">
        <v>0.3614617799999999</v>
      </c>
    </row>
    <row r="161" spans="1:139" ht="15" thickBot="1" x14ac:dyDescent="0.35">
      <c r="A161" s="2" t="s">
        <v>323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28">
        <v>0</v>
      </c>
      <c r="BK161" s="28">
        <v>0</v>
      </c>
      <c r="BL161" s="28">
        <v>0</v>
      </c>
      <c r="BM161" s="28">
        <v>0</v>
      </c>
      <c r="BN161" s="28">
        <f t="shared" si="132"/>
        <v>0</v>
      </c>
      <c r="BO161" s="28">
        <v>0</v>
      </c>
      <c r="BP161" s="28">
        <v>0</v>
      </c>
      <c r="BQ161" s="28">
        <v>0</v>
      </c>
      <c r="BR161" s="28">
        <v>0</v>
      </c>
      <c r="BS161" s="28">
        <f t="shared" si="133"/>
        <v>0</v>
      </c>
      <c r="BT161" s="28">
        <v>0</v>
      </c>
      <c r="BU161" s="28">
        <v>0</v>
      </c>
      <c r="BV161" s="28">
        <v>0</v>
      </c>
      <c r="BW161" s="28">
        <v>0</v>
      </c>
      <c r="BX161" s="28">
        <f t="shared" si="134"/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f t="shared" si="135"/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f t="shared" si="136"/>
        <v>0</v>
      </c>
      <c r="CI161" s="28">
        <v>0</v>
      </c>
      <c r="CJ161" s="28">
        <v>0</v>
      </c>
      <c r="CK161" s="28">
        <v>0</v>
      </c>
      <c r="CL161" s="28">
        <v>0</v>
      </c>
      <c r="CM161" s="28">
        <f t="shared" si="137"/>
        <v>0</v>
      </c>
      <c r="CN161" s="28">
        <v>0</v>
      </c>
      <c r="CO161" s="28">
        <v>0</v>
      </c>
      <c r="CP161" s="28">
        <v>0</v>
      </c>
      <c r="CQ161" s="28">
        <v>0</v>
      </c>
      <c r="CR161" s="28">
        <f t="shared" si="138"/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f t="shared" si="139"/>
        <v>0</v>
      </c>
      <c r="CX161" s="28">
        <f t="shared" si="139"/>
        <v>0</v>
      </c>
      <c r="CY161" s="28">
        <f t="shared" si="139"/>
        <v>0</v>
      </c>
      <c r="CZ161" s="28">
        <f t="shared" si="139"/>
        <v>0</v>
      </c>
      <c r="DA161" s="28">
        <f t="shared" si="139"/>
        <v>0</v>
      </c>
      <c r="DB161" s="28">
        <f t="shared" si="140"/>
        <v>0</v>
      </c>
      <c r="DC161" s="28">
        <f t="shared" ref="DC161:DF165" si="147">SUM(CY161:DB161)</f>
        <v>0</v>
      </c>
      <c r="DD161" s="28">
        <f t="shared" si="147"/>
        <v>0</v>
      </c>
      <c r="DE161" s="28">
        <f t="shared" si="147"/>
        <v>0</v>
      </c>
      <c r="DF161" s="28">
        <f t="shared" si="147"/>
        <v>0</v>
      </c>
      <c r="DG161" s="28">
        <f t="shared" si="141"/>
        <v>0</v>
      </c>
      <c r="DH161" s="28">
        <f t="shared" ref="DH161:DK165" si="148">SUM(DD161:DG161)</f>
        <v>0</v>
      </c>
      <c r="DI161" s="28">
        <f t="shared" si="148"/>
        <v>0</v>
      </c>
      <c r="DJ161" s="28">
        <f t="shared" si="148"/>
        <v>0</v>
      </c>
      <c r="DK161" s="28">
        <f t="shared" si="148"/>
        <v>0</v>
      </c>
      <c r="DL161" s="28">
        <f t="shared" si="142"/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f t="shared" si="143"/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f t="shared" si="144"/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f t="shared" si="145"/>
        <v>0</v>
      </c>
      <c r="EB161" s="28">
        <v>0</v>
      </c>
      <c r="EC161" s="28">
        <v>0</v>
      </c>
      <c r="ED161" s="28">
        <v>0</v>
      </c>
      <c r="EE161" s="28"/>
      <c r="EF161" s="28">
        <f t="shared" si="146"/>
        <v>0</v>
      </c>
      <c r="EG161" s="28"/>
      <c r="EH161" s="28">
        <v>0</v>
      </c>
      <c r="EI161" s="28">
        <v>0</v>
      </c>
    </row>
    <row r="162" spans="1:139" ht="15" thickTop="1" x14ac:dyDescent="0.3">
      <c r="A162" s="1" t="s">
        <v>322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27">
        <v>0</v>
      </c>
      <c r="BK162" s="27">
        <v>0</v>
      </c>
      <c r="BL162" s="27">
        <v>0</v>
      </c>
      <c r="BM162" s="27">
        <v>0</v>
      </c>
      <c r="BN162" s="27">
        <f t="shared" si="132"/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f t="shared" si="133"/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f t="shared" si="134"/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f t="shared" si="135"/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f t="shared" si="136"/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f t="shared" si="137"/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f t="shared" si="138"/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f t="shared" si="139"/>
        <v>0</v>
      </c>
      <c r="CX162" s="27">
        <f t="shared" si="139"/>
        <v>0</v>
      </c>
      <c r="CY162" s="27">
        <f t="shared" si="139"/>
        <v>0</v>
      </c>
      <c r="CZ162" s="27">
        <f t="shared" si="139"/>
        <v>0</v>
      </c>
      <c r="DA162" s="27">
        <f t="shared" si="139"/>
        <v>0</v>
      </c>
      <c r="DB162" s="27">
        <f t="shared" si="140"/>
        <v>0</v>
      </c>
      <c r="DC162" s="27">
        <f t="shared" si="147"/>
        <v>0</v>
      </c>
      <c r="DD162" s="27">
        <f t="shared" si="147"/>
        <v>0</v>
      </c>
      <c r="DE162" s="27">
        <f t="shared" si="147"/>
        <v>0</v>
      </c>
      <c r="DF162" s="27">
        <f t="shared" si="147"/>
        <v>0</v>
      </c>
      <c r="DG162" s="27">
        <f t="shared" si="141"/>
        <v>0</v>
      </c>
      <c r="DH162" s="27">
        <f t="shared" si="148"/>
        <v>0</v>
      </c>
      <c r="DI162" s="27">
        <f t="shared" si="148"/>
        <v>0</v>
      </c>
      <c r="DJ162" s="27">
        <f t="shared" si="148"/>
        <v>0</v>
      </c>
      <c r="DK162" s="27">
        <f t="shared" si="148"/>
        <v>0</v>
      </c>
      <c r="DL162" s="27">
        <f t="shared" si="142"/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f t="shared" si="143"/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f t="shared" si="144"/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f t="shared" si="145"/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f t="shared" si="146"/>
        <v>0</v>
      </c>
      <c r="EG162" s="27">
        <v>0</v>
      </c>
      <c r="EH162" s="27">
        <v>0</v>
      </c>
      <c r="EI162" s="27">
        <v>0</v>
      </c>
    </row>
    <row r="163" spans="1:139" ht="15" thickBot="1" x14ac:dyDescent="0.35">
      <c r="A163" s="2" t="s">
        <v>370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28">
        <v>7.6745739999999993E-2</v>
      </c>
      <c r="BK163" s="28">
        <v>0.10636993000000002</v>
      </c>
      <c r="BL163" s="28">
        <v>8.4776909999999997E-2</v>
      </c>
      <c r="BM163" s="28">
        <v>0.10247819000000004</v>
      </c>
      <c r="BN163" s="28">
        <f t="shared" si="132"/>
        <v>0.37037077000000002</v>
      </c>
      <c r="BO163" s="28">
        <v>1.0397196200000001</v>
      </c>
      <c r="BP163" s="28">
        <v>18.656175100000002</v>
      </c>
      <c r="BQ163" s="28">
        <v>9.2390387599999961</v>
      </c>
      <c r="BR163" s="28">
        <v>7.0648870200000005</v>
      </c>
      <c r="BS163" s="28">
        <f t="shared" si="133"/>
        <v>35.999820499999998</v>
      </c>
      <c r="BT163" s="28">
        <v>0</v>
      </c>
      <c r="BU163" s="28">
        <v>0</v>
      </c>
      <c r="BV163" s="28">
        <v>0</v>
      </c>
      <c r="BW163" s="28">
        <v>0</v>
      </c>
      <c r="BX163" s="28">
        <f t="shared" si="134"/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f t="shared" si="135"/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f t="shared" si="136"/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f t="shared" si="137"/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f t="shared" si="138"/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f t="shared" si="139"/>
        <v>0</v>
      </c>
      <c r="CX163" s="28">
        <f t="shared" si="139"/>
        <v>0</v>
      </c>
      <c r="CY163" s="28">
        <f t="shared" si="139"/>
        <v>0</v>
      </c>
      <c r="CZ163" s="28">
        <f t="shared" si="139"/>
        <v>0</v>
      </c>
      <c r="DA163" s="28">
        <f t="shared" si="139"/>
        <v>0</v>
      </c>
      <c r="DB163" s="28">
        <f t="shared" si="140"/>
        <v>0</v>
      </c>
      <c r="DC163" s="28">
        <f t="shared" si="147"/>
        <v>0</v>
      </c>
      <c r="DD163" s="28">
        <f t="shared" si="147"/>
        <v>0</v>
      </c>
      <c r="DE163" s="28">
        <f t="shared" si="147"/>
        <v>0</v>
      </c>
      <c r="DF163" s="28">
        <f t="shared" si="147"/>
        <v>0</v>
      </c>
      <c r="DG163" s="28">
        <f t="shared" si="141"/>
        <v>0</v>
      </c>
      <c r="DH163" s="28">
        <f t="shared" si="148"/>
        <v>0</v>
      </c>
      <c r="DI163" s="28">
        <f t="shared" si="148"/>
        <v>0</v>
      </c>
      <c r="DJ163" s="28">
        <f t="shared" si="148"/>
        <v>0</v>
      </c>
      <c r="DK163" s="28">
        <f t="shared" si="148"/>
        <v>0</v>
      </c>
      <c r="DL163" s="28">
        <f t="shared" si="142"/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f t="shared" si="143"/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f t="shared" si="144"/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f t="shared" si="145"/>
        <v>0</v>
      </c>
      <c r="EB163" s="28">
        <v>0</v>
      </c>
      <c r="EC163" s="28">
        <v>0</v>
      </c>
      <c r="ED163" s="28">
        <v>0</v>
      </c>
      <c r="EE163" s="28"/>
      <c r="EF163" s="28">
        <f t="shared" si="146"/>
        <v>0</v>
      </c>
      <c r="EG163" s="28"/>
      <c r="EH163" s="28">
        <v>0</v>
      </c>
      <c r="EI163" s="28">
        <v>0</v>
      </c>
    </row>
    <row r="164" spans="1:139" ht="15" thickTop="1" x14ac:dyDescent="0.3">
      <c r="A164" s="1" t="s">
        <v>338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27">
        <v>8.1207000000000002E-4</v>
      </c>
      <c r="BK164" s="27">
        <v>6.0612000000000014E-4</v>
      </c>
      <c r="BL164" s="27">
        <v>6.5864999999999977E-4</v>
      </c>
      <c r="BM164" s="27">
        <v>6.9857999999999986E-4</v>
      </c>
      <c r="BN164" s="27">
        <f t="shared" si="132"/>
        <v>2.7754199999999998E-3</v>
      </c>
      <c r="BO164" s="27">
        <v>8.0712999999999987E-4</v>
      </c>
      <c r="BP164" s="27">
        <v>0.10388016999999999</v>
      </c>
      <c r="BQ164" s="27">
        <v>5.7728130000000002E-2</v>
      </c>
      <c r="BR164" s="27">
        <v>6.9482701527999999E-2</v>
      </c>
      <c r="BS164" s="27">
        <f t="shared" si="133"/>
        <v>0.23189813152799998</v>
      </c>
      <c r="BT164" s="27">
        <v>0</v>
      </c>
      <c r="BU164" s="27">
        <v>0</v>
      </c>
      <c r="BV164" s="27">
        <v>0</v>
      </c>
      <c r="BW164" s="27">
        <v>0</v>
      </c>
      <c r="BX164" s="27">
        <f t="shared" si="134"/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f t="shared" si="135"/>
        <v>0</v>
      </c>
      <c r="CD164" s="27">
        <v>0</v>
      </c>
      <c r="CE164" s="27">
        <v>0</v>
      </c>
      <c r="CF164" s="27">
        <v>0</v>
      </c>
      <c r="CG164" s="27">
        <v>0</v>
      </c>
      <c r="CH164" s="27">
        <f t="shared" si="136"/>
        <v>0</v>
      </c>
      <c r="CI164" s="27">
        <v>0</v>
      </c>
      <c r="CJ164" s="27">
        <v>0</v>
      </c>
      <c r="CK164" s="27">
        <v>0</v>
      </c>
      <c r="CL164" s="27">
        <v>0</v>
      </c>
      <c r="CM164" s="27">
        <f t="shared" si="137"/>
        <v>0</v>
      </c>
      <c r="CN164" s="27">
        <v>0</v>
      </c>
      <c r="CO164" s="27">
        <v>0</v>
      </c>
      <c r="CP164" s="27">
        <v>0</v>
      </c>
      <c r="CQ164" s="27">
        <v>0</v>
      </c>
      <c r="CR164" s="27">
        <f t="shared" si="138"/>
        <v>0</v>
      </c>
      <c r="CS164" s="27">
        <v>0</v>
      </c>
      <c r="CT164" s="27">
        <v>0</v>
      </c>
      <c r="CU164" s="27">
        <v>0</v>
      </c>
      <c r="CV164" s="27">
        <v>0</v>
      </c>
      <c r="CW164" s="27">
        <f t="shared" si="139"/>
        <v>0</v>
      </c>
      <c r="CX164" s="27">
        <f t="shared" si="139"/>
        <v>0</v>
      </c>
      <c r="CY164" s="27">
        <f t="shared" si="139"/>
        <v>0</v>
      </c>
      <c r="CZ164" s="27">
        <f t="shared" si="139"/>
        <v>0</v>
      </c>
      <c r="DA164" s="27">
        <f t="shared" si="139"/>
        <v>0</v>
      </c>
      <c r="DB164" s="27">
        <f t="shared" si="140"/>
        <v>0</v>
      </c>
      <c r="DC164" s="27">
        <f t="shared" si="147"/>
        <v>0</v>
      </c>
      <c r="DD164" s="27">
        <f t="shared" si="147"/>
        <v>0</v>
      </c>
      <c r="DE164" s="27">
        <f t="shared" si="147"/>
        <v>0</v>
      </c>
      <c r="DF164" s="27">
        <f t="shared" si="147"/>
        <v>0</v>
      </c>
      <c r="DG164" s="27">
        <f t="shared" si="141"/>
        <v>0</v>
      </c>
      <c r="DH164" s="27">
        <f t="shared" si="148"/>
        <v>0</v>
      </c>
      <c r="DI164" s="27">
        <f t="shared" si="148"/>
        <v>0</v>
      </c>
      <c r="DJ164" s="27">
        <f t="shared" si="148"/>
        <v>0</v>
      </c>
      <c r="DK164" s="27">
        <f t="shared" si="148"/>
        <v>0</v>
      </c>
      <c r="DL164" s="27">
        <f t="shared" si="142"/>
        <v>0</v>
      </c>
      <c r="DM164" s="27">
        <v>0</v>
      </c>
      <c r="DN164" s="27">
        <v>0</v>
      </c>
      <c r="DO164" s="27">
        <v>0</v>
      </c>
      <c r="DP164" s="27">
        <v>0</v>
      </c>
      <c r="DQ164" s="27">
        <f t="shared" si="143"/>
        <v>0</v>
      </c>
      <c r="DR164" s="27">
        <v>0</v>
      </c>
      <c r="DS164" s="27">
        <v>0</v>
      </c>
      <c r="DT164" s="27">
        <v>0</v>
      </c>
      <c r="DU164" s="27">
        <v>0</v>
      </c>
      <c r="DV164" s="27">
        <f t="shared" si="144"/>
        <v>0</v>
      </c>
      <c r="DW164" s="27">
        <v>0</v>
      </c>
      <c r="DX164" s="27">
        <v>0</v>
      </c>
      <c r="DY164" s="27">
        <v>0</v>
      </c>
      <c r="DZ164" s="27">
        <v>0</v>
      </c>
      <c r="EA164" s="27">
        <f t="shared" si="145"/>
        <v>0</v>
      </c>
      <c r="EB164" s="27">
        <v>0</v>
      </c>
      <c r="EC164" s="27">
        <v>0</v>
      </c>
      <c r="ED164" s="27">
        <v>0</v>
      </c>
      <c r="EE164" s="27">
        <v>0</v>
      </c>
      <c r="EF164" s="27">
        <f t="shared" si="146"/>
        <v>0</v>
      </c>
      <c r="EG164" s="27">
        <v>0</v>
      </c>
      <c r="EH164" s="27">
        <v>0</v>
      </c>
      <c r="EI164" s="27">
        <v>0</v>
      </c>
    </row>
    <row r="165" spans="1:139" ht="15" thickBot="1" x14ac:dyDescent="0.35">
      <c r="A165" s="2" t="s">
        <v>331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28">
        <v>0</v>
      </c>
      <c r="BK165" s="28">
        <v>0</v>
      </c>
      <c r="BL165" s="28">
        <v>0</v>
      </c>
      <c r="BM165" s="28">
        <v>0</v>
      </c>
      <c r="BN165" s="28">
        <f t="shared" si="132"/>
        <v>0</v>
      </c>
      <c r="BO165" s="28">
        <v>0</v>
      </c>
      <c r="BP165" s="28">
        <v>0</v>
      </c>
      <c r="BQ165" s="28">
        <v>0</v>
      </c>
      <c r="BR165" s="28">
        <v>1.778121999999999E-2</v>
      </c>
      <c r="BS165" s="28">
        <f t="shared" si="133"/>
        <v>1.778121999999999E-2</v>
      </c>
      <c r="BT165" s="28">
        <v>0</v>
      </c>
      <c r="BU165" s="28">
        <v>0</v>
      </c>
      <c r="BV165" s="28">
        <v>0</v>
      </c>
      <c r="BW165" s="28">
        <v>0</v>
      </c>
      <c r="BX165" s="28">
        <f t="shared" si="134"/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f t="shared" si="135"/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f t="shared" si="136"/>
        <v>0</v>
      </c>
      <c r="CI165" s="28">
        <v>0</v>
      </c>
      <c r="CJ165" s="28">
        <v>0</v>
      </c>
      <c r="CK165" s="28">
        <v>0</v>
      </c>
      <c r="CL165" s="28">
        <v>0</v>
      </c>
      <c r="CM165" s="28">
        <f t="shared" si="137"/>
        <v>0</v>
      </c>
      <c r="CN165" s="28">
        <v>0</v>
      </c>
      <c r="CO165" s="28">
        <v>0</v>
      </c>
      <c r="CP165" s="28">
        <v>0</v>
      </c>
      <c r="CQ165" s="28">
        <v>0</v>
      </c>
      <c r="CR165" s="28">
        <f t="shared" si="138"/>
        <v>0</v>
      </c>
      <c r="CS165" s="28">
        <v>0</v>
      </c>
      <c r="CT165" s="28">
        <v>0</v>
      </c>
      <c r="CU165" s="28">
        <v>0</v>
      </c>
      <c r="CV165" s="28">
        <v>0</v>
      </c>
      <c r="CW165" s="28">
        <f t="shared" si="139"/>
        <v>0</v>
      </c>
      <c r="CX165" s="28">
        <f t="shared" si="139"/>
        <v>0</v>
      </c>
      <c r="CY165" s="28">
        <f t="shared" si="139"/>
        <v>0</v>
      </c>
      <c r="CZ165" s="28">
        <f t="shared" si="139"/>
        <v>0</v>
      </c>
      <c r="DA165" s="28">
        <f t="shared" si="139"/>
        <v>0</v>
      </c>
      <c r="DB165" s="28">
        <f t="shared" si="140"/>
        <v>0</v>
      </c>
      <c r="DC165" s="28">
        <f t="shared" si="147"/>
        <v>0</v>
      </c>
      <c r="DD165" s="28">
        <f t="shared" si="147"/>
        <v>0</v>
      </c>
      <c r="DE165" s="28">
        <f t="shared" si="147"/>
        <v>0</v>
      </c>
      <c r="DF165" s="28">
        <f t="shared" si="147"/>
        <v>0</v>
      </c>
      <c r="DG165" s="28">
        <f t="shared" si="141"/>
        <v>0</v>
      </c>
      <c r="DH165" s="28">
        <f t="shared" si="148"/>
        <v>0</v>
      </c>
      <c r="DI165" s="28">
        <f t="shared" si="148"/>
        <v>0</v>
      </c>
      <c r="DJ165" s="28">
        <f t="shared" si="148"/>
        <v>0</v>
      </c>
      <c r="DK165" s="28">
        <f t="shared" si="148"/>
        <v>0</v>
      </c>
      <c r="DL165" s="28">
        <f t="shared" si="142"/>
        <v>0</v>
      </c>
      <c r="DM165" s="28">
        <v>0</v>
      </c>
      <c r="DN165" s="28">
        <v>0</v>
      </c>
      <c r="DO165" s="28">
        <v>0</v>
      </c>
      <c r="DP165" s="28">
        <v>0</v>
      </c>
      <c r="DQ165" s="28">
        <f t="shared" si="143"/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f t="shared" si="144"/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f t="shared" si="145"/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f t="shared" si="146"/>
        <v>0</v>
      </c>
      <c r="EG165" s="28">
        <v>0</v>
      </c>
      <c r="EH165" s="28">
        <v>0</v>
      </c>
      <c r="EI165" s="28">
        <v>0</v>
      </c>
    </row>
    <row r="166" spans="1:139" ht="15" thickTop="1" x14ac:dyDescent="0.3">
      <c r="A166" s="1" t="s">
        <v>308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27">
        <v>0</v>
      </c>
      <c r="BK166" s="27">
        <v>-2.1273989999999996E-2</v>
      </c>
      <c r="BL166" s="27">
        <v>-1.6955380000000009E-2</v>
      </c>
      <c r="BM166" s="27">
        <v>-2.9097679999999997E-2</v>
      </c>
      <c r="BN166" s="27">
        <f t="shared" si="132"/>
        <v>-6.7327049999999999E-2</v>
      </c>
      <c r="BO166" s="27">
        <v>-0.21967397999999999</v>
      </c>
      <c r="BP166" s="27">
        <v>-4.3400579100000005</v>
      </c>
      <c r="BQ166" s="27">
        <v>-2.1429424899999998</v>
      </c>
      <c r="BR166" s="27">
        <v>-2.2532256600000014</v>
      </c>
      <c r="BS166" s="27">
        <f t="shared" si="133"/>
        <v>-8.9559000400000013</v>
      </c>
      <c r="BT166" s="27">
        <v>-0.3</v>
      </c>
      <c r="BU166" s="27">
        <v>-0.3</v>
      </c>
      <c r="BV166" s="27">
        <v>-0.7</v>
      </c>
      <c r="BW166" s="27">
        <v>-1.1000000000000001</v>
      </c>
      <c r="BX166" s="27">
        <f t="shared" si="134"/>
        <v>-2.4</v>
      </c>
      <c r="BY166" s="27">
        <v>-0.4</v>
      </c>
      <c r="BZ166" s="27">
        <v>-0.2</v>
      </c>
      <c r="CA166" s="27">
        <v>-0.4</v>
      </c>
      <c r="CB166" s="27">
        <v>-1.2</v>
      </c>
      <c r="CC166" s="27">
        <f t="shared" si="135"/>
        <v>-2.2000000000000002</v>
      </c>
      <c r="CD166" s="27">
        <f>-3.01945985+2.672</f>
        <v>-0.3474598499999999</v>
      </c>
      <c r="CE166" s="27">
        <v>-0.1</v>
      </c>
      <c r="CF166" s="27">
        <v>-0.2</v>
      </c>
      <c r="CG166" s="27">
        <v>-0.3</v>
      </c>
      <c r="CH166" s="27">
        <f t="shared" si="136"/>
        <v>-0.94745984999999999</v>
      </c>
      <c r="CI166" s="27">
        <v>-0.11947698</v>
      </c>
      <c r="CJ166" s="27">
        <v>-0.23897317000000001</v>
      </c>
      <c r="CK166" s="27">
        <v>-0.17922506999999999</v>
      </c>
      <c r="CL166" s="27">
        <v>-0.74937019999999421</v>
      </c>
      <c r="CM166" s="27">
        <f t="shared" si="137"/>
        <v>-1.2870454199999943</v>
      </c>
      <c r="CN166" s="27">
        <v>-0.50749035999999847</v>
      </c>
      <c r="CO166" s="27">
        <v>-0.44824659000000144</v>
      </c>
      <c r="CP166" s="27">
        <v>-0.5109258200000002</v>
      </c>
      <c r="CQ166" s="27">
        <f>-1.955-SUM(CN166:CP166)</f>
        <v>-0.48833722999999996</v>
      </c>
      <c r="CR166" s="27">
        <f t="shared" si="138"/>
        <v>-1.9550000000000001</v>
      </c>
      <c r="CS166" s="27">
        <v>-0.52569838999999996</v>
      </c>
      <c r="CT166" s="27">
        <v>-0.5241295199999999</v>
      </c>
      <c r="CU166" s="27">
        <v>-0.52412952000000013</v>
      </c>
      <c r="CV166" s="27">
        <v>-0.52721494000000002</v>
      </c>
      <c r="CW166" s="27">
        <f t="shared" si="139"/>
        <v>-2.10117237</v>
      </c>
      <c r="CX166" s="27">
        <v>-0.53700000000000003</v>
      </c>
      <c r="CY166" s="27">
        <v>-0.53700000000000003</v>
      </c>
      <c r="CZ166" s="27">
        <v>-0.53800000000000003</v>
      </c>
      <c r="DA166" s="27">
        <v>-1.1990000000000001</v>
      </c>
      <c r="DB166" s="27">
        <f t="shared" si="140"/>
        <v>-2.8109999999999999</v>
      </c>
      <c r="DC166" s="27">
        <v>-0.65500000000000003</v>
      </c>
      <c r="DD166" s="27">
        <v>-0.65500000000000003</v>
      </c>
      <c r="DE166" s="27">
        <v>-0.65500000000000003</v>
      </c>
      <c r="DF166" s="27">
        <v>-0.65900000000000003</v>
      </c>
      <c r="DG166" s="27">
        <f t="shared" si="141"/>
        <v>-2.6240000000000001</v>
      </c>
      <c r="DH166" s="27">
        <v>-0.67800000000000005</v>
      </c>
      <c r="DI166" s="27">
        <v>-0.67700000000000005</v>
      </c>
      <c r="DJ166" s="27">
        <v>-0.67700000000000005</v>
      </c>
      <c r="DK166" s="27">
        <v>-0.69399999999999995</v>
      </c>
      <c r="DL166" s="27">
        <f t="shared" si="142"/>
        <v>-2.726</v>
      </c>
      <c r="DM166" s="27">
        <v>-0.71499999999999997</v>
      </c>
      <c r="DN166" s="27">
        <v>-0.71399999999999997</v>
      </c>
      <c r="DO166" s="27">
        <v>-0.71399999999999997</v>
      </c>
      <c r="DP166" s="27">
        <v>-0.12</v>
      </c>
      <c r="DQ166" s="27">
        <f t="shared" si="143"/>
        <v>-2.2629999999999999</v>
      </c>
      <c r="DR166" s="27">
        <v>-0.28799999999999998</v>
      </c>
      <c r="DS166" s="27">
        <v>-0.216</v>
      </c>
      <c r="DT166" s="27">
        <v>-0.252</v>
      </c>
      <c r="DU166" s="27">
        <v>-0.252</v>
      </c>
      <c r="DV166" s="27">
        <f t="shared" si="144"/>
        <v>-1.008</v>
      </c>
      <c r="DW166" s="27">
        <v>-0.109</v>
      </c>
      <c r="DX166" s="27">
        <v>-0.109</v>
      </c>
      <c r="DY166" s="27">
        <v>-9.8649089999999995E-2</v>
      </c>
      <c r="DZ166" s="27">
        <v>-0.11582351</v>
      </c>
      <c r="EA166" s="27">
        <f t="shared" si="145"/>
        <v>-0.43247259999999998</v>
      </c>
      <c r="EB166" s="27">
        <v>-0.20412685999999999</v>
      </c>
      <c r="EC166" s="27">
        <v>-0.19347883000000002</v>
      </c>
      <c r="ED166" s="27">
        <v>-1.06</v>
      </c>
      <c r="EE166" s="27">
        <v>-0.70836449000000001</v>
      </c>
      <c r="EF166" s="27">
        <f t="shared" si="146"/>
        <v>-2.16597018</v>
      </c>
      <c r="EG166" s="27">
        <v>-0.22618115999999999</v>
      </c>
      <c r="EH166" s="27">
        <v>-0.22618118999999998</v>
      </c>
      <c r="EI166" s="27">
        <v>-0.22618119000000006</v>
      </c>
    </row>
    <row r="167" spans="1:139" x14ac:dyDescent="0.3">
      <c r="A167" s="5" t="s">
        <v>311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29">
        <f>SUM(BJ144:BJ166)</f>
        <v>10.531362249999999</v>
      </c>
      <c r="BK167" s="29">
        <f t="shared" ref="BK167:DT167" si="149">SUM(BK144:BK166)</f>
        <v>10.479389280000001</v>
      </c>
      <c r="BL167" s="29">
        <f t="shared" si="149"/>
        <v>14.461337820000001</v>
      </c>
      <c r="BM167" s="29">
        <f t="shared" si="149"/>
        <v>13.71388722</v>
      </c>
      <c r="BN167" s="29">
        <f t="shared" si="149"/>
        <v>49.185976569999994</v>
      </c>
      <c r="BO167" s="29">
        <f t="shared" si="149"/>
        <v>14.295818639999998</v>
      </c>
      <c r="BP167" s="29">
        <f t="shared" si="149"/>
        <v>32.012987749999994</v>
      </c>
      <c r="BQ167" s="29">
        <f t="shared" si="149"/>
        <v>24.459623100000002</v>
      </c>
      <c r="BR167" s="29">
        <f t="shared" si="149"/>
        <v>21.731981221527999</v>
      </c>
      <c r="BS167" s="29">
        <f t="shared" si="149"/>
        <v>92.500410711528005</v>
      </c>
      <c r="BT167" s="29">
        <f t="shared" si="149"/>
        <v>13.725199010000001</v>
      </c>
      <c r="BU167" s="29">
        <f t="shared" si="149"/>
        <v>13.71599666</v>
      </c>
      <c r="BV167" s="29">
        <f t="shared" si="149"/>
        <v>17.984904569999994</v>
      </c>
      <c r="BW167" s="29">
        <f t="shared" si="149"/>
        <v>14.566170780000002</v>
      </c>
      <c r="BX167" s="29">
        <f t="shared" si="149"/>
        <v>59.992271019999997</v>
      </c>
      <c r="BY167" s="29">
        <f t="shared" si="149"/>
        <v>17.167071239999999</v>
      </c>
      <c r="BZ167" s="29">
        <f t="shared" si="149"/>
        <v>28.952314130000001</v>
      </c>
      <c r="CA167" s="29">
        <f t="shared" si="149"/>
        <v>24.654247039999991</v>
      </c>
      <c r="CB167" s="29">
        <f t="shared" si="149"/>
        <v>16.414795240000014</v>
      </c>
      <c r="CC167" s="29">
        <f t="shared" si="149"/>
        <v>87.188427649999994</v>
      </c>
      <c r="CD167" s="29">
        <f t="shared" si="149"/>
        <v>19.994017730000003</v>
      </c>
      <c r="CE167" s="29">
        <f t="shared" si="149"/>
        <v>22.568392989999996</v>
      </c>
      <c r="CF167" s="29">
        <f t="shared" si="149"/>
        <v>23.372712880000002</v>
      </c>
      <c r="CG167" s="29">
        <f t="shared" si="149"/>
        <v>26.251704110000002</v>
      </c>
      <c r="CH167" s="29">
        <f t="shared" si="149"/>
        <v>92.186827710000003</v>
      </c>
      <c r="CI167" s="29">
        <f t="shared" si="149"/>
        <v>22.674259240000001</v>
      </c>
      <c r="CJ167" s="29">
        <f t="shared" si="149"/>
        <v>22.022582829999998</v>
      </c>
      <c r="CK167" s="29">
        <f t="shared" si="149"/>
        <v>23.394070259999999</v>
      </c>
      <c r="CL167" s="29">
        <f t="shared" si="149"/>
        <v>24.162029060000002</v>
      </c>
      <c r="CM167" s="29">
        <f t="shared" si="149"/>
        <v>92.252941390000004</v>
      </c>
      <c r="CN167" s="29">
        <f t="shared" si="149"/>
        <v>21.586203009999998</v>
      </c>
      <c r="CO167" s="29">
        <f t="shared" si="149"/>
        <v>21.63876037</v>
      </c>
      <c r="CP167" s="29">
        <f t="shared" si="149"/>
        <v>22.567969809999994</v>
      </c>
      <c r="CQ167" s="29">
        <f t="shared" si="149"/>
        <v>21.993066810000006</v>
      </c>
      <c r="CR167" s="29">
        <f t="shared" si="149"/>
        <v>87.786000000000001</v>
      </c>
      <c r="CS167" s="29">
        <f t="shared" si="149"/>
        <v>21.437714919999998</v>
      </c>
      <c r="CT167" s="29">
        <f t="shared" si="149"/>
        <v>20.663425670000002</v>
      </c>
      <c r="CU167" s="29">
        <f t="shared" si="149"/>
        <v>21.144234529999999</v>
      </c>
      <c r="CV167" s="29">
        <f t="shared" si="149"/>
        <v>23.980100229999998</v>
      </c>
      <c r="CW167" s="29">
        <f t="shared" si="149"/>
        <v>87.225475349999996</v>
      </c>
      <c r="CX167" s="29">
        <f t="shared" si="149"/>
        <v>21.731000000000002</v>
      </c>
      <c r="CY167" s="29">
        <f t="shared" si="149"/>
        <v>24.673999999999999</v>
      </c>
      <c r="CZ167" s="29">
        <f t="shared" si="149"/>
        <v>22.106000000000002</v>
      </c>
      <c r="DA167" s="29">
        <f t="shared" si="149"/>
        <v>24.179999999999996</v>
      </c>
      <c r="DB167" s="29">
        <f t="shared" si="149"/>
        <v>92.690999999999974</v>
      </c>
      <c r="DC167" s="29">
        <f t="shared" si="149"/>
        <v>22.032999999999998</v>
      </c>
      <c r="DD167" s="29">
        <f t="shared" si="149"/>
        <v>22.440999999999999</v>
      </c>
      <c r="DE167" s="29">
        <f t="shared" si="149"/>
        <v>24.375999999999998</v>
      </c>
      <c r="DF167" s="29">
        <f t="shared" si="149"/>
        <v>22.948000000000004</v>
      </c>
      <c r="DG167" s="29">
        <f t="shared" si="149"/>
        <v>91.798000000000002</v>
      </c>
      <c r="DH167" s="29">
        <f t="shared" si="149"/>
        <v>24.663999999999998</v>
      </c>
      <c r="DI167" s="29">
        <f t="shared" si="149"/>
        <v>21.666</v>
      </c>
      <c r="DJ167" s="29">
        <f t="shared" si="149"/>
        <v>26.528000000000002</v>
      </c>
      <c r="DK167" s="29">
        <f t="shared" si="149"/>
        <v>26.826000000000001</v>
      </c>
      <c r="DL167" s="29">
        <f t="shared" si="149"/>
        <v>99.684000000000012</v>
      </c>
      <c r="DM167" s="29">
        <f t="shared" si="149"/>
        <v>26.975000000000001</v>
      </c>
      <c r="DN167" s="29">
        <f t="shared" si="149"/>
        <v>27.459000000000003</v>
      </c>
      <c r="DO167" s="29">
        <f t="shared" si="149"/>
        <v>27.668999999999997</v>
      </c>
      <c r="DP167" s="29">
        <f t="shared" si="149"/>
        <v>33.975999999999999</v>
      </c>
      <c r="DQ167" s="29">
        <f t="shared" si="149"/>
        <v>116.07900000000001</v>
      </c>
      <c r="DR167" s="29">
        <f t="shared" si="149"/>
        <v>32.27600000000001</v>
      </c>
      <c r="DS167" s="29">
        <f t="shared" si="149"/>
        <v>30.091999999999999</v>
      </c>
      <c r="DT167" s="29">
        <f t="shared" si="149"/>
        <v>35.772999999999996</v>
      </c>
      <c r="DU167" s="29">
        <f t="shared" ref="DU167:EA167" si="150">SUM(DU144:DU166)</f>
        <v>41.545000000000002</v>
      </c>
      <c r="DV167" s="29">
        <f t="shared" si="150"/>
        <v>139.68599999999998</v>
      </c>
      <c r="DW167" s="29">
        <f t="shared" si="150"/>
        <v>41.196000000000005</v>
      </c>
      <c r="DX167" s="29">
        <f t="shared" si="150"/>
        <v>47.640999999999991</v>
      </c>
      <c r="DY167" s="29">
        <f t="shared" si="150"/>
        <v>52.953769829999992</v>
      </c>
      <c r="DZ167" s="29">
        <f t="shared" si="150"/>
        <v>48.436777630000002</v>
      </c>
      <c r="EA167" s="29">
        <f t="shared" si="150"/>
        <v>190.22754745999995</v>
      </c>
      <c r="EB167" s="29">
        <f>SUM(EB144:EB166)</f>
        <v>49.879268340000003</v>
      </c>
      <c r="EC167" s="29">
        <f>SUM(EC144:EC166)</f>
        <v>45.323083810000007</v>
      </c>
      <c r="ED167" s="29">
        <f>SUM(ED144:ED166)</f>
        <v>48.413999999999987</v>
      </c>
      <c r="EE167" s="29">
        <f>SUM(EE144:EE166)</f>
        <v>50.870735769999989</v>
      </c>
      <c r="EF167" s="29">
        <f t="shared" ref="EF167" si="151">SUM(EF144:EF166)</f>
        <v>194.48708791999999</v>
      </c>
      <c r="EG167" s="29">
        <f>SUM(EG144:EG166)</f>
        <v>53.836141580000003</v>
      </c>
      <c r="EH167" s="29">
        <f>SUM(EH144:EH166)</f>
        <v>54.657851399999991</v>
      </c>
      <c r="EI167" s="29">
        <f>SUM(EI144:EI166)</f>
        <v>54.41090084999999</v>
      </c>
    </row>
    <row r="168" spans="1:139" x14ac:dyDescent="0.3">
      <c r="CE168" s="33"/>
      <c r="CR168" s="33"/>
    </row>
    <row r="169" spans="1:139" x14ac:dyDescent="0.3">
      <c r="CR169" s="33"/>
    </row>
    <row r="170" spans="1:139" x14ac:dyDescent="0.3">
      <c r="A170" s="3" t="s">
        <v>338</v>
      </c>
      <c r="B170" s="6" t="s">
        <v>4</v>
      </c>
      <c r="C170" s="6" t="s">
        <v>5</v>
      </c>
      <c r="D170" s="6" t="s">
        <v>6</v>
      </c>
      <c r="E170" s="6" t="s">
        <v>7</v>
      </c>
      <c r="F170" s="6">
        <v>2018</v>
      </c>
      <c r="G170" s="6" t="s">
        <v>8</v>
      </c>
      <c r="H170" s="6" t="s">
        <v>9</v>
      </c>
      <c r="I170" s="6" t="s">
        <v>10</v>
      </c>
      <c r="J170" s="6" t="s">
        <v>11</v>
      </c>
      <c r="K170" s="6">
        <v>2019</v>
      </c>
      <c r="L170" s="6" t="s">
        <v>12</v>
      </c>
      <c r="M170" s="6" t="s">
        <v>13</v>
      </c>
      <c r="N170" s="6" t="s">
        <v>14</v>
      </c>
      <c r="O170" s="6" t="s">
        <v>15</v>
      </c>
      <c r="P170" s="6">
        <v>2000</v>
      </c>
      <c r="Q170" s="6" t="s">
        <v>16</v>
      </c>
      <c r="R170" s="6" t="s">
        <v>17</v>
      </c>
      <c r="S170" s="6" t="s">
        <v>18</v>
      </c>
      <c r="T170" s="6" t="s">
        <v>19</v>
      </c>
      <c r="U170" s="6">
        <v>2001</v>
      </c>
      <c r="V170" s="6" t="s">
        <v>20</v>
      </c>
      <c r="W170" s="6" t="s">
        <v>21</v>
      </c>
      <c r="X170" s="6" t="s">
        <v>22</v>
      </c>
      <c r="Y170" s="6" t="s">
        <v>23</v>
      </c>
      <c r="Z170" s="6">
        <v>2002</v>
      </c>
      <c r="AA170" s="6" t="s">
        <v>24</v>
      </c>
      <c r="AB170" s="6" t="s">
        <v>25</v>
      </c>
      <c r="AC170" s="6" t="s">
        <v>26</v>
      </c>
      <c r="AD170" s="6" t="s">
        <v>27</v>
      </c>
      <c r="AE170" s="6">
        <v>2003</v>
      </c>
      <c r="AF170" s="6" t="s">
        <v>28</v>
      </c>
      <c r="AG170" s="6" t="s">
        <v>29</v>
      </c>
      <c r="AH170" s="6" t="s">
        <v>30</v>
      </c>
      <c r="AI170" s="6" t="s">
        <v>31</v>
      </c>
      <c r="AJ170" s="6">
        <v>2004</v>
      </c>
      <c r="AK170" s="6" t="s">
        <v>32</v>
      </c>
      <c r="AL170" s="6" t="s">
        <v>33</v>
      </c>
      <c r="AM170" s="6" t="s">
        <v>34</v>
      </c>
      <c r="AN170" s="6" t="s">
        <v>35</v>
      </c>
      <c r="AO170" s="6">
        <v>2005</v>
      </c>
      <c r="AP170" s="6" t="s">
        <v>36</v>
      </c>
      <c r="AQ170" s="6" t="s">
        <v>37</v>
      </c>
      <c r="AR170" s="6" t="s">
        <v>38</v>
      </c>
      <c r="AS170" s="6" t="s">
        <v>39</v>
      </c>
      <c r="AT170" s="6">
        <v>2006</v>
      </c>
      <c r="AU170" s="6" t="s">
        <v>40</v>
      </c>
      <c r="AV170" s="6" t="s">
        <v>41</v>
      </c>
      <c r="AW170" s="6" t="s">
        <v>42</v>
      </c>
      <c r="AX170" s="6" t="s">
        <v>43</v>
      </c>
      <c r="AY170" s="6">
        <v>2007</v>
      </c>
      <c r="AZ170" s="6" t="s">
        <v>44</v>
      </c>
      <c r="BA170" s="6" t="s">
        <v>45</v>
      </c>
      <c r="BB170" s="6" t="s">
        <v>46</v>
      </c>
      <c r="BC170" s="6" t="s">
        <v>47</v>
      </c>
      <c r="BD170" s="6">
        <v>2008</v>
      </c>
      <c r="BE170" s="6" t="s">
        <v>48</v>
      </c>
      <c r="BF170" s="6" t="s">
        <v>49</v>
      </c>
      <c r="BG170" s="6" t="s">
        <v>50</v>
      </c>
      <c r="BH170" s="6" t="s">
        <v>51</v>
      </c>
      <c r="BI170" s="6">
        <v>2009</v>
      </c>
      <c r="BJ170" s="6" t="s">
        <v>52</v>
      </c>
      <c r="BK170" s="6" t="s">
        <v>53</v>
      </c>
      <c r="BL170" s="6" t="s">
        <v>54</v>
      </c>
      <c r="BM170" s="6" t="s">
        <v>55</v>
      </c>
      <c r="BN170" s="6">
        <v>2010</v>
      </c>
      <c r="BO170" s="6" t="s">
        <v>56</v>
      </c>
      <c r="BP170" s="6" t="s">
        <v>57</v>
      </c>
      <c r="BQ170" s="6" t="s">
        <v>58</v>
      </c>
      <c r="BR170" s="6" t="s">
        <v>59</v>
      </c>
      <c r="BS170" s="6">
        <v>2011</v>
      </c>
      <c r="BT170" s="6" t="s">
        <v>60</v>
      </c>
      <c r="BU170" s="6" t="s">
        <v>61</v>
      </c>
      <c r="BV170" s="6" t="s">
        <v>62</v>
      </c>
      <c r="BW170" s="6" t="s">
        <v>63</v>
      </c>
      <c r="BX170" s="6">
        <v>2012</v>
      </c>
      <c r="BY170" s="6" t="s">
        <v>64</v>
      </c>
      <c r="BZ170" s="6" t="s">
        <v>65</v>
      </c>
      <c r="CA170" s="6" t="s">
        <v>66</v>
      </c>
      <c r="CB170" s="6" t="s">
        <v>67</v>
      </c>
      <c r="CC170" s="6">
        <v>2013</v>
      </c>
      <c r="CD170" s="6" t="s">
        <v>68</v>
      </c>
      <c r="CE170" s="6" t="s">
        <v>69</v>
      </c>
      <c r="CF170" s="6" t="s">
        <v>70</v>
      </c>
      <c r="CG170" s="6" t="s">
        <v>71</v>
      </c>
      <c r="CH170" s="6">
        <v>2014</v>
      </c>
      <c r="CI170" s="6" t="s">
        <v>72</v>
      </c>
      <c r="CJ170" s="6" t="s">
        <v>73</v>
      </c>
      <c r="CK170" s="6" t="s">
        <v>74</v>
      </c>
      <c r="CL170" s="6" t="s">
        <v>75</v>
      </c>
      <c r="CM170" s="6">
        <v>2015</v>
      </c>
      <c r="CN170" s="6" t="s">
        <v>76</v>
      </c>
      <c r="CO170" s="6" t="s">
        <v>77</v>
      </c>
      <c r="CP170" s="6" t="s">
        <v>78</v>
      </c>
      <c r="CQ170" s="6" t="s">
        <v>79</v>
      </c>
      <c r="CR170" s="6">
        <v>2016</v>
      </c>
      <c r="CS170" s="6" t="s">
        <v>80</v>
      </c>
      <c r="CT170" s="6" t="s">
        <v>81</v>
      </c>
      <c r="CU170" s="6" t="s">
        <v>82</v>
      </c>
      <c r="CV170" s="6" t="s">
        <v>83</v>
      </c>
      <c r="CW170" s="6">
        <v>2017</v>
      </c>
      <c r="CX170" s="6" t="s">
        <v>84</v>
      </c>
      <c r="CY170" s="6" t="s">
        <v>85</v>
      </c>
      <c r="CZ170" s="6" t="s">
        <v>86</v>
      </c>
      <c r="DA170" s="6" t="s">
        <v>87</v>
      </c>
      <c r="DB170" s="6">
        <v>2018</v>
      </c>
      <c r="DC170" s="6" t="s">
        <v>88</v>
      </c>
      <c r="DD170" s="6" t="s">
        <v>89</v>
      </c>
      <c r="DE170" s="6" t="s">
        <v>90</v>
      </c>
      <c r="DF170" s="6" t="s">
        <v>91</v>
      </c>
      <c r="DG170" s="6">
        <v>2019</v>
      </c>
      <c r="DH170" s="6" t="s">
        <v>92</v>
      </c>
      <c r="DI170" s="6" t="s">
        <v>93</v>
      </c>
      <c r="DJ170" s="6" t="s">
        <v>94</v>
      </c>
      <c r="DK170" s="6" t="s">
        <v>95</v>
      </c>
      <c r="DL170" s="6">
        <v>2020</v>
      </c>
      <c r="DM170" s="6" t="s">
        <v>96</v>
      </c>
      <c r="DN170" s="6" t="s">
        <v>97</v>
      </c>
      <c r="DO170" s="6" t="s">
        <v>98</v>
      </c>
      <c r="DP170" s="6" t="s">
        <v>99</v>
      </c>
      <c r="DQ170" s="6">
        <v>2021</v>
      </c>
      <c r="DR170" s="6" t="s">
        <v>100</v>
      </c>
      <c r="DS170" s="6" t="s">
        <v>101</v>
      </c>
      <c r="DT170" s="6" t="s">
        <v>200</v>
      </c>
      <c r="DU170" s="6" t="s">
        <v>380</v>
      </c>
      <c r="DV170" s="6">
        <v>2022</v>
      </c>
      <c r="DW170" s="6" t="s">
        <v>379</v>
      </c>
      <c r="DX170" s="6" t="s">
        <v>402</v>
      </c>
      <c r="DY170" s="6" t="s">
        <v>414</v>
      </c>
      <c r="DZ170" s="6" t="s">
        <v>419</v>
      </c>
      <c r="EA170" s="6">
        <v>2023</v>
      </c>
      <c r="EB170" s="6" t="s">
        <v>424</v>
      </c>
      <c r="EC170" s="6" t="s">
        <v>429</v>
      </c>
      <c r="ED170" s="6" t="str">
        <f>$ED$1</f>
        <v>3T24</v>
      </c>
      <c r="EE170" s="6" t="str">
        <f>$EE$1</f>
        <v>4T24</v>
      </c>
      <c r="EF170" s="6">
        <f>$EF$1</f>
        <v>2024</v>
      </c>
      <c r="EG170" s="6" t="str">
        <f>EG$1</f>
        <v>1T25</v>
      </c>
      <c r="EH170" s="6" t="str">
        <f>EH$1</f>
        <v>2T25</v>
      </c>
      <c r="EI170" s="6" t="str">
        <f>EI$1</f>
        <v>3T25</v>
      </c>
    </row>
    <row r="171" spans="1:139" ht="15" thickBot="1" x14ac:dyDescent="0.35">
      <c r="A171" s="4" t="s">
        <v>421</v>
      </c>
      <c r="B171" s="7" t="s">
        <v>102</v>
      </c>
      <c r="C171" s="7" t="s">
        <v>103</v>
      </c>
      <c r="D171" s="7" t="s">
        <v>104</v>
      </c>
      <c r="E171" s="7" t="s">
        <v>105</v>
      </c>
      <c r="F171" s="7">
        <v>2018</v>
      </c>
      <c r="G171" s="7" t="s">
        <v>106</v>
      </c>
      <c r="H171" s="7" t="s">
        <v>107</v>
      </c>
      <c r="I171" s="7" t="s">
        <v>108</v>
      </c>
      <c r="J171" s="7" t="s">
        <v>109</v>
      </c>
      <c r="K171" s="7">
        <v>2019</v>
      </c>
      <c r="L171" s="7" t="s">
        <v>110</v>
      </c>
      <c r="M171" s="7" t="s">
        <v>111</v>
      </c>
      <c r="N171" s="7" t="s">
        <v>112</v>
      </c>
      <c r="O171" s="7" t="s">
        <v>113</v>
      </c>
      <c r="P171" s="7">
        <v>2000</v>
      </c>
      <c r="Q171" s="7" t="s">
        <v>114</v>
      </c>
      <c r="R171" s="7" t="s">
        <v>115</v>
      </c>
      <c r="S171" s="7" t="s">
        <v>116</v>
      </c>
      <c r="T171" s="7" t="s">
        <v>117</v>
      </c>
      <c r="U171" s="7">
        <v>2001</v>
      </c>
      <c r="V171" s="7" t="s">
        <v>118</v>
      </c>
      <c r="W171" s="7" t="s">
        <v>119</v>
      </c>
      <c r="X171" s="7" t="s">
        <v>120</v>
      </c>
      <c r="Y171" s="7" t="s">
        <v>121</v>
      </c>
      <c r="Z171" s="7">
        <v>2002</v>
      </c>
      <c r="AA171" s="7" t="s">
        <v>122</v>
      </c>
      <c r="AB171" s="7" t="s">
        <v>123</v>
      </c>
      <c r="AC171" s="7" t="s">
        <v>124</v>
      </c>
      <c r="AD171" s="7" t="s">
        <v>125</v>
      </c>
      <c r="AE171" s="7">
        <v>2003</v>
      </c>
      <c r="AF171" s="7" t="s">
        <v>126</v>
      </c>
      <c r="AG171" s="7" t="s">
        <v>127</v>
      </c>
      <c r="AH171" s="7" t="s">
        <v>128</v>
      </c>
      <c r="AI171" s="7" t="s">
        <v>129</v>
      </c>
      <c r="AJ171" s="7">
        <v>2004</v>
      </c>
      <c r="AK171" s="7" t="s">
        <v>130</v>
      </c>
      <c r="AL171" s="7" t="s">
        <v>131</v>
      </c>
      <c r="AM171" s="7" t="s">
        <v>132</v>
      </c>
      <c r="AN171" s="7" t="s">
        <v>133</v>
      </c>
      <c r="AO171" s="7">
        <v>2005</v>
      </c>
      <c r="AP171" s="7" t="s">
        <v>134</v>
      </c>
      <c r="AQ171" s="7" t="s">
        <v>135</v>
      </c>
      <c r="AR171" s="7" t="s">
        <v>136</v>
      </c>
      <c r="AS171" s="7" t="s">
        <v>137</v>
      </c>
      <c r="AT171" s="7">
        <v>2006</v>
      </c>
      <c r="AU171" s="7" t="s">
        <v>138</v>
      </c>
      <c r="AV171" s="7" t="s">
        <v>139</v>
      </c>
      <c r="AW171" s="7" t="s">
        <v>140</v>
      </c>
      <c r="AX171" s="7" t="s">
        <v>141</v>
      </c>
      <c r="AY171" s="7">
        <v>2007</v>
      </c>
      <c r="AZ171" s="7" t="s">
        <v>142</v>
      </c>
      <c r="BA171" s="7" t="s">
        <v>143</v>
      </c>
      <c r="BB171" s="7" t="s">
        <v>144</v>
      </c>
      <c r="BC171" s="7" t="s">
        <v>145</v>
      </c>
      <c r="BD171" s="7">
        <v>2008</v>
      </c>
      <c r="BE171" s="7" t="s">
        <v>146</v>
      </c>
      <c r="BF171" s="7" t="s">
        <v>147</v>
      </c>
      <c r="BG171" s="7" t="s">
        <v>148</v>
      </c>
      <c r="BH171" s="7" t="s">
        <v>149</v>
      </c>
      <c r="BI171" s="7">
        <v>2009</v>
      </c>
      <c r="BJ171" s="7" t="s">
        <v>150</v>
      </c>
      <c r="BK171" s="7" t="s">
        <v>151</v>
      </c>
      <c r="BL171" s="7" t="s">
        <v>152</v>
      </c>
      <c r="BM171" s="7" t="s">
        <v>153</v>
      </c>
      <c r="BN171" s="7">
        <v>2010</v>
      </c>
      <c r="BO171" s="7" t="s">
        <v>154</v>
      </c>
      <c r="BP171" s="7" t="s">
        <v>155</v>
      </c>
      <c r="BQ171" s="7" t="s">
        <v>156</v>
      </c>
      <c r="BR171" s="7" t="s">
        <v>157</v>
      </c>
      <c r="BS171" s="7">
        <v>2011</v>
      </c>
      <c r="BT171" s="7" t="s">
        <v>158</v>
      </c>
      <c r="BU171" s="7" t="s">
        <v>159</v>
      </c>
      <c r="BV171" s="7" t="s">
        <v>160</v>
      </c>
      <c r="BW171" s="7" t="s">
        <v>161</v>
      </c>
      <c r="BX171" s="7">
        <v>2012</v>
      </c>
      <c r="BY171" s="7" t="s">
        <v>162</v>
      </c>
      <c r="BZ171" s="7" t="s">
        <v>163</v>
      </c>
      <c r="CA171" s="7" t="s">
        <v>164</v>
      </c>
      <c r="CB171" s="7" t="s">
        <v>165</v>
      </c>
      <c r="CC171" s="7">
        <v>2013</v>
      </c>
      <c r="CD171" s="7" t="s">
        <v>166</v>
      </c>
      <c r="CE171" s="7" t="s">
        <v>167</v>
      </c>
      <c r="CF171" s="7" t="s">
        <v>168</v>
      </c>
      <c r="CG171" s="7" t="s">
        <v>169</v>
      </c>
      <c r="CH171" s="7">
        <v>2014</v>
      </c>
      <c r="CI171" s="7" t="s">
        <v>170</v>
      </c>
      <c r="CJ171" s="7" t="s">
        <v>171</v>
      </c>
      <c r="CK171" s="7" t="s">
        <v>172</v>
      </c>
      <c r="CL171" s="7" t="s">
        <v>173</v>
      </c>
      <c r="CM171" s="7">
        <v>2015</v>
      </c>
      <c r="CN171" s="7" t="s">
        <v>174</v>
      </c>
      <c r="CO171" s="7" t="s">
        <v>175</v>
      </c>
      <c r="CP171" s="7" t="s">
        <v>176</v>
      </c>
      <c r="CQ171" s="7" t="s">
        <v>177</v>
      </c>
      <c r="CR171" s="7">
        <v>2016</v>
      </c>
      <c r="CS171" s="7" t="s">
        <v>178</v>
      </c>
      <c r="CT171" s="7" t="s">
        <v>179</v>
      </c>
      <c r="CU171" s="7" t="s">
        <v>180</v>
      </c>
      <c r="CV171" s="7" t="s">
        <v>181</v>
      </c>
      <c r="CW171" s="7">
        <v>2017</v>
      </c>
      <c r="CX171" s="7" t="s">
        <v>182</v>
      </c>
      <c r="CY171" s="7" t="s">
        <v>183</v>
      </c>
      <c r="CZ171" s="7" t="s">
        <v>184</v>
      </c>
      <c r="DA171" s="7" t="s">
        <v>185</v>
      </c>
      <c r="DB171" s="7">
        <v>2018</v>
      </c>
      <c r="DC171" s="7" t="s">
        <v>186</v>
      </c>
      <c r="DD171" s="7" t="s">
        <v>187</v>
      </c>
      <c r="DE171" s="7" t="s">
        <v>188</v>
      </c>
      <c r="DF171" s="7" t="s">
        <v>189</v>
      </c>
      <c r="DG171" s="7">
        <v>2019</v>
      </c>
      <c r="DH171" s="7" t="s">
        <v>190</v>
      </c>
      <c r="DI171" s="7" t="s">
        <v>191</v>
      </c>
      <c r="DJ171" s="7" t="s">
        <v>192</v>
      </c>
      <c r="DK171" s="7" t="s">
        <v>193</v>
      </c>
      <c r="DL171" s="7">
        <v>2020</v>
      </c>
      <c r="DM171" s="7" t="s">
        <v>194</v>
      </c>
      <c r="DN171" s="7" t="s">
        <v>195</v>
      </c>
      <c r="DO171" s="7" t="s">
        <v>196</v>
      </c>
      <c r="DP171" s="7" t="s">
        <v>197</v>
      </c>
      <c r="DQ171" s="7">
        <v>2021</v>
      </c>
      <c r="DR171" s="7" t="s">
        <v>198</v>
      </c>
      <c r="DS171" s="7" t="s">
        <v>199</v>
      </c>
      <c r="DT171" s="7" t="s">
        <v>201</v>
      </c>
      <c r="DU171" s="7" t="s">
        <v>381</v>
      </c>
      <c r="DV171" s="7">
        <v>2022</v>
      </c>
      <c r="DW171" s="7" t="s">
        <v>382</v>
      </c>
      <c r="DX171" s="7" t="s">
        <v>403</v>
      </c>
      <c r="DY171" s="7" t="s">
        <v>415</v>
      </c>
      <c r="DZ171" s="7" t="s">
        <v>420</v>
      </c>
      <c r="EA171" s="7">
        <v>2023</v>
      </c>
      <c r="EB171" s="7" t="s">
        <v>425</v>
      </c>
      <c r="EC171" s="7" t="s">
        <v>430</v>
      </c>
      <c r="ED171" s="7" t="str">
        <f>$ED$2</f>
        <v>3Q24</v>
      </c>
      <c r="EE171" s="6" t="str">
        <f>$EE$2</f>
        <v>4Q24</v>
      </c>
      <c r="EF171" s="6">
        <f>$EF$2</f>
        <v>2024</v>
      </c>
      <c r="EG171" s="7" t="str">
        <f>EG$2</f>
        <v>1Q25</v>
      </c>
      <c r="EH171" s="7" t="str">
        <f>EH$2</f>
        <v>2Q25</v>
      </c>
      <c r="EI171" s="7" t="str">
        <f>EI$2</f>
        <v>3Q25</v>
      </c>
    </row>
    <row r="172" spans="1:139" ht="15" thickTop="1" x14ac:dyDescent="0.3">
      <c r="A172" s="1" t="s">
        <v>2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27">
        <v>0.52026620999999995</v>
      </c>
      <c r="BK172" s="27">
        <v>0.46882117999999995</v>
      </c>
      <c r="BL172" s="27">
        <v>0.59367714000000027</v>
      </c>
      <c r="BM172" s="27">
        <v>0.69163268000000033</v>
      </c>
      <c r="BN172" s="27">
        <f>SUM(BJ172:BM172)</f>
        <v>2.2743972100000005</v>
      </c>
      <c r="BO172" s="27">
        <v>0.67300704000000011</v>
      </c>
      <c r="BP172" s="27">
        <v>-2.1780400000000144E-2</v>
      </c>
      <c r="BQ172" s="27">
        <v>0.30380965000000004</v>
      </c>
      <c r="BR172" s="27">
        <v>0.49502533999999976</v>
      </c>
      <c r="BS172" s="27">
        <f>SUM(BO172:BR172)</f>
        <v>1.4500616299999998</v>
      </c>
      <c r="BT172" s="27">
        <v>0.40982096000000001</v>
      </c>
      <c r="BU172" s="27">
        <v>0.39115844999999994</v>
      </c>
      <c r="BV172" s="27">
        <v>0.41149490000000022</v>
      </c>
      <c r="BW172" s="27">
        <v>0.48028225999999974</v>
      </c>
      <c r="BX172" s="27">
        <f>SUM(BT172:BW172)</f>
        <v>1.6927565699999998</v>
      </c>
      <c r="BY172" s="27">
        <v>0.42689840999999995</v>
      </c>
      <c r="BZ172" s="27">
        <v>0.37476584000000002</v>
      </c>
      <c r="CA172" s="27">
        <v>0.48891793999999988</v>
      </c>
      <c r="CB172" s="27">
        <v>0.66458830999999985</v>
      </c>
      <c r="CC172" s="27">
        <f>SUM(BY172:CB172)</f>
        <v>1.9551704999999997</v>
      </c>
      <c r="CD172" s="27">
        <v>0.55480354999999992</v>
      </c>
      <c r="CE172" s="27">
        <v>0.60355571999999991</v>
      </c>
      <c r="CF172" s="27">
        <v>0.5517177800000006</v>
      </c>
      <c r="CG172" s="27">
        <v>0.56843900999999941</v>
      </c>
      <c r="CH172" s="27">
        <f>SUM(CD172:CG172)</f>
        <v>2.2785160599999998</v>
      </c>
      <c r="CI172" s="27">
        <v>0.57355517</v>
      </c>
      <c r="CJ172" s="27">
        <v>0.47526494000000008</v>
      </c>
      <c r="CK172" s="27">
        <v>0.55693735999999971</v>
      </c>
      <c r="CL172" s="27">
        <v>0.65084523000000039</v>
      </c>
      <c r="CM172" s="27">
        <f>SUM(CI172:CL172)</f>
        <v>2.2566027000000002</v>
      </c>
      <c r="CN172" s="27">
        <v>0.49883966999999996</v>
      </c>
      <c r="CO172" s="27">
        <v>0.90824452999999994</v>
      </c>
      <c r="CP172" s="27">
        <v>0.17497781000000012</v>
      </c>
      <c r="CQ172" s="27">
        <f>0.834-SUM(CN172:CP172)</f>
        <v>-0.74806201000000005</v>
      </c>
      <c r="CR172" s="27">
        <f>SUM(CN172:CQ172)</f>
        <v>0.83399999999999996</v>
      </c>
      <c r="CS172" s="27">
        <v>0.72714454000000006</v>
      </c>
      <c r="CT172" s="27">
        <v>0.53766813999999985</v>
      </c>
      <c r="CU172" s="27">
        <v>0.17887176999999999</v>
      </c>
      <c r="CV172" s="27">
        <v>0.79047879000000032</v>
      </c>
      <c r="CW172" s="27">
        <f>SUM(CS172:CV172)</f>
        <v>2.23416324</v>
      </c>
      <c r="CX172" s="27">
        <v>0.74099999999999999</v>
      </c>
      <c r="CY172" s="27">
        <v>0.67300000000000004</v>
      </c>
      <c r="CZ172" s="27">
        <v>0.436</v>
      </c>
      <c r="DA172" s="27">
        <v>0.77200000000000002</v>
      </c>
      <c r="DB172" s="27">
        <f>SUM(CX172:DA172)</f>
        <v>2.6219999999999999</v>
      </c>
      <c r="DC172" s="27">
        <v>0.56999999999999995</v>
      </c>
      <c r="DD172" s="27">
        <v>0.68</v>
      </c>
      <c r="DE172" s="27">
        <v>2.0419999999999998</v>
      </c>
      <c r="DF172" s="27">
        <v>0.51100000000000001</v>
      </c>
      <c r="DG172" s="27">
        <f>SUM(DC172:DF172)</f>
        <v>3.8029999999999999</v>
      </c>
      <c r="DH172" s="27">
        <v>1.133</v>
      </c>
      <c r="DI172" s="27">
        <v>0.69799999999999995</v>
      </c>
      <c r="DJ172" s="27">
        <v>0.91900000000000004</v>
      </c>
      <c r="DK172" s="27">
        <v>5.58</v>
      </c>
      <c r="DL172" s="27">
        <f>SUM(DH172:DK172)</f>
        <v>8.33</v>
      </c>
      <c r="DM172" s="27">
        <v>0.67300000000000004</v>
      </c>
      <c r="DN172" s="27">
        <v>0.29599999999999999</v>
      </c>
      <c r="DO172" s="27">
        <v>0.86099999999999999</v>
      </c>
      <c r="DP172" s="27">
        <v>0.85</v>
      </c>
      <c r="DQ172" s="27">
        <f>SUM(DM172:DP172)</f>
        <v>2.68</v>
      </c>
      <c r="DR172" s="27">
        <v>9.7000000000000003E-2</v>
      </c>
      <c r="DS172" s="27">
        <v>0.25600000000000001</v>
      </c>
      <c r="DT172" s="27">
        <v>0.16300000000000001</v>
      </c>
      <c r="DU172" s="27">
        <f>-SUM(DR172:DT172)</f>
        <v>-0.51600000000000001</v>
      </c>
      <c r="DV172" s="27">
        <f>SUM(DR172:DU172)</f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f>SUM(DW172:DZ172)</f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f>SUM(EB172:EE172)</f>
        <v>0</v>
      </c>
      <c r="EG172" s="27">
        <v>0</v>
      </c>
      <c r="EH172" s="27">
        <v>0</v>
      </c>
      <c r="EI172" s="27">
        <v>0</v>
      </c>
    </row>
    <row r="173" spans="1:139" ht="15" thickBot="1" x14ac:dyDescent="0.35">
      <c r="A173" s="2" t="s">
        <v>454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28">
        <v>0.56062382999999993</v>
      </c>
      <c r="BK173" s="28">
        <v>0.58565400999999984</v>
      </c>
      <c r="BL173" s="28">
        <v>0.54420827000000038</v>
      </c>
      <c r="BM173" s="28">
        <v>0.51737506</v>
      </c>
      <c r="BN173" s="28">
        <f t="shared" ref="BN173:BN194" si="152">SUM(BJ173:BM173)</f>
        <v>2.2078611700000002</v>
      </c>
      <c r="BO173" s="28">
        <v>0.71158578999999988</v>
      </c>
      <c r="BP173" s="28">
        <v>0.43042981999999996</v>
      </c>
      <c r="BQ173" s="28">
        <v>0.6005784099999999</v>
      </c>
      <c r="BR173" s="28">
        <v>0.47594352000000051</v>
      </c>
      <c r="BS173" s="28">
        <f t="shared" ref="BS173:BS194" si="153">SUM(BO173:BR173)</f>
        <v>2.2185375400000003</v>
      </c>
      <c r="BT173" s="28">
        <v>0.63861962999999999</v>
      </c>
      <c r="BU173" s="28">
        <v>0.58873647999999967</v>
      </c>
      <c r="BV173" s="28">
        <v>0.52478753000000045</v>
      </c>
      <c r="BW173" s="28">
        <v>0.52182491000000009</v>
      </c>
      <c r="BX173" s="28">
        <f t="shared" ref="BX173:BX194" si="154">SUM(BT173:BW173)</f>
        <v>2.2739685500000002</v>
      </c>
      <c r="BY173" s="28">
        <v>0.56673880999999993</v>
      </c>
      <c r="BZ173" s="28">
        <v>0.64098462</v>
      </c>
      <c r="CA173" s="28">
        <v>0.62873144999999986</v>
      </c>
      <c r="CB173" s="28">
        <v>0.59234967999999988</v>
      </c>
      <c r="CC173" s="28">
        <f t="shared" ref="CC173:CC194" si="155">SUM(BY173:CB173)</f>
        <v>2.4288045599999997</v>
      </c>
      <c r="CD173" s="28">
        <v>0.64400114000000008</v>
      </c>
      <c r="CE173" s="28">
        <v>0.62844427000000014</v>
      </c>
      <c r="CF173" s="28">
        <v>0.97958115999999973</v>
      </c>
      <c r="CG173" s="28">
        <v>0.38379732000000022</v>
      </c>
      <c r="CH173" s="28">
        <f t="shared" ref="CH173:CH194" si="156">SUM(CD173:CG173)</f>
        <v>2.6358238900000002</v>
      </c>
      <c r="CI173" s="28">
        <v>0.78825533999999997</v>
      </c>
      <c r="CJ173" s="28">
        <v>0.57476165000000001</v>
      </c>
      <c r="CK173" s="28">
        <v>0.64366054000000006</v>
      </c>
      <c r="CL173" s="28">
        <v>0.7092028600000001</v>
      </c>
      <c r="CM173" s="28">
        <f t="shared" ref="CM173:CM194" si="157">SUM(CI173:CL173)</f>
        <v>2.7158803900000001</v>
      </c>
      <c r="CN173" s="28">
        <v>0.81693393000000003</v>
      </c>
      <c r="CO173" s="28">
        <v>0.85274728999999994</v>
      </c>
      <c r="CP173" s="28">
        <v>0.68906942999999976</v>
      </c>
      <c r="CQ173" s="28">
        <f>3.28-SUM(CN173:CP173)</f>
        <v>0.92124935000000008</v>
      </c>
      <c r="CR173" s="28">
        <f t="shared" ref="CR173:CR194" si="158">SUM(CN173:CQ173)</f>
        <v>3.28</v>
      </c>
      <c r="CS173" s="28">
        <v>0.70012098999999994</v>
      </c>
      <c r="CT173" s="28">
        <v>0.83401858000000006</v>
      </c>
      <c r="CU173" s="28">
        <v>0.95684178000000031</v>
      </c>
      <c r="CV173" s="28">
        <v>0.8672280699999998</v>
      </c>
      <c r="CW173" s="28">
        <f t="shared" ref="CW173:DA194" si="159">SUM(CS173:CV173)</f>
        <v>3.3582094200000001</v>
      </c>
      <c r="CX173" s="28">
        <v>0.94299999999999995</v>
      </c>
      <c r="CY173" s="28">
        <v>0.878</v>
      </c>
      <c r="CZ173" s="28">
        <v>0.83699999999999997</v>
      </c>
      <c r="DA173" s="28">
        <v>1.048</v>
      </c>
      <c r="DB173" s="28">
        <f t="shared" ref="DB173:DB194" si="160">SUM(CX173:DA173)</f>
        <v>3.706</v>
      </c>
      <c r="DC173" s="28">
        <v>0.89200000000000002</v>
      </c>
      <c r="DD173" s="28">
        <v>1.1020000000000001</v>
      </c>
      <c r="DE173" s="28">
        <v>1.04</v>
      </c>
      <c r="DF173" s="28">
        <v>1.17</v>
      </c>
      <c r="DG173" s="28">
        <f t="shared" ref="DG173:DG194" si="161">SUM(DC173:DF173)</f>
        <v>4.2040000000000006</v>
      </c>
      <c r="DH173" s="28">
        <v>1.05</v>
      </c>
      <c r="DI173" s="28">
        <v>0.85099999999999998</v>
      </c>
      <c r="DJ173" s="28">
        <v>1.0049999999999999</v>
      </c>
      <c r="DK173" s="28">
        <v>1.1419999999999999</v>
      </c>
      <c r="DL173" s="28">
        <f t="shared" ref="DL173:DL194" si="162">SUM(DH173:DK173)</f>
        <v>4.048</v>
      </c>
      <c r="DM173" s="28">
        <v>1.1140000000000001</v>
      </c>
      <c r="DN173" s="28">
        <v>1.2030000000000001</v>
      </c>
      <c r="DO173" s="28">
        <v>1.45</v>
      </c>
      <c r="DP173" s="28">
        <v>1.077</v>
      </c>
      <c r="DQ173" s="28">
        <f t="shared" ref="DQ173:DQ194" si="163">SUM(DM173:DP173)</f>
        <v>4.8440000000000003</v>
      </c>
      <c r="DR173" s="28">
        <v>1.159</v>
      </c>
      <c r="DS173" s="28">
        <v>1.3420000000000001</v>
      </c>
      <c r="DT173" s="28">
        <v>2.2789999999999999</v>
      </c>
      <c r="DU173" s="28">
        <v>1.131</v>
      </c>
      <c r="DV173" s="28">
        <f t="shared" ref="DV173:DV194" si="164">SUM(DR173:DU173)</f>
        <v>5.9110000000000005</v>
      </c>
      <c r="DW173" s="28">
        <v>1.5649999999999999</v>
      </c>
      <c r="DX173" s="28">
        <v>1.0609999999999999</v>
      </c>
      <c r="DY173" s="28">
        <v>1.5543927200000003</v>
      </c>
      <c r="DZ173" s="28">
        <v>1.3663564299999997</v>
      </c>
      <c r="EA173" s="28">
        <f t="shared" ref="EA173:EA194" si="165">SUM(DW173:DZ173)</f>
        <v>5.5467491500000001</v>
      </c>
      <c r="EB173" s="28">
        <v>2.0821180200000002</v>
      </c>
      <c r="EC173" s="28">
        <v>1.3668797500000001</v>
      </c>
      <c r="ED173" s="28">
        <v>1.4890000000000001</v>
      </c>
      <c r="EE173" s="28">
        <v>2.1735386299999999</v>
      </c>
      <c r="EF173" s="28">
        <f t="shared" ref="EF173:EF194" si="166">SUM(EB173:EE173)</f>
        <v>7.1115364000000003</v>
      </c>
      <c r="EG173" s="28">
        <v>1.6511399</v>
      </c>
      <c r="EH173" s="28">
        <v>1.9769863700000001</v>
      </c>
      <c r="EI173" s="28">
        <v>2.2137190299999996</v>
      </c>
    </row>
    <row r="174" spans="1:139" ht="15" thickTop="1" x14ac:dyDescent="0.3">
      <c r="A174" s="1" t="s">
        <v>442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27">
        <v>3.4626192800000002</v>
      </c>
      <c r="BK174" s="27">
        <v>3.2320794599999996</v>
      </c>
      <c r="BL174" s="27">
        <v>2.8994321899999989</v>
      </c>
      <c r="BM174" s="27">
        <v>3.1388720700000015</v>
      </c>
      <c r="BN174" s="27">
        <f t="shared" si="152"/>
        <v>12.733003</v>
      </c>
      <c r="BO174" s="27">
        <v>3.3477566800000003</v>
      </c>
      <c r="BP174" s="27">
        <v>2.1768541899999989</v>
      </c>
      <c r="BQ174" s="27">
        <v>3.4415809600000009</v>
      </c>
      <c r="BR174" s="27">
        <v>3.3686670000000016</v>
      </c>
      <c r="BS174" s="27">
        <f t="shared" si="153"/>
        <v>12.334858830000002</v>
      </c>
      <c r="BT174" s="27">
        <v>3.4064589800000005</v>
      </c>
      <c r="BU174" s="27">
        <v>3.2865451299999999</v>
      </c>
      <c r="BV174" s="27">
        <v>3.229777599999998</v>
      </c>
      <c r="BW174" s="27">
        <v>4.2488387400000001</v>
      </c>
      <c r="BX174" s="27">
        <f t="shared" si="154"/>
        <v>14.171620449999999</v>
      </c>
      <c r="BY174" s="27">
        <v>3.3903612400000003</v>
      </c>
      <c r="BZ174" s="27">
        <v>2.8745808099999999</v>
      </c>
      <c r="CA174" s="27">
        <v>2.578745179999999</v>
      </c>
      <c r="CB174" s="27">
        <v>2.487772290000001</v>
      </c>
      <c r="CC174" s="27">
        <f t="shared" si="155"/>
        <v>11.331459519999999</v>
      </c>
      <c r="CD174" s="27">
        <v>-1.2834008699999999</v>
      </c>
      <c r="CE174" s="27">
        <v>6.1997201799999999</v>
      </c>
      <c r="CF174" s="27">
        <v>2.0899053000000012</v>
      </c>
      <c r="CG174" s="27">
        <v>2.4830625299999984</v>
      </c>
      <c r="CH174" s="27">
        <f t="shared" si="156"/>
        <v>9.4892871400000001</v>
      </c>
      <c r="CI174" s="27">
        <v>2.7103243099999998</v>
      </c>
      <c r="CJ174" s="27">
        <v>3.3703280299999996</v>
      </c>
      <c r="CK174" s="27">
        <v>3.1916534800000003</v>
      </c>
      <c r="CL174" s="27">
        <v>4.4329909900000013</v>
      </c>
      <c r="CM174" s="27">
        <f t="shared" si="157"/>
        <v>13.70529681</v>
      </c>
      <c r="CN174" s="27">
        <v>3.5505081299999999</v>
      </c>
      <c r="CO174" s="27">
        <v>2.1117191900000005</v>
      </c>
      <c r="CP174" s="27">
        <v>3.9388621499999994</v>
      </c>
      <c r="CQ174" s="27">
        <f>11.356-SUM(CN174:CP174)</f>
        <v>1.7549105300000001</v>
      </c>
      <c r="CR174" s="27">
        <f t="shared" si="158"/>
        <v>11.356</v>
      </c>
      <c r="CS174" s="27">
        <v>3.9142069100000003</v>
      </c>
      <c r="CT174" s="27">
        <v>3.0452602099999999</v>
      </c>
      <c r="CU174" s="27">
        <v>2.0097173099999996</v>
      </c>
      <c r="CV174" s="27">
        <v>3.2423056400000001</v>
      </c>
      <c r="CW174" s="27">
        <f t="shared" si="159"/>
        <v>12.21149007</v>
      </c>
      <c r="CX174" s="27">
        <v>3.9319999999999999</v>
      </c>
      <c r="CY174" s="27">
        <v>2.0009999999999999</v>
      </c>
      <c r="CZ174" s="27">
        <v>4.0659999999999998</v>
      </c>
      <c r="DA174" s="27">
        <v>2.58</v>
      </c>
      <c r="DB174" s="27">
        <f t="shared" si="160"/>
        <v>12.578999999999999</v>
      </c>
      <c r="DC174" s="27">
        <v>4.5309999999999997</v>
      </c>
      <c r="DD174" s="27">
        <v>3.8380000000000001</v>
      </c>
      <c r="DE174" s="27">
        <v>4.1130000000000004</v>
      </c>
      <c r="DF174" s="27">
        <v>2.8849999999999998</v>
      </c>
      <c r="DG174" s="27">
        <f t="shared" si="161"/>
        <v>15.366999999999999</v>
      </c>
      <c r="DH174" s="27">
        <v>3.125</v>
      </c>
      <c r="DI174" s="27">
        <v>2.73</v>
      </c>
      <c r="DJ174" s="27">
        <v>3.806</v>
      </c>
      <c r="DK174" s="27">
        <v>3.5630000000000002</v>
      </c>
      <c r="DL174" s="27">
        <f t="shared" si="162"/>
        <v>13.224000000000002</v>
      </c>
      <c r="DM174" s="27">
        <v>3.8839999999999999</v>
      </c>
      <c r="DN174" s="27">
        <v>5.444</v>
      </c>
      <c r="DO174" s="27">
        <v>7.8949999999999996</v>
      </c>
      <c r="DP174" s="27">
        <v>4.968</v>
      </c>
      <c r="DQ174" s="27">
        <f t="shared" si="163"/>
        <v>22.190999999999999</v>
      </c>
      <c r="DR174" s="27">
        <v>4.7240000000000002</v>
      </c>
      <c r="DS174" s="27">
        <v>7.3019999999999996</v>
      </c>
      <c r="DT174" s="27">
        <v>5.766</v>
      </c>
      <c r="DU174" s="27">
        <v>5.6790000000000003</v>
      </c>
      <c r="DV174" s="27">
        <f t="shared" si="164"/>
        <v>23.471000000000004</v>
      </c>
      <c r="DW174" s="27">
        <v>5.1440000000000001</v>
      </c>
      <c r="DX174" s="27">
        <v>5.4089999999999998</v>
      </c>
      <c r="DY174" s="27">
        <v>11.9138093</v>
      </c>
      <c r="DZ174" s="27">
        <v>6.8525133799999987</v>
      </c>
      <c r="EA174" s="27">
        <f t="shared" si="165"/>
        <v>29.319322679999999</v>
      </c>
      <c r="EB174" s="27">
        <v>8.0412990300000011</v>
      </c>
      <c r="EC174" s="27">
        <v>7.3581450899999989</v>
      </c>
      <c r="ED174" s="27">
        <v>6.2930000000000001</v>
      </c>
      <c r="EE174" s="27">
        <v>5.7995863899999964</v>
      </c>
      <c r="EF174" s="27">
        <f t="shared" si="166"/>
        <v>27.492030509999999</v>
      </c>
      <c r="EG174" s="27">
        <v>5.9928828300000001</v>
      </c>
      <c r="EH174" s="27">
        <v>7.1332375600000004</v>
      </c>
      <c r="EI174" s="27">
        <v>8.6947425099999975</v>
      </c>
    </row>
    <row r="175" spans="1:139" ht="15" thickBot="1" x14ac:dyDescent="0.35">
      <c r="A175" s="2" t="s">
        <v>3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28">
        <v>0.95492613999999987</v>
      </c>
      <c r="BK175" s="28">
        <v>1.1459924799999999</v>
      </c>
      <c r="BL175" s="28">
        <v>1.1701269600000002</v>
      </c>
      <c r="BM175" s="28">
        <v>1.3966860200000006</v>
      </c>
      <c r="BN175" s="28">
        <f t="shared" si="152"/>
        <v>4.6677316000000006</v>
      </c>
      <c r="BO175" s="28">
        <v>1.31060891</v>
      </c>
      <c r="BP175" s="28">
        <v>0.58566616000000016</v>
      </c>
      <c r="BQ175" s="28">
        <v>0.86739220000000028</v>
      </c>
      <c r="BR175" s="28">
        <v>1.034212339999999</v>
      </c>
      <c r="BS175" s="28">
        <f t="shared" si="153"/>
        <v>3.7978796099999994</v>
      </c>
      <c r="BT175" s="28">
        <v>1.5160142599999999</v>
      </c>
      <c r="BU175" s="28">
        <v>0.54664294999999985</v>
      </c>
      <c r="BV175" s="28">
        <v>1.0319554299999996</v>
      </c>
      <c r="BW175" s="28">
        <v>1.0244210000000002</v>
      </c>
      <c r="BX175" s="28">
        <f t="shared" si="154"/>
        <v>4.1190336399999996</v>
      </c>
      <c r="BY175" s="28">
        <v>0.95944976999999998</v>
      </c>
      <c r="BZ175" s="28">
        <v>1.0083376100000001</v>
      </c>
      <c r="CA175" s="28">
        <v>1.08391313</v>
      </c>
      <c r="CB175" s="28">
        <v>1.12820301</v>
      </c>
      <c r="CC175" s="28">
        <f t="shared" si="155"/>
        <v>4.1799035199999999</v>
      </c>
      <c r="CD175" s="28">
        <v>1.1165410099999999</v>
      </c>
      <c r="CE175" s="28">
        <v>1.0340780799999998</v>
      </c>
      <c r="CF175" s="28">
        <v>1.0753977500000003</v>
      </c>
      <c r="CG175" s="28">
        <v>1.1269107500000002</v>
      </c>
      <c r="CH175" s="28">
        <f t="shared" si="156"/>
        <v>4.3529275900000002</v>
      </c>
      <c r="CI175" s="28">
        <v>1.00361137</v>
      </c>
      <c r="CJ175" s="28">
        <v>1.0559893600000001</v>
      </c>
      <c r="CK175" s="28">
        <v>1.17226882</v>
      </c>
      <c r="CL175" s="28">
        <v>1.0580966199999995</v>
      </c>
      <c r="CM175" s="28">
        <f t="shared" si="157"/>
        <v>4.2899661699999996</v>
      </c>
      <c r="CN175" s="28">
        <v>1.17205005</v>
      </c>
      <c r="CO175" s="28">
        <v>1.0039770399999999</v>
      </c>
      <c r="CP175" s="28">
        <v>0.93136349000000007</v>
      </c>
      <c r="CQ175" s="28">
        <f>3.534-SUM(CN175:CP175)</f>
        <v>0.42660942000000013</v>
      </c>
      <c r="CR175" s="28">
        <f t="shared" si="158"/>
        <v>3.5339999999999998</v>
      </c>
      <c r="CS175" s="28">
        <v>1.18102131</v>
      </c>
      <c r="CT175" s="28">
        <v>1.4019043500000004</v>
      </c>
      <c r="CU175" s="28">
        <v>1.1868108899999996</v>
      </c>
      <c r="CV175" s="28">
        <v>1.4044734099999998</v>
      </c>
      <c r="CW175" s="28">
        <f t="shared" si="159"/>
        <v>5.1742099599999998</v>
      </c>
      <c r="CX175" s="28">
        <v>1.3580000000000001</v>
      </c>
      <c r="CY175" s="28">
        <v>1.167</v>
      </c>
      <c r="CZ175" s="28">
        <v>1.5049999999999999</v>
      </c>
      <c r="DA175" s="28">
        <v>1.093</v>
      </c>
      <c r="DB175" s="28">
        <f t="shared" si="160"/>
        <v>5.1230000000000002</v>
      </c>
      <c r="DC175" s="28">
        <v>0.96099999999999997</v>
      </c>
      <c r="DD175" s="28">
        <v>1.367</v>
      </c>
      <c r="DE175" s="28">
        <v>0.99399999999999999</v>
      </c>
      <c r="DF175" s="28">
        <v>1.736</v>
      </c>
      <c r="DG175" s="28">
        <f t="shared" si="161"/>
        <v>5.0579999999999998</v>
      </c>
      <c r="DH175" s="28">
        <v>1.01</v>
      </c>
      <c r="DI175" s="28">
        <v>0.95699999999999996</v>
      </c>
      <c r="DJ175" s="28">
        <v>1.3779999999999999</v>
      </c>
      <c r="DK175" s="28">
        <v>5.4669999999999996</v>
      </c>
      <c r="DL175" s="28">
        <f t="shared" si="162"/>
        <v>8.8119999999999994</v>
      </c>
      <c r="DM175" s="28">
        <v>1.276</v>
      </c>
      <c r="DN175" s="28">
        <v>1.496</v>
      </c>
      <c r="DO175" s="28">
        <v>1.349</v>
      </c>
      <c r="DP175" s="28">
        <v>1.014</v>
      </c>
      <c r="DQ175" s="28">
        <f t="shared" si="163"/>
        <v>5.1350000000000007</v>
      </c>
      <c r="DR175" s="28">
        <v>0.14000000000000001</v>
      </c>
      <c r="DS175" s="28">
        <v>-0.105</v>
      </c>
      <c r="DT175" s="28">
        <v>0.14699999999999999</v>
      </c>
      <c r="DU175" s="28">
        <f>-SUM(DR175:DT175)</f>
        <v>-0.182</v>
      </c>
      <c r="DV175" s="28">
        <f t="shared" si="164"/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f t="shared" si="165"/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f t="shared" si="166"/>
        <v>0</v>
      </c>
      <c r="EG175" s="28">
        <v>0</v>
      </c>
      <c r="EH175" s="28">
        <v>0</v>
      </c>
      <c r="EI175" s="28">
        <v>0</v>
      </c>
    </row>
    <row r="176" spans="1:139" ht="15" thickTop="1" x14ac:dyDescent="0.3">
      <c r="A176" s="1" t="s">
        <v>443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27">
        <v>1.2718536699999998</v>
      </c>
      <c r="BK176" s="27">
        <v>1.4211862500000001</v>
      </c>
      <c r="BL176" s="27">
        <v>1.6369001499999996</v>
      </c>
      <c r="BM176" s="27">
        <v>1.3174544799999992</v>
      </c>
      <c r="BN176" s="27">
        <f t="shared" si="152"/>
        <v>5.6473945499999987</v>
      </c>
      <c r="BO176" s="27">
        <v>1.5241858599999998</v>
      </c>
      <c r="BP176" s="27">
        <v>0.6382548800000003</v>
      </c>
      <c r="BQ176" s="27">
        <v>1.6991297600000004</v>
      </c>
      <c r="BR176" s="27">
        <v>1.7077805600000002</v>
      </c>
      <c r="BS176" s="27">
        <f t="shared" si="153"/>
        <v>5.5693510600000007</v>
      </c>
      <c r="BT176" s="27">
        <v>1.69601884</v>
      </c>
      <c r="BU176" s="27">
        <v>1.6405252399999994</v>
      </c>
      <c r="BV176" s="27">
        <v>0.95379997000000105</v>
      </c>
      <c r="BW176" s="27">
        <v>0.76447994999999991</v>
      </c>
      <c r="BX176" s="27">
        <f t="shared" si="154"/>
        <v>5.0548240000000009</v>
      </c>
      <c r="BY176" s="27">
        <v>1.2493711599999999</v>
      </c>
      <c r="BZ176" s="27">
        <v>0.98571329000000052</v>
      </c>
      <c r="CA176" s="27">
        <v>1.1631477100000001</v>
      </c>
      <c r="CB176" s="27">
        <v>1.4394753399999991</v>
      </c>
      <c r="CC176" s="27">
        <f t="shared" si="155"/>
        <v>4.8377074999999996</v>
      </c>
      <c r="CD176" s="27">
        <v>1.2738252600000002</v>
      </c>
      <c r="CE176" s="27">
        <v>1.14215044</v>
      </c>
      <c r="CF176" s="27">
        <v>1.2336966899999995</v>
      </c>
      <c r="CG176" s="27">
        <v>1.5603082899999996</v>
      </c>
      <c r="CH176" s="27">
        <f t="shared" si="156"/>
        <v>5.2099806799999993</v>
      </c>
      <c r="CI176" s="27">
        <v>1.37014466</v>
      </c>
      <c r="CJ176" s="27">
        <v>1.6396195899999999</v>
      </c>
      <c r="CK176" s="27">
        <v>1.4732954800000011</v>
      </c>
      <c r="CL176" s="27">
        <v>1.7413715699999994</v>
      </c>
      <c r="CM176" s="27">
        <f t="shared" si="157"/>
        <v>6.2244313</v>
      </c>
      <c r="CN176" s="27">
        <v>1.6846997100000001</v>
      </c>
      <c r="CO176" s="27">
        <v>1.3126515899999995</v>
      </c>
      <c r="CP176" s="27">
        <v>1.5636009100000001</v>
      </c>
      <c r="CQ176" s="27">
        <f>5.934-SUM(CN176:CP176)</f>
        <v>1.3730477900000002</v>
      </c>
      <c r="CR176" s="27">
        <f t="shared" si="158"/>
        <v>5.9340000000000002</v>
      </c>
      <c r="CS176" s="27">
        <v>1.2882807700000001</v>
      </c>
      <c r="CT176" s="27">
        <v>1.2691864700000002</v>
      </c>
      <c r="CU176" s="27">
        <v>1.1061450599999993</v>
      </c>
      <c r="CV176" s="27">
        <v>1.420090730000001</v>
      </c>
      <c r="CW176" s="27">
        <f t="shared" si="159"/>
        <v>5.0837030300000006</v>
      </c>
      <c r="CX176" s="27">
        <v>1.1739999999999999</v>
      </c>
      <c r="CY176" s="27">
        <v>1.101</v>
      </c>
      <c r="CZ176" s="27">
        <v>1.95</v>
      </c>
      <c r="DA176" s="27">
        <v>1.425</v>
      </c>
      <c r="DB176" s="27">
        <f t="shared" si="160"/>
        <v>5.6499999999999995</v>
      </c>
      <c r="DC176" s="27">
        <v>1.3720000000000001</v>
      </c>
      <c r="DD176" s="27">
        <v>1.2689999999999999</v>
      </c>
      <c r="DE176" s="27">
        <v>1.746</v>
      </c>
      <c r="DF176" s="27">
        <v>2.3519999999999999</v>
      </c>
      <c r="DG176" s="27">
        <f t="shared" si="161"/>
        <v>6.7390000000000008</v>
      </c>
      <c r="DH176" s="27">
        <v>1.8859999999999999</v>
      </c>
      <c r="DI176" s="27">
        <v>1.0329999999999999</v>
      </c>
      <c r="DJ176" s="27">
        <v>1.444</v>
      </c>
      <c r="DK176" s="27">
        <v>1.294</v>
      </c>
      <c r="DL176" s="27">
        <f t="shared" si="162"/>
        <v>5.657</v>
      </c>
      <c r="DM176" s="27">
        <v>1.698</v>
      </c>
      <c r="DN176" s="27">
        <v>3.3380000000000001</v>
      </c>
      <c r="DO176" s="27">
        <v>2.9860000000000002</v>
      </c>
      <c r="DP176" s="27">
        <v>2.5369999999999999</v>
      </c>
      <c r="DQ176" s="27">
        <f t="shared" si="163"/>
        <v>10.559000000000001</v>
      </c>
      <c r="DR176" s="27">
        <v>3.3530000000000002</v>
      </c>
      <c r="DS176" s="27">
        <v>1.3480000000000001</v>
      </c>
      <c r="DT176" s="27">
        <v>2.4769999999999999</v>
      </c>
      <c r="DU176" s="27">
        <v>3.2970000000000002</v>
      </c>
      <c r="DV176" s="27">
        <f t="shared" si="164"/>
        <v>10.475000000000001</v>
      </c>
      <c r="DW176" s="27">
        <v>3.3410000000000002</v>
      </c>
      <c r="DX176" s="27">
        <v>3.2850000000000001</v>
      </c>
      <c r="DY176" s="27">
        <v>5.8583593799999996</v>
      </c>
      <c r="DZ176" s="27">
        <v>2.3106543000000008</v>
      </c>
      <c r="EA176" s="27">
        <f t="shared" si="165"/>
        <v>14.795013680000002</v>
      </c>
      <c r="EB176" s="27">
        <v>4.4460693400000002</v>
      </c>
      <c r="EC176" s="27">
        <v>4.1407450999999993</v>
      </c>
      <c r="ED176" s="27">
        <v>2.9670000000000001</v>
      </c>
      <c r="EE176" s="27">
        <v>3.3747430399999989</v>
      </c>
      <c r="EF176" s="27">
        <f t="shared" si="166"/>
        <v>14.928557479999998</v>
      </c>
      <c r="EG176" s="27">
        <v>4.0121143999999997</v>
      </c>
      <c r="EH176" s="27">
        <v>3.2870881599999997</v>
      </c>
      <c r="EI176" s="27">
        <v>3.3009593800000001</v>
      </c>
    </row>
    <row r="177" spans="1:139" ht="15" thickBot="1" x14ac:dyDescent="0.35">
      <c r="A177" s="2" t="s">
        <v>481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28">
        <v>0</v>
      </c>
      <c r="BK177" s="28">
        <v>0</v>
      </c>
      <c r="BL177" s="28">
        <v>0</v>
      </c>
      <c r="BM177" s="28">
        <v>0</v>
      </c>
      <c r="BN177" s="28">
        <f t="shared" si="152"/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f t="shared" si="153"/>
        <v>0</v>
      </c>
      <c r="BT177" s="28">
        <v>0</v>
      </c>
      <c r="BU177" s="28">
        <v>0</v>
      </c>
      <c r="BV177" s="28">
        <v>1.6564699999999561E-3</v>
      </c>
      <c r="BW177" s="28">
        <v>5.6812193838240432E-17</v>
      </c>
      <c r="BX177" s="28">
        <f t="shared" si="154"/>
        <v>1.656470000000013E-3</v>
      </c>
      <c r="BY177" s="28">
        <v>0.04</v>
      </c>
      <c r="BZ177" s="28">
        <v>0.20738109000000002</v>
      </c>
      <c r="CA177" s="28">
        <v>3.1635639999999916E-2</v>
      </c>
      <c r="CB177" s="28">
        <v>0.67149523000000011</v>
      </c>
      <c r="CC177" s="28">
        <f t="shared" si="155"/>
        <v>0.95051196000000004</v>
      </c>
      <c r="CD177" s="28">
        <v>0.61580701999999998</v>
      </c>
      <c r="CE177" s="28">
        <v>1.8183202200000004</v>
      </c>
      <c r="CF177" s="28">
        <v>1.2769947999999989</v>
      </c>
      <c r="CG177" s="28">
        <v>1.6526985100000013</v>
      </c>
      <c r="CH177" s="28">
        <f t="shared" si="156"/>
        <v>5.3638205500000007</v>
      </c>
      <c r="CI177" s="28">
        <v>1.82168894</v>
      </c>
      <c r="CJ177" s="28">
        <v>1.9649252400000004</v>
      </c>
      <c r="CK177" s="28">
        <v>1.4396460699999998</v>
      </c>
      <c r="CL177" s="28">
        <v>1.4413345700000009</v>
      </c>
      <c r="CM177" s="28">
        <f t="shared" si="157"/>
        <v>6.6675948200000015</v>
      </c>
      <c r="CN177" s="28">
        <v>1.8139311999999999</v>
      </c>
      <c r="CO177" s="28">
        <v>1.6745095200000004</v>
      </c>
      <c r="CP177" s="28">
        <v>1.6214981699999993</v>
      </c>
      <c r="CQ177" s="28">
        <f>6.479-SUM(CN177:CP177)</f>
        <v>1.3690611100000005</v>
      </c>
      <c r="CR177" s="28">
        <f t="shared" si="158"/>
        <v>6.4790000000000001</v>
      </c>
      <c r="CS177" s="28">
        <v>1.7851026299999999</v>
      </c>
      <c r="CT177" s="28">
        <v>1.7859228000000003</v>
      </c>
      <c r="CU177" s="28">
        <v>1.9994759700000002</v>
      </c>
      <c r="CV177" s="28">
        <v>1.3029974600000007</v>
      </c>
      <c r="CW177" s="28">
        <f t="shared" si="159"/>
        <v>6.8734988600000015</v>
      </c>
      <c r="CX177" s="28">
        <v>1.444</v>
      </c>
      <c r="CY177" s="28">
        <v>1.7190000000000001</v>
      </c>
      <c r="CZ177" s="28">
        <v>2.3130000000000002</v>
      </c>
      <c r="DA177" s="28">
        <v>2.0190000000000001</v>
      </c>
      <c r="DB177" s="28">
        <f t="shared" si="160"/>
        <v>7.495000000000001</v>
      </c>
      <c r="DC177" s="28">
        <v>1.5680000000000001</v>
      </c>
      <c r="DD177" s="28">
        <v>1.736</v>
      </c>
      <c r="DE177" s="28">
        <v>2.173</v>
      </c>
      <c r="DF177" s="28">
        <v>1.464</v>
      </c>
      <c r="DG177" s="28">
        <f t="shared" si="161"/>
        <v>6.9410000000000007</v>
      </c>
      <c r="DH177" s="28">
        <v>1.66</v>
      </c>
      <c r="DI177" s="28">
        <v>1.409</v>
      </c>
      <c r="DJ177" s="28">
        <v>1.569</v>
      </c>
      <c r="DK177" s="28">
        <v>8.8780000000000001</v>
      </c>
      <c r="DL177" s="28">
        <f t="shared" si="162"/>
        <v>13.516</v>
      </c>
      <c r="DM177" s="28">
        <v>1.9</v>
      </c>
      <c r="DN177" s="28">
        <v>9.7129999999999992</v>
      </c>
      <c r="DO177" s="28">
        <v>8.2639999999999993</v>
      </c>
      <c r="DP177" s="28">
        <v>9.718</v>
      </c>
      <c r="DQ177" s="28">
        <f t="shared" si="163"/>
        <v>29.594999999999999</v>
      </c>
      <c r="DR177" s="28">
        <v>7.5549999999999997</v>
      </c>
      <c r="DS177" s="28">
        <v>5.6230000000000002</v>
      </c>
      <c r="DT177" s="28">
        <v>10.978</v>
      </c>
      <c r="DU177" s="28">
        <v>3.294</v>
      </c>
      <c r="DV177" s="28">
        <f t="shared" si="164"/>
        <v>27.45</v>
      </c>
      <c r="DW177" s="28">
        <v>17.622</v>
      </c>
      <c r="DX177" s="28">
        <v>3.012</v>
      </c>
      <c r="DY177" s="28">
        <v>2.0586951799999995</v>
      </c>
      <c r="DZ177" s="28">
        <v>3.4433369800000007</v>
      </c>
      <c r="EA177" s="28">
        <f t="shared" si="165"/>
        <v>26.136032160000003</v>
      </c>
      <c r="EB177" s="28">
        <v>4.2408730500000003</v>
      </c>
      <c r="EC177" s="28">
        <v>4.9552644200000007</v>
      </c>
      <c r="ED177" s="28">
        <v>4.1970000000000001</v>
      </c>
      <c r="EE177" s="28">
        <v>3.6792634300000016</v>
      </c>
      <c r="EF177" s="28">
        <f t="shared" si="166"/>
        <v>17.072400900000002</v>
      </c>
      <c r="EG177" s="28">
        <v>2.2348912799999998</v>
      </c>
      <c r="EH177" s="28">
        <v>2.3558647500000003</v>
      </c>
      <c r="EI177" s="28">
        <v>12.398505649999999</v>
      </c>
    </row>
    <row r="178" spans="1:139" ht="15" thickTop="1" x14ac:dyDescent="0.3">
      <c r="A178" s="1" t="s">
        <v>445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27">
        <v>0</v>
      </c>
      <c r="BK178" s="27">
        <v>0</v>
      </c>
      <c r="BL178" s="27">
        <v>0</v>
      </c>
      <c r="BM178" s="27">
        <v>0</v>
      </c>
      <c r="BN178" s="27">
        <f t="shared" si="152"/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f t="shared" si="153"/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f t="shared" si="154"/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f t="shared" si="155"/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f t="shared" si="156"/>
        <v>0</v>
      </c>
      <c r="CI178" s="27">
        <v>0</v>
      </c>
      <c r="CJ178" s="27">
        <v>0.30886649999999999</v>
      </c>
      <c r="CK178" s="27">
        <v>0.90876883000000008</v>
      </c>
      <c r="CL178" s="27">
        <v>-0.25825036000000007</v>
      </c>
      <c r="CM178" s="27">
        <f t="shared" si="157"/>
        <v>0.95938496999999989</v>
      </c>
      <c r="CN178" s="27">
        <v>0.34051520000000002</v>
      </c>
      <c r="CO178" s="27">
        <v>0.26833985999999999</v>
      </c>
      <c r="CP178" s="27">
        <v>0.20231233999999998</v>
      </c>
      <c r="CQ178" s="27">
        <f>1.155-SUM(CN178:CP178)</f>
        <v>0.34383260000000004</v>
      </c>
      <c r="CR178" s="27">
        <f t="shared" si="158"/>
        <v>1.155</v>
      </c>
      <c r="CS178" s="27">
        <v>0.40071895000000002</v>
      </c>
      <c r="CT178" s="27">
        <v>0.25550068000000004</v>
      </c>
      <c r="CU178" s="27">
        <v>0.28927958999999992</v>
      </c>
      <c r="CV178" s="27">
        <v>0.34053268999999997</v>
      </c>
      <c r="CW178" s="27">
        <f t="shared" si="159"/>
        <v>1.2860319099999999</v>
      </c>
      <c r="CX178" s="27">
        <v>0.28999999999999998</v>
      </c>
      <c r="CY178" s="27">
        <v>0.38100000000000001</v>
      </c>
      <c r="CZ178" s="27">
        <v>0.25</v>
      </c>
      <c r="DA178" s="27">
        <v>0.80600000000000005</v>
      </c>
      <c r="DB178" s="27">
        <f t="shared" si="160"/>
        <v>1.7270000000000001</v>
      </c>
      <c r="DC178" s="27">
        <v>0.377</v>
      </c>
      <c r="DD178" s="27">
        <v>0.25700000000000001</v>
      </c>
      <c r="DE178" s="27">
        <v>0.37</v>
      </c>
      <c r="DF178" s="27">
        <v>0.32</v>
      </c>
      <c r="DG178" s="27">
        <f t="shared" si="161"/>
        <v>1.3240000000000001</v>
      </c>
      <c r="DH178" s="27">
        <v>0.35299999999999998</v>
      </c>
      <c r="DI178" s="27">
        <v>0.20399999999999999</v>
      </c>
      <c r="DJ178" s="27">
        <v>0.315</v>
      </c>
      <c r="DK178" s="27">
        <v>0.38300000000000001</v>
      </c>
      <c r="DL178" s="27">
        <f t="shared" si="162"/>
        <v>1.2549999999999999</v>
      </c>
      <c r="DM178" s="27">
        <v>0.32100000000000001</v>
      </c>
      <c r="DN178" s="27">
        <v>0.34</v>
      </c>
      <c r="DO178" s="27">
        <v>0.42099999999999999</v>
      </c>
      <c r="DP178" s="27">
        <v>0.41599999999999998</v>
      </c>
      <c r="DQ178" s="27">
        <f t="shared" si="163"/>
        <v>1.498</v>
      </c>
      <c r="DR178" s="27">
        <v>0.49299999999999999</v>
      </c>
      <c r="DS178" s="27">
        <v>0.46600000000000003</v>
      </c>
      <c r="DT178" s="27">
        <v>0.998</v>
      </c>
      <c r="DU178" s="27">
        <v>0.19400000000000001</v>
      </c>
      <c r="DV178" s="27">
        <f t="shared" si="164"/>
        <v>2.1510000000000002</v>
      </c>
      <c r="DW178" s="27">
        <v>1.05</v>
      </c>
      <c r="DX178" s="27">
        <v>0.59299999999999997</v>
      </c>
      <c r="DY178" s="27">
        <v>0.98157703000000029</v>
      </c>
      <c r="DZ178" s="27">
        <v>-5.4002000000000001E-2</v>
      </c>
      <c r="EA178" s="27">
        <f t="shared" si="165"/>
        <v>2.5705750300000001</v>
      </c>
      <c r="EB178" s="27">
        <v>1.2361596100000001</v>
      </c>
      <c r="EC178" s="27">
        <v>0.5479695</v>
      </c>
      <c r="ED178" s="27">
        <v>1.0589999999999999</v>
      </c>
      <c r="EE178" s="27">
        <v>0.50572423</v>
      </c>
      <c r="EF178" s="27">
        <f t="shared" si="166"/>
        <v>3.3488533399999998</v>
      </c>
      <c r="EG178" s="27">
        <v>0.45187253999999999</v>
      </c>
      <c r="EH178" s="27">
        <v>0.66331763999999993</v>
      </c>
      <c r="EI178" s="27">
        <v>0.69116885000000006</v>
      </c>
    </row>
    <row r="179" spans="1:139" ht="15" thickBot="1" x14ac:dyDescent="0.35">
      <c r="A179" s="2" t="s">
        <v>444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28">
        <v>0</v>
      </c>
      <c r="BK179" s="28">
        <v>0</v>
      </c>
      <c r="BL179" s="28">
        <v>0</v>
      </c>
      <c r="BM179" s="28">
        <v>0</v>
      </c>
      <c r="BN179" s="28">
        <f t="shared" si="152"/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f t="shared" si="153"/>
        <v>0</v>
      </c>
      <c r="BT179" s="28">
        <v>0</v>
      </c>
      <c r="BU179" s="28">
        <v>0</v>
      </c>
      <c r="BV179" s="28">
        <v>0</v>
      </c>
      <c r="BW179" s="28">
        <v>0</v>
      </c>
      <c r="BX179" s="28">
        <f t="shared" si="154"/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f t="shared" si="155"/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f t="shared" si="156"/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f t="shared" si="157"/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f t="shared" si="158"/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f t="shared" si="159"/>
        <v>0</v>
      </c>
      <c r="CX179" s="28">
        <f t="shared" si="159"/>
        <v>0</v>
      </c>
      <c r="CY179" s="28">
        <f t="shared" si="159"/>
        <v>0</v>
      </c>
      <c r="CZ179" s="28">
        <f t="shared" si="159"/>
        <v>0</v>
      </c>
      <c r="DA179" s="28">
        <v>0</v>
      </c>
      <c r="DB179" s="28">
        <f t="shared" si="160"/>
        <v>0</v>
      </c>
      <c r="DC179" s="28">
        <v>0</v>
      </c>
      <c r="DD179" s="28">
        <v>1.2509999999999999</v>
      </c>
      <c r="DE179" s="28">
        <v>2.6230000000000002</v>
      </c>
      <c r="DF179" s="28">
        <v>1.6519999999999999</v>
      </c>
      <c r="DG179" s="28">
        <f t="shared" si="161"/>
        <v>5.5259999999999998</v>
      </c>
      <c r="DH179" s="28">
        <v>1.675</v>
      </c>
      <c r="DI179" s="28">
        <v>1.2410000000000001</v>
      </c>
      <c r="DJ179" s="28">
        <v>1.2529999999999999</v>
      </c>
      <c r="DK179" s="28">
        <v>1.66</v>
      </c>
      <c r="DL179" s="28">
        <f t="shared" si="162"/>
        <v>5.8290000000000006</v>
      </c>
      <c r="DM179" s="28">
        <v>1.3320000000000001</v>
      </c>
      <c r="DN179" s="28">
        <v>6.9640000000000004</v>
      </c>
      <c r="DO179" s="28">
        <v>1.6870000000000001</v>
      </c>
      <c r="DP179" s="28">
        <v>-4.1120000000000001</v>
      </c>
      <c r="DQ179" s="28">
        <f t="shared" si="163"/>
        <v>5.8710000000000004</v>
      </c>
      <c r="DR179" s="28">
        <v>1.946</v>
      </c>
      <c r="DS179" s="28">
        <v>1.6279999999999999</v>
      </c>
      <c r="DT179" s="28">
        <v>2.0979999999999999</v>
      </c>
      <c r="DU179" s="28">
        <v>1.716</v>
      </c>
      <c r="DV179" s="28">
        <f t="shared" si="164"/>
        <v>7.3879999999999999</v>
      </c>
      <c r="DW179" s="28">
        <v>1.4359999999999999</v>
      </c>
      <c r="DX179" s="28">
        <v>1.73</v>
      </c>
      <c r="DY179" s="28">
        <v>2.4691113000000002</v>
      </c>
      <c r="DZ179" s="28">
        <v>1.9491087599999999</v>
      </c>
      <c r="EA179" s="28">
        <f t="shared" si="165"/>
        <v>7.5842200599999998</v>
      </c>
      <c r="EB179" s="28">
        <v>2.1292968800000001</v>
      </c>
      <c r="EC179" s="28">
        <v>1.9606302000000002</v>
      </c>
      <c r="ED179" s="28">
        <v>1.2749999999999999</v>
      </c>
      <c r="EE179" s="28">
        <v>1.6223905700000003</v>
      </c>
      <c r="EF179" s="28">
        <f t="shared" si="166"/>
        <v>6.9873176500000014</v>
      </c>
      <c r="EG179" s="28">
        <v>1.61497227</v>
      </c>
      <c r="EH179" s="28">
        <v>2.15828642</v>
      </c>
      <c r="EI179" s="28">
        <v>1.5744231000000002</v>
      </c>
    </row>
    <row r="180" spans="1:139" ht="15" thickTop="1" x14ac:dyDescent="0.3">
      <c r="A180" s="1" t="s">
        <v>456</v>
      </c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27">
        <v>0</v>
      </c>
      <c r="BK180" s="27">
        <v>0</v>
      </c>
      <c r="BL180" s="27">
        <v>0</v>
      </c>
      <c r="BM180" s="27">
        <v>0</v>
      </c>
      <c r="BN180" s="27">
        <f t="shared" si="152"/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f t="shared" si="153"/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f t="shared" si="154"/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f t="shared" si="155"/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f t="shared" si="156"/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f t="shared" si="157"/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f t="shared" si="158"/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f t="shared" si="159"/>
        <v>0</v>
      </c>
      <c r="CX180" s="27">
        <f t="shared" si="159"/>
        <v>0</v>
      </c>
      <c r="CY180" s="27">
        <v>5.2999999999999999E-2</v>
      </c>
      <c r="CZ180" s="27">
        <v>0.27600000000000002</v>
      </c>
      <c r="DA180" s="27">
        <v>-0.20899999999999999</v>
      </c>
      <c r="DB180" s="27">
        <f t="shared" si="160"/>
        <v>0.12000000000000002</v>
      </c>
      <c r="DC180" s="27">
        <v>0.43</v>
      </c>
      <c r="DD180" s="27">
        <v>0.49</v>
      </c>
      <c r="DE180" s="27">
        <v>0.48899999999999999</v>
      </c>
      <c r="DF180" s="27">
        <v>0.90500000000000003</v>
      </c>
      <c r="DG180" s="27">
        <f t="shared" si="161"/>
        <v>2.3140000000000001</v>
      </c>
      <c r="DH180" s="27">
        <v>0.82399999999999995</v>
      </c>
      <c r="DI180" s="27">
        <v>0.59799999999999998</v>
      </c>
      <c r="DJ180" s="27">
        <v>0.63600000000000001</v>
      </c>
      <c r="DK180" s="27">
        <v>0.84</v>
      </c>
      <c r="DL180" s="27">
        <f t="shared" si="162"/>
        <v>2.8979999999999997</v>
      </c>
      <c r="DM180" s="27">
        <v>0.68600000000000005</v>
      </c>
      <c r="DN180" s="27">
        <v>0.59499999999999997</v>
      </c>
      <c r="DO180" s="27">
        <v>0.995</v>
      </c>
      <c r="DP180" s="27">
        <v>0.83599999999999997</v>
      </c>
      <c r="DQ180" s="27">
        <f t="shared" si="163"/>
        <v>3.1120000000000001</v>
      </c>
      <c r="DR180" s="27">
        <v>1</v>
      </c>
      <c r="DS180" s="27">
        <v>0.99399999999999999</v>
      </c>
      <c r="DT180" s="27">
        <v>1.1850000000000001</v>
      </c>
      <c r="DU180" s="27">
        <v>0.90300000000000002</v>
      </c>
      <c r="DV180" s="27">
        <f t="shared" si="164"/>
        <v>4.0820000000000007</v>
      </c>
      <c r="DW180" s="27">
        <v>0.93400000000000005</v>
      </c>
      <c r="DX180" s="27">
        <v>0.76700000000000002</v>
      </c>
      <c r="DY180" s="27">
        <v>1.10036706</v>
      </c>
      <c r="DZ180" s="27">
        <v>1.13287819</v>
      </c>
      <c r="EA180" s="27">
        <f t="shared" si="165"/>
        <v>3.93424525</v>
      </c>
      <c r="EB180" s="27">
        <v>1.1292463500000001</v>
      </c>
      <c r="EC180" s="27">
        <v>0.86949829999999984</v>
      </c>
      <c r="ED180" s="27">
        <v>1.1040000000000001</v>
      </c>
      <c r="EE180" s="27">
        <v>1.11500888</v>
      </c>
      <c r="EF180" s="27">
        <f t="shared" si="166"/>
        <v>4.2177535299999995</v>
      </c>
      <c r="EG180" s="27">
        <v>0.80468289000000004</v>
      </c>
      <c r="EH180" s="27">
        <v>1.0135358999999999</v>
      </c>
      <c r="EI180" s="27">
        <v>1.4092829199999999</v>
      </c>
    </row>
    <row r="181" spans="1:139" ht="15" thickBot="1" x14ac:dyDescent="0.35">
      <c r="A181" s="2" t="s">
        <v>446</v>
      </c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28">
        <v>0</v>
      </c>
      <c r="BK181" s="28">
        <v>0</v>
      </c>
      <c r="BL181" s="28">
        <v>0</v>
      </c>
      <c r="BM181" s="28">
        <v>0</v>
      </c>
      <c r="BN181" s="28">
        <f t="shared" si="152"/>
        <v>0</v>
      </c>
      <c r="BO181" s="28">
        <v>0</v>
      </c>
      <c r="BP181" s="28">
        <v>0</v>
      </c>
      <c r="BQ181" s="28">
        <v>0</v>
      </c>
      <c r="BR181" s="28">
        <v>0</v>
      </c>
      <c r="BS181" s="28">
        <f t="shared" si="153"/>
        <v>0</v>
      </c>
      <c r="BT181" s="28">
        <v>0</v>
      </c>
      <c r="BU181" s="28">
        <v>0</v>
      </c>
      <c r="BV181" s="28">
        <v>0</v>
      </c>
      <c r="BW181" s="28">
        <v>0</v>
      </c>
      <c r="BX181" s="28">
        <f t="shared" si="154"/>
        <v>0</v>
      </c>
      <c r="BY181" s="28">
        <v>0</v>
      </c>
      <c r="BZ181" s="28">
        <v>0</v>
      </c>
      <c r="CA181" s="28">
        <v>0</v>
      </c>
      <c r="CB181" s="28">
        <v>0</v>
      </c>
      <c r="CC181" s="28">
        <f t="shared" si="155"/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f t="shared" si="156"/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f t="shared" si="157"/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f t="shared" si="158"/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f t="shared" si="159"/>
        <v>0</v>
      </c>
      <c r="CX181" s="28">
        <f t="shared" si="159"/>
        <v>0</v>
      </c>
      <c r="CY181" s="28">
        <f t="shared" si="159"/>
        <v>0</v>
      </c>
      <c r="CZ181" s="28">
        <f t="shared" si="159"/>
        <v>0</v>
      </c>
      <c r="DA181" s="28">
        <v>0</v>
      </c>
      <c r="DB181" s="28">
        <f t="shared" si="160"/>
        <v>0</v>
      </c>
      <c r="DC181" s="28">
        <v>0</v>
      </c>
      <c r="DD181" s="28">
        <v>0</v>
      </c>
      <c r="DE181" s="28">
        <v>0</v>
      </c>
      <c r="DF181" s="28">
        <v>0</v>
      </c>
      <c r="DG181" s="28">
        <f t="shared" si="161"/>
        <v>0</v>
      </c>
      <c r="DH181" s="28">
        <v>6.6000000000000003E-2</v>
      </c>
      <c r="DI181" s="28">
        <v>9.0999999999999998E-2</v>
      </c>
      <c r="DJ181" s="28">
        <v>0.32400000000000001</v>
      </c>
      <c r="DK181" s="28">
        <v>1.0569999999999999</v>
      </c>
      <c r="DL181" s="28">
        <f t="shared" si="162"/>
        <v>1.5379999999999998</v>
      </c>
      <c r="DM181" s="28">
        <v>0.90200000000000002</v>
      </c>
      <c r="DN181" s="28">
        <v>1.026</v>
      </c>
      <c r="DO181" s="28">
        <v>1.04</v>
      </c>
      <c r="DP181" s="28">
        <v>0.88300000000000001</v>
      </c>
      <c r="DQ181" s="28">
        <f t="shared" si="163"/>
        <v>3.851</v>
      </c>
      <c r="DR181" s="28">
        <v>1.147</v>
      </c>
      <c r="DS181" s="28">
        <v>1.32</v>
      </c>
      <c r="DT181" s="28">
        <v>1.345</v>
      </c>
      <c r="DU181" s="28">
        <v>1.1220000000000001</v>
      </c>
      <c r="DV181" s="28">
        <f t="shared" si="164"/>
        <v>4.9340000000000002</v>
      </c>
      <c r="DW181" s="28">
        <v>1.2789999999999999</v>
      </c>
      <c r="DX181" s="28">
        <v>1.292</v>
      </c>
      <c r="DY181" s="28">
        <v>1.3970832600000003</v>
      </c>
      <c r="DZ181" s="28">
        <v>1.6051400999999996</v>
      </c>
      <c r="EA181" s="28">
        <f t="shared" si="165"/>
        <v>5.5732233600000001</v>
      </c>
      <c r="EB181" s="28">
        <v>1.4626048</v>
      </c>
      <c r="EC181" s="28">
        <v>1.74694774</v>
      </c>
      <c r="ED181" s="28">
        <v>1.575</v>
      </c>
      <c r="EE181" s="28">
        <v>1.7880898999999995</v>
      </c>
      <c r="EF181" s="28">
        <f t="shared" si="166"/>
        <v>6.5726424399999992</v>
      </c>
      <c r="EG181" s="28">
        <v>1.6106756200000001</v>
      </c>
      <c r="EH181" s="28">
        <v>1.5916011000000001</v>
      </c>
      <c r="EI181" s="28">
        <v>1.4508779199999995</v>
      </c>
    </row>
    <row r="182" spans="1:139" ht="15" thickTop="1" x14ac:dyDescent="0.3">
      <c r="A182" s="1" t="s">
        <v>447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27">
        <v>0</v>
      </c>
      <c r="BK182" s="27">
        <v>0</v>
      </c>
      <c r="BL182" s="27">
        <v>0</v>
      </c>
      <c r="BM182" s="27">
        <v>0</v>
      </c>
      <c r="BN182" s="27">
        <f t="shared" si="152"/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f t="shared" si="153"/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f t="shared" si="154"/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f t="shared" si="155"/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f t="shared" si="156"/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f t="shared" si="157"/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f t="shared" si="158"/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f t="shared" si="159"/>
        <v>0</v>
      </c>
      <c r="CX182" s="27">
        <f t="shared" si="159"/>
        <v>0</v>
      </c>
      <c r="CY182" s="27">
        <f t="shared" si="159"/>
        <v>0</v>
      </c>
      <c r="CZ182" s="27">
        <f t="shared" si="159"/>
        <v>0</v>
      </c>
      <c r="DA182" s="27">
        <v>0</v>
      </c>
      <c r="DB182" s="27">
        <f t="shared" si="160"/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f t="shared" si="161"/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f t="shared" si="162"/>
        <v>0</v>
      </c>
      <c r="DM182" s="27">
        <v>0</v>
      </c>
      <c r="DN182" s="27">
        <v>0</v>
      </c>
      <c r="DO182" s="27">
        <v>0</v>
      </c>
      <c r="DP182" s="27">
        <v>0.12</v>
      </c>
      <c r="DQ182" s="27">
        <f t="shared" si="163"/>
        <v>0.12</v>
      </c>
      <c r="DR182" s="27">
        <v>0.29799999999999999</v>
      </c>
      <c r="DS182" s="27">
        <v>1.1599999999999999</v>
      </c>
      <c r="DT182" s="27">
        <v>3.6749999999999998</v>
      </c>
      <c r="DU182" s="27">
        <v>-0.13600000000000001</v>
      </c>
      <c r="DV182" s="27">
        <f t="shared" si="164"/>
        <v>4.9969999999999999</v>
      </c>
      <c r="DW182" s="27">
        <v>1.96</v>
      </c>
      <c r="DX182" s="27">
        <v>2.0910000000000002</v>
      </c>
      <c r="DY182" s="27">
        <v>2.6746278899999996</v>
      </c>
      <c r="DZ182" s="27">
        <v>2.5219096100000002</v>
      </c>
      <c r="EA182" s="27">
        <f t="shared" si="165"/>
        <v>9.2475375</v>
      </c>
      <c r="EB182" s="27">
        <v>2.2662042599999999</v>
      </c>
      <c r="EC182" s="27">
        <v>2.7659959999999999</v>
      </c>
      <c r="ED182" s="27">
        <v>2.677</v>
      </c>
      <c r="EE182" s="27">
        <v>3.3425720200000004</v>
      </c>
      <c r="EF182" s="27">
        <f t="shared" si="166"/>
        <v>11.05177228</v>
      </c>
      <c r="EG182" s="27">
        <v>2.7676674100000001</v>
      </c>
      <c r="EH182" s="27">
        <v>2.4895503200000002</v>
      </c>
      <c r="EI182" s="27">
        <v>3.6052946600000002</v>
      </c>
    </row>
    <row r="183" spans="1:139" ht="15" thickBot="1" x14ac:dyDescent="0.35">
      <c r="A183" s="2" t="s">
        <v>448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28">
        <v>0</v>
      </c>
      <c r="BK183" s="28">
        <v>0</v>
      </c>
      <c r="BL183" s="28">
        <v>0</v>
      </c>
      <c r="BM183" s="28">
        <v>0</v>
      </c>
      <c r="BN183" s="28">
        <f t="shared" si="152"/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f t="shared" si="153"/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f t="shared" si="154"/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f t="shared" si="155"/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f t="shared" si="156"/>
        <v>0</v>
      </c>
      <c r="CI183" s="28">
        <v>0</v>
      </c>
      <c r="CJ183" s="28">
        <v>0</v>
      </c>
      <c r="CK183" s="28">
        <v>0</v>
      </c>
      <c r="CL183" s="28">
        <v>0</v>
      </c>
      <c r="CM183" s="28">
        <f t="shared" si="157"/>
        <v>0</v>
      </c>
      <c r="CN183" s="28">
        <v>0</v>
      </c>
      <c r="CO183" s="28">
        <v>0</v>
      </c>
      <c r="CP183" s="28">
        <v>0</v>
      </c>
      <c r="CQ183" s="28">
        <v>0</v>
      </c>
      <c r="CR183" s="28">
        <f t="shared" si="158"/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f t="shared" si="159"/>
        <v>0</v>
      </c>
      <c r="CX183" s="28">
        <f t="shared" si="159"/>
        <v>0</v>
      </c>
      <c r="CY183" s="28">
        <f t="shared" si="159"/>
        <v>0</v>
      </c>
      <c r="CZ183" s="28">
        <v>0</v>
      </c>
      <c r="DA183" s="28">
        <v>0</v>
      </c>
      <c r="DB183" s="28">
        <f t="shared" si="160"/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f t="shared" si="161"/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f t="shared" si="162"/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f t="shared" si="163"/>
        <v>0</v>
      </c>
      <c r="DR183" s="28">
        <v>0</v>
      </c>
      <c r="DS183" s="28">
        <v>0</v>
      </c>
      <c r="DT183" s="28">
        <v>0.71399999999999997</v>
      </c>
      <c r="DU183" s="28">
        <v>0.30499999999999999</v>
      </c>
      <c r="DV183" s="28">
        <f t="shared" si="164"/>
        <v>1.0189999999999999</v>
      </c>
      <c r="DW183" s="28">
        <v>2.3759999999999999</v>
      </c>
      <c r="DX183" s="28">
        <v>4.359</v>
      </c>
      <c r="DY183" s="28">
        <v>3.67049417</v>
      </c>
      <c r="DZ183" s="28">
        <v>4.6802202699999995</v>
      </c>
      <c r="EA183" s="28">
        <f t="shared" si="165"/>
        <v>15.085714439999999</v>
      </c>
      <c r="EB183" s="28">
        <v>5.2505827900000002</v>
      </c>
      <c r="EC183" s="28">
        <v>4.6268152100000002</v>
      </c>
      <c r="ED183" s="28">
        <v>4.1689999999999996</v>
      </c>
      <c r="EE183" s="28">
        <v>6.5663101500000005</v>
      </c>
      <c r="EF183" s="28">
        <f t="shared" si="166"/>
        <v>20.61270815</v>
      </c>
      <c r="EG183" s="28">
        <v>5.6830691299999998</v>
      </c>
      <c r="EH183" s="28">
        <v>4.4503095500000001</v>
      </c>
      <c r="EI183" s="28">
        <v>7.9031230199999998</v>
      </c>
    </row>
    <row r="184" spans="1:139" ht="15" thickTop="1" x14ac:dyDescent="0.3">
      <c r="A184" s="1" t="s">
        <v>449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0.77</v>
      </c>
      <c r="DY184" s="27">
        <v>2.9402910300000005</v>
      </c>
      <c r="DZ184" s="27">
        <v>2.5212688599999997</v>
      </c>
      <c r="EA184" s="27">
        <f t="shared" si="165"/>
        <v>6.2315598899999998</v>
      </c>
      <c r="EB184" s="27">
        <v>1.7221348300000001</v>
      </c>
      <c r="EC184" s="27">
        <v>2.5011262900000002</v>
      </c>
      <c r="ED184" s="27">
        <v>2.6859999999999999</v>
      </c>
      <c r="EE184" s="27">
        <v>4.697661609999999</v>
      </c>
      <c r="EF184" s="27">
        <f t="shared" si="166"/>
        <v>11.606922729999999</v>
      </c>
      <c r="EG184" s="27">
        <v>2.4965117299999999</v>
      </c>
      <c r="EH184" s="27">
        <v>3.3120937700000002</v>
      </c>
      <c r="EI184" s="27">
        <v>3.5486685199999997</v>
      </c>
    </row>
    <row r="185" spans="1:139" ht="15" thickBot="1" x14ac:dyDescent="0.35">
      <c r="A185" s="2" t="s">
        <v>460</v>
      </c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>
        <v>9.6667799999999998E-3</v>
      </c>
      <c r="EH185" s="28">
        <v>2.1898050800000002</v>
      </c>
      <c r="EI185" s="28">
        <v>0.66797014999999993</v>
      </c>
    </row>
    <row r="186" spans="1:139" ht="15" thickTop="1" x14ac:dyDescent="0.3">
      <c r="A186" s="1" t="s">
        <v>304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27">
        <v>0</v>
      </c>
      <c r="BK186" s="27">
        <v>0</v>
      </c>
      <c r="BL186" s="27">
        <v>0</v>
      </c>
      <c r="BM186" s="27">
        <v>0</v>
      </c>
      <c r="BN186" s="27">
        <f t="shared" si="152"/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f t="shared" si="153"/>
        <v>0</v>
      </c>
      <c r="BT186" s="27">
        <v>0</v>
      </c>
      <c r="BU186" s="27">
        <v>2.35264052</v>
      </c>
      <c r="BV186" s="27">
        <v>8.1248353099999999</v>
      </c>
      <c r="BW186" s="27">
        <v>39.159375924999999</v>
      </c>
      <c r="BX186" s="27">
        <f t="shared" si="154"/>
        <v>49.636851754999995</v>
      </c>
      <c r="BY186" s="27">
        <v>10.271280509999999</v>
      </c>
      <c r="BZ186" s="27">
        <v>-2.479386899999998</v>
      </c>
      <c r="CA186" s="27">
        <v>4.7318747299999995</v>
      </c>
      <c r="CB186" s="27">
        <v>2.7757717300000024</v>
      </c>
      <c r="CC186" s="27">
        <f t="shared" si="155"/>
        <v>15.299540070000003</v>
      </c>
      <c r="CD186" s="27">
        <v>2.9372140799999995</v>
      </c>
      <c r="CE186" s="27">
        <v>5.0617611800000013</v>
      </c>
      <c r="CF186" s="27">
        <v>4.0743035699999988</v>
      </c>
      <c r="CG186" s="27">
        <v>4.5840729500000039</v>
      </c>
      <c r="CH186" s="27">
        <f t="shared" si="156"/>
        <v>16.657351780000003</v>
      </c>
      <c r="CI186" s="27">
        <v>4.1926664499999999</v>
      </c>
      <c r="CJ186" s="27">
        <v>5.1402909600000006</v>
      </c>
      <c r="CK186" s="27">
        <v>3.928989119999998</v>
      </c>
      <c r="CL186" s="27">
        <v>1.4008199100000009</v>
      </c>
      <c r="CM186" s="27">
        <f t="shared" si="157"/>
        <v>14.66276644</v>
      </c>
      <c r="CN186" s="27">
        <v>2.8863347000000004</v>
      </c>
      <c r="CO186" s="27">
        <v>2.3184864699999994</v>
      </c>
      <c r="CP186" s="27">
        <v>1.83789238</v>
      </c>
      <c r="CQ186" s="27">
        <f>9.363-SUM(CN186:CP186)</f>
        <v>2.3202864499999993</v>
      </c>
      <c r="CR186" s="27">
        <f t="shared" si="158"/>
        <v>9.3629999999999995</v>
      </c>
      <c r="CS186" s="27">
        <f>0.9627098+0.493</f>
        <v>1.4557097999999999</v>
      </c>
      <c r="CT186" s="27">
        <f>3.067-CS186</f>
        <v>1.6112902000000002</v>
      </c>
      <c r="CU186" s="27">
        <f>4.32-SUM(CS186:CT186)</f>
        <v>1.2530000000000001</v>
      </c>
      <c r="CV186" s="27">
        <f>5.764-SUM(CS186:CU186)</f>
        <v>1.444</v>
      </c>
      <c r="CW186" s="27">
        <f t="shared" si="159"/>
        <v>5.7640000000000002</v>
      </c>
      <c r="CX186" s="27">
        <v>1.7190000000000001</v>
      </c>
      <c r="CY186" s="27">
        <v>1.512</v>
      </c>
      <c r="CZ186" s="27">
        <v>1.8601000000000001</v>
      </c>
      <c r="DA186" s="27">
        <v>1.9590000000000001</v>
      </c>
      <c r="DB186" s="27">
        <f t="shared" si="160"/>
        <v>7.0501000000000005</v>
      </c>
      <c r="DC186" s="27">
        <v>2.181</v>
      </c>
      <c r="DD186" s="27">
        <v>2.149</v>
      </c>
      <c r="DE186" s="27">
        <v>2.198</v>
      </c>
      <c r="DF186" s="27">
        <v>2.2839999999999998</v>
      </c>
      <c r="DG186" s="27">
        <f t="shared" si="161"/>
        <v>8.8120000000000012</v>
      </c>
      <c r="DH186" s="27">
        <v>2.407</v>
      </c>
      <c r="DI186" s="27">
        <v>1.544</v>
      </c>
      <c r="DJ186" s="27">
        <v>1.766</v>
      </c>
      <c r="DK186" s="27">
        <v>2.2999999999999998</v>
      </c>
      <c r="DL186" s="27">
        <f t="shared" si="162"/>
        <v>8.0169999999999995</v>
      </c>
      <c r="DM186" s="27">
        <v>2.4420000000000002</v>
      </c>
      <c r="DN186" s="27">
        <v>3.2349999999999999</v>
      </c>
      <c r="DO186" s="27">
        <v>3.13</v>
      </c>
      <c r="DP186" s="27">
        <v>3.887</v>
      </c>
      <c r="DQ186" s="27">
        <f t="shared" si="163"/>
        <v>12.693999999999999</v>
      </c>
      <c r="DR186" s="27">
        <v>2.625</v>
      </c>
      <c r="DS186" s="27">
        <v>3.3490000000000002</v>
      </c>
      <c r="DT186" s="27">
        <v>6.8710000000000004</v>
      </c>
      <c r="DU186" s="27">
        <v>9.8170000000000002</v>
      </c>
      <c r="DV186" s="27">
        <f t="shared" si="164"/>
        <v>22.661999999999999</v>
      </c>
      <c r="DW186" s="27">
        <v>4.5919999999999996</v>
      </c>
      <c r="DX186" s="27">
        <v>6.7279999999999998</v>
      </c>
      <c r="DY186" s="27">
        <f>(7567315.14+470814.32)/1000000</f>
        <v>8.0381294600000004</v>
      </c>
      <c r="DZ186" s="27">
        <v>3.3333907300000023</v>
      </c>
      <c r="EA186" s="27">
        <f t="shared" si="165"/>
        <v>22.691520190000002</v>
      </c>
      <c r="EB186" s="27">
        <f>(7272696.03+238360.06)/1000000</f>
        <v>7.5110560899999994</v>
      </c>
      <c r="EC186" s="27">
        <v>6.5129391099999996</v>
      </c>
      <c r="ED186" s="27">
        <v>3.9350000000000001</v>
      </c>
      <c r="EE186" s="27">
        <v>3.3838762000000004</v>
      </c>
      <c r="EF186" s="27">
        <f t="shared" si="166"/>
        <v>21.342871399999996</v>
      </c>
      <c r="EG186" s="27">
        <v>4.7207957800000004</v>
      </c>
      <c r="EH186" s="27">
        <v>5.9420488000000002</v>
      </c>
      <c r="EI186" s="27">
        <v>4.2645037199999996</v>
      </c>
    </row>
    <row r="187" spans="1:139" ht="15" thickBot="1" x14ac:dyDescent="0.35">
      <c r="A187" s="2" t="s">
        <v>305</v>
      </c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28">
        <v>0</v>
      </c>
      <c r="BK187" s="28">
        <v>0</v>
      </c>
      <c r="BL187" s="28">
        <v>0</v>
      </c>
      <c r="BM187" s="28">
        <v>0</v>
      </c>
      <c r="BN187" s="28">
        <f t="shared" si="152"/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f t="shared" si="153"/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f t="shared" si="154"/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f t="shared" si="155"/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f t="shared" si="156"/>
        <v>0</v>
      </c>
      <c r="CI187" s="28"/>
      <c r="CJ187" s="28"/>
      <c r="CK187" s="28"/>
      <c r="CL187" s="28"/>
      <c r="CM187" s="28">
        <f t="shared" si="157"/>
        <v>0</v>
      </c>
      <c r="CN187" s="28"/>
      <c r="CO187" s="28"/>
      <c r="CP187" s="28"/>
      <c r="CQ187" s="28"/>
      <c r="CR187" s="28">
        <f t="shared" si="158"/>
        <v>0</v>
      </c>
      <c r="CS187" s="28"/>
      <c r="CT187" s="28"/>
      <c r="CU187" s="28"/>
      <c r="CV187" s="28"/>
      <c r="CW187" s="28">
        <f t="shared" si="159"/>
        <v>0</v>
      </c>
      <c r="CX187" s="28">
        <v>0</v>
      </c>
      <c r="CY187" s="28"/>
      <c r="CZ187" s="28"/>
      <c r="DA187" s="28"/>
      <c r="DB187" s="28">
        <f t="shared" si="160"/>
        <v>0</v>
      </c>
      <c r="DC187" s="28">
        <v>0.95599999999999996</v>
      </c>
      <c r="DD187" s="28">
        <v>0.53100000000000003</v>
      </c>
      <c r="DE187" s="28">
        <v>0.21199999999999999</v>
      </c>
      <c r="DF187" s="28">
        <v>0.439</v>
      </c>
      <c r="DG187" s="28">
        <f t="shared" si="161"/>
        <v>2.1379999999999999</v>
      </c>
      <c r="DH187" s="28">
        <v>0.34399999999999997</v>
      </c>
      <c r="DI187" s="28">
        <v>0.51700000000000002</v>
      </c>
      <c r="DJ187" s="28">
        <v>0.502</v>
      </c>
      <c r="DK187" s="28">
        <v>0.52</v>
      </c>
      <c r="DL187" s="28">
        <f t="shared" si="162"/>
        <v>1.883</v>
      </c>
      <c r="DM187" s="28">
        <v>0.56100000000000005</v>
      </c>
      <c r="DN187" s="28">
        <v>0.64800000000000002</v>
      </c>
      <c r="DO187" s="28">
        <v>0.57499999999999996</v>
      </c>
      <c r="DP187" s="28">
        <v>0.48399999999999999</v>
      </c>
      <c r="DQ187" s="28">
        <f t="shared" si="163"/>
        <v>2.2679999999999998</v>
      </c>
      <c r="DR187" s="28">
        <v>0.57799999999999996</v>
      </c>
      <c r="DS187" s="28">
        <v>0.77800000000000002</v>
      </c>
      <c r="DT187" s="28">
        <v>0.51700000000000002</v>
      </c>
      <c r="DU187" s="28">
        <v>0.65500000000000003</v>
      </c>
      <c r="DV187" s="28">
        <f t="shared" si="164"/>
        <v>2.5279999999999996</v>
      </c>
      <c r="DW187" s="28">
        <v>0.49299999999999999</v>
      </c>
      <c r="DX187" s="28">
        <v>0.77900000000000003</v>
      </c>
      <c r="DY187" s="28">
        <v>0.75533478999999981</v>
      </c>
      <c r="DZ187" s="28">
        <v>0.68267185000000008</v>
      </c>
      <c r="EA187" s="28">
        <f t="shared" si="165"/>
        <v>2.71000664</v>
      </c>
      <c r="EB187" s="28">
        <v>0.64239913999999998</v>
      </c>
      <c r="EC187" s="28">
        <v>0.85830446000000005</v>
      </c>
      <c r="ED187" s="28">
        <v>0.63900000000000001</v>
      </c>
      <c r="EE187" s="28">
        <v>23.953933320000001</v>
      </c>
      <c r="EF187" s="28">
        <f t="shared" si="166"/>
        <v>26.093636920000002</v>
      </c>
      <c r="EG187" s="28">
        <v>1.38988577</v>
      </c>
      <c r="EH187" s="28">
        <v>1.5579146800000001</v>
      </c>
      <c r="EI187" s="28">
        <v>1.5296242299999996</v>
      </c>
    </row>
    <row r="188" spans="1:139" ht="15" thickTop="1" x14ac:dyDescent="0.3">
      <c r="A188" s="1" t="s">
        <v>306</v>
      </c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27">
        <v>0.98683789</v>
      </c>
      <c r="BK188" s="27">
        <v>1.1112520300000002</v>
      </c>
      <c r="BL188" s="27">
        <v>2.0373273800000002</v>
      </c>
      <c r="BM188" s="27">
        <v>1.3451140099999996</v>
      </c>
      <c r="BN188" s="27">
        <f t="shared" si="152"/>
        <v>5.4805313099999999</v>
      </c>
      <c r="BO188" s="27">
        <v>1.2314412699999999</v>
      </c>
      <c r="BP188" s="27">
        <v>0.43012150000000005</v>
      </c>
      <c r="BQ188" s="27">
        <v>0.86273124000000001</v>
      </c>
      <c r="BR188" s="27">
        <v>1.2800323199999997</v>
      </c>
      <c r="BS188" s="27">
        <f t="shared" si="153"/>
        <v>3.8043263299999999</v>
      </c>
      <c r="BT188" s="27">
        <v>0.87362441000000002</v>
      </c>
      <c r="BU188" s="27">
        <v>0.88717239999999997</v>
      </c>
      <c r="BV188" s="27">
        <v>1.40772925</v>
      </c>
      <c r="BW188" s="27">
        <v>1.3442711600000004</v>
      </c>
      <c r="BX188" s="27">
        <f t="shared" si="154"/>
        <v>4.5127972200000004</v>
      </c>
      <c r="BY188" s="27">
        <v>1.16658368</v>
      </c>
      <c r="BZ188" s="27">
        <v>1.0728001000000003</v>
      </c>
      <c r="CA188" s="27">
        <v>1.2591438599999996</v>
      </c>
      <c r="CB188" s="27">
        <v>2.1519678999999994</v>
      </c>
      <c r="CC188" s="27">
        <f t="shared" si="155"/>
        <v>5.6504955399999997</v>
      </c>
      <c r="CD188" s="27">
        <v>1.93943672</v>
      </c>
      <c r="CE188" s="27">
        <v>1.7973314499999999</v>
      </c>
      <c r="CF188" s="27">
        <v>1.0802057000000003</v>
      </c>
      <c r="CG188" s="27">
        <v>5.5555460199999995</v>
      </c>
      <c r="CH188" s="27">
        <f t="shared" si="156"/>
        <v>10.37251989</v>
      </c>
      <c r="CI188" s="27">
        <v>1.3229862299999999</v>
      </c>
      <c r="CJ188" s="27">
        <v>1.2057181600000002</v>
      </c>
      <c r="CK188" s="27">
        <v>1.1588117499999997</v>
      </c>
      <c r="CL188" s="27">
        <v>1.4464421300000001</v>
      </c>
      <c r="CM188" s="27">
        <f t="shared" si="157"/>
        <v>5.1339582699999999</v>
      </c>
      <c r="CN188" s="27">
        <v>1.13158866</v>
      </c>
      <c r="CO188" s="27">
        <v>0.71442681999999991</v>
      </c>
      <c r="CP188" s="27">
        <v>0.87479376000000031</v>
      </c>
      <c r="CQ188" s="27">
        <f>3.632-SUM(CN188:CP188)</f>
        <v>0.91119075999999977</v>
      </c>
      <c r="CR188" s="27">
        <f t="shared" si="158"/>
        <v>3.6320000000000001</v>
      </c>
      <c r="CS188" s="27">
        <v>0.76936006000000001</v>
      </c>
      <c r="CT188" s="27">
        <v>0.83858191999999987</v>
      </c>
      <c r="CU188" s="27">
        <v>0.73738776000000061</v>
      </c>
      <c r="CV188" s="27">
        <v>-2.3453297400000004</v>
      </c>
      <c r="CW188" s="27">
        <f t="shared" si="159"/>
        <v>0</v>
      </c>
      <c r="CX188" s="27">
        <v>0.68500000000000005</v>
      </c>
      <c r="CY188" s="27">
        <v>1.5189999999999999</v>
      </c>
      <c r="CZ188" s="27">
        <v>0.30599999999999999</v>
      </c>
      <c r="DA188" s="27">
        <v>1.026</v>
      </c>
      <c r="DB188" s="27">
        <f t="shared" si="160"/>
        <v>3.5359999999999996</v>
      </c>
      <c r="DC188" s="27">
        <v>0.82899999999999996</v>
      </c>
      <c r="DD188" s="27">
        <v>1.0036</v>
      </c>
      <c r="DE188" s="27">
        <v>-0.14000000000000001</v>
      </c>
      <c r="DF188" s="27">
        <v>1.5049999999999999</v>
      </c>
      <c r="DG188" s="27">
        <f t="shared" si="161"/>
        <v>3.1976</v>
      </c>
      <c r="DH188" s="27">
        <v>1.1819999999999999</v>
      </c>
      <c r="DI188" s="27">
        <v>0.86099999999999999</v>
      </c>
      <c r="DJ188" s="27">
        <v>1.1359999999999999</v>
      </c>
      <c r="DK188" s="27">
        <v>0.31</v>
      </c>
      <c r="DL188" s="27">
        <f t="shared" si="162"/>
        <v>3.4890000000000003</v>
      </c>
      <c r="DM188" s="27">
        <v>1.8779999999999999</v>
      </c>
      <c r="DN188" s="27">
        <v>-0.627</v>
      </c>
      <c r="DO188" s="27">
        <v>-1.2509999999999999</v>
      </c>
      <c r="DP188" s="27">
        <v>0</v>
      </c>
      <c r="DQ188" s="27">
        <f t="shared" si="163"/>
        <v>0</v>
      </c>
      <c r="DR188" s="27">
        <v>2.1539999999999999</v>
      </c>
      <c r="DS188" s="27">
        <v>1.673</v>
      </c>
      <c r="DT188" s="27">
        <v>0.16600000000000001</v>
      </c>
      <c r="DU188" s="27">
        <v>6.04</v>
      </c>
      <c r="DV188" s="27">
        <f t="shared" si="164"/>
        <v>10.032999999999999</v>
      </c>
      <c r="DW188" s="27">
        <v>1.397</v>
      </c>
      <c r="DX188" s="27">
        <v>1.528</v>
      </c>
      <c r="DY188" s="27">
        <v>1.1809165299999997</v>
      </c>
      <c r="DZ188" s="27">
        <v>1.7193973200000003</v>
      </c>
      <c r="EA188" s="27">
        <f t="shared" si="165"/>
        <v>5.8253138500000006</v>
      </c>
      <c r="EB188" s="27">
        <v>3.3401140599999999</v>
      </c>
      <c r="EC188" s="27">
        <v>1.2880931199999996</v>
      </c>
      <c r="ED188" s="27">
        <v>1.8939999999999999</v>
      </c>
      <c r="EE188" s="27">
        <v>1.7129021600000001</v>
      </c>
      <c r="EF188" s="27">
        <f t="shared" si="166"/>
        <v>8.2351093399999993</v>
      </c>
      <c r="EG188" s="27">
        <v>1.2917764199999999</v>
      </c>
      <c r="EH188" s="27">
        <v>1.6619141800000001</v>
      </c>
      <c r="EI188" s="27">
        <v>2.2088014599999997</v>
      </c>
    </row>
    <row r="189" spans="1:139" ht="15" thickBot="1" x14ac:dyDescent="0.35">
      <c r="A189" s="2" t="s">
        <v>323</v>
      </c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28">
        <v>0</v>
      </c>
      <c r="BK189" s="28">
        <v>0</v>
      </c>
      <c r="BL189" s="28">
        <v>0</v>
      </c>
      <c r="BM189" s="28">
        <v>0</v>
      </c>
      <c r="BN189" s="28">
        <f t="shared" si="152"/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f t="shared" si="153"/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f t="shared" si="154"/>
        <v>0</v>
      </c>
      <c r="BY189" s="28">
        <v>0</v>
      </c>
      <c r="BZ189" s="28">
        <v>0</v>
      </c>
      <c r="CA189" s="28">
        <v>0</v>
      </c>
      <c r="CB189" s="28">
        <v>0</v>
      </c>
      <c r="CC189" s="28">
        <f t="shared" si="155"/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f t="shared" si="156"/>
        <v>0</v>
      </c>
      <c r="CI189" s="28">
        <v>0</v>
      </c>
      <c r="CJ189" s="28">
        <v>0</v>
      </c>
      <c r="CK189" s="28">
        <v>0</v>
      </c>
      <c r="CL189" s="28">
        <v>0</v>
      </c>
      <c r="CM189" s="28">
        <f t="shared" si="157"/>
        <v>0</v>
      </c>
      <c r="CN189" s="28">
        <v>0</v>
      </c>
      <c r="CO189" s="28">
        <v>0</v>
      </c>
      <c r="CP189" s="28">
        <v>0</v>
      </c>
      <c r="CQ189" s="28">
        <v>0</v>
      </c>
      <c r="CR189" s="28">
        <f t="shared" si="158"/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f t="shared" si="159"/>
        <v>0</v>
      </c>
      <c r="CX189" s="28">
        <f t="shared" si="159"/>
        <v>0</v>
      </c>
      <c r="CY189" s="28">
        <f t="shared" si="159"/>
        <v>0</v>
      </c>
      <c r="CZ189" s="28">
        <f t="shared" si="159"/>
        <v>0</v>
      </c>
      <c r="DA189" s="28">
        <f t="shared" si="159"/>
        <v>0</v>
      </c>
      <c r="DB189" s="28">
        <f t="shared" si="160"/>
        <v>0</v>
      </c>
      <c r="DC189" s="28">
        <f t="shared" ref="DC189:DE191" si="167">SUM(CY189:DB189)</f>
        <v>0</v>
      </c>
      <c r="DD189" s="28">
        <f t="shared" si="167"/>
        <v>0</v>
      </c>
      <c r="DE189" s="28">
        <f t="shared" si="167"/>
        <v>0</v>
      </c>
      <c r="DF189" s="28">
        <v>0</v>
      </c>
      <c r="DG189" s="28">
        <f t="shared" si="161"/>
        <v>0</v>
      </c>
      <c r="DH189" s="28">
        <v>0</v>
      </c>
      <c r="DI189" s="28">
        <v>0</v>
      </c>
      <c r="DJ189" s="28">
        <v>0</v>
      </c>
      <c r="DK189" s="28">
        <v>0</v>
      </c>
      <c r="DL189" s="28">
        <f t="shared" si="162"/>
        <v>0</v>
      </c>
      <c r="DM189" s="28">
        <v>0</v>
      </c>
      <c r="DN189" s="28">
        <v>0</v>
      </c>
      <c r="DO189" s="28">
        <v>0</v>
      </c>
      <c r="DP189" s="28">
        <v>0</v>
      </c>
      <c r="DQ189" s="28">
        <f t="shared" si="163"/>
        <v>0</v>
      </c>
      <c r="DR189" s="28">
        <v>0</v>
      </c>
      <c r="DS189" s="28">
        <v>0</v>
      </c>
      <c r="DT189" s="28">
        <v>0</v>
      </c>
      <c r="DU189" s="28">
        <v>0</v>
      </c>
      <c r="DV189" s="28">
        <f t="shared" si="164"/>
        <v>0</v>
      </c>
      <c r="DW189" s="28">
        <v>0</v>
      </c>
      <c r="DX189" s="28">
        <v>0</v>
      </c>
      <c r="DY189" s="28">
        <v>0</v>
      </c>
      <c r="DZ189" s="28">
        <v>0</v>
      </c>
      <c r="EA189" s="28">
        <f t="shared" si="165"/>
        <v>0</v>
      </c>
      <c r="EB189" s="28">
        <v>0</v>
      </c>
      <c r="EC189" s="28">
        <v>0</v>
      </c>
      <c r="ED189" s="28">
        <v>0</v>
      </c>
      <c r="EE189" s="28">
        <v>0</v>
      </c>
      <c r="EF189" s="28">
        <f t="shared" si="166"/>
        <v>0</v>
      </c>
      <c r="EG189" s="28">
        <v>0</v>
      </c>
      <c r="EH189" s="28">
        <v>0</v>
      </c>
      <c r="EI189" s="28">
        <v>0</v>
      </c>
    </row>
    <row r="190" spans="1:139" ht="15" thickTop="1" x14ac:dyDescent="0.3">
      <c r="A190" s="1" t="s">
        <v>322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27">
        <v>0</v>
      </c>
      <c r="BK190" s="27">
        <v>0</v>
      </c>
      <c r="BL190" s="27">
        <v>0</v>
      </c>
      <c r="BM190" s="27">
        <v>0</v>
      </c>
      <c r="BN190" s="27">
        <f t="shared" si="152"/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f t="shared" si="153"/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f t="shared" si="154"/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f t="shared" si="155"/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f t="shared" si="156"/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f t="shared" si="157"/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f t="shared" si="158"/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f t="shared" si="159"/>
        <v>0</v>
      </c>
      <c r="CX190" s="27">
        <f t="shared" si="159"/>
        <v>0</v>
      </c>
      <c r="CY190" s="27">
        <f t="shared" si="159"/>
        <v>0</v>
      </c>
      <c r="CZ190" s="27">
        <f t="shared" si="159"/>
        <v>0</v>
      </c>
      <c r="DA190" s="27">
        <f t="shared" si="159"/>
        <v>0</v>
      </c>
      <c r="DB190" s="27">
        <f t="shared" si="160"/>
        <v>0</v>
      </c>
      <c r="DC190" s="27">
        <f t="shared" si="167"/>
        <v>0</v>
      </c>
      <c r="DD190" s="27">
        <f t="shared" si="167"/>
        <v>0</v>
      </c>
      <c r="DE190" s="27">
        <f t="shared" si="167"/>
        <v>0</v>
      </c>
      <c r="DF190" s="27">
        <f>SUM(DB190:DE190)</f>
        <v>0</v>
      </c>
      <c r="DG190" s="27">
        <f t="shared" si="161"/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f t="shared" si="162"/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f t="shared" si="163"/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f t="shared" si="164"/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f t="shared" si="165"/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f t="shared" si="166"/>
        <v>0</v>
      </c>
      <c r="EG190" s="27">
        <v>0</v>
      </c>
      <c r="EH190" s="27">
        <v>0</v>
      </c>
      <c r="EI190" s="27">
        <v>0</v>
      </c>
    </row>
    <row r="191" spans="1:139" ht="15" thickBot="1" x14ac:dyDescent="0.35">
      <c r="A191" s="2" t="s">
        <v>370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28">
        <v>0.4998725</v>
      </c>
      <c r="BK191" s="28">
        <v>0.63385753</v>
      </c>
      <c r="BL191" s="28">
        <v>0.91590638000000024</v>
      </c>
      <c r="BM191" s="28">
        <v>0.77599395999999965</v>
      </c>
      <c r="BN191" s="28">
        <f t="shared" si="152"/>
        <v>2.8256303699999998</v>
      </c>
      <c r="BO191" s="28">
        <v>18.89171928</v>
      </c>
      <c r="BP191" s="28">
        <v>-8.2839291900000003</v>
      </c>
      <c r="BQ191" s="28">
        <v>6.1431754000000005</v>
      </c>
      <c r="BR191" s="28">
        <v>3.3686037699999964</v>
      </c>
      <c r="BS191" s="28">
        <f t="shared" si="153"/>
        <v>20.119569259999995</v>
      </c>
      <c r="BT191" s="28">
        <v>0</v>
      </c>
      <c r="BU191" s="28">
        <v>0</v>
      </c>
      <c r="BV191" s="28">
        <v>0</v>
      </c>
      <c r="BW191" s="28">
        <v>0</v>
      </c>
      <c r="BX191" s="28">
        <f t="shared" si="154"/>
        <v>0</v>
      </c>
      <c r="BY191" s="28">
        <v>0</v>
      </c>
      <c r="BZ191" s="28">
        <v>0</v>
      </c>
      <c r="CA191" s="28">
        <v>0</v>
      </c>
      <c r="CB191" s="28">
        <v>0</v>
      </c>
      <c r="CC191" s="28">
        <f t="shared" si="155"/>
        <v>0</v>
      </c>
      <c r="CD191" s="28">
        <v>0</v>
      </c>
      <c r="CE191" s="28">
        <v>0</v>
      </c>
      <c r="CF191" s="28">
        <v>0</v>
      </c>
      <c r="CG191" s="28">
        <v>0</v>
      </c>
      <c r="CH191" s="28">
        <f t="shared" si="156"/>
        <v>0</v>
      </c>
      <c r="CI191" s="28">
        <v>0</v>
      </c>
      <c r="CJ191" s="28">
        <v>0</v>
      </c>
      <c r="CK191" s="28">
        <v>0</v>
      </c>
      <c r="CL191" s="28">
        <v>0</v>
      </c>
      <c r="CM191" s="28">
        <f t="shared" si="157"/>
        <v>0</v>
      </c>
      <c r="CN191" s="28">
        <v>0</v>
      </c>
      <c r="CO191" s="28">
        <v>0</v>
      </c>
      <c r="CP191" s="28">
        <v>0</v>
      </c>
      <c r="CQ191" s="28">
        <v>0</v>
      </c>
      <c r="CR191" s="28">
        <f t="shared" si="158"/>
        <v>0</v>
      </c>
      <c r="CS191" s="28">
        <v>0</v>
      </c>
      <c r="CT191" s="28">
        <v>0</v>
      </c>
      <c r="CU191" s="28">
        <v>0</v>
      </c>
      <c r="CV191" s="28">
        <v>0</v>
      </c>
      <c r="CW191" s="28">
        <f t="shared" si="159"/>
        <v>0</v>
      </c>
      <c r="CX191" s="28">
        <f t="shared" si="159"/>
        <v>0</v>
      </c>
      <c r="CY191" s="28">
        <f t="shared" si="159"/>
        <v>0</v>
      </c>
      <c r="CZ191" s="28">
        <f t="shared" si="159"/>
        <v>0</v>
      </c>
      <c r="DA191" s="28">
        <f t="shared" si="159"/>
        <v>0</v>
      </c>
      <c r="DB191" s="28">
        <f t="shared" si="160"/>
        <v>0</v>
      </c>
      <c r="DC191" s="28">
        <f t="shared" si="167"/>
        <v>0</v>
      </c>
      <c r="DD191" s="28">
        <f t="shared" si="167"/>
        <v>0</v>
      </c>
      <c r="DE191" s="28">
        <f t="shared" si="167"/>
        <v>0</v>
      </c>
      <c r="DF191" s="28">
        <f>SUM(DB191:DE191)</f>
        <v>0</v>
      </c>
      <c r="DG191" s="28">
        <f t="shared" si="161"/>
        <v>0</v>
      </c>
      <c r="DH191" s="28">
        <v>0</v>
      </c>
      <c r="DI191" s="28">
        <v>0</v>
      </c>
      <c r="DJ191" s="28">
        <v>0</v>
      </c>
      <c r="DK191" s="28">
        <v>0</v>
      </c>
      <c r="DL191" s="28">
        <f t="shared" si="162"/>
        <v>0</v>
      </c>
      <c r="DM191" s="28">
        <v>0</v>
      </c>
      <c r="DN191" s="28">
        <v>0</v>
      </c>
      <c r="DO191" s="28">
        <v>0</v>
      </c>
      <c r="DP191" s="28">
        <v>0</v>
      </c>
      <c r="DQ191" s="28">
        <f t="shared" si="163"/>
        <v>0</v>
      </c>
      <c r="DR191" s="28">
        <v>0</v>
      </c>
      <c r="DS191" s="28">
        <v>0</v>
      </c>
      <c r="DT191" s="28">
        <v>0</v>
      </c>
      <c r="DU191" s="28">
        <v>0</v>
      </c>
      <c r="DV191" s="28">
        <f t="shared" si="164"/>
        <v>0</v>
      </c>
      <c r="DW191" s="28">
        <v>0</v>
      </c>
      <c r="DX191" s="28">
        <v>0</v>
      </c>
      <c r="DY191" s="28">
        <v>0</v>
      </c>
      <c r="DZ191" s="28">
        <v>0</v>
      </c>
      <c r="EA191" s="28">
        <f t="shared" si="165"/>
        <v>0</v>
      </c>
      <c r="EB191" s="28">
        <v>0</v>
      </c>
      <c r="EC191" s="28">
        <v>0</v>
      </c>
      <c r="ED191" s="28">
        <v>0</v>
      </c>
      <c r="EE191" s="28">
        <v>0</v>
      </c>
      <c r="EF191" s="28">
        <f t="shared" si="166"/>
        <v>0</v>
      </c>
      <c r="EG191" s="28">
        <v>0</v>
      </c>
      <c r="EH191" s="28">
        <v>0</v>
      </c>
      <c r="EI191" s="28">
        <v>0</v>
      </c>
    </row>
    <row r="192" spans="1:139" ht="15" thickTop="1" x14ac:dyDescent="0.3">
      <c r="A192" s="1" t="s">
        <v>338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27">
        <v>0.99718746000000014</v>
      </c>
      <c r="BK192" s="27">
        <v>0.85950845999999981</v>
      </c>
      <c r="BL192" s="27">
        <v>0.84690580000000004</v>
      </c>
      <c r="BM192" s="27">
        <v>0.95776784999999975</v>
      </c>
      <c r="BN192" s="27">
        <f t="shared" si="152"/>
        <v>3.6613695699999997</v>
      </c>
      <c r="BO192" s="27">
        <v>0.95399028999999991</v>
      </c>
      <c r="BP192" s="27">
        <v>0.83746260999999977</v>
      </c>
      <c r="BQ192" s="27">
        <v>1.0672763200000002</v>
      </c>
      <c r="BR192" s="27">
        <v>1.1701846541719998</v>
      </c>
      <c r="BS192" s="27">
        <f t="shared" si="153"/>
        <v>4.0289138741719999</v>
      </c>
      <c r="BT192" s="27">
        <v>0</v>
      </c>
      <c r="BU192" s="27">
        <v>0</v>
      </c>
      <c r="BV192" s="27">
        <v>0</v>
      </c>
      <c r="BW192" s="27">
        <v>0</v>
      </c>
      <c r="BX192" s="27">
        <f t="shared" si="154"/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f t="shared" si="155"/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f t="shared" si="156"/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f t="shared" si="157"/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f t="shared" si="158"/>
        <v>0</v>
      </c>
      <c r="CS192" s="27">
        <v>0</v>
      </c>
      <c r="CT192" s="27">
        <v>0</v>
      </c>
      <c r="CU192" s="27">
        <v>0</v>
      </c>
      <c r="CV192" s="27">
        <v>0</v>
      </c>
      <c r="CW192" s="27">
        <f t="shared" si="159"/>
        <v>0</v>
      </c>
      <c r="CX192" s="27">
        <f t="shared" si="159"/>
        <v>0</v>
      </c>
      <c r="CY192" s="27">
        <f t="shared" si="159"/>
        <v>0</v>
      </c>
      <c r="CZ192" s="27">
        <v>3.0000000000000001E-3</v>
      </c>
      <c r="DA192" s="27">
        <v>0</v>
      </c>
      <c r="DB192" s="27">
        <f>SUM(CX192:DA192)</f>
        <v>3.0000000000000001E-3</v>
      </c>
      <c r="DC192" s="27">
        <v>0</v>
      </c>
      <c r="DD192" s="27">
        <v>0</v>
      </c>
      <c r="DE192" s="27">
        <v>0</v>
      </c>
      <c r="DF192" s="27">
        <v>0</v>
      </c>
      <c r="DG192" s="27">
        <f t="shared" si="161"/>
        <v>0</v>
      </c>
      <c r="DH192" s="27">
        <v>0</v>
      </c>
      <c r="DI192" s="27">
        <v>0</v>
      </c>
      <c r="DJ192" s="27">
        <v>0</v>
      </c>
      <c r="DK192" s="27">
        <v>0</v>
      </c>
      <c r="DL192" s="27">
        <f t="shared" si="162"/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f t="shared" si="163"/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f t="shared" si="164"/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f t="shared" si="165"/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f t="shared" si="166"/>
        <v>0</v>
      </c>
      <c r="EG192" s="27">
        <v>0</v>
      </c>
      <c r="EH192" s="27">
        <v>0</v>
      </c>
      <c r="EI192" s="27">
        <v>0</v>
      </c>
    </row>
    <row r="193" spans="1:139" ht="15" thickBot="1" x14ac:dyDescent="0.35">
      <c r="A193" s="2" t="s">
        <v>331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28">
        <v>0</v>
      </c>
      <c r="BK193" s="28">
        <v>0</v>
      </c>
      <c r="BL193" s="28">
        <v>0</v>
      </c>
      <c r="BM193" s="28">
        <v>0</v>
      </c>
      <c r="BN193" s="28">
        <f t="shared" si="152"/>
        <v>0</v>
      </c>
      <c r="BO193" s="28">
        <v>0</v>
      </c>
      <c r="BP193" s="28">
        <v>0</v>
      </c>
      <c r="BQ193" s="28">
        <v>0</v>
      </c>
      <c r="BR193" s="28">
        <v>0</v>
      </c>
      <c r="BS193" s="28">
        <f t="shared" si="153"/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f t="shared" si="154"/>
        <v>0</v>
      </c>
      <c r="BY193" s="28">
        <v>0</v>
      </c>
      <c r="BZ193" s="28">
        <v>0</v>
      </c>
      <c r="CA193" s="28">
        <v>0</v>
      </c>
      <c r="CB193" s="28">
        <v>0</v>
      </c>
      <c r="CC193" s="28">
        <f t="shared" si="155"/>
        <v>0</v>
      </c>
      <c r="CD193" s="28">
        <v>0</v>
      </c>
      <c r="CE193" s="28">
        <v>0</v>
      </c>
      <c r="CF193" s="28">
        <v>0</v>
      </c>
      <c r="CG193" s="28">
        <v>0</v>
      </c>
      <c r="CH193" s="28">
        <f t="shared" si="156"/>
        <v>0</v>
      </c>
      <c r="CI193" s="28">
        <v>0</v>
      </c>
      <c r="CJ193" s="28">
        <v>0</v>
      </c>
      <c r="CK193" s="28">
        <v>0</v>
      </c>
      <c r="CL193" s="28">
        <v>0</v>
      </c>
      <c r="CM193" s="28">
        <f t="shared" si="157"/>
        <v>0</v>
      </c>
      <c r="CN193" s="28">
        <v>0</v>
      </c>
      <c r="CO193" s="28">
        <v>0</v>
      </c>
      <c r="CP193" s="28">
        <v>0</v>
      </c>
      <c r="CQ193" s="28">
        <v>0</v>
      </c>
      <c r="CR193" s="28">
        <f t="shared" si="158"/>
        <v>0</v>
      </c>
      <c r="CS193" s="28">
        <v>0</v>
      </c>
      <c r="CT193" s="28">
        <v>0</v>
      </c>
      <c r="CU193" s="28">
        <v>0</v>
      </c>
      <c r="CV193" s="28">
        <v>0</v>
      </c>
      <c r="CW193" s="28">
        <f t="shared" si="159"/>
        <v>0</v>
      </c>
      <c r="CX193" s="28">
        <f t="shared" si="159"/>
        <v>0</v>
      </c>
      <c r="CY193" s="28">
        <f t="shared" si="159"/>
        <v>0</v>
      </c>
      <c r="CZ193" s="28">
        <f t="shared" si="159"/>
        <v>0</v>
      </c>
      <c r="DA193" s="28">
        <f t="shared" si="159"/>
        <v>0</v>
      </c>
      <c r="DB193" s="28">
        <f t="shared" si="160"/>
        <v>0</v>
      </c>
      <c r="DC193" s="28">
        <f>SUM(CY193:DB193)</f>
        <v>0</v>
      </c>
      <c r="DD193" s="28">
        <f>SUM(CZ193:DC193)</f>
        <v>0</v>
      </c>
      <c r="DE193" s="28">
        <f>SUM(DA193:DD193)</f>
        <v>0</v>
      </c>
      <c r="DF193" s="28">
        <v>0</v>
      </c>
      <c r="DG193" s="28">
        <f t="shared" si="161"/>
        <v>0</v>
      </c>
      <c r="DH193" s="28">
        <v>0</v>
      </c>
      <c r="DI193" s="28">
        <v>0</v>
      </c>
      <c r="DJ193" s="28">
        <v>0</v>
      </c>
      <c r="DK193" s="28"/>
      <c r="DL193" s="28">
        <f t="shared" si="162"/>
        <v>0</v>
      </c>
      <c r="DM193" s="28">
        <v>0</v>
      </c>
      <c r="DN193" s="28">
        <v>0</v>
      </c>
      <c r="DO193" s="28">
        <v>0</v>
      </c>
      <c r="DP193" s="28">
        <v>0</v>
      </c>
      <c r="DQ193" s="28">
        <f t="shared" si="163"/>
        <v>0</v>
      </c>
      <c r="DR193" s="28">
        <v>0</v>
      </c>
      <c r="DS193" s="28">
        <v>0</v>
      </c>
      <c r="DT193" s="28">
        <v>0</v>
      </c>
      <c r="DU193" s="28">
        <v>0</v>
      </c>
      <c r="DV193" s="28">
        <f t="shared" si="164"/>
        <v>0</v>
      </c>
      <c r="DW193" s="28">
        <v>0</v>
      </c>
      <c r="DX193" s="28">
        <v>0</v>
      </c>
      <c r="DY193" s="28">
        <v>0</v>
      </c>
      <c r="DZ193" s="28">
        <v>0</v>
      </c>
      <c r="EA193" s="28">
        <f t="shared" si="165"/>
        <v>0</v>
      </c>
      <c r="EB193" s="28">
        <v>0</v>
      </c>
      <c r="EC193" s="28">
        <v>0</v>
      </c>
      <c r="ED193" s="28">
        <v>0</v>
      </c>
      <c r="EE193" s="28">
        <v>2E-8</v>
      </c>
      <c r="EF193" s="28">
        <f t="shared" si="166"/>
        <v>2E-8</v>
      </c>
      <c r="EG193" s="28">
        <v>0</v>
      </c>
      <c r="EH193" s="28">
        <v>0</v>
      </c>
      <c r="EI193" s="28">
        <v>0</v>
      </c>
    </row>
    <row r="194" spans="1:139" ht="15" thickTop="1" x14ac:dyDescent="0.3">
      <c r="A194" s="1" t="s">
        <v>308</v>
      </c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27">
        <v>-9.3623850000000008E-2</v>
      </c>
      <c r="BK194" s="27">
        <v>-0.26102222000000003</v>
      </c>
      <c r="BL194" s="27">
        <v>-0.32002411000000008</v>
      </c>
      <c r="BM194" s="27">
        <v>-0.33280073999999993</v>
      </c>
      <c r="BN194" s="27">
        <f t="shared" si="152"/>
        <v>-1.00747092</v>
      </c>
      <c r="BO194" s="27">
        <v>-3.8735647900000005</v>
      </c>
      <c r="BP194" s="27">
        <v>1.3723646600000006</v>
      </c>
      <c r="BQ194" s="27">
        <v>-1.4534839499999999</v>
      </c>
      <c r="BR194" s="27">
        <v>-1.0078918800000007</v>
      </c>
      <c r="BS194" s="27">
        <f t="shared" si="153"/>
        <v>-4.9625759600000006</v>
      </c>
      <c r="BT194" s="27">
        <v>-0.2</v>
      </c>
      <c r="BU194" s="27">
        <v>-0.3</v>
      </c>
      <c r="BV194" s="27">
        <v>-0.4</v>
      </c>
      <c r="BW194" s="27">
        <v>-67.2</v>
      </c>
      <c r="BX194" s="27">
        <f t="shared" si="154"/>
        <v>-68.100000000000009</v>
      </c>
      <c r="BY194" s="27">
        <v>-0.3</v>
      </c>
      <c r="BZ194" s="27">
        <v>-0.4</v>
      </c>
      <c r="CA194" s="27">
        <v>-0.2</v>
      </c>
      <c r="CB194" s="27">
        <v>-0.6</v>
      </c>
      <c r="CC194" s="27">
        <f t="shared" si="155"/>
        <v>-1.5</v>
      </c>
      <c r="CD194" s="27">
        <f>-1.20495782+1.483</f>
        <v>0.27804218000000014</v>
      </c>
      <c r="CE194" s="27">
        <v>-0.7</v>
      </c>
      <c r="CF194" s="27">
        <v>-0.4</v>
      </c>
      <c r="CG194" s="27">
        <v>-0.4</v>
      </c>
      <c r="CH194" s="27">
        <f t="shared" si="156"/>
        <v>-1.2219578199999999</v>
      </c>
      <c r="CI194" s="27">
        <v>0</v>
      </c>
      <c r="CJ194" s="27">
        <v>7.0517000000000002E-3</v>
      </c>
      <c r="CK194" s="27">
        <v>0</v>
      </c>
      <c r="CL194" s="27">
        <f>0.131478399999999+0.00235198</f>
        <v>0.133830379999999</v>
      </c>
      <c r="CM194" s="27">
        <f t="shared" si="157"/>
        <v>0.14088207999999899</v>
      </c>
      <c r="CN194" s="27">
        <v>0</v>
      </c>
      <c r="CO194" s="27">
        <v>0</v>
      </c>
      <c r="CP194" s="27">
        <v>0</v>
      </c>
      <c r="CQ194" s="27">
        <v>0</v>
      </c>
      <c r="CR194" s="27">
        <f t="shared" si="158"/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f t="shared" si="159"/>
        <v>0</v>
      </c>
      <c r="CX194" s="27">
        <f t="shared" si="159"/>
        <v>0</v>
      </c>
      <c r="CY194" s="27">
        <f t="shared" si="159"/>
        <v>0</v>
      </c>
      <c r="CZ194" s="27">
        <f t="shared" si="159"/>
        <v>0</v>
      </c>
      <c r="DA194" s="27">
        <f t="shared" si="159"/>
        <v>0</v>
      </c>
      <c r="DB194" s="27">
        <f t="shared" si="160"/>
        <v>0</v>
      </c>
      <c r="DC194" s="27">
        <v>0</v>
      </c>
      <c r="DD194" s="27">
        <v>0</v>
      </c>
      <c r="DE194" s="27">
        <v>0</v>
      </c>
      <c r="DF194" s="27">
        <f>-0.578+0.004</f>
        <v>-0.57399999999999995</v>
      </c>
      <c r="DG194" s="27">
        <f t="shared" si="161"/>
        <v>-0.57399999999999995</v>
      </c>
      <c r="DH194" s="27">
        <f>-0.046+0.004</f>
        <v>-4.1999999999999996E-2</v>
      </c>
      <c r="DI194" s="27">
        <v>-4.0000000000000001E-3</v>
      </c>
      <c r="DJ194" s="27">
        <v>0</v>
      </c>
      <c r="DK194" s="27">
        <v>0</v>
      </c>
      <c r="DL194" s="27">
        <f t="shared" si="162"/>
        <v>-4.5999999999999999E-2</v>
      </c>
      <c r="DM194" s="27">
        <v>0</v>
      </c>
      <c r="DN194" s="27">
        <v>0</v>
      </c>
      <c r="DO194" s="27">
        <v>0</v>
      </c>
      <c r="DP194" s="27">
        <v>0</v>
      </c>
      <c r="DQ194" s="27">
        <f t="shared" si="163"/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f t="shared" si="164"/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f t="shared" si="165"/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f t="shared" si="166"/>
        <v>0</v>
      </c>
      <c r="EG194" s="27">
        <v>0</v>
      </c>
      <c r="EH194" s="27">
        <v>0</v>
      </c>
      <c r="EI194" s="27">
        <v>0</v>
      </c>
    </row>
    <row r="195" spans="1:139" x14ac:dyDescent="0.3">
      <c r="A195" s="5" t="s">
        <v>311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29">
        <f>SUM(BJ172:BJ194)</f>
        <v>9.1605631299999999</v>
      </c>
      <c r="BK195" s="29">
        <f t="shared" ref="BK195:DT195" si="168">SUM(BK172:BK194)</f>
        <v>9.1973291799999988</v>
      </c>
      <c r="BL195" s="29">
        <f t="shared" si="168"/>
        <v>10.324460160000001</v>
      </c>
      <c r="BM195" s="29">
        <f t="shared" si="168"/>
        <v>9.8080953900000001</v>
      </c>
      <c r="BN195" s="29">
        <f t="shared" si="168"/>
        <v>38.490447859999996</v>
      </c>
      <c r="BO195" s="29">
        <f t="shared" si="168"/>
        <v>24.770730330000003</v>
      </c>
      <c r="BP195" s="29">
        <f t="shared" si="168"/>
        <v>-1.834555770000001</v>
      </c>
      <c r="BQ195" s="29">
        <f t="shared" si="168"/>
        <v>13.532189990000003</v>
      </c>
      <c r="BR195" s="29">
        <f t="shared" si="168"/>
        <v>11.892557624171996</v>
      </c>
      <c r="BS195" s="29">
        <f t="shared" si="168"/>
        <v>48.360922174171989</v>
      </c>
      <c r="BT195" s="29">
        <f t="shared" si="168"/>
        <v>8.3405570800000017</v>
      </c>
      <c r="BU195" s="29">
        <f t="shared" si="168"/>
        <v>9.3934211699999999</v>
      </c>
      <c r="BV195" s="29">
        <f t="shared" si="168"/>
        <v>15.28603646</v>
      </c>
      <c r="BW195" s="29">
        <f t="shared" si="168"/>
        <v>-19.656506055000001</v>
      </c>
      <c r="BX195" s="29">
        <f t="shared" si="168"/>
        <v>13.363508654999976</v>
      </c>
      <c r="BY195" s="29">
        <f t="shared" si="168"/>
        <v>17.770683579999996</v>
      </c>
      <c r="BZ195" s="29">
        <f t="shared" si="168"/>
        <v>4.2851764600000024</v>
      </c>
      <c r="CA195" s="29">
        <f t="shared" si="168"/>
        <v>11.766109639999998</v>
      </c>
      <c r="CB195" s="29">
        <f t="shared" si="168"/>
        <v>11.311623490000001</v>
      </c>
      <c r="CC195" s="29">
        <f t="shared" si="168"/>
        <v>45.133593170000005</v>
      </c>
      <c r="CD195" s="29">
        <f t="shared" si="168"/>
        <v>8.0762700899999995</v>
      </c>
      <c r="CE195" s="29">
        <f t="shared" si="168"/>
        <v>17.585361540000005</v>
      </c>
      <c r="CF195" s="29">
        <f t="shared" si="168"/>
        <v>11.961802749999999</v>
      </c>
      <c r="CG195" s="29">
        <f t="shared" si="168"/>
        <v>17.514835380000005</v>
      </c>
      <c r="CH195" s="29">
        <f t="shared" si="168"/>
        <v>55.138269760000007</v>
      </c>
      <c r="CI195" s="29">
        <f t="shared" si="168"/>
        <v>13.78323247</v>
      </c>
      <c r="CJ195" s="29">
        <f t="shared" si="168"/>
        <v>15.74281613</v>
      </c>
      <c r="CK195" s="29">
        <f t="shared" si="168"/>
        <v>14.47403145</v>
      </c>
      <c r="CL195" s="29">
        <f t="shared" si="168"/>
        <v>12.756683900000001</v>
      </c>
      <c r="CM195" s="29">
        <f t="shared" si="168"/>
        <v>56.75676395</v>
      </c>
      <c r="CN195" s="29">
        <f t="shared" si="168"/>
        <v>13.895401250000001</v>
      </c>
      <c r="CO195" s="29">
        <f t="shared" si="168"/>
        <v>11.16510231</v>
      </c>
      <c r="CP195" s="29">
        <f t="shared" si="168"/>
        <v>11.834370439999999</v>
      </c>
      <c r="CQ195" s="29">
        <f t="shared" si="168"/>
        <v>8.6721260000000004</v>
      </c>
      <c r="CR195" s="29">
        <f t="shared" si="168"/>
        <v>45.566999999999993</v>
      </c>
      <c r="CS195" s="29">
        <f t="shared" si="168"/>
        <v>12.221665959999999</v>
      </c>
      <c r="CT195" s="29">
        <f t="shared" si="168"/>
        <v>11.579333350000002</v>
      </c>
      <c r="CU195" s="29">
        <f t="shared" si="168"/>
        <v>9.7175301300000001</v>
      </c>
      <c r="CV195" s="29">
        <f t="shared" si="168"/>
        <v>8.466777050000001</v>
      </c>
      <c r="CW195" s="29">
        <f t="shared" si="168"/>
        <v>41.985306489999999</v>
      </c>
      <c r="CX195" s="29">
        <f t="shared" si="168"/>
        <v>12.285999999999998</v>
      </c>
      <c r="CY195" s="29">
        <f t="shared" si="168"/>
        <v>11.004000000000001</v>
      </c>
      <c r="CZ195" s="29">
        <f t="shared" si="168"/>
        <v>13.802099999999998</v>
      </c>
      <c r="DA195" s="29">
        <f t="shared" si="168"/>
        <v>12.519000000000002</v>
      </c>
      <c r="DB195" s="29">
        <f t="shared" si="168"/>
        <v>49.611099999999993</v>
      </c>
      <c r="DC195" s="29">
        <f t="shared" si="168"/>
        <v>14.667000000000002</v>
      </c>
      <c r="DD195" s="29">
        <f t="shared" si="168"/>
        <v>15.6736</v>
      </c>
      <c r="DE195" s="29">
        <f t="shared" si="168"/>
        <v>17.86</v>
      </c>
      <c r="DF195" s="29">
        <f t="shared" si="168"/>
        <v>16.648999999999997</v>
      </c>
      <c r="DG195" s="29">
        <f t="shared" si="168"/>
        <v>64.849600000000009</v>
      </c>
      <c r="DH195" s="29">
        <f t="shared" si="168"/>
        <v>16.672999999999998</v>
      </c>
      <c r="DI195" s="29">
        <f t="shared" si="168"/>
        <v>12.73</v>
      </c>
      <c r="DJ195" s="29">
        <f t="shared" si="168"/>
        <v>16.052999999999997</v>
      </c>
      <c r="DK195" s="29">
        <f t="shared" si="168"/>
        <v>32.994</v>
      </c>
      <c r="DL195" s="29">
        <f t="shared" si="168"/>
        <v>78.449999999999989</v>
      </c>
      <c r="DM195" s="29">
        <f t="shared" si="168"/>
        <v>18.667000000000002</v>
      </c>
      <c r="DN195" s="29">
        <f t="shared" si="168"/>
        <v>33.671000000000006</v>
      </c>
      <c r="DO195" s="29">
        <f t="shared" si="168"/>
        <v>29.401999999999997</v>
      </c>
      <c r="DP195" s="29">
        <f t="shared" si="168"/>
        <v>22.678000000000004</v>
      </c>
      <c r="DQ195" s="29">
        <f t="shared" si="168"/>
        <v>104.41800000000001</v>
      </c>
      <c r="DR195" s="29">
        <f t="shared" si="168"/>
        <v>27.268999999999995</v>
      </c>
      <c r="DS195" s="29">
        <f t="shared" si="168"/>
        <v>27.134</v>
      </c>
      <c r="DT195" s="29">
        <f t="shared" si="168"/>
        <v>39.378999999999998</v>
      </c>
      <c r="DU195" s="29">
        <f t="shared" ref="DU195:EA195" si="169">SUM(DU172:DU194)</f>
        <v>33.319000000000003</v>
      </c>
      <c r="DV195" s="29">
        <f t="shared" si="169"/>
        <v>127.101</v>
      </c>
      <c r="DW195" s="29">
        <f t="shared" si="169"/>
        <v>43.189</v>
      </c>
      <c r="DX195" s="29">
        <f t="shared" si="169"/>
        <v>33.404000000000003</v>
      </c>
      <c r="DY195" s="29">
        <f t="shared" si="169"/>
        <v>46.593189099999996</v>
      </c>
      <c r="DZ195" s="29">
        <f t="shared" si="169"/>
        <v>34.064844780000001</v>
      </c>
      <c r="EA195" s="29">
        <f t="shared" si="169"/>
        <v>157.25103388000002</v>
      </c>
      <c r="EB195" s="29">
        <f>SUM(EB172:EB194)</f>
        <v>45.500158250000005</v>
      </c>
      <c r="EC195" s="29">
        <f>SUM(EC172:EC194)</f>
        <v>41.499354289999999</v>
      </c>
      <c r="ED195" s="29">
        <f>SUM(ED172:ED194)</f>
        <v>35.959000000000003</v>
      </c>
      <c r="EE195" s="29">
        <f>SUM(EE172:EE194)</f>
        <v>63.715600549999991</v>
      </c>
      <c r="EF195" s="29">
        <f t="shared" ref="EF195" si="170">SUM(EF172:EF194)</f>
        <v>186.67411308999999</v>
      </c>
      <c r="EG195" s="29">
        <f>SUM(EG172:EG194)</f>
        <v>36.732604749999993</v>
      </c>
      <c r="EH195" s="29">
        <f>SUM(EH172:EH194)</f>
        <v>41.783554280000004</v>
      </c>
      <c r="EI195" s="29">
        <f>SUM(EI172:EI194)</f>
        <v>55.461665119999999</v>
      </c>
    </row>
    <row r="198" spans="1:139" x14ac:dyDescent="0.3">
      <c r="A198" s="3" t="s">
        <v>334</v>
      </c>
      <c r="B198" s="6" t="s">
        <v>4</v>
      </c>
      <c r="C198" s="6" t="s">
        <v>5</v>
      </c>
      <c r="D198" s="6" t="s">
        <v>6</v>
      </c>
      <c r="E198" s="6" t="s">
        <v>7</v>
      </c>
      <c r="F198" s="6">
        <v>2018</v>
      </c>
      <c r="G198" s="6" t="s">
        <v>8</v>
      </c>
      <c r="H198" s="6" t="s">
        <v>9</v>
      </c>
      <c r="I198" s="6" t="s">
        <v>10</v>
      </c>
      <c r="J198" s="6" t="s">
        <v>11</v>
      </c>
      <c r="K198" s="6">
        <v>2019</v>
      </c>
      <c r="L198" s="6" t="s">
        <v>12</v>
      </c>
      <c r="M198" s="6" t="s">
        <v>13</v>
      </c>
      <c r="N198" s="6" t="s">
        <v>14</v>
      </c>
      <c r="O198" s="6" t="s">
        <v>15</v>
      </c>
      <c r="P198" s="6">
        <v>2000</v>
      </c>
      <c r="Q198" s="6" t="s">
        <v>16</v>
      </c>
      <c r="R198" s="6" t="s">
        <v>17</v>
      </c>
      <c r="S198" s="6" t="s">
        <v>18</v>
      </c>
      <c r="T198" s="6" t="s">
        <v>19</v>
      </c>
      <c r="U198" s="6">
        <v>2001</v>
      </c>
      <c r="V198" s="6" t="s">
        <v>20</v>
      </c>
      <c r="W198" s="6" t="s">
        <v>21</v>
      </c>
      <c r="X198" s="6" t="s">
        <v>22</v>
      </c>
      <c r="Y198" s="6" t="s">
        <v>23</v>
      </c>
      <c r="Z198" s="6">
        <v>2002</v>
      </c>
      <c r="AA198" s="6" t="s">
        <v>24</v>
      </c>
      <c r="AB198" s="6" t="s">
        <v>25</v>
      </c>
      <c r="AC198" s="6" t="s">
        <v>26</v>
      </c>
      <c r="AD198" s="6" t="s">
        <v>27</v>
      </c>
      <c r="AE198" s="6">
        <v>2003</v>
      </c>
      <c r="AF198" s="6" t="s">
        <v>28</v>
      </c>
      <c r="AG198" s="6" t="s">
        <v>29</v>
      </c>
      <c r="AH198" s="6" t="s">
        <v>30</v>
      </c>
      <c r="AI198" s="6" t="s">
        <v>31</v>
      </c>
      <c r="AJ198" s="6">
        <v>2004</v>
      </c>
      <c r="AK198" s="6" t="s">
        <v>32</v>
      </c>
      <c r="AL198" s="6" t="s">
        <v>33</v>
      </c>
      <c r="AM198" s="6" t="s">
        <v>34</v>
      </c>
      <c r="AN198" s="6" t="s">
        <v>35</v>
      </c>
      <c r="AO198" s="6">
        <v>2005</v>
      </c>
      <c r="AP198" s="6" t="s">
        <v>36</v>
      </c>
      <c r="AQ198" s="6" t="s">
        <v>37</v>
      </c>
      <c r="AR198" s="6" t="s">
        <v>38</v>
      </c>
      <c r="AS198" s="6" t="s">
        <v>39</v>
      </c>
      <c r="AT198" s="6">
        <v>2006</v>
      </c>
      <c r="AU198" s="6" t="s">
        <v>40</v>
      </c>
      <c r="AV198" s="6" t="s">
        <v>41</v>
      </c>
      <c r="AW198" s="6" t="s">
        <v>42</v>
      </c>
      <c r="AX198" s="6" t="s">
        <v>43</v>
      </c>
      <c r="AY198" s="6">
        <v>2007</v>
      </c>
      <c r="AZ198" s="6" t="s">
        <v>44</v>
      </c>
      <c r="BA198" s="6" t="s">
        <v>45</v>
      </c>
      <c r="BB198" s="6" t="s">
        <v>46</v>
      </c>
      <c r="BC198" s="6" t="s">
        <v>47</v>
      </c>
      <c r="BD198" s="6">
        <v>2008</v>
      </c>
      <c r="BE198" s="6" t="s">
        <v>48</v>
      </c>
      <c r="BF198" s="6" t="s">
        <v>49</v>
      </c>
      <c r="BG198" s="6" t="s">
        <v>50</v>
      </c>
      <c r="BH198" s="6" t="s">
        <v>51</v>
      </c>
      <c r="BI198" s="6">
        <v>2009</v>
      </c>
      <c r="BJ198" s="6" t="s">
        <v>52</v>
      </c>
      <c r="BK198" s="6" t="s">
        <v>53</v>
      </c>
      <c r="BL198" s="6" t="s">
        <v>54</v>
      </c>
      <c r="BM198" s="6" t="s">
        <v>55</v>
      </c>
      <c r="BN198" s="6">
        <v>2010</v>
      </c>
      <c r="BO198" s="6" t="s">
        <v>56</v>
      </c>
      <c r="BP198" s="6" t="s">
        <v>57</v>
      </c>
      <c r="BQ198" s="6" t="s">
        <v>58</v>
      </c>
      <c r="BR198" s="6" t="s">
        <v>59</v>
      </c>
      <c r="BS198" s="6">
        <v>2011</v>
      </c>
      <c r="BT198" s="6" t="s">
        <v>60</v>
      </c>
      <c r="BU198" s="6" t="s">
        <v>61</v>
      </c>
      <c r="BV198" s="6" t="s">
        <v>62</v>
      </c>
      <c r="BW198" s="6" t="s">
        <v>63</v>
      </c>
      <c r="BX198" s="6">
        <v>2012</v>
      </c>
      <c r="BY198" s="6" t="s">
        <v>64</v>
      </c>
      <c r="BZ198" s="6" t="s">
        <v>65</v>
      </c>
      <c r="CA198" s="6" t="s">
        <v>66</v>
      </c>
      <c r="CB198" s="6" t="s">
        <v>67</v>
      </c>
      <c r="CC198" s="6">
        <v>2013</v>
      </c>
      <c r="CD198" s="6" t="s">
        <v>68</v>
      </c>
      <c r="CE198" s="6" t="s">
        <v>69</v>
      </c>
      <c r="CF198" s="6" t="s">
        <v>70</v>
      </c>
      <c r="CG198" s="6" t="s">
        <v>71</v>
      </c>
      <c r="CH198" s="6">
        <v>2014</v>
      </c>
      <c r="CI198" s="6" t="s">
        <v>72</v>
      </c>
      <c r="CJ198" s="6" t="s">
        <v>73</v>
      </c>
      <c r="CK198" s="6" t="s">
        <v>74</v>
      </c>
      <c r="CL198" s="6" t="s">
        <v>75</v>
      </c>
      <c r="CM198" s="6">
        <v>2015</v>
      </c>
      <c r="CN198" s="6" t="s">
        <v>76</v>
      </c>
      <c r="CO198" s="6" t="s">
        <v>77</v>
      </c>
      <c r="CP198" s="6" t="s">
        <v>78</v>
      </c>
      <c r="CQ198" s="6" t="s">
        <v>79</v>
      </c>
      <c r="CR198" s="6">
        <v>2016</v>
      </c>
      <c r="CS198" s="6" t="s">
        <v>80</v>
      </c>
      <c r="CT198" s="6" t="s">
        <v>81</v>
      </c>
      <c r="CU198" s="6" t="s">
        <v>82</v>
      </c>
      <c r="CV198" s="6" t="s">
        <v>83</v>
      </c>
      <c r="CW198" s="6">
        <v>2017</v>
      </c>
      <c r="CX198" s="6" t="s">
        <v>84</v>
      </c>
      <c r="CY198" s="6" t="s">
        <v>85</v>
      </c>
      <c r="CZ198" s="6" t="s">
        <v>86</v>
      </c>
      <c r="DA198" s="6" t="s">
        <v>87</v>
      </c>
      <c r="DB198" s="6">
        <v>2018</v>
      </c>
      <c r="DC198" s="6" t="s">
        <v>88</v>
      </c>
      <c r="DD198" s="6" t="s">
        <v>89</v>
      </c>
      <c r="DE198" s="6" t="s">
        <v>90</v>
      </c>
      <c r="DF198" s="6" t="s">
        <v>91</v>
      </c>
      <c r="DG198" s="6">
        <v>2019</v>
      </c>
      <c r="DH198" s="6" t="s">
        <v>92</v>
      </c>
      <c r="DI198" s="6" t="s">
        <v>93</v>
      </c>
      <c r="DJ198" s="6" t="s">
        <v>94</v>
      </c>
      <c r="DK198" s="6" t="s">
        <v>95</v>
      </c>
      <c r="DL198" s="6">
        <v>2020</v>
      </c>
      <c r="DM198" s="6" t="s">
        <v>96</v>
      </c>
      <c r="DN198" s="6" t="s">
        <v>97</v>
      </c>
      <c r="DO198" s="6" t="s">
        <v>98</v>
      </c>
      <c r="DP198" s="6" t="s">
        <v>99</v>
      </c>
      <c r="DQ198" s="6">
        <v>2021</v>
      </c>
      <c r="DR198" s="6" t="s">
        <v>100</v>
      </c>
      <c r="DS198" s="6" t="s">
        <v>101</v>
      </c>
      <c r="DT198" s="6" t="s">
        <v>200</v>
      </c>
      <c r="DU198" s="6" t="s">
        <v>380</v>
      </c>
      <c r="DV198" s="6">
        <v>2022</v>
      </c>
      <c r="DW198" s="6" t="s">
        <v>379</v>
      </c>
      <c r="DX198" s="6" t="s">
        <v>402</v>
      </c>
      <c r="DY198" s="6" t="s">
        <v>414</v>
      </c>
      <c r="DZ198" s="6" t="s">
        <v>419</v>
      </c>
      <c r="EA198" s="6">
        <v>2023</v>
      </c>
      <c r="EB198" s="6" t="s">
        <v>424</v>
      </c>
      <c r="EC198" s="6" t="s">
        <v>429</v>
      </c>
      <c r="ED198" s="6" t="str">
        <f>$ED$1</f>
        <v>3T24</v>
      </c>
      <c r="EE198" s="6" t="str">
        <f>$EE$1</f>
        <v>4T24</v>
      </c>
      <c r="EF198" s="6">
        <f>$EF$1</f>
        <v>2024</v>
      </c>
      <c r="EG198" s="6" t="str">
        <f>EG$1</f>
        <v>1T25</v>
      </c>
      <c r="EH198" s="6" t="str">
        <f>EH$1</f>
        <v>2T25</v>
      </c>
      <c r="EI198" s="6" t="str">
        <f>EI$1</f>
        <v>3T25</v>
      </c>
    </row>
    <row r="199" spans="1:139" ht="15" thickBot="1" x14ac:dyDescent="0.35">
      <c r="A199" s="4" t="s">
        <v>335</v>
      </c>
      <c r="B199" s="7" t="s">
        <v>102</v>
      </c>
      <c r="C199" s="7" t="s">
        <v>103</v>
      </c>
      <c r="D199" s="7" t="s">
        <v>104</v>
      </c>
      <c r="E199" s="7" t="s">
        <v>105</v>
      </c>
      <c r="F199" s="7">
        <v>2018</v>
      </c>
      <c r="G199" s="7" t="s">
        <v>106</v>
      </c>
      <c r="H199" s="7" t="s">
        <v>107</v>
      </c>
      <c r="I199" s="7" t="s">
        <v>108</v>
      </c>
      <c r="J199" s="7" t="s">
        <v>109</v>
      </c>
      <c r="K199" s="7">
        <v>2019</v>
      </c>
      <c r="L199" s="7" t="s">
        <v>110</v>
      </c>
      <c r="M199" s="7" t="s">
        <v>111</v>
      </c>
      <c r="N199" s="7" t="s">
        <v>112</v>
      </c>
      <c r="O199" s="7" t="s">
        <v>113</v>
      </c>
      <c r="P199" s="7">
        <v>2000</v>
      </c>
      <c r="Q199" s="7" t="s">
        <v>114</v>
      </c>
      <c r="R199" s="7" t="s">
        <v>115</v>
      </c>
      <c r="S199" s="7" t="s">
        <v>116</v>
      </c>
      <c r="T199" s="7" t="s">
        <v>117</v>
      </c>
      <c r="U199" s="7">
        <v>2001</v>
      </c>
      <c r="V199" s="7" t="s">
        <v>118</v>
      </c>
      <c r="W199" s="7" t="s">
        <v>119</v>
      </c>
      <c r="X199" s="7" t="s">
        <v>120</v>
      </c>
      <c r="Y199" s="7" t="s">
        <v>121</v>
      </c>
      <c r="Z199" s="7">
        <v>2002</v>
      </c>
      <c r="AA199" s="7" t="s">
        <v>122</v>
      </c>
      <c r="AB199" s="7" t="s">
        <v>123</v>
      </c>
      <c r="AC199" s="7" t="s">
        <v>124</v>
      </c>
      <c r="AD199" s="7" t="s">
        <v>125</v>
      </c>
      <c r="AE199" s="7">
        <v>2003</v>
      </c>
      <c r="AF199" s="7" t="s">
        <v>126</v>
      </c>
      <c r="AG199" s="7" t="s">
        <v>127</v>
      </c>
      <c r="AH199" s="7" t="s">
        <v>128</v>
      </c>
      <c r="AI199" s="7" t="s">
        <v>129</v>
      </c>
      <c r="AJ199" s="7">
        <v>2004</v>
      </c>
      <c r="AK199" s="7" t="s">
        <v>130</v>
      </c>
      <c r="AL199" s="7" t="s">
        <v>131</v>
      </c>
      <c r="AM199" s="7" t="s">
        <v>132</v>
      </c>
      <c r="AN199" s="7" t="s">
        <v>133</v>
      </c>
      <c r="AO199" s="7">
        <v>2005</v>
      </c>
      <c r="AP199" s="7" t="s">
        <v>134</v>
      </c>
      <c r="AQ199" s="7" t="s">
        <v>135</v>
      </c>
      <c r="AR199" s="7" t="s">
        <v>136</v>
      </c>
      <c r="AS199" s="7" t="s">
        <v>137</v>
      </c>
      <c r="AT199" s="7">
        <v>2006</v>
      </c>
      <c r="AU199" s="7" t="s">
        <v>138</v>
      </c>
      <c r="AV199" s="7" t="s">
        <v>139</v>
      </c>
      <c r="AW199" s="7" t="s">
        <v>140</v>
      </c>
      <c r="AX199" s="7" t="s">
        <v>141</v>
      </c>
      <c r="AY199" s="7">
        <v>2007</v>
      </c>
      <c r="AZ199" s="7" t="s">
        <v>142</v>
      </c>
      <c r="BA199" s="7" t="s">
        <v>143</v>
      </c>
      <c r="BB199" s="7" t="s">
        <v>144</v>
      </c>
      <c r="BC199" s="7" t="s">
        <v>145</v>
      </c>
      <c r="BD199" s="7">
        <v>2008</v>
      </c>
      <c r="BE199" s="7" t="s">
        <v>146</v>
      </c>
      <c r="BF199" s="7" t="s">
        <v>147</v>
      </c>
      <c r="BG199" s="7" t="s">
        <v>148</v>
      </c>
      <c r="BH199" s="7" t="s">
        <v>149</v>
      </c>
      <c r="BI199" s="7">
        <v>2009</v>
      </c>
      <c r="BJ199" s="7" t="s">
        <v>150</v>
      </c>
      <c r="BK199" s="7" t="s">
        <v>151</v>
      </c>
      <c r="BL199" s="7" t="s">
        <v>152</v>
      </c>
      <c r="BM199" s="7" t="s">
        <v>153</v>
      </c>
      <c r="BN199" s="7">
        <v>2010</v>
      </c>
      <c r="BO199" s="7" t="s">
        <v>154</v>
      </c>
      <c r="BP199" s="7" t="s">
        <v>155</v>
      </c>
      <c r="BQ199" s="7" t="s">
        <v>156</v>
      </c>
      <c r="BR199" s="7" t="s">
        <v>157</v>
      </c>
      <c r="BS199" s="7">
        <v>2011</v>
      </c>
      <c r="BT199" s="7" t="s">
        <v>158</v>
      </c>
      <c r="BU199" s="7" t="s">
        <v>159</v>
      </c>
      <c r="BV199" s="7" t="s">
        <v>160</v>
      </c>
      <c r="BW199" s="7" t="s">
        <v>161</v>
      </c>
      <c r="BX199" s="7">
        <v>2012</v>
      </c>
      <c r="BY199" s="7" t="s">
        <v>162</v>
      </c>
      <c r="BZ199" s="7" t="s">
        <v>163</v>
      </c>
      <c r="CA199" s="7" t="s">
        <v>164</v>
      </c>
      <c r="CB199" s="7" t="s">
        <v>165</v>
      </c>
      <c r="CC199" s="7">
        <v>2013</v>
      </c>
      <c r="CD199" s="7" t="s">
        <v>166</v>
      </c>
      <c r="CE199" s="7" t="s">
        <v>167</v>
      </c>
      <c r="CF199" s="7" t="s">
        <v>168</v>
      </c>
      <c r="CG199" s="7" t="s">
        <v>169</v>
      </c>
      <c r="CH199" s="7">
        <v>2014</v>
      </c>
      <c r="CI199" s="7" t="s">
        <v>170</v>
      </c>
      <c r="CJ199" s="7" t="s">
        <v>171</v>
      </c>
      <c r="CK199" s="7" t="s">
        <v>172</v>
      </c>
      <c r="CL199" s="7" t="s">
        <v>173</v>
      </c>
      <c r="CM199" s="7">
        <v>2015</v>
      </c>
      <c r="CN199" s="7" t="s">
        <v>174</v>
      </c>
      <c r="CO199" s="7" t="s">
        <v>175</v>
      </c>
      <c r="CP199" s="7" t="s">
        <v>176</v>
      </c>
      <c r="CQ199" s="7" t="s">
        <v>177</v>
      </c>
      <c r="CR199" s="7">
        <v>2016</v>
      </c>
      <c r="CS199" s="7" t="s">
        <v>178</v>
      </c>
      <c r="CT199" s="7" t="s">
        <v>179</v>
      </c>
      <c r="CU199" s="7" t="s">
        <v>180</v>
      </c>
      <c r="CV199" s="7" t="s">
        <v>181</v>
      </c>
      <c r="CW199" s="7">
        <v>2017</v>
      </c>
      <c r="CX199" s="7" t="s">
        <v>182</v>
      </c>
      <c r="CY199" s="7" t="s">
        <v>183</v>
      </c>
      <c r="CZ199" s="7" t="s">
        <v>184</v>
      </c>
      <c r="DA199" s="7" t="s">
        <v>185</v>
      </c>
      <c r="DB199" s="7">
        <v>2018</v>
      </c>
      <c r="DC199" s="7" t="s">
        <v>186</v>
      </c>
      <c r="DD199" s="7" t="s">
        <v>187</v>
      </c>
      <c r="DE199" s="7" t="s">
        <v>188</v>
      </c>
      <c r="DF199" s="7" t="s">
        <v>189</v>
      </c>
      <c r="DG199" s="7">
        <v>2019</v>
      </c>
      <c r="DH199" s="7" t="s">
        <v>190</v>
      </c>
      <c r="DI199" s="7" t="s">
        <v>191</v>
      </c>
      <c r="DJ199" s="7" t="s">
        <v>192</v>
      </c>
      <c r="DK199" s="7" t="s">
        <v>193</v>
      </c>
      <c r="DL199" s="7">
        <v>2020</v>
      </c>
      <c r="DM199" s="7" t="s">
        <v>194</v>
      </c>
      <c r="DN199" s="7" t="s">
        <v>195</v>
      </c>
      <c r="DO199" s="7" t="s">
        <v>196</v>
      </c>
      <c r="DP199" s="7" t="s">
        <v>197</v>
      </c>
      <c r="DQ199" s="7">
        <v>2021</v>
      </c>
      <c r="DR199" s="7" t="s">
        <v>198</v>
      </c>
      <c r="DS199" s="7" t="s">
        <v>199</v>
      </c>
      <c r="DT199" s="7" t="s">
        <v>201</v>
      </c>
      <c r="DU199" s="7" t="s">
        <v>381</v>
      </c>
      <c r="DV199" s="7">
        <v>2022</v>
      </c>
      <c r="DW199" s="7" t="s">
        <v>382</v>
      </c>
      <c r="DX199" s="7" t="s">
        <v>403</v>
      </c>
      <c r="DY199" s="7" t="s">
        <v>415</v>
      </c>
      <c r="DZ199" s="7" t="s">
        <v>420</v>
      </c>
      <c r="EA199" s="7">
        <v>2023</v>
      </c>
      <c r="EB199" s="7" t="s">
        <v>425</v>
      </c>
      <c r="EC199" s="7" t="s">
        <v>430</v>
      </c>
      <c r="ED199" s="7" t="str">
        <f>$ED$2</f>
        <v>3Q24</v>
      </c>
      <c r="EE199" s="6" t="str">
        <f>$EE$2</f>
        <v>4Q24</v>
      </c>
      <c r="EF199" s="6">
        <f>$EF$2</f>
        <v>2024</v>
      </c>
      <c r="EG199" s="7" t="str">
        <f>EG$2</f>
        <v>1Q25</v>
      </c>
      <c r="EH199" s="7" t="str">
        <f>EH$2</f>
        <v>2Q25</v>
      </c>
      <c r="EI199" s="7" t="str">
        <f>EI$2</f>
        <v>3Q25</v>
      </c>
    </row>
    <row r="200" spans="1:139" ht="15" thickTop="1" x14ac:dyDescent="0.3">
      <c r="A200" s="1" t="s">
        <v>2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27">
        <v>0.97332046999999999</v>
      </c>
      <c r="BK200" s="27">
        <v>0.97332046999999999</v>
      </c>
      <c r="BL200" s="27">
        <v>0.97332046999999999</v>
      </c>
      <c r="BM200" s="27">
        <v>0.97332046999999999</v>
      </c>
      <c r="BN200" s="27">
        <f>SUM(BJ200:BM200)</f>
        <v>3.89328188</v>
      </c>
      <c r="BO200" s="27">
        <v>1.37193009</v>
      </c>
      <c r="BP200" s="27">
        <v>1.37193009</v>
      </c>
      <c r="BQ200" s="27">
        <v>1.3719300900000004</v>
      </c>
      <c r="BR200" s="27">
        <v>1.3719300899999995</v>
      </c>
      <c r="BS200" s="27">
        <f>SUM(BO200:BR200)</f>
        <v>5.48772036</v>
      </c>
      <c r="BT200" s="27">
        <v>1.6156572900000001</v>
      </c>
      <c r="BU200" s="27">
        <v>1.6156572900000001</v>
      </c>
      <c r="BV200" s="27">
        <v>2.3713214300000001</v>
      </c>
      <c r="BW200" s="27">
        <v>1.62263073</v>
      </c>
      <c r="BX200" s="27">
        <f>SUM(BT200:BW200)</f>
        <v>7.2252667400000004</v>
      </c>
      <c r="BY200" s="27">
        <v>2.5831676699999999</v>
      </c>
      <c r="BZ200" s="27">
        <v>4.2087357700000005</v>
      </c>
      <c r="CA200" s="27">
        <v>1.5812851999999999</v>
      </c>
      <c r="CB200" s="27">
        <v>1.8408357299999984</v>
      </c>
      <c r="CC200" s="27">
        <f>SUM(BY200:CB200)</f>
        <v>10.214024369999999</v>
      </c>
      <c r="CD200" s="27">
        <v>1.4405527600000001</v>
      </c>
      <c r="CE200" s="27">
        <v>1.5102718399999997</v>
      </c>
      <c r="CF200" s="27">
        <v>1.4754123000000003</v>
      </c>
      <c r="CG200" s="27">
        <v>0.9718842099999998</v>
      </c>
      <c r="CH200" s="27">
        <f>SUM(CD200:CG200)</f>
        <v>5.3981211099999999</v>
      </c>
      <c r="CI200" s="27">
        <v>1.5219498600000001</v>
      </c>
      <c r="CJ200" s="27">
        <v>1.5219498600000001</v>
      </c>
      <c r="CK200" s="27">
        <v>1.5219498599999997</v>
      </c>
      <c r="CL200" s="27">
        <v>1.03448096</v>
      </c>
      <c r="CM200" s="27">
        <f>SUM(CI200:CL200)</f>
        <v>5.6003305399999999</v>
      </c>
      <c r="CN200" s="27">
        <v>1.47195396</v>
      </c>
      <c r="CO200" s="27">
        <v>1.47195396</v>
      </c>
      <c r="CP200" s="27">
        <v>1.4719539599999996</v>
      </c>
      <c r="CQ200" s="27">
        <f>6.491-SUM(CN200:CP200)</f>
        <v>2.0751381200000001</v>
      </c>
      <c r="CR200" s="27">
        <f>SUM(CN200:CQ200)</f>
        <v>6.4909999999999997</v>
      </c>
      <c r="CS200" s="27">
        <v>1.5289104599999999</v>
      </c>
      <c r="CT200" s="27">
        <v>1.5289104599999999</v>
      </c>
      <c r="CU200" s="27">
        <v>1.5289104600000003</v>
      </c>
      <c r="CV200" s="27">
        <v>2.9257091399999995</v>
      </c>
      <c r="CW200" s="27">
        <f>SUM(CS200:CV200)</f>
        <v>7.5124405199999993</v>
      </c>
      <c r="CX200" s="27">
        <v>3.911</v>
      </c>
      <c r="CY200" s="27">
        <v>3.911</v>
      </c>
      <c r="CZ200" s="27">
        <v>4.3369999999999997</v>
      </c>
      <c r="DA200" s="27">
        <v>24.73</v>
      </c>
      <c r="DB200" s="27">
        <f>SUM(CX200:DA200)</f>
        <v>36.888999999999996</v>
      </c>
      <c r="DC200" s="27">
        <v>2.9950000000000001</v>
      </c>
      <c r="DD200" s="27">
        <v>2.9950000000000001</v>
      </c>
      <c r="DE200" s="27">
        <v>9.7560000000000002</v>
      </c>
      <c r="DF200" s="27">
        <v>22.416</v>
      </c>
      <c r="DG200" s="27">
        <f>SUM(DC200:DF200)</f>
        <v>38.161999999999999</v>
      </c>
      <c r="DH200" s="27">
        <v>1.538</v>
      </c>
      <c r="DI200" s="27">
        <v>1.5569999999999999</v>
      </c>
      <c r="DJ200" s="27">
        <v>1.5940000000000001</v>
      </c>
      <c r="DK200" s="27">
        <v>10.852</v>
      </c>
      <c r="DL200" s="27">
        <f>SUM(DH200:DK200)</f>
        <v>15.541</v>
      </c>
      <c r="DM200" s="27">
        <v>0</v>
      </c>
      <c r="DN200" s="27">
        <v>0</v>
      </c>
      <c r="DO200" s="27">
        <v>0</v>
      </c>
      <c r="DP200" s="27">
        <v>-5.5149999999999997</v>
      </c>
      <c r="DQ200" s="27">
        <f>SUM(DM200:DP200)</f>
        <v>-5.5149999999999997</v>
      </c>
      <c r="DR200" s="27">
        <v>0</v>
      </c>
      <c r="DS200" s="27">
        <v>0</v>
      </c>
      <c r="DT200" s="27">
        <v>0</v>
      </c>
      <c r="DU200" s="27">
        <v>0</v>
      </c>
      <c r="DV200" s="27">
        <f>SUM(DR200:DU200)</f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f>SUM(DW200:DZ200)</f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f>SUM(EB200:EE200)</f>
        <v>0</v>
      </c>
      <c r="EG200" s="27">
        <v>0</v>
      </c>
      <c r="EH200" s="27">
        <v>0</v>
      </c>
      <c r="EI200" s="27">
        <v>0</v>
      </c>
    </row>
    <row r="201" spans="1:139" ht="15" thickBot="1" x14ac:dyDescent="0.35">
      <c r="A201" s="2" t="s">
        <v>454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28">
        <v>0.33760041000000002</v>
      </c>
      <c r="BK201" s="28">
        <v>0.33760041000000002</v>
      </c>
      <c r="BL201" s="28">
        <v>0.33760040999999991</v>
      </c>
      <c r="BM201" s="28">
        <v>0.33760041000000013</v>
      </c>
      <c r="BN201" s="28">
        <f t="shared" ref="BN201:BN211" si="171">SUM(BJ201:BM201)</f>
        <v>1.3504016400000001</v>
      </c>
      <c r="BO201" s="28">
        <v>0.56941052999999997</v>
      </c>
      <c r="BP201" s="28">
        <v>2.7701779900000001</v>
      </c>
      <c r="BQ201" s="28">
        <v>1.4177058499999995</v>
      </c>
      <c r="BR201" s="28">
        <v>1.2802370100000018</v>
      </c>
      <c r="BS201" s="28">
        <f t="shared" ref="BS201:BS211" si="172">SUM(BO201:BR201)</f>
        <v>6.0375313800000008</v>
      </c>
      <c r="BT201" s="28">
        <v>0.84110053000000007</v>
      </c>
      <c r="BU201" s="28">
        <v>0.33458192999999992</v>
      </c>
      <c r="BV201" s="28">
        <v>0.58453683000000001</v>
      </c>
      <c r="BW201" s="28">
        <v>-1.38146317</v>
      </c>
      <c r="BX201" s="28">
        <f t="shared" ref="BX201:BX211" si="173">SUM(BT201:BW201)</f>
        <v>0.37875612000000003</v>
      </c>
      <c r="BY201" s="28">
        <v>0.58453683000000001</v>
      </c>
      <c r="BZ201" s="28">
        <v>1.59912794</v>
      </c>
      <c r="CA201" s="28">
        <v>0.84182498000000017</v>
      </c>
      <c r="CB201" s="28">
        <v>0.59507447000000013</v>
      </c>
      <c r="CC201" s="28">
        <f t="shared" ref="CC201:CC211" si="174">SUM(BY201:CB201)</f>
        <v>3.6205642200000003</v>
      </c>
      <c r="CD201" s="28">
        <v>0.47058638000000003</v>
      </c>
      <c r="CE201" s="28">
        <v>0.6060703999999999</v>
      </c>
      <c r="CF201" s="28">
        <v>0.47058639000000008</v>
      </c>
      <c r="CG201" s="28">
        <v>0.36413031000000001</v>
      </c>
      <c r="CH201" s="28">
        <f t="shared" ref="CH201:CH211" si="175">SUM(CD201:CG201)</f>
        <v>1.91137348</v>
      </c>
      <c r="CI201" s="28">
        <v>0.78602150999999998</v>
      </c>
      <c r="CJ201" s="28">
        <v>0.78602150999999998</v>
      </c>
      <c r="CK201" s="28">
        <v>0.78602150999999976</v>
      </c>
      <c r="CL201" s="28">
        <v>0.61082247000000034</v>
      </c>
      <c r="CM201" s="28">
        <f t="shared" ref="CM201:CM211" si="176">SUM(CI201:CL201)</f>
        <v>2.9688870000000001</v>
      </c>
      <c r="CN201" s="28">
        <v>0.40457586000000001</v>
      </c>
      <c r="CO201" s="28">
        <v>0.40457586000000001</v>
      </c>
      <c r="CP201" s="28">
        <v>0.40457586000000001</v>
      </c>
      <c r="CQ201" s="28">
        <f>2.506-SUM(CN201:CP201)</f>
        <v>1.2922724199999998</v>
      </c>
      <c r="CR201" s="28">
        <f t="shared" ref="CR201:CR211" si="177">SUM(CN201:CQ201)</f>
        <v>2.5059999999999998</v>
      </c>
      <c r="CS201" s="28">
        <v>0.65499896999999996</v>
      </c>
      <c r="CT201" s="28">
        <v>1.8433008900000001</v>
      </c>
      <c r="CU201" s="28">
        <v>2.3729389099999998</v>
      </c>
      <c r="CV201" s="28">
        <v>8.2760374999999993</v>
      </c>
      <c r="CW201" s="28">
        <f t="shared" ref="CW201:DA211" si="178">SUM(CS201:CV201)</f>
        <v>13.147276269999999</v>
      </c>
      <c r="CX201" s="28">
        <v>2.8340000000000001</v>
      </c>
      <c r="CY201" s="28">
        <v>2.8340000000000001</v>
      </c>
      <c r="CZ201" s="28">
        <v>3.0059999999999998</v>
      </c>
      <c r="DA201" s="28">
        <v>2.6829999999999998</v>
      </c>
      <c r="DB201" s="28">
        <f t="shared" ref="DB201:DB211" si="179">SUM(CX201:DA201)</f>
        <v>11.356999999999999</v>
      </c>
      <c r="DC201" s="28">
        <v>2.1709999999999998</v>
      </c>
      <c r="DD201" s="28">
        <v>2.1709999999999998</v>
      </c>
      <c r="DE201" s="28">
        <v>2.1709999999999998</v>
      </c>
      <c r="DF201" s="28">
        <v>1.4999999999999999E-2</v>
      </c>
      <c r="DG201" s="28">
        <f t="shared" ref="DG201:DG211" si="180">SUM(DC201:DF201)</f>
        <v>6.5279999999999996</v>
      </c>
      <c r="DH201" s="28">
        <v>2.4580000000000002</v>
      </c>
      <c r="DI201" s="28">
        <v>2.1880000000000002</v>
      </c>
      <c r="DJ201" s="28">
        <v>1.6479999999999999</v>
      </c>
      <c r="DK201" s="28">
        <v>-0.32400000000000001</v>
      </c>
      <c r="DL201" s="28">
        <f t="shared" ref="DL201:DL211" si="181">SUM(DH201:DK201)</f>
        <v>5.9700000000000006</v>
      </c>
      <c r="DM201" s="28">
        <v>2.5009999999999999</v>
      </c>
      <c r="DN201" s="28">
        <v>2.5489999999999999</v>
      </c>
      <c r="DO201" s="28">
        <v>2.5249999999999999</v>
      </c>
      <c r="DP201" s="28">
        <v>3.5539999999999998</v>
      </c>
      <c r="DQ201" s="28">
        <f t="shared" ref="DQ201:DQ211" si="182">SUM(DM201:DP201)</f>
        <v>11.129</v>
      </c>
      <c r="DR201" s="28">
        <v>2.3330000000000002</v>
      </c>
      <c r="DS201" s="28">
        <v>3.3570000000000002</v>
      </c>
      <c r="DT201" s="28">
        <v>3.4889999999999999</v>
      </c>
      <c r="DU201" s="28">
        <v>3.0259999999999998</v>
      </c>
      <c r="DV201" s="28">
        <f t="shared" ref="DV201:DV211" si="183">SUM(DR201:DU201)</f>
        <v>12.205</v>
      </c>
      <c r="DW201" s="28">
        <v>2.6549999999999998</v>
      </c>
      <c r="DX201" s="28">
        <v>3.9809999999999999</v>
      </c>
      <c r="DY201" s="28">
        <v>4.0856158200000001</v>
      </c>
      <c r="DZ201" s="28">
        <v>2.5596386500000006</v>
      </c>
      <c r="EA201" s="28">
        <f t="shared" ref="EA201:EA212" si="184">SUM(DW201:DZ201)</f>
        <v>13.28125447</v>
      </c>
      <c r="EB201" s="28">
        <v>4.9269755700000006</v>
      </c>
      <c r="EC201" s="28">
        <v>1.7398922299999995</v>
      </c>
      <c r="ED201" s="28">
        <v>1.5840000000000001</v>
      </c>
      <c r="EE201" s="28">
        <v>2.2796690499999999</v>
      </c>
      <c r="EF201" s="28">
        <f t="shared" ref="EF201:EF212" si="185">SUM(EB201:EE201)</f>
        <v>10.530536850000001</v>
      </c>
      <c r="EG201" s="28">
        <v>0.34797436999999998</v>
      </c>
      <c r="EH201" s="28">
        <v>0.40862604000000002</v>
      </c>
      <c r="EI201" s="28">
        <v>0.38069794000000007</v>
      </c>
    </row>
    <row r="202" spans="1:139" ht="15" thickTop="1" x14ac:dyDescent="0.3">
      <c r="A202" s="1" t="s">
        <v>442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27">
        <v>3.9856593999999999</v>
      </c>
      <c r="BK202" s="27">
        <v>4.0279368700000013</v>
      </c>
      <c r="BL202" s="27">
        <v>4.507461039999999</v>
      </c>
      <c r="BM202" s="27">
        <v>6.7004546699999992</v>
      </c>
      <c r="BN202" s="27">
        <f t="shared" si="171"/>
        <v>19.221511979999999</v>
      </c>
      <c r="BO202" s="27">
        <v>6.8464841100000005</v>
      </c>
      <c r="BP202" s="27">
        <v>13.076249069999998</v>
      </c>
      <c r="BQ202" s="27">
        <v>9.8036771200000015</v>
      </c>
      <c r="BR202" s="27">
        <v>11.449594469999999</v>
      </c>
      <c r="BS202" s="27">
        <f t="shared" si="172"/>
        <v>41.176004769999999</v>
      </c>
      <c r="BT202" s="27">
        <v>9.3649398799999997</v>
      </c>
      <c r="BU202" s="27">
        <v>7.3398085899999987</v>
      </c>
      <c r="BV202" s="27">
        <v>12.864995819999999</v>
      </c>
      <c r="BW202" s="27">
        <v>15.301545380000002</v>
      </c>
      <c r="BX202" s="27">
        <f t="shared" si="173"/>
        <v>44.871289669999996</v>
      </c>
      <c r="BY202" s="27">
        <v>7.1758059999999997</v>
      </c>
      <c r="BZ202" s="27">
        <v>8.8235977100000014</v>
      </c>
      <c r="CA202" s="27">
        <v>8.1779094199999971</v>
      </c>
      <c r="CB202" s="27">
        <v>12.162452849999996</v>
      </c>
      <c r="CC202" s="27">
        <f t="shared" si="174"/>
        <v>36.339765979999996</v>
      </c>
      <c r="CD202" s="27">
        <v>6.9063085400000004</v>
      </c>
      <c r="CE202" s="27">
        <v>12.13952699</v>
      </c>
      <c r="CF202" s="27">
        <v>10.48060658</v>
      </c>
      <c r="CG202" s="27">
        <v>19.094200840000003</v>
      </c>
      <c r="CH202" s="27">
        <f t="shared" si="175"/>
        <v>48.620642950000004</v>
      </c>
      <c r="CI202" s="27">
        <v>10.61068244</v>
      </c>
      <c r="CJ202" s="27">
        <v>12.904160480000003</v>
      </c>
      <c r="CK202" s="27">
        <v>16.07681857</v>
      </c>
      <c r="CL202" s="27">
        <v>10.493352329999999</v>
      </c>
      <c r="CM202" s="27">
        <f t="shared" si="176"/>
        <v>50.085013820000007</v>
      </c>
      <c r="CN202" s="27">
        <v>8.2105076500000003</v>
      </c>
      <c r="CO202" s="27">
        <v>16.135868850000001</v>
      </c>
      <c r="CP202" s="27">
        <v>12.536961719999997</v>
      </c>
      <c r="CQ202" s="27">
        <f>55.433-SUM(CN202:CP202)</f>
        <v>18.549661780000001</v>
      </c>
      <c r="CR202" s="27">
        <f t="shared" si="177"/>
        <v>55.433</v>
      </c>
      <c r="CS202" s="27">
        <v>9.1879709700000003</v>
      </c>
      <c r="CT202" s="27">
        <v>10.1972115</v>
      </c>
      <c r="CU202" s="27">
        <v>14.784260069999997</v>
      </c>
      <c r="CV202" s="27">
        <v>13.239981369999997</v>
      </c>
      <c r="CW202" s="27">
        <f t="shared" si="178"/>
        <v>47.409423909999994</v>
      </c>
      <c r="CX202" s="27">
        <v>7.44</v>
      </c>
      <c r="CY202" s="27">
        <v>-7.6219999999999999</v>
      </c>
      <c r="CZ202" s="27">
        <v>6.9189999999999996</v>
      </c>
      <c r="DA202" s="27">
        <v>8.2360000000000007</v>
      </c>
      <c r="DB202" s="27">
        <f t="shared" si="179"/>
        <v>14.973000000000001</v>
      </c>
      <c r="DC202" s="27">
        <v>9.0239999999999991</v>
      </c>
      <c r="DD202" s="27">
        <v>9.0239999999999991</v>
      </c>
      <c r="DE202" s="27">
        <v>9.0239999999999991</v>
      </c>
      <c r="DF202" s="27">
        <v>-18.149999999999999</v>
      </c>
      <c r="DG202" s="27">
        <f t="shared" si="180"/>
        <v>8.921999999999997</v>
      </c>
      <c r="DH202" s="27">
        <v>6.8220000000000001</v>
      </c>
      <c r="DI202" s="27">
        <v>6.1820000000000004</v>
      </c>
      <c r="DJ202" s="27">
        <v>4.9020000000000001</v>
      </c>
      <c r="DK202" s="27">
        <v>-13.37</v>
      </c>
      <c r="DL202" s="27">
        <f t="shared" si="181"/>
        <v>4.5360000000000031</v>
      </c>
      <c r="DM202" s="27">
        <v>3.9449999999999998</v>
      </c>
      <c r="DN202" s="27">
        <v>3.8380000000000001</v>
      </c>
      <c r="DO202" s="27">
        <v>3.8919999999999999</v>
      </c>
      <c r="DP202" s="27">
        <v>-15.18</v>
      </c>
      <c r="DQ202" s="27">
        <f t="shared" si="182"/>
        <v>-3.5050000000000008</v>
      </c>
      <c r="DR202" s="27">
        <v>0</v>
      </c>
      <c r="DS202" s="27">
        <v>0</v>
      </c>
      <c r="DT202" s="27">
        <v>0</v>
      </c>
      <c r="DU202" s="27">
        <v>0</v>
      </c>
      <c r="DV202" s="27">
        <f t="shared" si="183"/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f t="shared" si="184"/>
        <v>0</v>
      </c>
      <c r="EB202" s="27">
        <v>0</v>
      </c>
      <c r="EC202" s="27">
        <v>2.1874224099999999</v>
      </c>
      <c r="ED202" s="27">
        <v>3.8039999999999998</v>
      </c>
      <c r="EE202" s="27">
        <v>4.6327460599999988</v>
      </c>
      <c r="EF202" s="27">
        <f t="shared" si="185"/>
        <v>10.624168469999999</v>
      </c>
      <c r="EG202" s="27">
        <v>0.80559886000000003</v>
      </c>
      <c r="EH202" s="27">
        <v>3.2077283400000005</v>
      </c>
      <c r="EI202" s="27">
        <v>2.5618578499999995</v>
      </c>
    </row>
    <row r="203" spans="1:139" ht="15" thickBot="1" x14ac:dyDescent="0.35">
      <c r="A203" s="2" t="s">
        <v>3</v>
      </c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28">
        <v>4.22518555</v>
      </c>
      <c r="BK203" s="28">
        <v>4.22518555</v>
      </c>
      <c r="BL203" s="28">
        <v>4.2251855500000017</v>
      </c>
      <c r="BM203" s="28">
        <v>8.6952343899999995</v>
      </c>
      <c r="BN203" s="28">
        <f t="shared" si="171"/>
        <v>21.37079104</v>
      </c>
      <c r="BO203" s="28">
        <v>5.0256087799999998</v>
      </c>
      <c r="BP203" s="28">
        <v>6.3480615299999998</v>
      </c>
      <c r="BQ203" s="28">
        <v>6.610991740000002</v>
      </c>
      <c r="BR203" s="28">
        <v>6.9710194199999966</v>
      </c>
      <c r="BS203" s="28">
        <f t="shared" si="172"/>
        <v>24.955681469999998</v>
      </c>
      <c r="BT203" s="28">
        <v>4.2578023499999995</v>
      </c>
      <c r="BU203" s="28">
        <v>4.2578023499999995</v>
      </c>
      <c r="BV203" s="28">
        <v>4.2578023800000002</v>
      </c>
      <c r="BW203" s="28">
        <v>9.6802272300000034</v>
      </c>
      <c r="BX203" s="28">
        <f t="shared" si="173"/>
        <v>22.453634310000002</v>
      </c>
      <c r="BY203" s="28">
        <v>5.2692008599999998</v>
      </c>
      <c r="BZ203" s="28">
        <v>7.9719631500000006</v>
      </c>
      <c r="CA203" s="28">
        <v>3.3168517899999994</v>
      </c>
      <c r="CB203" s="28">
        <v>5.2865921099999991</v>
      </c>
      <c r="CC203" s="28">
        <f t="shared" si="174"/>
        <v>21.844607910000001</v>
      </c>
      <c r="CD203" s="28">
        <v>6.6659191700000004</v>
      </c>
      <c r="CE203" s="28">
        <v>14.731982029999999</v>
      </c>
      <c r="CF203" s="28">
        <v>9.9447859199999957</v>
      </c>
      <c r="CG203" s="28">
        <v>10.929890820000013</v>
      </c>
      <c r="CH203" s="28">
        <f t="shared" si="175"/>
        <v>42.272577940000005</v>
      </c>
      <c r="CI203" s="28">
        <v>5.47423254</v>
      </c>
      <c r="CJ203" s="28">
        <v>5.5637702800000008</v>
      </c>
      <c r="CK203" s="28">
        <v>5.7692582399999983</v>
      </c>
      <c r="CL203" s="28">
        <v>5.9494809399999999</v>
      </c>
      <c r="CM203" s="28">
        <f t="shared" si="176"/>
        <v>22.756741999999999</v>
      </c>
      <c r="CN203" s="28">
        <v>4.7186575199999998</v>
      </c>
      <c r="CO203" s="28">
        <v>4.6655104199999995</v>
      </c>
      <c r="CP203" s="28">
        <v>5.1936106900000008</v>
      </c>
      <c r="CQ203" s="28">
        <f>25.421-SUM(CN203:CP203)</f>
        <v>10.843221369999998</v>
      </c>
      <c r="CR203" s="28">
        <f t="shared" si="177"/>
        <v>25.420999999999999</v>
      </c>
      <c r="CS203" s="28">
        <v>4.1376748499999998</v>
      </c>
      <c r="CT203" s="28">
        <v>3.6411733800000006</v>
      </c>
      <c r="CU203" s="28">
        <v>12.536276279999999</v>
      </c>
      <c r="CV203" s="28">
        <v>13.030940509999997</v>
      </c>
      <c r="CW203" s="28">
        <f t="shared" si="178"/>
        <v>33.346065019999998</v>
      </c>
      <c r="CX203" s="28">
        <v>7.0090000000000003</v>
      </c>
      <c r="CY203" s="28">
        <v>7.0090000000000003</v>
      </c>
      <c r="CZ203" s="28">
        <v>7.8659999999999997</v>
      </c>
      <c r="DA203" s="28">
        <v>44.302999999999997</v>
      </c>
      <c r="DB203" s="28">
        <f t="shared" si="179"/>
        <v>66.186999999999998</v>
      </c>
      <c r="DC203" s="28">
        <v>3.722</v>
      </c>
      <c r="DD203" s="28">
        <v>3.722</v>
      </c>
      <c r="DE203" s="28">
        <v>5.4459999999999997</v>
      </c>
      <c r="DF203" s="28">
        <v>33.930999999999997</v>
      </c>
      <c r="DG203" s="28">
        <f t="shared" si="180"/>
        <v>46.820999999999998</v>
      </c>
      <c r="DH203" s="28">
        <v>2.17</v>
      </c>
      <c r="DI203" s="28">
        <v>2.0609999999999999</v>
      </c>
      <c r="DJ203" s="28">
        <v>1.843</v>
      </c>
      <c r="DK203" s="28">
        <v>9.3680000000000003</v>
      </c>
      <c r="DL203" s="28">
        <f t="shared" si="181"/>
        <v>15.442</v>
      </c>
      <c r="DM203" s="28">
        <v>0</v>
      </c>
      <c r="DN203" s="28">
        <v>0</v>
      </c>
      <c r="DO203" s="28">
        <v>0</v>
      </c>
      <c r="DP203" s="28">
        <v>-11.75</v>
      </c>
      <c r="DQ203" s="28">
        <f t="shared" si="182"/>
        <v>-11.75</v>
      </c>
      <c r="DR203" s="28">
        <v>0</v>
      </c>
      <c r="DS203" s="28">
        <v>0</v>
      </c>
      <c r="DT203" s="28">
        <v>0</v>
      </c>
      <c r="DU203" s="28">
        <v>0</v>
      </c>
      <c r="DV203" s="28">
        <f t="shared" si="183"/>
        <v>0</v>
      </c>
      <c r="DW203" s="28">
        <v>0</v>
      </c>
      <c r="DX203" s="28">
        <v>0</v>
      </c>
      <c r="DY203" s="28">
        <v>0</v>
      </c>
      <c r="DZ203" s="28">
        <v>0</v>
      </c>
      <c r="EA203" s="28">
        <f t="shared" si="184"/>
        <v>0</v>
      </c>
      <c r="EB203" s="28">
        <v>0</v>
      </c>
      <c r="EC203" s="28">
        <v>0</v>
      </c>
      <c r="ED203" s="28">
        <v>0</v>
      </c>
      <c r="EE203" s="28">
        <v>0</v>
      </c>
      <c r="EF203" s="28">
        <f t="shared" si="185"/>
        <v>0</v>
      </c>
      <c r="EG203" s="28">
        <v>0</v>
      </c>
      <c r="EH203" s="28">
        <v>0</v>
      </c>
      <c r="EI203" s="28">
        <v>0</v>
      </c>
    </row>
    <row r="204" spans="1:139" ht="15" thickTop="1" x14ac:dyDescent="0.3">
      <c r="A204" s="1" t="s">
        <v>443</v>
      </c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27">
        <v>0.58700668</v>
      </c>
      <c r="BK204" s="27">
        <v>0.58700668</v>
      </c>
      <c r="BL204" s="27">
        <v>0.58700668</v>
      </c>
      <c r="BM204" s="27">
        <v>0.58700668</v>
      </c>
      <c r="BN204" s="27">
        <f t="shared" si="171"/>
        <v>2.34802672</v>
      </c>
      <c r="BO204" s="27">
        <v>0.47766117000000002</v>
      </c>
      <c r="BP204" s="27">
        <v>0.47766117000000002</v>
      </c>
      <c r="BQ204" s="27">
        <v>1.0358594800000001</v>
      </c>
      <c r="BR204" s="27">
        <v>0.66372729000000019</v>
      </c>
      <c r="BS204" s="27">
        <f t="shared" si="172"/>
        <v>2.6549091100000002</v>
      </c>
      <c r="BT204" s="27">
        <v>0.41651801999999999</v>
      </c>
      <c r="BU204" s="27">
        <v>0.41651801999999999</v>
      </c>
      <c r="BV204" s="27">
        <v>0.41651801999999988</v>
      </c>
      <c r="BW204" s="27">
        <v>-1.0652589499999998</v>
      </c>
      <c r="BX204" s="27">
        <f t="shared" si="173"/>
        <v>0.1842951100000001</v>
      </c>
      <c r="BY204" s="27">
        <v>0.41651801999999999</v>
      </c>
      <c r="BZ204" s="27">
        <v>1.0274517299999999</v>
      </c>
      <c r="CA204" s="27">
        <v>0.72198485999999962</v>
      </c>
      <c r="CB204" s="27">
        <v>0.72198486000000006</v>
      </c>
      <c r="CC204" s="27">
        <f t="shared" si="174"/>
        <v>2.8879394699999996</v>
      </c>
      <c r="CD204" s="27">
        <v>2.8959860399999999</v>
      </c>
      <c r="CE204" s="27">
        <v>3.4006257600000001</v>
      </c>
      <c r="CF204" s="27">
        <v>3.1483058999999991</v>
      </c>
      <c r="CG204" s="27">
        <v>-3.9513798399999991</v>
      </c>
      <c r="CH204" s="27">
        <f t="shared" si="175"/>
        <v>5.49353786</v>
      </c>
      <c r="CI204" s="27">
        <v>2.5501902400000001</v>
      </c>
      <c r="CJ204" s="27">
        <v>2.0172994299999996</v>
      </c>
      <c r="CK204" s="27">
        <v>1.8233914100000002</v>
      </c>
      <c r="CL204" s="27">
        <v>1.76343052</v>
      </c>
      <c r="CM204" s="27">
        <f t="shared" si="176"/>
        <v>8.1543115999999998</v>
      </c>
      <c r="CN204" s="27">
        <v>1.4144974800000001</v>
      </c>
      <c r="CO204" s="27">
        <v>1.4144974800000001</v>
      </c>
      <c r="CP204" s="27">
        <v>1.4144974800000005</v>
      </c>
      <c r="CQ204" s="27">
        <f>5.858-SUM(CN204:CP204)</f>
        <v>1.614507559999999</v>
      </c>
      <c r="CR204" s="27">
        <f t="shared" si="177"/>
        <v>5.8579999999999997</v>
      </c>
      <c r="CS204" s="27">
        <v>1.4970797499999999</v>
      </c>
      <c r="CT204" s="27">
        <v>1.4970797400000004</v>
      </c>
      <c r="CU204" s="27">
        <v>1.5510895299999998</v>
      </c>
      <c r="CV204" s="27">
        <v>2.3023106800000006</v>
      </c>
      <c r="CW204" s="27">
        <f t="shared" si="178"/>
        <v>6.8475597000000006</v>
      </c>
      <c r="CX204" s="27">
        <v>1.796</v>
      </c>
      <c r="CY204" s="27">
        <v>1.796</v>
      </c>
      <c r="CZ204" s="27">
        <v>1.6879999999999999</v>
      </c>
      <c r="DA204" s="27">
        <v>7.13</v>
      </c>
      <c r="DB204" s="27">
        <f t="shared" si="179"/>
        <v>12.41</v>
      </c>
      <c r="DC204" s="27">
        <v>12.984999999999999</v>
      </c>
      <c r="DD204" s="27">
        <v>12.984999999999999</v>
      </c>
      <c r="DE204" s="27">
        <v>12.984999999999999</v>
      </c>
      <c r="DF204" s="27">
        <v>12.725</v>
      </c>
      <c r="DG204" s="27">
        <f t="shared" si="180"/>
        <v>51.68</v>
      </c>
      <c r="DH204" s="27">
        <v>5.81</v>
      </c>
      <c r="DI204" s="27">
        <v>5.4669999999999996</v>
      </c>
      <c r="DJ204" s="27">
        <v>4.782</v>
      </c>
      <c r="DK204" s="27">
        <v>4.782</v>
      </c>
      <c r="DL204" s="27">
        <f t="shared" si="181"/>
        <v>20.840999999999998</v>
      </c>
      <c r="DM204" s="27">
        <v>9.2579999999999991</v>
      </c>
      <c r="DN204" s="27">
        <v>7.9219999999999997</v>
      </c>
      <c r="DO204" s="27">
        <v>8.59</v>
      </c>
      <c r="DP204" s="27">
        <v>-19.242999999999999</v>
      </c>
      <c r="DQ204" s="27">
        <f t="shared" si="182"/>
        <v>6.527000000000001</v>
      </c>
      <c r="DR204" s="27">
        <v>3.5379999999999998</v>
      </c>
      <c r="DS204" s="27">
        <v>6.0449999999999999</v>
      </c>
      <c r="DT204" s="27">
        <v>3.6659999999999999</v>
      </c>
      <c r="DU204" s="27">
        <v>2.0219999999999998</v>
      </c>
      <c r="DV204" s="27">
        <f t="shared" si="183"/>
        <v>15.271000000000001</v>
      </c>
      <c r="DW204" s="27">
        <v>2.069</v>
      </c>
      <c r="DX204" s="27">
        <v>4.0460000000000003</v>
      </c>
      <c r="DY204" s="27">
        <v>3.5259486500000015</v>
      </c>
      <c r="DZ204" s="27">
        <v>-0.8794703000000007</v>
      </c>
      <c r="EA204" s="27">
        <f t="shared" si="184"/>
        <v>8.7614783500000009</v>
      </c>
      <c r="EB204" s="27">
        <v>1.4681225900000001</v>
      </c>
      <c r="EC204" s="27">
        <v>3.7073335200000006</v>
      </c>
      <c r="ED204" s="27">
        <v>3.2450000000000001</v>
      </c>
      <c r="EE204" s="27">
        <v>10.329380619999998</v>
      </c>
      <c r="EF204" s="27">
        <f t="shared" si="185"/>
        <v>18.749836729999998</v>
      </c>
      <c r="EG204" s="27">
        <v>1.36716181</v>
      </c>
      <c r="EH204" s="27">
        <v>2.89469361</v>
      </c>
      <c r="EI204" s="27">
        <v>2.2688931700000001</v>
      </c>
    </row>
    <row r="205" spans="1:139" ht="15" thickBot="1" x14ac:dyDescent="0.35">
      <c r="A205" s="2" t="s">
        <v>481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28">
        <v>0</v>
      </c>
      <c r="BK205" s="28">
        <v>0</v>
      </c>
      <c r="BL205" s="28">
        <v>0</v>
      </c>
      <c r="BM205" s="28">
        <v>0</v>
      </c>
      <c r="BN205" s="28">
        <f t="shared" si="171"/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f t="shared" si="172"/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f t="shared" si="173"/>
        <v>0</v>
      </c>
      <c r="BY205" s="28">
        <v>0</v>
      </c>
      <c r="BZ205" s="28">
        <v>0</v>
      </c>
      <c r="CA205" s="28">
        <v>0</v>
      </c>
      <c r="CB205" s="28">
        <v>0</v>
      </c>
      <c r="CC205" s="28">
        <f t="shared" si="174"/>
        <v>0</v>
      </c>
      <c r="CD205" s="28">
        <v>0</v>
      </c>
      <c r="CE205" s="28">
        <v>0.45662218999999998</v>
      </c>
      <c r="CF205" s="28">
        <v>0.68493329999999997</v>
      </c>
      <c r="CG205" s="28">
        <v>0.41649973000000001</v>
      </c>
      <c r="CH205" s="28">
        <f t="shared" si="175"/>
        <v>1.55805522</v>
      </c>
      <c r="CI205" s="28">
        <v>0.98053559999999995</v>
      </c>
      <c r="CJ205" s="28">
        <v>0.98053559999999995</v>
      </c>
      <c r="CK205" s="28">
        <v>0.98053559999999973</v>
      </c>
      <c r="CL205" s="28">
        <v>-0.61992943999999972</v>
      </c>
      <c r="CM205" s="28">
        <f t="shared" si="176"/>
        <v>2.3216773599999998</v>
      </c>
      <c r="CN205" s="28">
        <v>1.0365654</v>
      </c>
      <c r="CO205" s="28">
        <v>1.0365654</v>
      </c>
      <c r="CP205" s="28">
        <v>1.0365654000000004</v>
      </c>
      <c r="CQ205" s="28">
        <f>6.59-SUM(CN205:CP205)</f>
        <v>3.4803037999999997</v>
      </c>
      <c r="CR205" s="28">
        <f t="shared" si="177"/>
        <v>6.59</v>
      </c>
      <c r="CS205" s="28">
        <v>2.71984878</v>
      </c>
      <c r="CT205" s="28">
        <v>2.71984878</v>
      </c>
      <c r="CU205" s="28">
        <v>2.7198487800000009</v>
      </c>
      <c r="CV205" s="28">
        <v>-6.5075694200000012</v>
      </c>
      <c r="CW205" s="28">
        <f t="shared" si="178"/>
        <v>1.6519769199999992</v>
      </c>
      <c r="CX205" s="28">
        <v>2.9489999999999998</v>
      </c>
      <c r="CY205" s="28">
        <v>2.9489999999999998</v>
      </c>
      <c r="CZ205" s="28">
        <v>3.1179999999999999</v>
      </c>
      <c r="DA205" s="28">
        <v>-18.129000000000001</v>
      </c>
      <c r="DB205" s="28">
        <f t="shared" si="179"/>
        <v>-9.1130000000000013</v>
      </c>
      <c r="DC205" s="28">
        <v>2.7330000000000001</v>
      </c>
      <c r="DD205" s="28">
        <v>2.7330000000000001</v>
      </c>
      <c r="DE205" s="28">
        <v>2.7330000000000001</v>
      </c>
      <c r="DF205" s="28">
        <v>9.3149999999999995</v>
      </c>
      <c r="DG205" s="28">
        <f t="shared" si="180"/>
        <v>17.513999999999999</v>
      </c>
      <c r="DH205" s="28">
        <v>4.6619999999999999</v>
      </c>
      <c r="DI205" s="28">
        <v>4.2530000000000001</v>
      </c>
      <c r="DJ205" s="28">
        <v>3.4329999999999998</v>
      </c>
      <c r="DK205" s="28">
        <v>3.145</v>
      </c>
      <c r="DL205" s="28">
        <f t="shared" si="181"/>
        <v>15.492999999999999</v>
      </c>
      <c r="DM205" s="28">
        <v>6.9550000000000001</v>
      </c>
      <c r="DN205" s="28">
        <v>6.9550000000000001</v>
      </c>
      <c r="DO205" s="28">
        <v>6.9550000000000001</v>
      </c>
      <c r="DP205" s="28">
        <v>11.34</v>
      </c>
      <c r="DQ205" s="28">
        <f t="shared" si="182"/>
        <v>32.204999999999998</v>
      </c>
      <c r="DR205" s="28">
        <v>5.77</v>
      </c>
      <c r="DS205" s="28">
        <v>8.8260000000000005</v>
      </c>
      <c r="DT205" s="28">
        <v>9.7739999999999991</v>
      </c>
      <c r="DU205" s="28">
        <v>3.8940000000000001</v>
      </c>
      <c r="DV205" s="28">
        <f t="shared" si="183"/>
        <v>28.263999999999996</v>
      </c>
      <c r="DW205" s="28">
        <v>6.3209999999999997</v>
      </c>
      <c r="DX205" s="28">
        <v>10.066000000000001</v>
      </c>
      <c r="DY205" s="28">
        <v>9.3489950600000018</v>
      </c>
      <c r="DZ205" s="28">
        <v>6.1259967799999977</v>
      </c>
      <c r="EA205" s="28">
        <f t="shared" si="184"/>
        <v>31.861991839999998</v>
      </c>
      <c r="EB205" s="28">
        <v>8.2246074299999989</v>
      </c>
      <c r="EC205" s="28">
        <v>8.2246074299999989</v>
      </c>
      <c r="ED205" s="28">
        <v>8.2249999999999996</v>
      </c>
      <c r="EE205" s="28">
        <v>8.2246074299999989</v>
      </c>
      <c r="EF205" s="28">
        <f t="shared" si="185"/>
        <v>32.898822289999998</v>
      </c>
      <c r="EG205" s="28">
        <v>7.95544224</v>
      </c>
      <c r="EH205" s="28">
        <v>7.95544224</v>
      </c>
      <c r="EI205" s="28">
        <v>7.9554422399999982</v>
      </c>
    </row>
    <row r="206" spans="1:139" ht="15" thickTop="1" x14ac:dyDescent="0.3">
      <c r="A206" s="1" t="s">
        <v>445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27">
        <v>0</v>
      </c>
      <c r="BK206" s="27">
        <v>0</v>
      </c>
      <c r="BL206" s="27">
        <v>0</v>
      </c>
      <c r="BM206" s="27">
        <v>0</v>
      </c>
      <c r="BN206" s="27">
        <f t="shared" si="171"/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f t="shared" si="172"/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f t="shared" si="173"/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f t="shared" si="174"/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f t="shared" si="175"/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f t="shared" si="176"/>
        <v>0</v>
      </c>
      <c r="CN206" s="27">
        <v>0</v>
      </c>
      <c r="CO206" s="27">
        <v>0</v>
      </c>
      <c r="CP206" s="27">
        <v>0</v>
      </c>
      <c r="CQ206" s="27">
        <v>2.431</v>
      </c>
      <c r="CR206" s="27">
        <f t="shared" si="177"/>
        <v>2.431</v>
      </c>
      <c r="CS206" s="27">
        <v>0.89798834999999999</v>
      </c>
      <c r="CT206" s="27">
        <v>1.10055711</v>
      </c>
      <c r="CU206" s="27">
        <v>0.89798835000000021</v>
      </c>
      <c r="CV206" s="27">
        <v>5.8158363899999976</v>
      </c>
      <c r="CW206" s="27">
        <f t="shared" si="178"/>
        <v>8.7123701999999987</v>
      </c>
      <c r="CX206" s="27">
        <v>1.024</v>
      </c>
      <c r="CY206" s="27">
        <v>1.024</v>
      </c>
      <c r="CZ206" s="27">
        <v>5.4139999999999997</v>
      </c>
      <c r="DA206" s="27">
        <v>2.85</v>
      </c>
      <c r="DB206" s="27">
        <f t="shared" si="179"/>
        <v>10.311999999999999</v>
      </c>
      <c r="DC206" s="27">
        <v>5.3159999999999998</v>
      </c>
      <c r="DD206" s="27">
        <v>5.3159999999999998</v>
      </c>
      <c r="DE206" s="27">
        <v>5.3159999999999998</v>
      </c>
      <c r="DF206" s="27">
        <v>4.5739999999999998</v>
      </c>
      <c r="DG206" s="27">
        <f t="shared" si="180"/>
        <v>20.521999999999998</v>
      </c>
      <c r="DH206" s="27">
        <v>2.069</v>
      </c>
      <c r="DI206" s="27">
        <v>1.8620000000000001</v>
      </c>
      <c r="DJ206" s="27">
        <v>1.448</v>
      </c>
      <c r="DK206" s="27">
        <v>3.774</v>
      </c>
      <c r="DL206" s="27">
        <f t="shared" si="181"/>
        <v>9.1529999999999987</v>
      </c>
      <c r="DM206" s="27">
        <v>2.3319999999999999</v>
      </c>
      <c r="DN206" s="27">
        <v>2.4470000000000001</v>
      </c>
      <c r="DO206" s="27">
        <v>2.3889999999999998</v>
      </c>
      <c r="DP206" s="27">
        <v>-8.1300000000000008</v>
      </c>
      <c r="DQ206" s="27">
        <f t="shared" si="182"/>
        <v>-0.96200000000000152</v>
      </c>
      <c r="DR206" s="27">
        <v>2.7149999999999999</v>
      </c>
      <c r="DS206" s="27">
        <v>2.89</v>
      </c>
      <c r="DT206" s="27">
        <v>1.466</v>
      </c>
      <c r="DU206" s="27">
        <v>-10.975</v>
      </c>
      <c r="DV206" s="27">
        <f t="shared" si="183"/>
        <v>-3.903999999999999</v>
      </c>
      <c r="DW206" s="27">
        <v>1.7909999999999999</v>
      </c>
      <c r="DX206" s="27">
        <v>1.8759999999999999</v>
      </c>
      <c r="DY206" s="27">
        <v>2.4253108500000002</v>
      </c>
      <c r="DZ206" s="27">
        <v>-0.56793919000000037</v>
      </c>
      <c r="EA206" s="27">
        <f t="shared" si="184"/>
        <v>5.5243716599999999</v>
      </c>
      <c r="EB206" s="27">
        <v>0.77021311999999997</v>
      </c>
      <c r="EC206" s="27">
        <v>0.71767080999999999</v>
      </c>
      <c r="ED206" s="27">
        <v>0.85699999999999998</v>
      </c>
      <c r="EE206" s="27">
        <v>-1.5878859999999999</v>
      </c>
      <c r="EF206" s="27">
        <f t="shared" si="185"/>
        <v>0.75699793000000004</v>
      </c>
      <c r="EG206" s="27">
        <v>0.78067672999999993</v>
      </c>
      <c r="EH206" s="27">
        <v>0.66342352999999998</v>
      </c>
      <c r="EI206" s="27">
        <v>0.92531553999999983</v>
      </c>
    </row>
    <row r="207" spans="1:139" ht="15" thickBot="1" x14ac:dyDescent="0.35">
      <c r="A207" s="2" t="s">
        <v>444</v>
      </c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28">
        <v>0</v>
      </c>
      <c r="BK207" s="28">
        <v>0</v>
      </c>
      <c r="BL207" s="28">
        <v>0</v>
      </c>
      <c r="BM207" s="28">
        <v>0</v>
      </c>
      <c r="BN207" s="28">
        <f t="shared" si="171"/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f t="shared" si="172"/>
        <v>0</v>
      </c>
      <c r="BT207" s="28">
        <v>0</v>
      </c>
      <c r="BU207" s="28">
        <v>0</v>
      </c>
      <c r="BV207" s="28">
        <v>0</v>
      </c>
      <c r="BW207" s="28">
        <v>0</v>
      </c>
      <c r="BX207" s="28">
        <f t="shared" si="173"/>
        <v>0</v>
      </c>
      <c r="BY207" s="28">
        <v>0</v>
      </c>
      <c r="BZ207" s="28">
        <v>0</v>
      </c>
      <c r="CA207" s="28">
        <v>0</v>
      </c>
      <c r="CB207" s="28">
        <v>0</v>
      </c>
      <c r="CC207" s="28">
        <f t="shared" si="174"/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f t="shared" si="175"/>
        <v>0</v>
      </c>
      <c r="CI207" s="28">
        <v>0</v>
      </c>
      <c r="CJ207" s="28">
        <v>0</v>
      </c>
      <c r="CK207" s="28">
        <v>0</v>
      </c>
      <c r="CL207" s="28">
        <v>0</v>
      </c>
      <c r="CM207" s="28">
        <f t="shared" si="176"/>
        <v>0</v>
      </c>
      <c r="CN207" s="28">
        <v>0</v>
      </c>
      <c r="CO207" s="28">
        <v>0</v>
      </c>
      <c r="CP207" s="28">
        <v>0</v>
      </c>
      <c r="CQ207" s="28">
        <v>0</v>
      </c>
      <c r="CR207" s="28">
        <f t="shared" si="177"/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f t="shared" si="178"/>
        <v>0</v>
      </c>
      <c r="CX207" s="28">
        <f t="shared" si="178"/>
        <v>0</v>
      </c>
      <c r="CY207" s="28">
        <f t="shared" si="178"/>
        <v>0</v>
      </c>
      <c r="CZ207" s="28">
        <f t="shared" si="178"/>
        <v>0</v>
      </c>
      <c r="DA207" s="28">
        <f t="shared" si="178"/>
        <v>0</v>
      </c>
      <c r="DB207" s="28">
        <f t="shared" si="179"/>
        <v>0</v>
      </c>
      <c r="DC207" s="28">
        <f>SUM(CY207:DB207)</f>
        <v>0</v>
      </c>
      <c r="DD207" s="28">
        <v>3.62</v>
      </c>
      <c r="DE207" s="28">
        <v>10.858000000000001</v>
      </c>
      <c r="DF207" s="28">
        <v>-5.0940000000000003</v>
      </c>
      <c r="DG207" s="28">
        <f t="shared" si="180"/>
        <v>9.3840000000000003</v>
      </c>
      <c r="DH207" s="28">
        <v>4.7080000000000002</v>
      </c>
      <c r="DI207" s="28">
        <v>4.9009999999999998</v>
      </c>
      <c r="DJ207" s="28">
        <v>5.29</v>
      </c>
      <c r="DK207" s="28">
        <v>5.8159999999999998</v>
      </c>
      <c r="DL207" s="28">
        <f t="shared" si="181"/>
        <v>20.715</v>
      </c>
      <c r="DM207" s="28">
        <v>4.3570000000000002</v>
      </c>
      <c r="DN207" s="28">
        <v>4.5279999999999996</v>
      </c>
      <c r="DO207" s="28">
        <v>4.4429999999999996</v>
      </c>
      <c r="DP207" s="28">
        <v>8.8140000000000001</v>
      </c>
      <c r="DQ207" s="28">
        <f t="shared" si="182"/>
        <v>22.141999999999999</v>
      </c>
      <c r="DR207" s="28">
        <v>5.8710000000000004</v>
      </c>
      <c r="DS207" s="28">
        <v>7.3620000000000001</v>
      </c>
      <c r="DT207" s="28">
        <v>8.6129999999999995</v>
      </c>
      <c r="DU207" s="28">
        <v>10.635</v>
      </c>
      <c r="DV207" s="28">
        <f t="shared" si="183"/>
        <v>32.481000000000002</v>
      </c>
      <c r="DW207" s="28">
        <v>2.96</v>
      </c>
      <c r="DX207" s="28">
        <v>7.593</v>
      </c>
      <c r="DY207" s="28">
        <v>10.09350001</v>
      </c>
      <c r="DZ207" s="28">
        <v>-6.7038980700000002</v>
      </c>
      <c r="EA207" s="28">
        <f t="shared" si="184"/>
        <v>13.942601939999999</v>
      </c>
      <c r="EB207" s="28">
        <v>3.2781978500000002</v>
      </c>
      <c r="EC207" s="28">
        <v>6.5827697599999997</v>
      </c>
      <c r="ED207" s="28">
        <v>7.3639999999999999</v>
      </c>
      <c r="EE207" s="28">
        <v>-0.766245120000001</v>
      </c>
      <c r="EF207" s="28">
        <f t="shared" si="185"/>
        <v>16.45872249</v>
      </c>
      <c r="EG207" s="28">
        <v>2.2142643</v>
      </c>
      <c r="EH207" s="28">
        <v>3.8521523799999997</v>
      </c>
      <c r="EI207" s="28">
        <v>4.1342404800000008</v>
      </c>
    </row>
    <row r="208" spans="1:139" ht="15" thickTop="1" x14ac:dyDescent="0.3">
      <c r="A208" s="1" t="s">
        <v>456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27">
        <v>0</v>
      </c>
      <c r="BK208" s="27">
        <v>0</v>
      </c>
      <c r="BL208" s="27">
        <v>0</v>
      </c>
      <c r="BM208" s="27">
        <v>0</v>
      </c>
      <c r="BN208" s="27">
        <f t="shared" si="171"/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f t="shared" si="172"/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f t="shared" si="173"/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f t="shared" si="174"/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f t="shared" si="175"/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f t="shared" si="176"/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f t="shared" si="177"/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f t="shared" si="178"/>
        <v>0</v>
      </c>
      <c r="CX208" s="27">
        <f t="shared" si="178"/>
        <v>0</v>
      </c>
      <c r="CY208" s="27">
        <f t="shared" si="178"/>
        <v>0</v>
      </c>
      <c r="CZ208" s="27">
        <f t="shared" si="178"/>
        <v>0</v>
      </c>
      <c r="DA208" s="27">
        <f t="shared" si="178"/>
        <v>0</v>
      </c>
      <c r="DB208" s="27">
        <f t="shared" si="179"/>
        <v>0</v>
      </c>
      <c r="DC208" s="27">
        <f>SUM(CY208:DB208)</f>
        <v>0</v>
      </c>
      <c r="DD208" s="27">
        <v>0</v>
      </c>
      <c r="DE208" s="27">
        <f>SUM(DA208:DD208)</f>
        <v>0</v>
      </c>
      <c r="DF208" s="27">
        <v>1.3380000000000001</v>
      </c>
      <c r="DG208" s="27">
        <f t="shared" si="180"/>
        <v>1.3380000000000001</v>
      </c>
      <c r="DH208" s="27">
        <v>0.83199999999999996</v>
      </c>
      <c r="DI208" s="27">
        <v>0.84099999999999997</v>
      </c>
      <c r="DJ208" s="27">
        <v>0.86099999999999999</v>
      </c>
      <c r="DK208" s="27">
        <v>1.381</v>
      </c>
      <c r="DL208" s="27">
        <f t="shared" si="181"/>
        <v>3.915</v>
      </c>
      <c r="DM208" s="27">
        <v>1.518</v>
      </c>
      <c r="DN208" s="27">
        <v>1.534</v>
      </c>
      <c r="DO208" s="27">
        <v>1.526</v>
      </c>
      <c r="DP208" s="27">
        <v>2.8860000000000001</v>
      </c>
      <c r="DQ208" s="27">
        <f t="shared" si="182"/>
        <v>7.4640000000000004</v>
      </c>
      <c r="DR208" s="27">
        <v>2.1120000000000001</v>
      </c>
      <c r="DS208" s="27">
        <v>4.0369999999999999</v>
      </c>
      <c r="DT208" s="27">
        <v>2.3820000000000001</v>
      </c>
      <c r="DU208" s="27">
        <v>3.048</v>
      </c>
      <c r="DV208" s="27">
        <f t="shared" si="183"/>
        <v>11.579000000000001</v>
      </c>
      <c r="DW208" s="27">
        <v>2.7749999999999999</v>
      </c>
      <c r="DX208" s="27">
        <v>4.415</v>
      </c>
      <c r="DY208" s="27">
        <v>4.1785578500000007</v>
      </c>
      <c r="DZ208" s="27">
        <v>5.3436084900000003</v>
      </c>
      <c r="EA208" s="27">
        <f t="shared" si="184"/>
        <v>16.71216634</v>
      </c>
      <c r="EB208" s="27">
        <v>2.78799303</v>
      </c>
      <c r="EC208" s="27">
        <v>4.8408388499999999</v>
      </c>
      <c r="ED208" s="27">
        <v>4.5209999999999999</v>
      </c>
      <c r="EE208" s="27">
        <v>1.367068049999999</v>
      </c>
      <c r="EF208" s="27">
        <f t="shared" si="185"/>
        <v>13.516899929999999</v>
      </c>
      <c r="EG208" s="27">
        <v>2.7754357400000003</v>
      </c>
      <c r="EH208" s="27">
        <v>4.3285313700000003</v>
      </c>
      <c r="EI208" s="27">
        <v>4.4300245299999998</v>
      </c>
    </row>
    <row r="209" spans="1:139" ht="15" thickBot="1" x14ac:dyDescent="0.35">
      <c r="A209" s="2" t="s">
        <v>446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28">
        <v>0</v>
      </c>
      <c r="BK209" s="28">
        <v>0</v>
      </c>
      <c r="BL209" s="28">
        <v>0</v>
      </c>
      <c r="BM209" s="28">
        <v>0</v>
      </c>
      <c r="BN209" s="28">
        <f t="shared" si="171"/>
        <v>0</v>
      </c>
      <c r="BO209" s="28">
        <v>0</v>
      </c>
      <c r="BP209" s="28">
        <v>0</v>
      </c>
      <c r="BQ209" s="28">
        <v>0</v>
      </c>
      <c r="BR209" s="28">
        <v>0</v>
      </c>
      <c r="BS209" s="28">
        <f t="shared" si="172"/>
        <v>0</v>
      </c>
      <c r="BT209" s="28">
        <v>0</v>
      </c>
      <c r="BU209" s="28">
        <v>0</v>
      </c>
      <c r="BV209" s="28">
        <v>0</v>
      </c>
      <c r="BW209" s="28">
        <v>0</v>
      </c>
      <c r="BX209" s="28">
        <f t="shared" si="173"/>
        <v>0</v>
      </c>
      <c r="BY209" s="28">
        <v>0</v>
      </c>
      <c r="BZ209" s="28">
        <v>0</v>
      </c>
      <c r="CA209" s="28">
        <v>0</v>
      </c>
      <c r="CB209" s="28">
        <v>0</v>
      </c>
      <c r="CC209" s="28">
        <f t="shared" si="174"/>
        <v>0</v>
      </c>
      <c r="CD209" s="28">
        <v>0</v>
      </c>
      <c r="CE209" s="28">
        <v>0</v>
      </c>
      <c r="CF209" s="28">
        <v>0</v>
      </c>
      <c r="CG209" s="28">
        <v>0</v>
      </c>
      <c r="CH209" s="28">
        <f t="shared" si="175"/>
        <v>0</v>
      </c>
      <c r="CI209" s="28">
        <v>0</v>
      </c>
      <c r="CJ209" s="28">
        <v>0</v>
      </c>
      <c r="CK209" s="28">
        <v>0</v>
      </c>
      <c r="CL209" s="28">
        <v>0</v>
      </c>
      <c r="CM209" s="28">
        <f t="shared" si="176"/>
        <v>0</v>
      </c>
      <c r="CN209" s="28">
        <v>0</v>
      </c>
      <c r="CO209" s="28">
        <v>0</v>
      </c>
      <c r="CP209" s="28">
        <v>0</v>
      </c>
      <c r="CQ209" s="28">
        <v>0</v>
      </c>
      <c r="CR209" s="28">
        <f t="shared" si="177"/>
        <v>0</v>
      </c>
      <c r="CS209" s="28">
        <v>0</v>
      </c>
      <c r="CT209" s="28">
        <v>0</v>
      </c>
      <c r="CU209" s="28">
        <v>0</v>
      </c>
      <c r="CV209" s="28">
        <v>0</v>
      </c>
      <c r="CW209" s="28">
        <f t="shared" si="178"/>
        <v>0</v>
      </c>
      <c r="CX209" s="28">
        <f t="shared" si="178"/>
        <v>0</v>
      </c>
      <c r="CY209" s="28">
        <f t="shared" si="178"/>
        <v>0</v>
      </c>
      <c r="CZ209" s="28">
        <f t="shared" si="178"/>
        <v>0</v>
      </c>
      <c r="DA209" s="28">
        <f t="shared" si="178"/>
        <v>0</v>
      </c>
      <c r="DB209" s="28">
        <f t="shared" si="179"/>
        <v>0</v>
      </c>
      <c r="DC209" s="28">
        <f>SUM(CY209:DB209)</f>
        <v>0</v>
      </c>
      <c r="DD209" s="28">
        <f>SUM(CZ209:DC209)</f>
        <v>0</v>
      </c>
      <c r="DE209" s="28">
        <f>SUM(DA209:DD209)</f>
        <v>0</v>
      </c>
      <c r="DF209" s="28">
        <f>SUM(DB209:DE209)</f>
        <v>0</v>
      </c>
      <c r="DG209" s="28">
        <f t="shared" si="180"/>
        <v>0</v>
      </c>
      <c r="DH209" s="28">
        <v>0</v>
      </c>
      <c r="DI209" s="28">
        <v>0</v>
      </c>
      <c r="DJ209" s="28">
        <v>0</v>
      </c>
      <c r="DK209" s="28">
        <v>0.17100000000000001</v>
      </c>
      <c r="DL209" s="28">
        <f t="shared" si="181"/>
        <v>0.17100000000000001</v>
      </c>
      <c r="DM209" s="28">
        <v>1.206</v>
      </c>
      <c r="DN209" s="28">
        <v>1.2090000000000001</v>
      </c>
      <c r="DO209" s="28">
        <v>1.2070000000000001</v>
      </c>
      <c r="DP209" s="28">
        <v>2.3450000000000002</v>
      </c>
      <c r="DQ209" s="28">
        <f t="shared" si="182"/>
        <v>5.9670000000000005</v>
      </c>
      <c r="DR209" s="28">
        <v>1.7929999999999999</v>
      </c>
      <c r="DS209" s="28">
        <v>2.7</v>
      </c>
      <c r="DT209" s="28">
        <v>2.726</v>
      </c>
      <c r="DU209" s="28">
        <v>10.196999999999999</v>
      </c>
      <c r="DV209" s="28">
        <f t="shared" si="183"/>
        <v>17.416</v>
      </c>
      <c r="DW209" s="28">
        <v>0.95199999999999996</v>
      </c>
      <c r="DX209" s="28">
        <v>1.68</v>
      </c>
      <c r="DY209" s="28">
        <v>2.8763595500000001</v>
      </c>
      <c r="DZ209" s="28">
        <v>6.4144553100000001</v>
      </c>
      <c r="EA209" s="28">
        <f t="shared" si="184"/>
        <v>11.922814859999999</v>
      </c>
      <c r="EB209" s="28">
        <v>3.28011586</v>
      </c>
      <c r="EC209" s="28">
        <v>5.8775462000000012</v>
      </c>
      <c r="ED209" s="28">
        <v>7.7050000000000001</v>
      </c>
      <c r="EE209" s="28">
        <v>1.1104899800000005</v>
      </c>
      <c r="EF209" s="28">
        <f t="shared" si="185"/>
        <v>17.973152040000002</v>
      </c>
      <c r="EG209" s="28">
        <v>3.26653986</v>
      </c>
      <c r="EH209" s="28">
        <v>5.1511259100000002</v>
      </c>
      <c r="EI209" s="28">
        <v>4.8953972000000014</v>
      </c>
    </row>
    <row r="210" spans="1:139" ht="15" thickTop="1" x14ac:dyDescent="0.3">
      <c r="A210" s="1" t="s">
        <v>447</v>
      </c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27">
        <v>0</v>
      </c>
      <c r="BK210" s="27">
        <v>0</v>
      </c>
      <c r="BL210" s="27">
        <v>0</v>
      </c>
      <c r="BM210" s="27">
        <v>0</v>
      </c>
      <c r="BN210" s="27">
        <f t="shared" si="171"/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f t="shared" si="172"/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f t="shared" si="173"/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f t="shared" si="174"/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f t="shared" si="175"/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f t="shared" si="176"/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f t="shared" si="177"/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f t="shared" si="178"/>
        <v>0</v>
      </c>
      <c r="CX210" s="27">
        <f t="shared" si="178"/>
        <v>0</v>
      </c>
      <c r="CY210" s="27">
        <f t="shared" si="178"/>
        <v>0</v>
      </c>
      <c r="CZ210" s="27">
        <f t="shared" si="178"/>
        <v>0</v>
      </c>
      <c r="DA210" s="27">
        <f t="shared" si="178"/>
        <v>0</v>
      </c>
      <c r="DB210" s="27">
        <f t="shared" si="179"/>
        <v>0</v>
      </c>
      <c r="DC210" s="27">
        <f>SUM(CY210:DB210)</f>
        <v>0</v>
      </c>
      <c r="DD210" s="27">
        <f>SUM(CZ210:DC210)</f>
        <v>0</v>
      </c>
      <c r="DE210" s="27">
        <f>SUM(DA210:DD210)</f>
        <v>0</v>
      </c>
      <c r="DF210" s="27">
        <f>SUM(DB210:DE210)</f>
        <v>0</v>
      </c>
      <c r="DG210" s="27">
        <f t="shared" si="180"/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f t="shared" si="181"/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f t="shared" si="182"/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f t="shared" si="183"/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f t="shared" si="184"/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f t="shared" si="185"/>
        <v>0</v>
      </c>
      <c r="EG210" s="27">
        <v>0.4824695</v>
      </c>
      <c r="EH210" s="27">
        <v>0.90545865999999997</v>
      </c>
      <c r="EI210" s="27">
        <v>1.1156970900000001</v>
      </c>
    </row>
    <row r="211" spans="1:139" ht="15" thickBot="1" x14ac:dyDescent="0.35">
      <c r="A211" s="2" t="s">
        <v>448</v>
      </c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28">
        <v>0</v>
      </c>
      <c r="BK211" s="28">
        <v>0</v>
      </c>
      <c r="BL211" s="28">
        <v>0</v>
      </c>
      <c r="BM211" s="28">
        <v>0</v>
      </c>
      <c r="BN211" s="28">
        <f t="shared" si="171"/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f t="shared" si="172"/>
        <v>0</v>
      </c>
      <c r="BT211" s="28">
        <v>0</v>
      </c>
      <c r="BU211" s="28">
        <v>0</v>
      </c>
      <c r="BV211" s="28">
        <v>0</v>
      </c>
      <c r="BW211" s="28">
        <v>0</v>
      </c>
      <c r="BX211" s="28">
        <f t="shared" si="173"/>
        <v>0</v>
      </c>
      <c r="BY211" s="28">
        <v>0</v>
      </c>
      <c r="BZ211" s="28">
        <v>0</v>
      </c>
      <c r="CA211" s="28">
        <v>0</v>
      </c>
      <c r="CB211" s="28">
        <v>0</v>
      </c>
      <c r="CC211" s="28">
        <f t="shared" si="174"/>
        <v>0</v>
      </c>
      <c r="CD211" s="28">
        <v>0</v>
      </c>
      <c r="CE211" s="28">
        <v>0</v>
      </c>
      <c r="CF211" s="28">
        <v>0</v>
      </c>
      <c r="CG211" s="28">
        <v>0</v>
      </c>
      <c r="CH211" s="28">
        <f t="shared" si="175"/>
        <v>0</v>
      </c>
      <c r="CI211" s="28">
        <v>0</v>
      </c>
      <c r="CJ211" s="28">
        <v>0</v>
      </c>
      <c r="CK211" s="28">
        <v>0</v>
      </c>
      <c r="CL211" s="28">
        <v>0</v>
      </c>
      <c r="CM211" s="28">
        <f t="shared" si="176"/>
        <v>0</v>
      </c>
      <c r="CN211" s="28">
        <v>0</v>
      </c>
      <c r="CO211" s="28">
        <v>0</v>
      </c>
      <c r="CP211" s="28">
        <v>0</v>
      </c>
      <c r="CQ211" s="28">
        <v>0</v>
      </c>
      <c r="CR211" s="28">
        <f t="shared" si="177"/>
        <v>0</v>
      </c>
      <c r="CS211" s="28">
        <v>0</v>
      </c>
      <c r="CT211" s="28">
        <v>0</v>
      </c>
      <c r="CU211" s="28">
        <v>0</v>
      </c>
      <c r="CV211" s="28">
        <v>0</v>
      </c>
      <c r="CW211" s="28">
        <f t="shared" si="178"/>
        <v>0</v>
      </c>
      <c r="CX211" s="28">
        <f t="shared" si="178"/>
        <v>0</v>
      </c>
      <c r="CY211" s="28">
        <f t="shared" si="178"/>
        <v>0</v>
      </c>
      <c r="CZ211" s="28">
        <f t="shared" si="178"/>
        <v>0</v>
      </c>
      <c r="DA211" s="28">
        <f t="shared" si="178"/>
        <v>0</v>
      </c>
      <c r="DB211" s="28">
        <f t="shared" si="179"/>
        <v>0</v>
      </c>
      <c r="DC211" s="28">
        <f>SUM(CY211:DB211)</f>
        <v>0</v>
      </c>
      <c r="DD211" s="28">
        <f>SUM(CZ211:DC211)</f>
        <v>0</v>
      </c>
      <c r="DE211" s="28">
        <f>SUM(DA211:DD211)</f>
        <v>0</v>
      </c>
      <c r="DF211" s="28">
        <f>SUM(DB211:DE211)</f>
        <v>0</v>
      </c>
      <c r="DG211" s="28">
        <f t="shared" si="180"/>
        <v>0</v>
      </c>
      <c r="DH211" s="28">
        <v>0</v>
      </c>
      <c r="DI211" s="28">
        <v>0</v>
      </c>
      <c r="DJ211" s="28">
        <v>0</v>
      </c>
      <c r="DK211" s="28">
        <v>0</v>
      </c>
      <c r="DL211" s="28">
        <f t="shared" si="181"/>
        <v>0</v>
      </c>
      <c r="DM211" s="28">
        <v>0</v>
      </c>
      <c r="DN211" s="28">
        <v>0</v>
      </c>
      <c r="DO211" s="28">
        <v>0</v>
      </c>
      <c r="DP211" s="28">
        <v>0</v>
      </c>
      <c r="DQ211" s="28">
        <f t="shared" si="182"/>
        <v>0</v>
      </c>
      <c r="DR211" s="28">
        <v>0</v>
      </c>
      <c r="DS211" s="28">
        <v>0</v>
      </c>
      <c r="DT211" s="28">
        <v>0</v>
      </c>
      <c r="DU211" s="28">
        <v>0</v>
      </c>
      <c r="DV211" s="28">
        <f t="shared" si="183"/>
        <v>0</v>
      </c>
      <c r="DW211" s="28">
        <v>0</v>
      </c>
      <c r="DX211" s="28">
        <v>0</v>
      </c>
      <c r="DY211" s="28">
        <v>0</v>
      </c>
      <c r="DZ211" s="28">
        <v>0</v>
      </c>
      <c r="EA211" s="28">
        <f t="shared" si="184"/>
        <v>0</v>
      </c>
      <c r="EB211" s="28">
        <v>1.13845642</v>
      </c>
      <c r="EC211" s="28">
        <v>1.4831621800000001</v>
      </c>
      <c r="ED211" s="28">
        <v>1.6180000000000001</v>
      </c>
      <c r="EE211" s="28">
        <v>-0.36163006000000003</v>
      </c>
      <c r="EF211" s="28">
        <f t="shared" si="185"/>
        <v>3.87798854</v>
      </c>
      <c r="EG211" s="28">
        <v>1.1173972599999999</v>
      </c>
      <c r="EH211" s="28">
        <v>2.8421385499999996</v>
      </c>
      <c r="EI211" s="28">
        <v>3.5499470900000003</v>
      </c>
    </row>
    <row r="212" spans="1:139" ht="15" thickTop="1" x14ac:dyDescent="0.3">
      <c r="A212" s="1" t="s">
        <v>449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f t="shared" si="184"/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f t="shared" si="185"/>
        <v>0</v>
      </c>
      <c r="EG212" s="27">
        <v>0</v>
      </c>
      <c r="EH212" s="27">
        <v>0</v>
      </c>
      <c r="EI212" s="27">
        <v>0</v>
      </c>
    </row>
    <row r="213" spans="1:139" x14ac:dyDescent="0.3">
      <c r="A213" s="2" t="s">
        <v>460</v>
      </c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>
        <v>0</v>
      </c>
      <c r="EH213" s="28">
        <v>0</v>
      </c>
      <c r="EI213" s="28">
        <v>0</v>
      </c>
    </row>
    <row r="214" spans="1:139" x14ac:dyDescent="0.3">
      <c r="A214" s="5" t="s">
        <v>311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29">
        <f>SUM(BJ200:BJ212)</f>
        <v>10.10877251</v>
      </c>
      <c r="BK214" s="29">
        <f t="shared" ref="BK214:DV214" si="186">SUM(BK200:BK212)</f>
        <v>10.151049980000002</v>
      </c>
      <c r="BL214" s="29">
        <f t="shared" si="186"/>
        <v>10.630574149999999</v>
      </c>
      <c r="BM214" s="29">
        <f t="shared" si="186"/>
        <v>17.293616620000002</v>
      </c>
      <c r="BN214" s="29">
        <f t="shared" si="186"/>
        <v>48.18401326</v>
      </c>
      <c r="BO214" s="29">
        <f t="shared" si="186"/>
        <v>14.291094679999999</v>
      </c>
      <c r="BP214" s="29">
        <f t="shared" si="186"/>
        <v>24.044079849999996</v>
      </c>
      <c r="BQ214" s="29">
        <f t="shared" si="186"/>
        <v>20.240164280000002</v>
      </c>
      <c r="BR214" s="29">
        <f t="shared" si="186"/>
        <v>21.736508279999999</v>
      </c>
      <c r="BS214" s="29">
        <f t="shared" si="186"/>
        <v>80.311847090000001</v>
      </c>
      <c r="BT214" s="29">
        <f t="shared" si="186"/>
        <v>16.496018070000002</v>
      </c>
      <c r="BU214" s="29">
        <f t="shared" si="186"/>
        <v>13.964368179999999</v>
      </c>
      <c r="BV214" s="29">
        <f t="shared" si="186"/>
        <v>20.495174480000003</v>
      </c>
      <c r="BW214" s="29">
        <f t="shared" si="186"/>
        <v>24.157681220000004</v>
      </c>
      <c r="BX214" s="29">
        <f t="shared" si="186"/>
        <v>75.113241949999988</v>
      </c>
      <c r="BY214" s="29">
        <f t="shared" si="186"/>
        <v>16.02922938</v>
      </c>
      <c r="BZ214" s="29">
        <f t="shared" si="186"/>
        <v>23.630876300000001</v>
      </c>
      <c r="CA214" s="29">
        <f t="shared" si="186"/>
        <v>14.639856249999996</v>
      </c>
      <c r="CB214" s="29">
        <f t="shared" si="186"/>
        <v>20.606940019999993</v>
      </c>
      <c r="CC214" s="29">
        <f t="shared" si="186"/>
        <v>74.906901950000005</v>
      </c>
      <c r="CD214" s="29">
        <f t="shared" si="186"/>
        <v>18.37935289</v>
      </c>
      <c r="CE214" s="29">
        <f t="shared" si="186"/>
        <v>32.845099209999994</v>
      </c>
      <c r="CF214" s="29">
        <f t="shared" si="186"/>
        <v>26.204630389999998</v>
      </c>
      <c r="CG214" s="29">
        <f t="shared" si="186"/>
        <v>27.825226070000021</v>
      </c>
      <c r="CH214" s="29">
        <f t="shared" si="186"/>
        <v>105.25430856000001</v>
      </c>
      <c r="CI214" s="29">
        <f t="shared" si="186"/>
        <v>21.92361219</v>
      </c>
      <c r="CJ214" s="29">
        <f t="shared" si="186"/>
        <v>23.773737160000007</v>
      </c>
      <c r="CK214" s="29">
        <f t="shared" si="186"/>
        <v>26.957975189999999</v>
      </c>
      <c r="CL214" s="29">
        <f t="shared" si="186"/>
        <v>19.23163778</v>
      </c>
      <c r="CM214" s="29">
        <f t="shared" si="186"/>
        <v>91.886962320000009</v>
      </c>
      <c r="CN214" s="29">
        <f t="shared" si="186"/>
        <v>17.256757870000001</v>
      </c>
      <c r="CO214" s="29">
        <f t="shared" si="186"/>
        <v>25.128971970000006</v>
      </c>
      <c r="CP214" s="29">
        <f t="shared" si="186"/>
        <v>22.058165110000001</v>
      </c>
      <c r="CQ214" s="29">
        <f t="shared" si="186"/>
        <v>40.286105049999996</v>
      </c>
      <c r="CR214" s="29">
        <f t="shared" si="186"/>
        <v>104.73</v>
      </c>
      <c r="CS214" s="29">
        <f t="shared" si="186"/>
        <v>20.624472129999997</v>
      </c>
      <c r="CT214" s="29">
        <f t="shared" si="186"/>
        <v>22.52808186</v>
      </c>
      <c r="CU214" s="29">
        <f t="shared" si="186"/>
        <v>36.391312379999995</v>
      </c>
      <c r="CV214" s="29">
        <f t="shared" si="186"/>
        <v>39.083246169999995</v>
      </c>
      <c r="CW214" s="29">
        <f t="shared" si="186"/>
        <v>118.62711253999998</v>
      </c>
      <c r="CX214" s="29">
        <f t="shared" si="186"/>
        <v>26.963000000000001</v>
      </c>
      <c r="CY214" s="29">
        <f t="shared" si="186"/>
        <v>11.901</v>
      </c>
      <c r="CZ214" s="29">
        <f t="shared" si="186"/>
        <v>32.347999999999999</v>
      </c>
      <c r="DA214" s="29">
        <f t="shared" si="186"/>
        <v>71.802999999999983</v>
      </c>
      <c r="DB214" s="29">
        <f t="shared" si="186"/>
        <v>143.01500000000001</v>
      </c>
      <c r="DC214" s="29">
        <f t="shared" si="186"/>
        <v>38.945999999999998</v>
      </c>
      <c r="DD214" s="29">
        <f t="shared" si="186"/>
        <v>42.565999999999995</v>
      </c>
      <c r="DE214" s="29">
        <f t="shared" si="186"/>
        <v>58.289000000000001</v>
      </c>
      <c r="DF214" s="29">
        <f t="shared" si="186"/>
        <v>61.070000000000007</v>
      </c>
      <c r="DG214" s="29">
        <f t="shared" si="186"/>
        <v>200.87100000000001</v>
      </c>
      <c r="DH214" s="29">
        <f t="shared" si="186"/>
        <v>31.069000000000003</v>
      </c>
      <c r="DI214" s="29">
        <f t="shared" si="186"/>
        <v>29.312000000000001</v>
      </c>
      <c r="DJ214" s="29">
        <f t="shared" si="186"/>
        <v>25.800999999999998</v>
      </c>
      <c r="DK214" s="29">
        <f t="shared" si="186"/>
        <v>25.594999999999999</v>
      </c>
      <c r="DL214" s="29">
        <f t="shared" si="186"/>
        <v>111.77700000000002</v>
      </c>
      <c r="DM214" s="29">
        <f t="shared" si="186"/>
        <v>32.072000000000003</v>
      </c>
      <c r="DN214" s="29">
        <f t="shared" si="186"/>
        <v>30.981999999999999</v>
      </c>
      <c r="DO214" s="29">
        <f t="shared" si="186"/>
        <v>31.526999999999997</v>
      </c>
      <c r="DP214" s="29">
        <f t="shared" si="186"/>
        <v>-30.878999999999998</v>
      </c>
      <c r="DQ214" s="29">
        <f t="shared" si="186"/>
        <v>63.701999999999998</v>
      </c>
      <c r="DR214" s="29">
        <f t="shared" si="186"/>
        <v>24.131999999999998</v>
      </c>
      <c r="DS214" s="29">
        <f t="shared" si="186"/>
        <v>35.217000000000006</v>
      </c>
      <c r="DT214" s="29">
        <f t="shared" si="186"/>
        <v>32.116</v>
      </c>
      <c r="DU214" s="29">
        <f t="shared" si="186"/>
        <v>21.847000000000001</v>
      </c>
      <c r="DV214" s="29">
        <f t="shared" si="186"/>
        <v>113.31200000000001</v>
      </c>
      <c r="DW214" s="29">
        <f t="shared" ref="DW214:ED214" si="187">SUM(DW200:DW212)</f>
        <v>19.522999999999996</v>
      </c>
      <c r="DX214" s="29">
        <f t="shared" si="187"/>
        <v>33.657000000000004</v>
      </c>
      <c r="DY214" s="29">
        <f t="shared" si="187"/>
        <v>36.534287790000008</v>
      </c>
      <c r="DZ214" s="29">
        <f t="shared" si="187"/>
        <v>12.292391669999997</v>
      </c>
      <c r="EA214" s="29">
        <f t="shared" si="187"/>
        <v>102.00667946</v>
      </c>
      <c r="EB214" s="29">
        <f t="shared" si="187"/>
        <v>25.874681869999996</v>
      </c>
      <c r="EC214" s="29">
        <f t="shared" si="187"/>
        <v>35.361243390000006</v>
      </c>
      <c r="ED214" s="29">
        <f t="shared" si="187"/>
        <v>38.923000000000002</v>
      </c>
      <c r="EE214" s="29">
        <f t="shared" ref="EE214:EF214" si="188">SUM(EE200:EE212)</f>
        <v>25.228200009999995</v>
      </c>
      <c r="EF214" s="29">
        <f t="shared" si="188"/>
        <v>125.38712527</v>
      </c>
      <c r="EG214" s="29">
        <f>SUM(EG200:EG213)</f>
        <v>21.112960670000003</v>
      </c>
      <c r="EH214" s="29">
        <f>SUM(EH200:EH213)</f>
        <v>32.209320630000001</v>
      </c>
      <c r="EI214" s="29">
        <f>SUM(EI200:EI213)</f>
        <v>32.21751313</v>
      </c>
    </row>
    <row r="217" spans="1:139" x14ac:dyDescent="0.3">
      <c r="A217" s="3" t="s">
        <v>336</v>
      </c>
      <c r="B217" s="6" t="s">
        <v>4</v>
      </c>
      <c r="C217" s="6" t="s">
        <v>5</v>
      </c>
      <c r="D217" s="6" t="s">
        <v>6</v>
      </c>
      <c r="E217" s="6" t="s">
        <v>7</v>
      </c>
      <c r="F217" s="6">
        <v>2018</v>
      </c>
      <c r="G217" s="6" t="s">
        <v>8</v>
      </c>
      <c r="H217" s="6" t="s">
        <v>9</v>
      </c>
      <c r="I217" s="6" t="s">
        <v>10</v>
      </c>
      <c r="J217" s="6" t="s">
        <v>11</v>
      </c>
      <c r="K217" s="6">
        <v>2019</v>
      </c>
      <c r="L217" s="6" t="s">
        <v>12</v>
      </c>
      <c r="M217" s="6" t="s">
        <v>13</v>
      </c>
      <c r="N217" s="6" t="s">
        <v>14</v>
      </c>
      <c r="O217" s="6" t="s">
        <v>15</v>
      </c>
      <c r="P217" s="6">
        <v>2000</v>
      </c>
      <c r="Q217" s="6" t="s">
        <v>16</v>
      </c>
      <c r="R217" s="6" t="s">
        <v>17</v>
      </c>
      <c r="S217" s="6" t="s">
        <v>18</v>
      </c>
      <c r="T217" s="6" t="s">
        <v>19</v>
      </c>
      <c r="U217" s="6">
        <v>2001</v>
      </c>
      <c r="V217" s="6" t="s">
        <v>20</v>
      </c>
      <c r="W217" s="6" t="s">
        <v>21</v>
      </c>
      <c r="X217" s="6" t="s">
        <v>22</v>
      </c>
      <c r="Y217" s="6" t="s">
        <v>23</v>
      </c>
      <c r="Z217" s="6">
        <v>2002</v>
      </c>
      <c r="AA217" s="6" t="s">
        <v>24</v>
      </c>
      <c r="AB217" s="6" t="s">
        <v>25</v>
      </c>
      <c r="AC217" s="6" t="s">
        <v>26</v>
      </c>
      <c r="AD217" s="6" t="s">
        <v>27</v>
      </c>
      <c r="AE217" s="6">
        <v>2003</v>
      </c>
      <c r="AF217" s="6" t="s">
        <v>28</v>
      </c>
      <c r="AG217" s="6" t="s">
        <v>29</v>
      </c>
      <c r="AH217" s="6" t="s">
        <v>30</v>
      </c>
      <c r="AI217" s="6" t="s">
        <v>31</v>
      </c>
      <c r="AJ217" s="6">
        <v>2004</v>
      </c>
      <c r="AK217" s="6" t="s">
        <v>32</v>
      </c>
      <c r="AL217" s="6" t="s">
        <v>33</v>
      </c>
      <c r="AM217" s="6" t="s">
        <v>34</v>
      </c>
      <c r="AN217" s="6" t="s">
        <v>35</v>
      </c>
      <c r="AO217" s="6">
        <v>2005</v>
      </c>
      <c r="AP217" s="6" t="s">
        <v>36</v>
      </c>
      <c r="AQ217" s="6" t="s">
        <v>37</v>
      </c>
      <c r="AR217" s="6" t="s">
        <v>38</v>
      </c>
      <c r="AS217" s="6" t="s">
        <v>39</v>
      </c>
      <c r="AT217" s="6">
        <v>2006</v>
      </c>
      <c r="AU217" s="6" t="s">
        <v>40</v>
      </c>
      <c r="AV217" s="6" t="s">
        <v>41</v>
      </c>
      <c r="AW217" s="6" t="s">
        <v>42</v>
      </c>
      <c r="AX217" s="6" t="s">
        <v>43</v>
      </c>
      <c r="AY217" s="6">
        <v>2007</v>
      </c>
      <c r="AZ217" s="6" t="s">
        <v>44</v>
      </c>
      <c r="BA217" s="6" t="s">
        <v>45</v>
      </c>
      <c r="BB217" s="6" t="s">
        <v>46</v>
      </c>
      <c r="BC217" s="6" t="s">
        <v>47</v>
      </c>
      <c r="BD217" s="6">
        <v>2008</v>
      </c>
      <c r="BE217" s="6" t="s">
        <v>48</v>
      </c>
      <c r="BF217" s="6" t="s">
        <v>49</v>
      </c>
      <c r="BG217" s="6" t="s">
        <v>50</v>
      </c>
      <c r="BH217" s="6" t="s">
        <v>51</v>
      </c>
      <c r="BI217" s="6">
        <v>2009</v>
      </c>
      <c r="BJ217" s="6" t="s">
        <v>52</v>
      </c>
      <c r="BK217" s="6" t="s">
        <v>53</v>
      </c>
      <c r="BL217" s="6" t="s">
        <v>54</v>
      </c>
      <c r="BM217" s="6" t="s">
        <v>55</v>
      </c>
      <c r="BN217" s="6">
        <v>2010</v>
      </c>
      <c r="BO217" s="6" t="s">
        <v>56</v>
      </c>
      <c r="BP217" s="6" t="s">
        <v>57</v>
      </c>
      <c r="BQ217" s="6" t="s">
        <v>58</v>
      </c>
      <c r="BR217" s="6" t="s">
        <v>59</v>
      </c>
      <c r="BS217" s="6">
        <v>2011</v>
      </c>
      <c r="BT217" s="6" t="s">
        <v>60</v>
      </c>
      <c r="BU217" s="6" t="s">
        <v>61</v>
      </c>
      <c r="BV217" s="6" t="s">
        <v>62</v>
      </c>
      <c r="BW217" s="6" t="s">
        <v>63</v>
      </c>
      <c r="BX217" s="6">
        <v>2012</v>
      </c>
      <c r="BY217" s="6" t="s">
        <v>64</v>
      </c>
      <c r="BZ217" s="6" t="s">
        <v>65</v>
      </c>
      <c r="CA217" s="6" t="s">
        <v>66</v>
      </c>
      <c r="CB217" s="6" t="s">
        <v>67</v>
      </c>
      <c r="CC217" s="6">
        <v>2013</v>
      </c>
      <c r="CD217" s="6" t="s">
        <v>68</v>
      </c>
      <c r="CE217" s="6" t="s">
        <v>69</v>
      </c>
      <c r="CF217" s="6" t="s">
        <v>70</v>
      </c>
      <c r="CG217" s="6" t="s">
        <v>71</v>
      </c>
      <c r="CH217" s="6">
        <v>2014</v>
      </c>
      <c r="CI217" s="6" t="s">
        <v>72</v>
      </c>
      <c r="CJ217" s="6" t="s">
        <v>73</v>
      </c>
      <c r="CK217" s="6" t="s">
        <v>74</v>
      </c>
      <c r="CL217" s="6" t="s">
        <v>75</v>
      </c>
      <c r="CM217" s="6">
        <v>2015</v>
      </c>
      <c r="CN217" s="6" t="s">
        <v>76</v>
      </c>
      <c r="CO217" s="6" t="s">
        <v>77</v>
      </c>
      <c r="CP217" s="6" t="s">
        <v>78</v>
      </c>
      <c r="CQ217" s="6" t="s">
        <v>79</v>
      </c>
      <c r="CR217" s="6">
        <v>2016</v>
      </c>
      <c r="CS217" s="6" t="s">
        <v>80</v>
      </c>
      <c r="CT217" s="6" t="s">
        <v>81</v>
      </c>
      <c r="CU217" s="6" t="s">
        <v>82</v>
      </c>
      <c r="CV217" s="6" t="s">
        <v>83</v>
      </c>
      <c r="CW217" s="6">
        <v>2017</v>
      </c>
      <c r="CX217" s="6" t="s">
        <v>84</v>
      </c>
      <c r="CY217" s="6" t="s">
        <v>85</v>
      </c>
      <c r="CZ217" s="6" t="s">
        <v>86</v>
      </c>
      <c r="DA217" s="6" t="s">
        <v>87</v>
      </c>
      <c r="DB217" s="6">
        <v>2018</v>
      </c>
      <c r="DC217" s="6" t="s">
        <v>88</v>
      </c>
      <c r="DD217" s="6" t="s">
        <v>89</v>
      </c>
      <c r="DE217" s="6" t="s">
        <v>90</v>
      </c>
      <c r="DF217" s="6" t="s">
        <v>91</v>
      </c>
      <c r="DG217" s="6">
        <v>2019</v>
      </c>
      <c r="DH217" s="6" t="s">
        <v>92</v>
      </c>
      <c r="DI217" s="6" t="s">
        <v>93</v>
      </c>
      <c r="DJ217" s="6" t="s">
        <v>94</v>
      </c>
      <c r="DK217" s="6" t="s">
        <v>95</v>
      </c>
      <c r="DL217" s="6">
        <v>2020</v>
      </c>
      <c r="DM217" s="6" t="s">
        <v>96</v>
      </c>
      <c r="DN217" s="6" t="s">
        <v>97</v>
      </c>
      <c r="DO217" s="6" t="s">
        <v>98</v>
      </c>
      <c r="DP217" s="6" t="s">
        <v>99</v>
      </c>
      <c r="DQ217" s="6">
        <v>2021</v>
      </c>
      <c r="DR217" s="6" t="s">
        <v>100</v>
      </c>
      <c r="DS217" s="6" t="s">
        <v>101</v>
      </c>
      <c r="DT217" s="6" t="s">
        <v>200</v>
      </c>
      <c r="DU217" s="6" t="s">
        <v>380</v>
      </c>
      <c r="DV217" s="6">
        <v>2022</v>
      </c>
      <c r="DW217" s="6" t="s">
        <v>379</v>
      </c>
      <c r="DX217" s="6" t="s">
        <v>402</v>
      </c>
      <c r="DY217" s="6" t="s">
        <v>414</v>
      </c>
      <c r="DZ217" s="6" t="s">
        <v>419</v>
      </c>
      <c r="EA217" s="6">
        <v>2023</v>
      </c>
      <c r="EB217" s="6" t="s">
        <v>424</v>
      </c>
      <c r="EC217" s="6" t="s">
        <v>429</v>
      </c>
      <c r="ED217" s="6" t="str">
        <f>$ED$1</f>
        <v>3T24</v>
      </c>
      <c r="EE217" s="6" t="str">
        <f>$EE$1</f>
        <v>4T24</v>
      </c>
      <c r="EF217" s="6">
        <f>$EF$1</f>
        <v>2024</v>
      </c>
      <c r="EG217" s="6" t="str">
        <f>EG$1</f>
        <v>1T25</v>
      </c>
      <c r="EH217" s="6" t="str">
        <f>EH$1</f>
        <v>2T25</v>
      </c>
      <c r="EI217" s="6" t="str">
        <f>EI$1</f>
        <v>3T25</v>
      </c>
    </row>
    <row r="218" spans="1:139" ht="15" thickBot="1" x14ac:dyDescent="0.35">
      <c r="A218" s="4" t="s">
        <v>337</v>
      </c>
      <c r="B218" s="7" t="s">
        <v>102</v>
      </c>
      <c r="C218" s="7" t="s">
        <v>103</v>
      </c>
      <c r="D218" s="7" t="s">
        <v>104</v>
      </c>
      <c r="E218" s="7" t="s">
        <v>105</v>
      </c>
      <c r="F218" s="7">
        <v>2018</v>
      </c>
      <c r="G218" s="7" t="s">
        <v>106</v>
      </c>
      <c r="H218" s="7" t="s">
        <v>107</v>
      </c>
      <c r="I218" s="7" t="s">
        <v>108</v>
      </c>
      <c r="J218" s="7" t="s">
        <v>109</v>
      </c>
      <c r="K218" s="7">
        <v>2019</v>
      </c>
      <c r="L218" s="7" t="s">
        <v>110</v>
      </c>
      <c r="M218" s="7" t="s">
        <v>111</v>
      </c>
      <c r="N218" s="7" t="s">
        <v>112</v>
      </c>
      <c r="O218" s="7" t="s">
        <v>113</v>
      </c>
      <c r="P218" s="7">
        <v>2000</v>
      </c>
      <c r="Q218" s="7" t="s">
        <v>114</v>
      </c>
      <c r="R218" s="7" t="s">
        <v>115</v>
      </c>
      <c r="S218" s="7" t="s">
        <v>116</v>
      </c>
      <c r="T218" s="7" t="s">
        <v>117</v>
      </c>
      <c r="U218" s="7">
        <v>2001</v>
      </c>
      <c r="V218" s="7" t="s">
        <v>118</v>
      </c>
      <c r="W218" s="7" t="s">
        <v>119</v>
      </c>
      <c r="X218" s="7" t="s">
        <v>120</v>
      </c>
      <c r="Y218" s="7" t="s">
        <v>121</v>
      </c>
      <c r="Z218" s="7">
        <v>2002</v>
      </c>
      <c r="AA218" s="7" t="s">
        <v>122</v>
      </c>
      <c r="AB218" s="7" t="s">
        <v>123</v>
      </c>
      <c r="AC218" s="7" t="s">
        <v>124</v>
      </c>
      <c r="AD218" s="7" t="s">
        <v>125</v>
      </c>
      <c r="AE218" s="7">
        <v>2003</v>
      </c>
      <c r="AF218" s="7" t="s">
        <v>126</v>
      </c>
      <c r="AG218" s="7" t="s">
        <v>127</v>
      </c>
      <c r="AH218" s="7" t="s">
        <v>128</v>
      </c>
      <c r="AI218" s="7" t="s">
        <v>129</v>
      </c>
      <c r="AJ218" s="7">
        <v>2004</v>
      </c>
      <c r="AK218" s="7" t="s">
        <v>130</v>
      </c>
      <c r="AL218" s="7" t="s">
        <v>131</v>
      </c>
      <c r="AM218" s="7" t="s">
        <v>132</v>
      </c>
      <c r="AN218" s="7" t="s">
        <v>133</v>
      </c>
      <c r="AO218" s="7">
        <v>2005</v>
      </c>
      <c r="AP218" s="7" t="s">
        <v>134</v>
      </c>
      <c r="AQ218" s="7" t="s">
        <v>135</v>
      </c>
      <c r="AR218" s="7" t="s">
        <v>136</v>
      </c>
      <c r="AS218" s="7" t="s">
        <v>137</v>
      </c>
      <c r="AT218" s="7">
        <v>2006</v>
      </c>
      <c r="AU218" s="7" t="s">
        <v>138</v>
      </c>
      <c r="AV218" s="7" t="s">
        <v>139</v>
      </c>
      <c r="AW218" s="7" t="s">
        <v>140</v>
      </c>
      <c r="AX218" s="7" t="s">
        <v>141</v>
      </c>
      <c r="AY218" s="7">
        <v>2007</v>
      </c>
      <c r="AZ218" s="7" t="s">
        <v>142</v>
      </c>
      <c r="BA218" s="7" t="s">
        <v>143</v>
      </c>
      <c r="BB218" s="7" t="s">
        <v>144</v>
      </c>
      <c r="BC218" s="7" t="s">
        <v>145</v>
      </c>
      <c r="BD218" s="7">
        <v>2008</v>
      </c>
      <c r="BE218" s="7" t="s">
        <v>146</v>
      </c>
      <c r="BF218" s="7" t="s">
        <v>147</v>
      </c>
      <c r="BG218" s="7" t="s">
        <v>148</v>
      </c>
      <c r="BH218" s="7" t="s">
        <v>149</v>
      </c>
      <c r="BI218" s="7">
        <v>2009</v>
      </c>
      <c r="BJ218" s="7" t="s">
        <v>150</v>
      </c>
      <c r="BK218" s="7" t="s">
        <v>151</v>
      </c>
      <c r="BL218" s="7" t="s">
        <v>152</v>
      </c>
      <c r="BM218" s="7" t="s">
        <v>153</v>
      </c>
      <c r="BN218" s="7">
        <v>2010</v>
      </c>
      <c r="BO218" s="7" t="s">
        <v>154</v>
      </c>
      <c r="BP218" s="7" t="s">
        <v>155</v>
      </c>
      <c r="BQ218" s="7" t="s">
        <v>156</v>
      </c>
      <c r="BR218" s="7" t="s">
        <v>157</v>
      </c>
      <c r="BS218" s="7">
        <v>2011</v>
      </c>
      <c r="BT218" s="7" t="s">
        <v>158</v>
      </c>
      <c r="BU218" s="7" t="s">
        <v>159</v>
      </c>
      <c r="BV218" s="7" t="s">
        <v>160</v>
      </c>
      <c r="BW218" s="7" t="s">
        <v>161</v>
      </c>
      <c r="BX218" s="7">
        <v>2012</v>
      </c>
      <c r="BY218" s="7" t="s">
        <v>162</v>
      </c>
      <c r="BZ218" s="7" t="s">
        <v>163</v>
      </c>
      <c r="CA218" s="7" t="s">
        <v>164</v>
      </c>
      <c r="CB218" s="7" t="s">
        <v>165</v>
      </c>
      <c r="CC218" s="7">
        <v>2013</v>
      </c>
      <c r="CD218" s="7" t="s">
        <v>166</v>
      </c>
      <c r="CE218" s="7" t="s">
        <v>167</v>
      </c>
      <c r="CF218" s="7" t="s">
        <v>168</v>
      </c>
      <c r="CG218" s="7" t="s">
        <v>169</v>
      </c>
      <c r="CH218" s="7">
        <v>2014</v>
      </c>
      <c r="CI218" s="7" t="s">
        <v>170</v>
      </c>
      <c r="CJ218" s="7" t="s">
        <v>171</v>
      </c>
      <c r="CK218" s="7" t="s">
        <v>172</v>
      </c>
      <c r="CL218" s="7" t="s">
        <v>173</v>
      </c>
      <c r="CM218" s="7">
        <v>2015</v>
      </c>
      <c r="CN218" s="7" t="s">
        <v>174</v>
      </c>
      <c r="CO218" s="7" t="s">
        <v>175</v>
      </c>
      <c r="CP218" s="7" t="s">
        <v>176</v>
      </c>
      <c r="CQ218" s="7" t="s">
        <v>177</v>
      </c>
      <c r="CR218" s="7">
        <v>2016</v>
      </c>
      <c r="CS218" s="7" t="s">
        <v>178</v>
      </c>
      <c r="CT218" s="7" t="s">
        <v>179</v>
      </c>
      <c r="CU218" s="7" t="s">
        <v>180</v>
      </c>
      <c r="CV218" s="7" t="s">
        <v>181</v>
      </c>
      <c r="CW218" s="7">
        <v>2017</v>
      </c>
      <c r="CX218" s="7" t="s">
        <v>182</v>
      </c>
      <c r="CY218" s="7" t="s">
        <v>183</v>
      </c>
      <c r="CZ218" s="7" t="s">
        <v>184</v>
      </c>
      <c r="DA218" s="7" t="s">
        <v>185</v>
      </c>
      <c r="DB218" s="7">
        <v>2018</v>
      </c>
      <c r="DC218" s="7" t="s">
        <v>186</v>
      </c>
      <c r="DD218" s="7" t="s">
        <v>187</v>
      </c>
      <c r="DE218" s="7" t="s">
        <v>188</v>
      </c>
      <c r="DF218" s="7" t="s">
        <v>189</v>
      </c>
      <c r="DG218" s="7">
        <v>2019</v>
      </c>
      <c r="DH218" s="7" t="s">
        <v>190</v>
      </c>
      <c r="DI218" s="7" t="s">
        <v>191</v>
      </c>
      <c r="DJ218" s="7" t="s">
        <v>192</v>
      </c>
      <c r="DK218" s="7" t="s">
        <v>193</v>
      </c>
      <c r="DL218" s="7">
        <v>2020</v>
      </c>
      <c r="DM218" s="7" t="s">
        <v>194</v>
      </c>
      <c r="DN218" s="7" t="s">
        <v>195</v>
      </c>
      <c r="DO218" s="7" t="s">
        <v>196</v>
      </c>
      <c r="DP218" s="7" t="s">
        <v>197</v>
      </c>
      <c r="DQ218" s="7">
        <v>2021</v>
      </c>
      <c r="DR218" s="7" t="s">
        <v>198</v>
      </c>
      <c r="DS218" s="7" t="s">
        <v>199</v>
      </c>
      <c r="DT218" s="7" t="s">
        <v>201</v>
      </c>
      <c r="DU218" s="7" t="s">
        <v>381</v>
      </c>
      <c r="DV218" s="7">
        <v>2022</v>
      </c>
      <c r="DW218" s="7" t="s">
        <v>382</v>
      </c>
      <c r="DX218" s="7" t="s">
        <v>403</v>
      </c>
      <c r="DY218" s="7" t="s">
        <v>415</v>
      </c>
      <c r="DZ218" s="7" t="s">
        <v>420</v>
      </c>
      <c r="EA218" s="7">
        <v>2023</v>
      </c>
      <c r="EB218" s="7" t="s">
        <v>425</v>
      </c>
      <c r="EC218" s="7" t="s">
        <v>430</v>
      </c>
      <c r="ED218" s="7" t="str">
        <f>$ED$2</f>
        <v>3Q24</v>
      </c>
      <c r="EE218" s="6" t="str">
        <f>$EE$2</f>
        <v>4Q24</v>
      </c>
      <c r="EF218" s="6">
        <f>$EF$2</f>
        <v>2024</v>
      </c>
      <c r="EG218" s="7" t="str">
        <f>EG$2</f>
        <v>1Q25</v>
      </c>
      <c r="EH218" s="7" t="str">
        <f>EH$2</f>
        <v>2Q25</v>
      </c>
      <c r="EI218" s="7" t="str">
        <f>EI$2</f>
        <v>3Q25</v>
      </c>
    </row>
    <row r="219" spans="1:139" ht="15" thickTop="1" x14ac:dyDescent="0.3">
      <c r="A219" s="1" t="s">
        <v>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27">
        <f>Revenues!BJ78</f>
        <v>16.399999999999999</v>
      </c>
      <c r="BK219" s="27">
        <f>Revenues!BK78</f>
        <v>2.2999999999999998</v>
      </c>
      <c r="BL219" s="27">
        <f>Revenues!BL78</f>
        <v>2.1</v>
      </c>
      <c r="BM219" s="27">
        <f>Revenues!BM78</f>
        <v>1.4</v>
      </c>
      <c r="BN219" s="27">
        <f>SUM(BJ219:BM219)</f>
        <v>22.2</v>
      </c>
      <c r="BO219" s="27">
        <f>Revenues!BO78</f>
        <v>2.2999999999999998</v>
      </c>
      <c r="BP219" s="27">
        <f>Revenues!BP78</f>
        <v>6</v>
      </c>
      <c r="BQ219" s="27">
        <f>Revenues!BQ78</f>
        <v>8.8000000000000007</v>
      </c>
      <c r="BR219" s="27">
        <f>Revenues!BR78</f>
        <v>6.5</v>
      </c>
      <c r="BS219" s="27">
        <f>SUM(BO219:BR219)</f>
        <v>23.6</v>
      </c>
      <c r="BT219" s="27">
        <f>Revenues!BT78</f>
        <v>2.5</v>
      </c>
      <c r="BU219" s="27">
        <f>Revenues!BU78</f>
        <v>7.6</v>
      </c>
      <c r="BV219" s="27">
        <f>Revenues!BV78</f>
        <v>8.8000000000000007</v>
      </c>
      <c r="BW219" s="27">
        <f>Revenues!BW78</f>
        <v>9.6999999999999993</v>
      </c>
      <c r="BX219" s="27">
        <f>SUM(BT219:BW219)</f>
        <v>28.599999999999998</v>
      </c>
      <c r="BY219" s="27">
        <f>Revenues!BY78</f>
        <v>2.4</v>
      </c>
      <c r="BZ219" s="27">
        <f>Revenues!BZ78</f>
        <v>16.3</v>
      </c>
      <c r="CA219" s="27">
        <f>Revenues!CA78</f>
        <v>5.3</v>
      </c>
      <c r="CB219" s="27">
        <f>Revenues!CB78</f>
        <v>3.8</v>
      </c>
      <c r="CC219" s="27">
        <f>SUM(BY219:CB219)</f>
        <v>27.8</v>
      </c>
      <c r="CD219" s="27">
        <f>Revenues!CD78</f>
        <v>7</v>
      </c>
      <c r="CE219" s="27">
        <f>Revenues!CE78</f>
        <v>12.274789839999997</v>
      </c>
      <c r="CF219" s="27">
        <f>Revenues!CF78</f>
        <v>10.5</v>
      </c>
      <c r="CG219" s="27">
        <f>Revenues!CG78</f>
        <v>13.3</v>
      </c>
      <c r="CH219" s="27">
        <f>SUM(CD219:CG219)</f>
        <v>43.074789839999994</v>
      </c>
      <c r="CI219" s="27">
        <f>Revenues!CI78</f>
        <v>15</v>
      </c>
      <c r="CJ219" s="27">
        <f>Revenues!CJ78</f>
        <v>19.100000000000001</v>
      </c>
      <c r="CK219" s="27">
        <f>Revenues!CK78</f>
        <v>14.3</v>
      </c>
      <c r="CL219" s="27">
        <f>Revenues!CL78</f>
        <v>4.7</v>
      </c>
      <c r="CM219" s="27">
        <f>SUM(CI219:CL219)</f>
        <v>53.100000000000009</v>
      </c>
      <c r="CN219" s="27">
        <f>Revenues!CN78</f>
        <v>7.7</v>
      </c>
      <c r="CO219" s="27">
        <f>Revenues!CO78</f>
        <v>1</v>
      </c>
      <c r="CP219" s="27">
        <f>Revenues!CP78</f>
        <v>1.7000000000000002</v>
      </c>
      <c r="CQ219" s="27">
        <f>Revenues!CQ78</f>
        <v>1.4000000000000012</v>
      </c>
      <c r="CR219" s="27">
        <f>SUM(CN219:CQ219)</f>
        <v>11.8</v>
      </c>
      <c r="CS219" s="27">
        <f>Revenues!CS78</f>
        <v>2.0492851599999997</v>
      </c>
      <c r="CT219" s="27">
        <f>Revenues!CT78</f>
        <v>4.7288119900000005</v>
      </c>
      <c r="CU219" s="27">
        <f>Revenues!CU78</f>
        <v>7.3344831899999985</v>
      </c>
      <c r="CV219" s="27">
        <f>Revenues!CV78</f>
        <v>7.6062813800000004</v>
      </c>
      <c r="CW219" s="27">
        <f>SUM(CS219:CV219)</f>
        <v>21.71886172</v>
      </c>
      <c r="CX219" s="27">
        <f>Revenues!CX78</f>
        <v>3.0089999999999999</v>
      </c>
      <c r="CY219" s="27">
        <f>Revenues!CY78</f>
        <v>3.17</v>
      </c>
      <c r="CZ219" s="27">
        <f>Revenues!CZ78</f>
        <v>5.3730000000000002</v>
      </c>
      <c r="DA219" s="27">
        <f>Revenues!DA78</f>
        <v>8.2089999999999996</v>
      </c>
      <c r="DB219" s="27">
        <f>SUM(CX219:DA219)</f>
        <v>19.760999999999999</v>
      </c>
      <c r="DC219" s="27">
        <f>Revenues!DC78</f>
        <v>0.79300000000000004</v>
      </c>
      <c r="DD219" s="27">
        <f>Revenues!DD78</f>
        <v>0.71199999999999997</v>
      </c>
      <c r="DE219" s="27">
        <f>Revenues!DE78</f>
        <v>0.378</v>
      </c>
      <c r="DF219" s="27">
        <f>Revenues!DF78</f>
        <v>0.27800000000000002</v>
      </c>
      <c r="DG219" s="27">
        <f>SUM(DC219:DF219)</f>
        <v>2.161</v>
      </c>
      <c r="DH219" s="27">
        <f>Revenues!DH78</f>
        <v>1.6459999999999999</v>
      </c>
      <c r="DI219" s="27">
        <f>Revenues!DI78</f>
        <v>0.94899999999999995</v>
      </c>
      <c r="DJ219" s="27">
        <f>Revenues!DJ78</f>
        <v>1.0580000000000001</v>
      </c>
      <c r="DK219" s="27">
        <f>Revenues!DK78</f>
        <v>1.6519999999999999</v>
      </c>
      <c r="DL219" s="27">
        <f>SUM(DH219:DK219)</f>
        <v>5.3049999999999997</v>
      </c>
      <c r="DM219" s="27">
        <f>Revenues!DM78</f>
        <v>1.0880000000000001</v>
      </c>
      <c r="DN219" s="27">
        <f>Revenues!DN78</f>
        <v>3.8130000000000002</v>
      </c>
      <c r="DO219" s="27">
        <f>Revenues!DO78</f>
        <v>5.3780000000000001</v>
      </c>
      <c r="DP219" s="27">
        <f>Revenues!DP78</f>
        <v>3.9209999999999998</v>
      </c>
      <c r="DQ219" s="27">
        <f>SUM(DM219:DP219)</f>
        <v>14.2</v>
      </c>
      <c r="DR219" s="27">
        <f>Revenues!DR78</f>
        <v>0</v>
      </c>
      <c r="DS219" s="27">
        <f>Revenues!DS78</f>
        <v>0</v>
      </c>
      <c r="DT219" s="27">
        <f>Revenues!DT78</f>
        <v>0</v>
      </c>
      <c r="DU219" s="27">
        <f>Revenues!DU78</f>
        <v>0</v>
      </c>
      <c r="DV219" s="27">
        <f>SUM(DR219:DU219)</f>
        <v>0</v>
      </c>
      <c r="DW219" s="27">
        <f>Revenues!DW78</f>
        <v>0</v>
      </c>
      <c r="DX219" s="27">
        <f>Revenues!DX78</f>
        <v>0</v>
      </c>
      <c r="DY219" s="27">
        <f>Revenues!DY78</f>
        <v>0</v>
      </c>
      <c r="DZ219" s="27">
        <f>Revenues!DZ78</f>
        <v>0</v>
      </c>
      <c r="EA219" s="27">
        <f>SUM(DW219:DZ219)</f>
        <v>0</v>
      </c>
      <c r="EB219" s="27">
        <f>Revenues!EB78</f>
        <v>0</v>
      </c>
      <c r="EC219" s="27">
        <f>Revenues!EC78</f>
        <v>0</v>
      </c>
      <c r="ED219" s="27">
        <f>Revenues!ED78</f>
        <v>0</v>
      </c>
      <c r="EE219" s="27">
        <f>Revenues!EE78</f>
        <v>0</v>
      </c>
      <c r="EF219" s="27">
        <f>SUM(EB219:EE219)</f>
        <v>0</v>
      </c>
      <c r="EG219" s="27">
        <f>Revenues!EG78</f>
        <v>0</v>
      </c>
      <c r="EH219" s="27">
        <f>Revenues!EH78</f>
        <v>0</v>
      </c>
      <c r="EI219" s="27">
        <f>Revenues!EI78</f>
        <v>0</v>
      </c>
    </row>
    <row r="220" spans="1:139" ht="15" thickBot="1" x14ac:dyDescent="0.35">
      <c r="A220" s="2" t="s">
        <v>454</v>
      </c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28">
        <f>Revenues!BJ79</f>
        <v>4</v>
      </c>
      <c r="BK220" s="28">
        <f>Revenues!BK79</f>
        <v>4.5</v>
      </c>
      <c r="BL220" s="28">
        <f>Revenues!BL79</f>
        <v>5.3</v>
      </c>
      <c r="BM220" s="28">
        <f>Revenues!BM79</f>
        <v>4.2</v>
      </c>
      <c r="BN220" s="28">
        <f t="shared" ref="BN220:BN230" si="189">SUM(BJ220:BM220)</f>
        <v>18</v>
      </c>
      <c r="BO220" s="28">
        <f>Revenues!BO79</f>
        <v>5</v>
      </c>
      <c r="BP220" s="28">
        <f>Revenues!BP79</f>
        <v>10.9</v>
      </c>
      <c r="BQ220" s="28">
        <f>Revenues!BQ79</f>
        <v>8</v>
      </c>
      <c r="BR220" s="28">
        <f>Revenues!BR79</f>
        <v>7.8</v>
      </c>
      <c r="BS220" s="28">
        <f t="shared" ref="BS220:BS230" si="190">SUM(BO220:BR220)</f>
        <v>31.7</v>
      </c>
      <c r="BT220" s="28">
        <f>Revenues!BT79</f>
        <v>4.0999999999999996</v>
      </c>
      <c r="BU220" s="28">
        <f>Revenues!BU79</f>
        <v>7.9</v>
      </c>
      <c r="BV220" s="28">
        <f>Revenues!BV79</f>
        <v>9.1999999999999993</v>
      </c>
      <c r="BW220" s="28">
        <f>Revenues!BW79</f>
        <v>8.3000000000000007</v>
      </c>
      <c r="BX220" s="28">
        <f t="shared" ref="BX220:BX230" si="191">SUM(BT220:BW220)</f>
        <v>29.5</v>
      </c>
      <c r="BY220" s="28">
        <f>Revenues!BY79</f>
        <v>3.6</v>
      </c>
      <c r="BZ220" s="28">
        <f>Revenues!BZ79</f>
        <v>10.5</v>
      </c>
      <c r="CA220" s="28">
        <f>Revenues!CA79</f>
        <v>10.1</v>
      </c>
      <c r="CB220" s="28">
        <f>Revenues!CB79</f>
        <v>13.5</v>
      </c>
      <c r="CC220" s="28">
        <f t="shared" ref="CC220:CC230" si="192">SUM(BY220:CB220)</f>
        <v>37.700000000000003</v>
      </c>
      <c r="CD220" s="28">
        <f>Revenues!CD79</f>
        <v>7.8</v>
      </c>
      <c r="CE220" s="28">
        <f>Revenues!CE79</f>
        <v>7.9858964399999994</v>
      </c>
      <c r="CF220" s="28">
        <f>Revenues!CF79</f>
        <v>12.7</v>
      </c>
      <c r="CG220" s="28">
        <f>Revenues!CG79</f>
        <v>13.3</v>
      </c>
      <c r="CH220" s="28">
        <f t="shared" ref="CH220:CH230" si="193">SUM(CD220:CG220)</f>
        <v>41.785896440000002</v>
      </c>
      <c r="CI220" s="28">
        <f>Revenues!CI79</f>
        <v>5</v>
      </c>
      <c r="CJ220" s="28">
        <f>Revenues!CJ79</f>
        <v>8</v>
      </c>
      <c r="CK220" s="28">
        <f>Revenues!CK79</f>
        <v>7.7</v>
      </c>
      <c r="CL220" s="28">
        <f>Revenues!CL79</f>
        <v>8.3000000000000007</v>
      </c>
      <c r="CM220" s="28">
        <f t="shared" ref="CM220:CM230" si="194">SUM(CI220:CL220)</f>
        <v>29</v>
      </c>
      <c r="CN220" s="28">
        <f>Revenues!CN79</f>
        <v>13.7</v>
      </c>
      <c r="CO220" s="28">
        <f>Revenues!CO79</f>
        <v>15.1</v>
      </c>
      <c r="CP220" s="28">
        <f>Revenues!CP79</f>
        <v>20.400000000000002</v>
      </c>
      <c r="CQ220" s="28">
        <f>Revenues!CQ79</f>
        <v>11.7</v>
      </c>
      <c r="CR220" s="28">
        <f t="shared" ref="CR220:CR230" si="195">SUM(CN220:CQ220)</f>
        <v>60.900000000000006</v>
      </c>
      <c r="CS220" s="28">
        <f>Revenues!CS79</f>
        <v>8.3438728300000005</v>
      </c>
      <c r="CT220" s="28">
        <f>Revenues!CT79</f>
        <v>16.624685560000003</v>
      </c>
      <c r="CU220" s="28">
        <f>Revenues!CU79</f>
        <v>16.792056389999999</v>
      </c>
      <c r="CV220" s="28">
        <f>Revenues!CV79</f>
        <v>23.867559549999989</v>
      </c>
      <c r="CW220" s="28">
        <f t="shared" ref="CW220:CW230" si="196">SUM(CS220:CV220)</f>
        <v>65.628174329999993</v>
      </c>
      <c r="CX220" s="28">
        <f>Revenues!CX79</f>
        <v>12.246</v>
      </c>
      <c r="CY220" s="28">
        <f>Revenues!CY79</f>
        <v>22.850999999999999</v>
      </c>
      <c r="CZ220" s="28">
        <f>Revenues!CZ79</f>
        <v>16.962</v>
      </c>
      <c r="DA220" s="28">
        <f>Revenues!DA79</f>
        <v>19.282</v>
      </c>
      <c r="DB220" s="28">
        <f t="shared" ref="DB220:DB230" si="197">SUM(CX220:DA220)</f>
        <v>71.340999999999994</v>
      </c>
      <c r="DC220" s="28">
        <f>Revenues!DC79</f>
        <v>14.846</v>
      </c>
      <c r="DD220" s="28">
        <f>Revenues!DD79</f>
        <v>17.207999999999998</v>
      </c>
      <c r="DE220" s="28">
        <f>Revenues!DE79</f>
        <v>14.494</v>
      </c>
      <c r="DF220" s="28">
        <f>Revenues!DF79</f>
        <v>22.943000000000001</v>
      </c>
      <c r="DG220" s="28">
        <f t="shared" ref="DG220:DG230" si="198">SUM(DC220:DF220)</f>
        <v>69.491</v>
      </c>
      <c r="DH220" s="28">
        <f>Revenues!DH79</f>
        <v>11.388</v>
      </c>
      <c r="DI220" s="28">
        <f>Revenues!DI79</f>
        <v>16.898</v>
      </c>
      <c r="DJ220" s="28">
        <f>Revenues!DJ79</f>
        <v>15.930999999999999</v>
      </c>
      <c r="DK220" s="28">
        <f>Revenues!DK79</f>
        <v>31.001000000000001</v>
      </c>
      <c r="DL220" s="28">
        <f t="shared" ref="DL220:DL230" si="199">SUM(DH220:DK220)</f>
        <v>75.218000000000004</v>
      </c>
      <c r="DM220" s="28">
        <f>Revenues!DM79</f>
        <v>35.430999999999997</v>
      </c>
      <c r="DN220" s="28">
        <f>Revenues!DN79</f>
        <v>38.374000000000002</v>
      </c>
      <c r="DO220" s="28">
        <f>Revenues!DO79</f>
        <v>38.314999999999998</v>
      </c>
      <c r="DP220" s="28">
        <f>Revenues!DP79</f>
        <v>36.758000000000003</v>
      </c>
      <c r="DQ220" s="28">
        <f t="shared" ref="DQ220:DQ230" si="200">SUM(DM220:DP220)</f>
        <v>148.87800000000001</v>
      </c>
      <c r="DR220" s="28">
        <f>Revenues!DR79</f>
        <v>10.952</v>
      </c>
      <c r="DS220" s="28">
        <f>Revenues!DS79</f>
        <v>9.7159999999999993</v>
      </c>
      <c r="DT220" s="28">
        <f>Revenues!DT79</f>
        <v>11.553000000000001</v>
      </c>
      <c r="DU220" s="28">
        <f>Revenues!DU79</f>
        <v>13.574</v>
      </c>
      <c r="DV220" s="28">
        <f t="shared" ref="DV220:DV230" si="201">SUM(DR220:DU220)</f>
        <v>45.795000000000002</v>
      </c>
      <c r="DW220" s="28">
        <f>Revenues!DW79</f>
        <v>8.3170000000000002</v>
      </c>
      <c r="DX220" s="28">
        <f>Revenues!DX79</f>
        <v>10.903</v>
      </c>
      <c r="DY220" s="28">
        <f>Revenues!DY79</f>
        <v>9.97536734</v>
      </c>
      <c r="DZ220" s="28">
        <f>Revenues!DZ79</f>
        <v>8.8393226999999985</v>
      </c>
      <c r="EA220" s="28">
        <f t="shared" ref="EA220:EA231" si="202">SUM(DW220:DZ220)</f>
        <v>38.034690039999994</v>
      </c>
      <c r="EB220" s="28">
        <f>Revenues!EB79</f>
        <v>6.3021968799999994</v>
      </c>
      <c r="EC220" s="28">
        <f>Revenues!EC79</f>
        <v>9.4047297100000016</v>
      </c>
      <c r="ED220" s="28">
        <f>Revenues!ED79</f>
        <v>11.712999999999999</v>
      </c>
      <c r="EE220" s="28">
        <f>Revenues!EE79</f>
        <v>11.266255270000004</v>
      </c>
      <c r="EF220" s="28">
        <f t="shared" ref="EF220:EF231" si="203">SUM(EB220:EE220)</f>
        <v>38.686181860000005</v>
      </c>
      <c r="EG220" s="28">
        <f>Revenues!EG79</f>
        <v>13.029086439999999</v>
      </c>
      <c r="EH220" s="28">
        <f>Revenues!EH79</f>
        <v>10.584538820000002</v>
      </c>
      <c r="EI220" s="28">
        <f>Revenues!EI79</f>
        <v>11.408178980000001</v>
      </c>
    </row>
    <row r="221" spans="1:139" ht="15" thickTop="1" x14ac:dyDescent="0.3">
      <c r="A221" s="1" t="s">
        <v>442</v>
      </c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27">
        <f>Revenues!BJ80</f>
        <v>4</v>
      </c>
      <c r="BK221" s="27">
        <f>Revenues!BK80</f>
        <v>9.1999999999999993</v>
      </c>
      <c r="BL221" s="27">
        <f>Revenues!BL80</f>
        <v>12.8</v>
      </c>
      <c r="BM221" s="27">
        <f>Revenues!BM80</f>
        <v>18.600000000000001</v>
      </c>
      <c r="BN221" s="27">
        <f t="shared" si="189"/>
        <v>44.6</v>
      </c>
      <c r="BO221" s="27">
        <f>Revenues!BO80</f>
        <v>10</v>
      </c>
      <c r="BP221" s="27">
        <f>Revenues!BP80</f>
        <v>15.6</v>
      </c>
      <c r="BQ221" s="27">
        <f>Revenues!BQ80</f>
        <v>21.8</v>
      </c>
      <c r="BR221" s="27">
        <f>Revenues!BR80</f>
        <v>26</v>
      </c>
      <c r="BS221" s="27">
        <f t="shared" si="190"/>
        <v>73.400000000000006</v>
      </c>
      <c r="BT221" s="27">
        <f>Revenues!BT80</f>
        <v>8.1999999999999993</v>
      </c>
      <c r="BU221" s="27">
        <f>Revenues!BU80</f>
        <v>10.1</v>
      </c>
      <c r="BV221" s="27">
        <f>Revenues!BV80</f>
        <v>24.7</v>
      </c>
      <c r="BW221" s="27">
        <f>Revenues!BW80</f>
        <v>32.9</v>
      </c>
      <c r="BX221" s="27">
        <f t="shared" si="191"/>
        <v>75.900000000000006</v>
      </c>
      <c r="BY221" s="27">
        <f>Revenues!BY80</f>
        <v>20.399999999999999</v>
      </c>
      <c r="BZ221" s="27">
        <f>Revenues!BZ80</f>
        <v>46.5</v>
      </c>
      <c r="CA221" s="27">
        <f>Revenues!CA80</f>
        <v>54.4</v>
      </c>
      <c r="CB221" s="27">
        <f>Revenues!CB80</f>
        <v>97.3</v>
      </c>
      <c r="CC221" s="27">
        <f t="shared" si="192"/>
        <v>218.60000000000002</v>
      </c>
      <c r="CD221" s="27">
        <f>Revenues!CD80</f>
        <v>50</v>
      </c>
      <c r="CE221" s="27">
        <f>Revenues!CE80</f>
        <v>128.55610754</v>
      </c>
      <c r="CF221" s="27">
        <f>Revenues!CF80</f>
        <v>66.3</v>
      </c>
      <c r="CG221" s="27">
        <f>Revenues!CG80</f>
        <v>60.2</v>
      </c>
      <c r="CH221" s="27">
        <f t="shared" si="193"/>
        <v>305.05610753999997</v>
      </c>
      <c r="CI221" s="27">
        <f>Revenues!CI80</f>
        <v>18.100000000000001</v>
      </c>
      <c r="CJ221" s="27">
        <f>Revenues!CJ80</f>
        <v>14.2</v>
      </c>
      <c r="CK221" s="27">
        <f>Revenues!CK80</f>
        <v>14.8</v>
      </c>
      <c r="CL221" s="27">
        <f>Revenues!CL80</f>
        <v>22.4</v>
      </c>
      <c r="CM221" s="27">
        <f t="shared" si="194"/>
        <v>69.5</v>
      </c>
      <c r="CN221" s="27">
        <f>Revenues!CN80</f>
        <v>5.0999999999999996</v>
      </c>
      <c r="CO221" s="27">
        <f>Revenues!CO80</f>
        <v>16.7</v>
      </c>
      <c r="CP221" s="27">
        <f>Revenues!CP80</f>
        <v>26.400000000000006</v>
      </c>
      <c r="CQ221" s="27">
        <f>Revenues!CQ80</f>
        <v>30.599999999999987</v>
      </c>
      <c r="CR221" s="27">
        <f t="shared" si="195"/>
        <v>78.799999999999983</v>
      </c>
      <c r="CS221" s="27">
        <f>Revenues!CS80</f>
        <v>4.9708220499999998</v>
      </c>
      <c r="CT221" s="27">
        <f>Revenues!CT80</f>
        <v>8.6874332699999997</v>
      </c>
      <c r="CU221" s="27">
        <f>Revenues!CU80</f>
        <v>23.071263390000002</v>
      </c>
      <c r="CV221" s="27">
        <f>Revenues!CV80</f>
        <v>19.914446259999998</v>
      </c>
      <c r="CW221" s="27">
        <f t="shared" si="196"/>
        <v>56.643964969999999</v>
      </c>
      <c r="CX221" s="27">
        <f>Revenues!CX80</f>
        <v>22.405000000000001</v>
      </c>
      <c r="CY221" s="27">
        <f>Revenues!CY80</f>
        <v>27.326000000000001</v>
      </c>
      <c r="CZ221" s="27">
        <f>Revenues!CZ80</f>
        <v>36.307000000000002</v>
      </c>
      <c r="DA221" s="27">
        <f>Revenues!DA80</f>
        <v>40.747999999999998</v>
      </c>
      <c r="DB221" s="27">
        <f t="shared" si="197"/>
        <v>126.786</v>
      </c>
      <c r="DC221" s="27">
        <f>Revenues!DC80</f>
        <v>33.423000000000002</v>
      </c>
      <c r="DD221" s="27">
        <f>Revenues!DD80</f>
        <v>45.301000000000002</v>
      </c>
      <c r="DE221" s="27">
        <f>Revenues!DE80</f>
        <v>53.655999999999999</v>
      </c>
      <c r="DF221" s="27">
        <f>Revenues!DF80</f>
        <v>50.738999999999997</v>
      </c>
      <c r="DG221" s="27">
        <f t="shared" si="198"/>
        <v>183.119</v>
      </c>
      <c r="DH221" s="27">
        <f>Revenues!DH80</f>
        <v>29.452000000000002</v>
      </c>
      <c r="DI221" s="27">
        <f>Revenues!DI80</f>
        <v>21.062000000000001</v>
      </c>
      <c r="DJ221" s="27">
        <f>Revenues!DJ80</f>
        <v>25.709</v>
      </c>
      <c r="DK221" s="27">
        <f>Revenues!DK80</f>
        <v>11.244999999999999</v>
      </c>
      <c r="DL221" s="27">
        <f t="shared" si="199"/>
        <v>87.468000000000004</v>
      </c>
      <c r="DM221" s="27">
        <f>Revenues!DM80</f>
        <v>6.0380000000000003</v>
      </c>
      <c r="DN221" s="27">
        <f>Revenues!DN80</f>
        <v>5.3659999999999997</v>
      </c>
      <c r="DO221" s="27">
        <f>Revenues!DO80</f>
        <v>13.404999999999999</v>
      </c>
      <c r="DP221" s="27">
        <f>Revenues!DP80</f>
        <v>14.645</v>
      </c>
      <c r="DQ221" s="27">
        <f t="shared" si="200"/>
        <v>39.453999999999994</v>
      </c>
      <c r="DR221" s="27">
        <f>Revenues!DR80</f>
        <v>25.591000000000001</v>
      </c>
      <c r="DS221" s="27">
        <f>Revenues!DS80</f>
        <v>36.353999999999999</v>
      </c>
      <c r="DT221" s="27">
        <f>Revenues!DT80</f>
        <v>66.063000000000002</v>
      </c>
      <c r="DU221" s="27">
        <f>Revenues!DU80</f>
        <v>66.373999999999995</v>
      </c>
      <c r="DV221" s="27">
        <f t="shared" si="201"/>
        <v>194.38200000000001</v>
      </c>
      <c r="DW221" s="27">
        <f>Revenues!DW80</f>
        <v>54.313000000000002</v>
      </c>
      <c r="DX221" s="27">
        <f>Revenues!DX80</f>
        <v>90.581999999999994</v>
      </c>
      <c r="DY221" s="27">
        <f>Revenues!DY80</f>
        <v>82.53082686999997</v>
      </c>
      <c r="DZ221" s="27">
        <f>Revenues!DZ80</f>
        <v>72.715107930000002</v>
      </c>
      <c r="EA221" s="27">
        <f t="shared" si="202"/>
        <v>300.14093479999997</v>
      </c>
      <c r="EB221" s="27">
        <f>Revenues!EB80</f>
        <v>40.541974950000004</v>
      </c>
      <c r="EC221" s="27">
        <f>Revenues!EC80</f>
        <v>84.157760379999999</v>
      </c>
      <c r="ED221" s="27">
        <f>Revenues!ED80</f>
        <v>70.930999999999997</v>
      </c>
      <c r="EE221" s="27">
        <f>Revenues!EE80</f>
        <v>79.84964159999997</v>
      </c>
      <c r="EF221" s="27">
        <f t="shared" si="203"/>
        <v>275.48037692999998</v>
      </c>
      <c r="EG221" s="27">
        <f>Revenues!EG80</f>
        <v>48.124882970000002</v>
      </c>
      <c r="EH221" s="27">
        <f>Revenues!EH80</f>
        <v>76.825514670000004</v>
      </c>
      <c r="EI221" s="27">
        <f>Revenues!EI80</f>
        <v>89.306130640000006</v>
      </c>
    </row>
    <row r="222" spans="1:139" ht="15" thickBot="1" x14ac:dyDescent="0.35">
      <c r="A222" s="2" t="s">
        <v>3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28">
        <f>Revenues!BJ81</f>
        <v>0.2</v>
      </c>
      <c r="BK222" s="28">
        <f>Revenues!BK81</f>
        <v>0.1</v>
      </c>
      <c r="BL222" s="28">
        <f>Revenues!BL81</f>
        <v>0.1</v>
      </c>
      <c r="BM222" s="28">
        <f>Revenues!BM81</f>
        <v>0.5</v>
      </c>
      <c r="BN222" s="28">
        <f t="shared" si="189"/>
        <v>0.9</v>
      </c>
      <c r="BO222" s="28">
        <f>Revenues!BO81</f>
        <v>1.1000000000000001</v>
      </c>
      <c r="BP222" s="28">
        <f>Revenues!BP81</f>
        <v>1.1000000000000001</v>
      </c>
      <c r="BQ222" s="28">
        <f>Revenues!BQ81</f>
        <v>0.2</v>
      </c>
      <c r="BR222" s="28">
        <f>Revenues!BR81</f>
        <v>4</v>
      </c>
      <c r="BS222" s="28">
        <f t="shared" si="190"/>
        <v>6.4</v>
      </c>
      <c r="BT222" s="28">
        <f>Revenues!BT81</f>
        <v>13.8</v>
      </c>
      <c r="BU222" s="28">
        <f>Revenues!BU81</f>
        <v>4.7</v>
      </c>
      <c r="BV222" s="28">
        <f>Revenues!BV81</f>
        <v>9.4</v>
      </c>
      <c r="BW222" s="28">
        <f>Revenues!BW81</f>
        <v>22.7</v>
      </c>
      <c r="BX222" s="28">
        <f t="shared" si="191"/>
        <v>50.599999999999994</v>
      </c>
      <c r="BY222" s="28">
        <f>Revenues!BY81</f>
        <v>8.1</v>
      </c>
      <c r="BZ222" s="28">
        <f>Revenues!BZ81</f>
        <v>14.2</v>
      </c>
      <c r="CA222" s="28">
        <f>Revenues!CA81</f>
        <v>8.1</v>
      </c>
      <c r="CB222" s="28">
        <f>Revenues!CB81</f>
        <v>0.4</v>
      </c>
      <c r="CC222" s="28">
        <f t="shared" si="192"/>
        <v>30.799999999999997</v>
      </c>
      <c r="CD222" s="28">
        <f>Revenues!CD81</f>
        <v>0.05</v>
      </c>
      <c r="CE222" s="28">
        <f>Revenues!CE81</f>
        <v>0.20897182</v>
      </c>
      <c r="CF222" s="28">
        <f>Revenues!CF81</f>
        <v>1.1000000000000001</v>
      </c>
      <c r="CG222" s="28">
        <f>Revenues!CG81</f>
        <v>10</v>
      </c>
      <c r="CH222" s="28">
        <f t="shared" si="193"/>
        <v>11.358971820000001</v>
      </c>
      <c r="CI222" s="28">
        <f>Revenues!CI81</f>
        <v>1.4</v>
      </c>
      <c r="CJ222" s="28">
        <f>Revenues!CJ81</f>
        <v>6.3</v>
      </c>
      <c r="CK222" s="28">
        <f>Revenues!CK81</f>
        <v>13.2</v>
      </c>
      <c r="CL222" s="28">
        <f>Revenues!CL81</f>
        <v>15.4</v>
      </c>
      <c r="CM222" s="28">
        <f t="shared" si="194"/>
        <v>36.299999999999997</v>
      </c>
      <c r="CN222" s="28">
        <f>Revenues!CN81</f>
        <v>4</v>
      </c>
      <c r="CO222" s="28">
        <f>Revenues!CO81</f>
        <v>10.1</v>
      </c>
      <c r="CP222" s="28">
        <f>Revenues!CP81</f>
        <v>13.200000000000003</v>
      </c>
      <c r="CQ222" s="28">
        <f>Revenues!CQ81</f>
        <v>5.6999999999999975</v>
      </c>
      <c r="CR222" s="28">
        <f t="shared" si="195"/>
        <v>33</v>
      </c>
      <c r="CS222" s="28">
        <f>Revenues!CS81</f>
        <v>8.6141317100000006</v>
      </c>
      <c r="CT222" s="28">
        <f>Revenues!CT81</f>
        <v>6.8772333099999994</v>
      </c>
      <c r="CU222" s="28">
        <f>Revenues!CU81</f>
        <v>10.488173800000002</v>
      </c>
      <c r="CV222" s="28">
        <f>Revenues!CV81</f>
        <v>32.028965159999991</v>
      </c>
      <c r="CW222" s="28">
        <f t="shared" si="196"/>
        <v>58.008503979999993</v>
      </c>
      <c r="CX222" s="28">
        <f>Revenues!CX81</f>
        <v>14.819000000000001</v>
      </c>
      <c r="CY222" s="28">
        <f>Revenues!CY81</f>
        <v>16.93</v>
      </c>
      <c r="CZ222" s="28">
        <f>Revenues!CZ81</f>
        <v>16.202999999999999</v>
      </c>
      <c r="DA222" s="28">
        <f>Revenues!DA81</f>
        <v>18.655000000000001</v>
      </c>
      <c r="DB222" s="28">
        <f t="shared" si="197"/>
        <v>66.606999999999999</v>
      </c>
      <c r="DC222" s="28">
        <f>Revenues!DC81</f>
        <v>1.976</v>
      </c>
      <c r="DD222" s="28">
        <f>Revenues!DD81</f>
        <v>2.117</v>
      </c>
      <c r="DE222" s="28">
        <f>Revenues!DE81</f>
        <v>4.6689999999999996</v>
      </c>
      <c r="DF222" s="28">
        <f>Revenues!DF81</f>
        <v>2.758</v>
      </c>
      <c r="DG222" s="28">
        <f t="shared" si="198"/>
        <v>11.52</v>
      </c>
      <c r="DH222" s="28">
        <f>Revenues!DH81</f>
        <v>1.359</v>
      </c>
      <c r="DI222" s="28">
        <f>Revenues!DI81</f>
        <v>2.3929999999999998</v>
      </c>
      <c r="DJ222" s="28">
        <f>Revenues!DJ81</f>
        <v>3.2480000000000002</v>
      </c>
      <c r="DK222" s="28">
        <f>Revenues!DK81</f>
        <v>6.2750000000000004</v>
      </c>
      <c r="DL222" s="28">
        <f t="shared" si="199"/>
        <v>13.275</v>
      </c>
      <c r="DM222" s="28">
        <f>Revenues!DM81</f>
        <v>2.2229999999999999</v>
      </c>
      <c r="DN222" s="28">
        <f>Revenues!DN81</f>
        <v>5.7030000000000003</v>
      </c>
      <c r="DO222" s="28">
        <f>Revenues!DO81</f>
        <v>13.977</v>
      </c>
      <c r="DP222" s="28">
        <f>Revenues!DP81</f>
        <v>6.7610000000000001</v>
      </c>
      <c r="DQ222" s="28">
        <f t="shared" si="200"/>
        <v>28.663999999999998</v>
      </c>
      <c r="DR222" s="28">
        <f>Revenues!DR81</f>
        <v>0</v>
      </c>
      <c r="DS222" s="28">
        <f>Revenues!DS81</f>
        <v>0</v>
      </c>
      <c r="DT222" s="28">
        <f>Revenues!DT81</f>
        <v>0</v>
      </c>
      <c r="DU222" s="28">
        <f>Revenues!DU81</f>
        <v>0</v>
      </c>
      <c r="DV222" s="28">
        <f t="shared" si="201"/>
        <v>0</v>
      </c>
      <c r="DW222" s="28">
        <f>Revenues!DW81</f>
        <v>0</v>
      </c>
      <c r="DX222" s="28">
        <f>Revenues!DX81</f>
        <v>0</v>
      </c>
      <c r="DY222" s="28">
        <f>Revenues!DY81</f>
        <v>0</v>
      </c>
      <c r="DZ222" s="28">
        <f>Revenues!DZ81</f>
        <v>0</v>
      </c>
      <c r="EA222" s="28">
        <f t="shared" si="202"/>
        <v>0</v>
      </c>
      <c r="EB222" s="28">
        <f>Revenues!EB81</f>
        <v>0</v>
      </c>
      <c r="EC222" s="28">
        <f>Revenues!EC81</f>
        <v>0</v>
      </c>
      <c r="ED222" s="28">
        <f>Revenues!ED81</f>
        <v>0</v>
      </c>
      <c r="EE222" s="28">
        <f>Revenues!EE81</f>
        <v>0</v>
      </c>
      <c r="EF222" s="28">
        <f t="shared" si="203"/>
        <v>0</v>
      </c>
      <c r="EG222" s="28">
        <f>Revenues!EG81</f>
        <v>0</v>
      </c>
      <c r="EH222" s="28">
        <f>Revenues!EH81</f>
        <v>0</v>
      </c>
      <c r="EI222" s="28">
        <f>Revenues!EI81</f>
        <v>0</v>
      </c>
    </row>
    <row r="223" spans="1:139" ht="15" thickTop="1" x14ac:dyDescent="0.3">
      <c r="A223" s="1" t="s">
        <v>443</v>
      </c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27">
        <f>Revenues!BJ82</f>
        <v>39.4</v>
      </c>
      <c r="BK223" s="27">
        <f>Revenues!BK82</f>
        <v>24.6</v>
      </c>
      <c r="BL223" s="27">
        <f>Revenues!BL82</f>
        <v>12.9</v>
      </c>
      <c r="BM223" s="27">
        <f>Revenues!BM82</f>
        <v>12.2</v>
      </c>
      <c r="BN223" s="27">
        <f t="shared" si="189"/>
        <v>89.100000000000009</v>
      </c>
      <c r="BO223" s="27">
        <f>Revenues!BO82</f>
        <v>13.6</v>
      </c>
      <c r="BP223" s="27">
        <f>Revenues!BP82</f>
        <v>21.2</v>
      </c>
      <c r="BQ223" s="27">
        <f>Revenues!BQ82</f>
        <v>10.3</v>
      </c>
      <c r="BR223" s="27">
        <f>Revenues!BR82</f>
        <v>19.3</v>
      </c>
      <c r="BS223" s="27">
        <f t="shared" si="190"/>
        <v>64.399999999999991</v>
      </c>
      <c r="BT223" s="27">
        <f>Revenues!BT82</f>
        <v>11.3</v>
      </c>
      <c r="BU223" s="27">
        <f>Revenues!BU82</f>
        <v>33.1</v>
      </c>
      <c r="BV223" s="27">
        <f>Revenues!BV82</f>
        <v>35.799999999999997</v>
      </c>
      <c r="BW223" s="27">
        <f>Revenues!BW82</f>
        <v>33.5</v>
      </c>
      <c r="BX223" s="27">
        <f t="shared" si="191"/>
        <v>113.7</v>
      </c>
      <c r="BY223" s="27">
        <f>Revenues!BY82</f>
        <v>23.6</v>
      </c>
      <c r="BZ223" s="27">
        <f>Revenues!BZ82</f>
        <v>42.6</v>
      </c>
      <c r="CA223" s="27">
        <f>Revenues!CA82</f>
        <v>54.5</v>
      </c>
      <c r="CB223" s="27">
        <f>Revenues!CB82</f>
        <v>43.6</v>
      </c>
      <c r="CC223" s="27">
        <f t="shared" si="192"/>
        <v>164.3</v>
      </c>
      <c r="CD223" s="27">
        <f>Revenues!CD82</f>
        <v>23.6</v>
      </c>
      <c r="CE223" s="27">
        <f>Revenues!CE82</f>
        <v>31.825420599999998</v>
      </c>
      <c r="CF223" s="27">
        <f>Revenues!CF82</f>
        <v>30.3</v>
      </c>
      <c r="CG223" s="27">
        <f>Revenues!CG82</f>
        <v>39.299999999999997</v>
      </c>
      <c r="CH223" s="27">
        <f t="shared" si="193"/>
        <v>125.02542059999999</v>
      </c>
      <c r="CI223" s="27">
        <f>Revenues!CI82</f>
        <v>57</v>
      </c>
      <c r="CJ223" s="27">
        <f>Revenues!CJ82</f>
        <v>41.2</v>
      </c>
      <c r="CK223" s="27">
        <f>Revenues!CK82</f>
        <v>26.2</v>
      </c>
      <c r="CL223" s="27">
        <f>Revenues!CL82</f>
        <v>24.1</v>
      </c>
      <c r="CM223" s="27">
        <f t="shared" si="194"/>
        <v>148.5</v>
      </c>
      <c r="CN223" s="27">
        <f>Revenues!CN82</f>
        <v>13.9</v>
      </c>
      <c r="CO223" s="27">
        <f>Revenues!CO82</f>
        <v>22</v>
      </c>
      <c r="CP223" s="27">
        <f>Revenues!CP82</f>
        <v>55.199999999999996</v>
      </c>
      <c r="CQ223" s="27">
        <f>Revenues!CQ82</f>
        <v>24.800000000000011</v>
      </c>
      <c r="CR223" s="27">
        <f t="shared" si="195"/>
        <v>115.9</v>
      </c>
      <c r="CS223" s="27">
        <f>Revenues!CS82</f>
        <v>23.366790000000002</v>
      </c>
      <c r="CT223" s="27">
        <f>Revenues!CT82</f>
        <v>55.42351824</v>
      </c>
      <c r="CU223" s="27">
        <f>Revenues!CU82</f>
        <v>63.000023139999996</v>
      </c>
      <c r="CV223" s="27">
        <f>Revenues!CV82</f>
        <v>53.712692839999988</v>
      </c>
      <c r="CW223" s="27">
        <f t="shared" si="196"/>
        <v>195.50302421999999</v>
      </c>
      <c r="CX223" s="27">
        <f>Revenues!CX82</f>
        <v>27.247</v>
      </c>
      <c r="CY223" s="27">
        <f>Revenues!CY82</f>
        <v>11.472</v>
      </c>
      <c r="CZ223" s="27">
        <f>Revenues!CZ82</f>
        <v>4.0659999999999998</v>
      </c>
      <c r="DA223" s="27">
        <f>Revenues!DA82</f>
        <v>10.446999999999999</v>
      </c>
      <c r="DB223" s="27">
        <f t="shared" si="197"/>
        <v>53.231999999999999</v>
      </c>
      <c r="DC223" s="27">
        <f>Revenues!DC82</f>
        <v>8.6470000000000002</v>
      </c>
      <c r="DD223" s="27">
        <f>Revenues!DD82</f>
        <v>15.832000000000001</v>
      </c>
      <c r="DE223" s="27">
        <f>Revenues!DE82</f>
        <v>7.367</v>
      </c>
      <c r="DF223" s="27">
        <f>Revenues!DF82</f>
        <v>5.3049999999999997</v>
      </c>
      <c r="DG223" s="27">
        <f t="shared" si="198"/>
        <v>37.150999999999996</v>
      </c>
      <c r="DH223" s="27">
        <f>Revenues!DH82</f>
        <v>2.5630000000000002</v>
      </c>
      <c r="DI223" s="27">
        <f>Revenues!DI82</f>
        <v>7.7380000000000004</v>
      </c>
      <c r="DJ223" s="27">
        <f>Revenues!DJ82</f>
        <v>6.3529999999999998</v>
      </c>
      <c r="DK223" s="27">
        <f>Revenues!DK82</f>
        <v>17.077000000000002</v>
      </c>
      <c r="DL223" s="27">
        <f t="shared" si="199"/>
        <v>33.731000000000002</v>
      </c>
      <c r="DM223" s="27">
        <f>Revenues!DM82</f>
        <v>6.0960000000000001</v>
      </c>
      <c r="DN223" s="27">
        <f>Revenues!DN82</f>
        <v>18.169</v>
      </c>
      <c r="DO223" s="27">
        <f>Revenues!DO82</f>
        <v>20.693000000000001</v>
      </c>
      <c r="DP223" s="27">
        <f>Revenues!DP82</f>
        <v>10.701000000000001</v>
      </c>
      <c r="DQ223" s="27">
        <f t="shared" si="200"/>
        <v>55.658999999999999</v>
      </c>
      <c r="DR223" s="27">
        <f>Revenues!DR82</f>
        <v>3.8740000000000001</v>
      </c>
      <c r="DS223" s="27">
        <f>Revenues!DS82</f>
        <v>8.3059999999999992</v>
      </c>
      <c r="DT223" s="27">
        <f>Revenues!DT82</f>
        <v>28.898</v>
      </c>
      <c r="DU223" s="27">
        <f>Revenues!DU82</f>
        <v>45.59</v>
      </c>
      <c r="DV223" s="27">
        <f t="shared" si="201"/>
        <v>86.668000000000006</v>
      </c>
      <c r="DW223" s="27">
        <f>Revenues!DW82</f>
        <v>7.4109999999999996</v>
      </c>
      <c r="DX223" s="27">
        <f>Revenues!DX82</f>
        <v>17.498999999999999</v>
      </c>
      <c r="DY223" s="27">
        <f>Revenues!DY82</f>
        <v>16.183856669999997</v>
      </c>
      <c r="DZ223" s="27">
        <f>Revenues!DZ82</f>
        <v>13.085202880000002</v>
      </c>
      <c r="EA223" s="27">
        <f t="shared" si="202"/>
        <v>54.179059549999998</v>
      </c>
      <c r="EB223" s="27">
        <f>Revenues!EB82</f>
        <v>21.95065404</v>
      </c>
      <c r="EC223" s="27">
        <f>Revenues!EC82</f>
        <v>24.328511070000001</v>
      </c>
      <c r="ED223" s="27">
        <f>Revenues!ED82</f>
        <v>39.844999999999999</v>
      </c>
      <c r="EE223" s="27">
        <f>Revenues!EE82</f>
        <v>50.018427140000014</v>
      </c>
      <c r="EF223" s="27">
        <f t="shared" si="203"/>
        <v>136.14259225000001</v>
      </c>
      <c r="EG223" s="27">
        <f>Revenues!EG82</f>
        <v>35.442621509999995</v>
      </c>
      <c r="EH223" s="27">
        <f>Revenues!EH82</f>
        <v>56.218091130000005</v>
      </c>
      <c r="EI223" s="27">
        <f>Revenues!EI82</f>
        <v>27.775606959999994</v>
      </c>
    </row>
    <row r="224" spans="1:139" ht="15" thickBot="1" x14ac:dyDescent="0.35">
      <c r="A224" s="2" t="s">
        <v>481</v>
      </c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28">
        <f>Revenues!BJ83</f>
        <v>0</v>
      </c>
      <c r="BK224" s="28">
        <f>Revenues!BK83</f>
        <v>0</v>
      </c>
      <c r="BL224" s="28">
        <f>Revenues!BL83</f>
        <v>0</v>
      </c>
      <c r="BM224" s="28">
        <f>Revenues!BM83</f>
        <v>0</v>
      </c>
      <c r="BN224" s="28">
        <f t="shared" si="189"/>
        <v>0</v>
      </c>
      <c r="BO224" s="28">
        <f>Revenues!BO83</f>
        <v>0</v>
      </c>
      <c r="BP224" s="28">
        <f>Revenues!BP83</f>
        <v>0</v>
      </c>
      <c r="BQ224" s="28">
        <f>Revenues!BQ83</f>
        <v>0</v>
      </c>
      <c r="BR224" s="28">
        <f>Revenues!BR83</f>
        <v>0</v>
      </c>
      <c r="BS224" s="28">
        <f t="shared" si="190"/>
        <v>0</v>
      </c>
      <c r="BT224" s="28">
        <f>Revenues!BT83</f>
        <v>0</v>
      </c>
      <c r="BU224" s="28">
        <f>Revenues!BU83</f>
        <v>0</v>
      </c>
      <c r="BV224" s="28">
        <f>Revenues!BV83</f>
        <v>0</v>
      </c>
      <c r="BW224" s="28">
        <f>Revenues!BW83</f>
        <v>0</v>
      </c>
      <c r="BX224" s="28">
        <f t="shared" si="191"/>
        <v>0</v>
      </c>
      <c r="BY224" s="28">
        <f>Revenues!BY83</f>
        <v>0</v>
      </c>
      <c r="BZ224" s="28">
        <f>Revenues!BZ83</f>
        <v>0</v>
      </c>
      <c r="CA224" s="28">
        <f>Revenues!CA83</f>
        <v>11.1</v>
      </c>
      <c r="CB224" s="28">
        <f>Revenues!CB83</f>
        <v>15.5</v>
      </c>
      <c r="CC224" s="28">
        <f t="shared" si="192"/>
        <v>26.6</v>
      </c>
      <c r="CD224" s="28">
        <f>Revenues!CD83</f>
        <v>31.2</v>
      </c>
      <c r="CE224" s="28">
        <f>Revenues!CE83</f>
        <v>125.33163067000001</v>
      </c>
      <c r="CF224" s="28">
        <f>Revenues!CF83</f>
        <v>17.7</v>
      </c>
      <c r="CG224" s="28">
        <f>Revenues!CG83</f>
        <v>13.1</v>
      </c>
      <c r="CH224" s="28">
        <f t="shared" si="193"/>
        <v>187.33163066999998</v>
      </c>
      <c r="CI224" s="28">
        <f>Revenues!CI83</f>
        <v>11.8</v>
      </c>
      <c r="CJ224" s="28">
        <f>Revenues!CJ83</f>
        <v>26.5</v>
      </c>
      <c r="CK224" s="28">
        <f>Revenues!CK83</f>
        <v>35.299999999999997</v>
      </c>
      <c r="CL224" s="28">
        <f>Revenues!CL83</f>
        <v>25.3</v>
      </c>
      <c r="CM224" s="28">
        <f t="shared" si="194"/>
        <v>98.899999999999991</v>
      </c>
      <c r="CN224" s="28">
        <f>Revenues!CN83</f>
        <v>11.9</v>
      </c>
      <c r="CO224" s="28">
        <f>Revenues!CO83</f>
        <v>17</v>
      </c>
      <c r="CP224" s="28">
        <f>Revenues!CP83</f>
        <v>30.5</v>
      </c>
      <c r="CQ224" s="28">
        <f>Revenues!CQ83</f>
        <v>31.199999999999996</v>
      </c>
      <c r="CR224" s="28">
        <f t="shared" si="195"/>
        <v>90.6</v>
      </c>
      <c r="CS224" s="28">
        <f>Revenues!CS83</f>
        <v>16.127640830000001</v>
      </c>
      <c r="CT224" s="28">
        <f>Revenues!CT83</f>
        <v>23.622149789999998</v>
      </c>
      <c r="CU224" s="28">
        <f>Revenues!CU83</f>
        <v>22.856983810000003</v>
      </c>
      <c r="CV224" s="28">
        <f>Revenues!CV83</f>
        <v>30.881157899999991</v>
      </c>
      <c r="CW224" s="28">
        <f t="shared" si="196"/>
        <v>93.487932329999992</v>
      </c>
      <c r="CX224" s="28">
        <f>Revenues!CX83</f>
        <v>44.99</v>
      </c>
      <c r="CY224" s="28">
        <f>Revenues!CY83</f>
        <v>51.197000000000003</v>
      </c>
      <c r="CZ224" s="28">
        <f>Revenues!CZ83</f>
        <v>41.927999999999997</v>
      </c>
      <c r="DA224" s="28">
        <f>Revenues!DA83</f>
        <v>66.326999999999998</v>
      </c>
      <c r="DB224" s="28">
        <f t="shared" si="197"/>
        <v>204.44200000000001</v>
      </c>
      <c r="DC224" s="28">
        <f>Revenues!DC83</f>
        <v>51.786000000000001</v>
      </c>
      <c r="DD224" s="28">
        <f>Revenues!DD83</f>
        <v>59.335999999999999</v>
      </c>
      <c r="DE224" s="28">
        <f>Revenues!DE83</f>
        <v>73.516000000000005</v>
      </c>
      <c r="DF224" s="28">
        <f>Revenues!DF83</f>
        <v>77.515000000000001</v>
      </c>
      <c r="DG224" s="28">
        <f t="shared" si="198"/>
        <v>262.15300000000002</v>
      </c>
      <c r="DH224" s="28">
        <f>Revenues!DH83</f>
        <v>52.445999999999998</v>
      </c>
      <c r="DI224" s="28">
        <f>Revenues!DI83</f>
        <v>39.279000000000003</v>
      </c>
      <c r="DJ224" s="28">
        <f>Revenues!DJ83</f>
        <v>38.677</v>
      </c>
      <c r="DK224" s="28">
        <f>Revenues!DK83</f>
        <v>39.738</v>
      </c>
      <c r="DL224" s="28">
        <f t="shared" si="199"/>
        <v>170.14</v>
      </c>
      <c r="DM224" s="28">
        <f>Revenues!DM83</f>
        <v>44.323999999999998</v>
      </c>
      <c r="DN224" s="28">
        <f>Revenues!DN83</f>
        <v>60.003999999999998</v>
      </c>
      <c r="DO224" s="28">
        <f>Revenues!DO83</f>
        <v>76.679000000000002</v>
      </c>
      <c r="DP224" s="28">
        <f>Revenues!DP83</f>
        <v>61.238</v>
      </c>
      <c r="DQ224" s="28">
        <f t="shared" si="200"/>
        <v>242.245</v>
      </c>
      <c r="DR224" s="28">
        <f>Revenues!DR83</f>
        <v>65.796000000000006</v>
      </c>
      <c r="DS224" s="28">
        <f>Revenues!DS83</f>
        <v>77.972999999999999</v>
      </c>
      <c r="DT224" s="28">
        <f>Revenues!DT83</f>
        <v>91.753</v>
      </c>
      <c r="DU224" s="28">
        <f>Revenues!DU83</f>
        <v>48.73</v>
      </c>
      <c r="DV224" s="28">
        <f t="shared" si="201"/>
        <v>284.25200000000001</v>
      </c>
      <c r="DW224" s="28">
        <f>Revenues!DW83</f>
        <v>41.786999999999999</v>
      </c>
      <c r="DX224" s="28">
        <f>Revenues!DX83</f>
        <v>60.234999999999999</v>
      </c>
      <c r="DY224" s="28">
        <f>Revenues!DY83</f>
        <v>55.434376130000011</v>
      </c>
      <c r="DZ224" s="28">
        <f>Revenues!DZ83</f>
        <v>56.458173379999998</v>
      </c>
      <c r="EA224" s="28">
        <f t="shared" si="202"/>
        <v>213.91454951</v>
      </c>
      <c r="EB224" s="28">
        <f>Revenues!EB83</f>
        <v>56.62218129</v>
      </c>
      <c r="EC224" s="28">
        <f>Revenues!EC83</f>
        <v>81.917153550000009</v>
      </c>
      <c r="ED224" s="28">
        <f>Revenues!ED83</f>
        <v>57.826000000000001</v>
      </c>
      <c r="EE224" s="28">
        <f>Revenues!EE83</f>
        <v>72.17090447999999</v>
      </c>
      <c r="EF224" s="28">
        <f t="shared" si="203"/>
        <v>268.53623931999999</v>
      </c>
      <c r="EG224" s="28">
        <f>Revenues!EG83</f>
        <v>54.317500670000001</v>
      </c>
      <c r="EH224" s="28">
        <f>Revenues!EH83</f>
        <v>46.282883959999992</v>
      </c>
      <c r="EI224" s="28">
        <f>Revenues!EI83</f>
        <v>53.640498909999998</v>
      </c>
    </row>
    <row r="225" spans="1:139" ht="15" thickTop="1" x14ac:dyDescent="0.3">
      <c r="A225" s="1" t="s">
        <v>445</v>
      </c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27">
        <f>Revenues!BJ84</f>
        <v>0</v>
      </c>
      <c r="BK225" s="27">
        <f>Revenues!BK84</f>
        <v>0</v>
      </c>
      <c r="BL225" s="27">
        <f>Revenues!BL84</f>
        <v>0</v>
      </c>
      <c r="BM225" s="27">
        <f>Revenues!BM84</f>
        <v>0</v>
      </c>
      <c r="BN225" s="27">
        <f t="shared" si="189"/>
        <v>0</v>
      </c>
      <c r="BO225" s="27">
        <f>Revenues!BO84</f>
        <v>0</v>
      </c>
      <c r="BP225" s="27">
        <f>Revenues!BP84</f>
        <v>0</v>
      </c>
      <c r="BQ225" s="27">
        <f>Revenues!BQ84</f>
        <v>0</v>
      </c>
      <c r="BR225" s="27">
        <f>Revenues!BR84</f>
        <v>0</v>
      </c>
      <c r="BS225" s="27">
        <f t="shared" si="190"/>
        <v>0</v>
      </c>
      <c r="BT225" s="27">
        <f>Revenues!BT84</f>
        <v>0</v>
      </c>
      <c r="BU225" s="27">
        <f>Revenues!BU84</f>
        <v>0</v>
      </c>
      <c r="BV225" s="27">
        <f>Revenues!BV84</f>
        <v>0</v>
      </c>
      <c r="BW225" s="27">
        <f>Revenues!BW84</f>
        <v>0</v>
      </c>
      <c r="BX225" s="27">
        <f t="shared" si="191"/>
        <v>0</v>
      </c>
      <c r="BY225" s="27">
        <f>Revenues!BY84</f>
        <v>0</v>
      </c>
      <c r="BZ225" s="27">
        <f>Revenues!BZ84</f>
        <v>0</v>
      </c>
      <c r="CA225" s="27">
        <f>Revenues!CA84</f>
        <v>0</v>
      </c>
      <c r="CB225" s="27">
        <f>Revenues!CB84</f>
        <v>0</v>
      </c>
      <c r="CC225" s="27">
        <f t="shared" si="192"/>
        <v>0</v>
      </c>
      <c r="CD225" s="27">
        <f>Revenues!CD84</f>
        <v>0</v>
      </c>
      <c r="CE225" s="27">
        <f>Revenues!CE84</f>
        <v>0</v>
      </c>
      <c r="CF225" s="27">
        <f>Revenues!CF84</f>
        <v>0</v>
      </c>
      <c r="CG225" s="27">
        <f>Revenues!CG84</f>
        <v>0</v>
      </c>
      <c r="CH225" s="27">
        <f t="shared" si="193"/>
        <v>0</v>
      </c>
      <c r="CI225" s="27">
        <f>Revenues!CI84</f>
        <v>0</v>
      </c>
      <c r="CJ225" s="27">
        <f>Revenues!CJ84</f>
        <v>0</v>
      </c>
      <c r="CK225" s="27">
        <f>Revenues!CK84</f>
        <v>0</v>
      </c>
      <c r="CL225" s="27">
        <f>Revenues!CL84</f>
        <v>7.8</v>
      </c>
      <c r="CM225" s="27">
        <f t="shared" si="194"/>
        <v>7.8</v>
      </c>
      <c r="CN225" s="27">
        <f>Revenues!CN84</f>
        <v>8.3000000000000007</v>
      </c>
      <c r="CO225" s="27">
        <f>Revenues!CO84</f>
        <v>14</v>
      </c>
      <c r="CP225" s="27">
        <f>Revenues!CP84</f>
        <v>15.2</v>
      </c>
      <c r="CQ225" s="27">
        <f>Revenues!CQ84</f>
        <v>22.900000000000002</v>
      </c>
      <c r="CR225" s="27">
        <f t="shared" si="195"/>
        <v>60.400000000000006</v>
      </c>
      <c r="CS225" s="27">
        <f>Revenues!CS84</f>
        <v>23.652099120000003</v>
      </c>
      <c r="CT225" s="27">
        <f>Revenues!CT84</f>
        <v>31.69936191</v>
      </c>
      <c r="CU225" s="27">
        <f>Revenues!CU84</f>
        <v>23.006568849999987</v>
      </c>
      <c r="CV225" s="27">
        <f>Revenues!CV84</f>
        <v>17.187902060000013</v>
      </c>
      <c r="CW225" s="27">
        <f t="shared" si="196"/>
        <v>95.545931940000003</v>
      </c>
      <c r="CX225" s="27">
        <f>Revenues!CX84</f>
        <v>2.0299999999999998</v>
      </c>
      <c r="CY225" s="27">
        <f>Revenues!CY84</f>
        <v>4.1790000000000003</v>
      </c>
      <c r="CZ225" s="27">
        <f>Revenues!CZ84</f>
        <v>16.102</v>
      </c>
      <c r="DA225" s="27">
        <f>Revenues!DA84</f>
        <v>35.119999999999997</v>
      </c>
      <c r="DB225" s="27">
        <f t="shared" si="197"/>
        <v>57.430999999999997</v>
      </c>
      <c r="DC225" s="27">
        <f>Revenues!DC84</f>
        <v>44.057000000000002</v>
      </c>
      <c r="DD225" s="27">
        <f>Revenues!DD84</f>
        <v>69.629000000000005</v>
      </c>
      <c r="DE225" s="27">
        <f>Revenues!DE84</f>
        <v>64.370999999999995</v>
      </c>
      <c r="DF225" s="27">
        <f>Revenues!DF84</f>
        <v>69.137</v>
      </c>
      <c r="DG225" s="27">
        <f t="shared" si="198"/>
        <v>247.19400000000002</v>
      </c>
      <c r="DH225" s="27">
        <f>Revenues!DH84</f>
        <v>47.557000000000002</v>
      </c>
      <c r="DI225" s="27">
        <f>Revenues!DI84</f>
        <v>28.363</v>
      </c>
      <c r="DJ225" s="27">
        <f>Revenues!DJ84</f>
        <v>31.501999999999999</v>
      </c>
      <c r="DK225" s="27">
        <f>Revenues!DK84</f>
        <v>28.288</v>
      </c>
      <c r="DL225" s="27">
        <f t="shared" si="199"/>
        <v>135.71</v>
      </c>
      <c r="DM225" s="27">
        <f>Revenues!DM84</f>
        <v>14.532</v>
      </c>
      <c r="DN225" s="27">
        <f>Revenues!DN84</f>
        <v>7.4290000000000003</v>
      </c>
      <c r="DO225" s="27">
        <f>Revenues!DO84</f>
        <v>4.7699999999999996</v>
      </c>
      <c r="DP225" s="27">
        <f>Revenues!DP84</f>
        <v>6.7240000000000002</v>
      </c>
      <c r="DQ225" s="27">
        <f t="shared" si="200"/>
        <v>33.454999999999998</v>
      </c>
      <c r="DR225" s="27">
        <f>Revenues!DR84</f>
        <v>11.627000000000001</v>
      </c>
      <c r="DS225" s="27">
        <f>Revenues!DS84</f>
        <v>4.8620000000000001</v>
      </c>
      <c r="DT225" s="27">
        <f>Revenues!DT84</f>
        <v>2.7589999999999999</v>
      </c>
      <c r="DU225" s="27">
        <f>Revenues!DU84</f>
        <v>6.3730000000000002</v>
      </c>
      <c r="DV225" s="27">
        <f t="shared" si="201"/>
        <v>25.621000000000002</v>
      </c>
      <c r="DW225" s="27">
        <f>Revenues!DW84</f>
        <v>0.98799999999999999</v>
      </c>
      <c r="DX225" s="27">
        <f>Revenues!DX84</f>
        <v>1.9650000000000001</v>
      </c>
      <c r="DY225" s="27">
        <f>Revenues!DY84</f>
        <v>9.6070203200000002</v>
      </c>
      <c r="DZ225" s="27">
        <f>Revenues!DZ84</f>
        <v>7.8214870000000003</v>
      </c>
      <c r="EA225" s="27">
        <f t="shared" si="202"/>
        <v>20.381507320000001</v>
      </c>
      <c r="EB225" s="27">
        <f>Revenues!EB84</f>
        <v>12.60917712</v>
      </c>
      <c r="EC225" s="27">
        <f>Revenues!EC84</f>
        <v>20.551853960000003</v>
      </c>
      <c r="ED225" s="27">
        <f>Revenues!ED84</f>
        <v>15.817</v>
      </c>
      <c r="EE225" s="27">
        <f>Revenues!EE84</f>
        <v>16.817511710000002</v>
      </c>
      <c r="EF225" s="27">
        <f t="shared" si="203"/>
        <v>65.795542789999999</v>
      </c>
      <c r="EG225" s="27">
        <f>Revenues!EG84</f>
        <v>8.213493269999999</v>
      </c>
      <c r="EH225" s="27">
        <f>Revenues!EH84</f>
        <v>19.741037330000001</v>
      </c>
      <c r="EI225" s="27">
        <f>Revenues!EI84</f>
        <v>9.506388369999998</v>
      </c>
    </row>
    <row r="226" spans="1:139" ht="15" thickBot="1" x14ac:dyDescent="0.35">
      <c r="A226" s="2" t="s">
        <v>444</v>
      </c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28">
        <f>Revenues!BJ85</f>
        <v>0</v>
      </c>
      <c r="BK226" s="28">
        <f>Revenues!BK85</f>
        <v>0</v>
      </c>
      <c r="BL226" s="28">
        <f>Revenues!BL85</f>
        <v>0</v>
      </c>
      <c r="BM226" s="28">
        <f>Revenues!BM85</f>
        <v>0</v>
      </c>
      <c r="BN226" s="28">
        <f t="shared" si="189"/>
        <v>0</v>
      </c>
      <c r="BO226" s="28">
        <f>Revenues!BO85</f>
        <v>0</v>
      </c>
      <c r="BP226" s="28">
        <f>Revenues!BP85</f>
        <v>0</v>
      </c>
      <c r="BQ226" s="28">
        <f>Revenues!BQ85</f>
        <v>0</v>
      </c>
      <c r="BR226" s="28">
        <f>Revenues!BR85</f>
        <v>0</v>
      </c>
      <c r="BS226" s="28">
        <f t="shared" si="190"/>
        <v>0</v>
      </c>
      <c r="BT226" s="28">
        <f>Revenues!BT85</f>
        <v>0</v>
      </c>
      <c r="BU226" s="28">
        <f>Revenues!BU85</f>
        <v>0</v>
      </c>
      <c r="BV226" s="28">
        <f>Revenues!BV85</f>
        <v>0</v>
      </c>
      <c r="BW226" s="28">
        <f>Revenues!BW85</f>
        <v>0</v>
      </c>
      <c r="BX226" s="28">
        <f t="shared" si="191"/>
        <v>0</v>
      </c>
      <c r="BY226" s="28">
        <f>Revenues!BY85</f>
        <v>0</v>
      </c>
      <c r="BZ226" s="28">
        <f>Revenues!BZ85</f>
        <v>0</v>
      </c>
      <c r="CA226" s="28">
        <f>Revenues!CA85</f>
        <v>0</v>
      </c>
      <c r="CB226" s="28">
        <f>Revenues!CB85</f>
        <v>0</v>
      </c>
      <c r="CC226" s="28">
        <f t="shared" si="192"/>
        <v>0</v>
      </c>
      <c r="CD226" s="28">
        <f>Revenues!CD85</f>
        <v>0</v>
      </c>
      <c r="CE226" s="28">
        <f>Revenues!CE85</f>
        <v>0</v>
      </c>
      <c r="CF226" s="28">
        <f>Revenues!CF85</f>
        <v>0</v>
      </c>
      <c r="CG226" s="28">
        <f>Revenues!CG85</f>
        <v>0</v>
      </c>
      <c r="CH226" s="28">
        <f t="shared" si="193"/>
        <v>0</v>
      </c>
      <c r="CI226" s="28">
        <f>Revenues!CI85</f>
        <v>0</v>
      </c>
      <c r="CJ226" s="28">
        <f>Revenues!CJ85</f>
        <v>0</v>
      </c>
      <c r="CK226" s="28">
        <f>Revenues!CK85</f>
        <v>0</v>
      </c>
      <c r="CL226" s="28">
        <f>Revenues!CL85</f>
        <v>0</v>
      </c>
      <c r="CM226" s="28">
        <f t="shared" si="194"/>
        <v>0</v>
      </c>
      <c r="CN226" s="28">
        <f>Revenues!CN85</f>
        <v>0</v>
      </c>
      <c r="CO226" s="28">
        <f>Revenues!CO85</f>
        <v>0</v>
      </c>
      <c r="CP226" s="28">
        <f>Revenues!CP85</f>
        <v>0</v>
      </c>
      <c r="CQ226" s="28">
        <f>Revenues!CQ85</f>
        <v>0</v>
      </c>
      <c r="CR226" s="28">
        <f t="shared" si="195"/>
        <v>0</v>
      </c>
      <c r="CS226" s="28">
        <f>Revenues!CS85</f>
        <v>0</v>
      </c>
      <c r="CT226" s="28">
        <f>Revenues!CT85</f>
        <v>0</v>
      </c>
      <c r="CU226" s="28">
        <f>Revenues!CU85</f>
        <v>0</v>
      </c>
      <c r="CV226" s="28">
        <f>Revenues!CV85</f>
        <v>0</v>
      </c>
      <c r="CW226" s="28">
        <f t="shared" si="196"/>
        <v>0</v>
      </c>
      <c r="CX226" s="28">
        <f>Revenues!CX85</f>
        <v>0</v>
      </c>
      <c r="CY226" s="28">
        <f>Revenues!CY85</f>
        <v>0</v>
      </c>
      <c r="CZ226" s="28">
        <f>Revenues!CZ85</f>
        <v>0</v>
      </c>
      <c r="DA226" s="28">
        <f>Revenues!DA85</f>
        <v>0</v>
      </c>
      <c r="DB226" s="28">
        <f t="shared" si="197"/>
        <v>0</v>
      </c>
      <c r="DC226" s="28">
        <f>Revenues!DC85</f>
        <v>0</v>
      </c>
      <c r="DD226" s="28">
        <f>Revenues!DD85</f>
        <v>46.265999999999998</v>
      </c>
      <c r="DE226" s="28">
        <f>Revenues!DE85</f>
        <v>-25.259</v>
      </c>
      <c r="DF226" s="28">
        <f>Revenues!DF85</f>
        <v>62.502000000000002</v>
      </c>
      <c r="DG226" s="28">
        <f t="shared" si="198"/>
        <v>83.509</v>
      </c>
      <c r="DH226" s="28">
        <f>Revenues!DH85</f>
        <v>44.957999999999998</v>
      </c>
      <c r="DI226" s="28">
        <f>Revenues!DI85</f>
        <v>30.757999999999999</v>
      </c>
      <c r="DJ226" s="28">
        <f>Revenues!DJ85</f>
        <v>35.65</v>
      </c>
      <c r="DK226" s="28">
        <f>Revenues!DK85</f>
        <v>43.204000000000001</v>
      </c>
      <c r="DL226" s="28">
        <f t="shared" si="199"/>
        <v>154.57</v>
      </c>
      <c r="DM226" s="28">
        <f>Revenues!DM85</f>
        <v>27.748000000000001</v>
      </c>
      <c r="DN226" s="28">
        <f>Revenues!DN85</f>
        <v>57.963999999999999</v>
      </c>
      <c r="DO226" s="28">
        <f>Revenues!DO85</f>
        <v>77.046999999999997</v>
      </c>
      <c r="DP226" s="28">
        <f>Revenues!DP85</f>
        <v>58.234000000000002</v>
      </c>
      <c r="DQ226" s="28">
        <f t="shared" si="200"/>
        <v>220.99300000000002</v>
      </c>
      <c r="DR226" s="28">
        <f>Revenues!DR85</f>
        <v>31.751000000000001</v>
      </c>
      <c r="DS226" s="28">
        <f>Revenues!DS85</f>
        <v>27.027999999999999</v>
      </c>
      <c r="DT226" s="28">
        <f>Revenues!DT85</f>
        <v>65.801000000000002</v>
      </c>
      <c r="DU226" s="28">
        <f>Revenues!DU85</f>
        <v>94.05</v>
      </c>
      <c r="DV226" s="28">
        <f t="shared" si="201"/>
        <v>218.63</v>
      </c>
      <c r="DW226" s="28">
        <f>Revenues!DW85</f>
        <v>30.684000000000001</v>
      </c>
      <c r="DX226" s="28">
        <f>Revenues!DX85</f>
        <v>46.689</v>
      </c>
      <c r="DY226" s="28">
        <f>Revenues!DY85</f>
        <v>66.986602770000005</v>
      </c>
      <c r="DZ226" s="28">
        <f>Revenues!DZ85</f>
        <v>82.840923239999981</v>
      </c>
      <c r="EA226" s="28">
        <f t="shared" si="202"/>
        <v>227.20052600999998</v>
      </c>
      <c r="EB226" s="28">
        <f>Revenues!EB85</f>
        <v>57.900796820000004</v>
      </c>
      <c r="EC226" s="28">
        <f>Revenues!EC85</f>
        <v>78.180225530000001</v>
      </c>
      <c r="ED226" s="28">
        <f>Revenues!ED85</f>
        <v>68.891999999999996</v>
      </c>
      <c r="EE226" s="28">
        <f>Revenues!EE85</f>
        <v>75.839974789999985</v>
      </c>
      <c r="EF226" s="28">
        <f t="shared" si="203"/>
        <v>280.81299713999999</v>
      </c>
      <c r="EG226" s="28">
        <f>Revenues!EG85</f>
        <v>39.788634259999995</v>
      </c>
      <c r="EH226" s="28">
        <f>Revenues!EH85</f>
        <v>40.574740069999997</v>
      </c>
      <c r="EI226" s="28">
        <f>Revenues!EI85</f>
        <v>56.124450809999985</v>
      </c>
    </row>
    <row r="227" spans="1:139" ht="15" thickTop="1" x14ac:dyDescent="0.3">
      <c r="A227" s="1" t="s">
        <v>456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27">
        <f>Revenues!BJ86</f>
        <v>0</v>
      </c>
      <c r="BK227" s="27">
        <f>Revenues!BK86</f>
        <v>0</v>
      </c>
      <c r="BL227" s="27">
        <f>Revenues!BL86</f>
        <v>0</v>
      </c>
      <c r="BM227" s="27">
        <f>Revenues!BM86</f>
        <v>0</v>
      </c>
      <c r="BN227" s="27">
        <f t="shared" si="189"/>
        <v>0</v>
      </c>
      <c r="BO227" s="27">
        <f>Revenues!BO86</f>
        <v>0</v>
      </c>
      <c r="BP227" s="27">
        <f>Revenues!BP86</f>
        <v>0</v>
      </c>
      <c r="BQ227" s="27">
        <f>Revenues!BQ86</f>
        <v>0</v>
      </c>
      <c r="BR227" s="27">
        <f>Revenues!BR86</f>
        <v>0</v>
      </c>
      <c r="BS227" s="27">
        <f t="shared" si="190"/>
        <v>0</v>
      </c>
      <c r="BT227" s="27">
        <f>Revenues!BT86</f>
        <v>0</v>
      </c>
      <c r="BU227" s="27">
        <f>Revenues!BU86</f>
        <v>0</v>
      </c>
      <c r="BV227" s="27">
        <f>Revenues!BV86</f>
        <v>0</v>
      </c>
      <c r="BW227" s="27">
        <f>Revenues!BW86</f>
        <v>0</v>
      </c>
      <c r="BX227" s="27">
        <f t="shared" si="191"/>
        <v>0</v>
      </c>
      <c r="BY227" s="27">
        <f>Revenues!BY86</f>
        <v>0</v>
      </c>
      <c r="BZ227" s="27">
        <f>Revenues!BZ86</f>
        <v>0</v>
      </c>
      <c r="CA227" s="27">
        <f>Revenues!CA86</f>
        <v>0</v>
      </c>
      <c r="CB227" s="27">
        <f>Revenues!CB86</f>
        <v>0</v>
      </c>
      <c r="CC227" s="27">
        <f t="shared" si="192"/>
        <v>0</v>
      </c>
      <c r="CD227" s="27">
        <f>Revenues!CD86</f>
        <v>0</v>
      </c>
      <c r="CE227" s="27">
        <f>Revenues!CE86</f>
        <v>0</v>
      </c>
      <c r="CF227" s="27">
        <f>Revenues!CF86</f>
        <v>0</v>
      </c>
      <c r="CG227" s="27">
        <f>Revenues!CG86</f>
        <v>0</v>
      </c>
      <c r="CH227" s="27">
        <f t="shared" si="193"/>
        <v>0</v>
      </c>
      <c r="CI227" s="27">
        <f>Revenues!CI86</f>
        <v>0</v>
      </c>
      <c r="CJ227" s="27">
        <f>Revenues!CJ86</f>
        <v>0</v>
      </c>
      <c r="CK227" s="27">
        <f>Revenues!CK86</f>
        <v>0</v>
      </c>
      <c r="CL227" s="27">
        <f>Revenues!CL86</f>
        <v>0</v>
      </c>
      <c r="CM227" s="27">
        <f t="shared" si="194"/>
        <v>0</v>
      </c>
      <c r="CN227" s="27">
        <f>Revenues!CN86</f>
        <v>0</v>
      </c>
      <c r="CO227" s="27">
        <f>Revenues!CO86</f>
        <v>0</v>
      </c>
      <c r="CP227" s="27">
        <f>Revenues!CP86</f>
        <v>0</v>
      </c>
      <c r="CQ227" s="27">
        <f>Revenues!CQ86</f>
        <v>0</v>
      </c>
      <c r="CR227" s="27">
        <f t="shared" si="195"/>
        <v>0</v>
      </c>
      <c r="CS227" s="27">
        <f>Revenues!CS86</f>
        <v>0</v>
      </c>
      <c r="CT227" s="27">
        <f>Revenues!CT86</f>
        <v>0</v>
      </c>
      <c r="CU227" s="27">
        <f>Revenues!CU86</f>
        <v>0</v>
      </c>
      <c r="CV227" s="27">
        <f>Revenues!CV86</f>
        <v>0</v>
      </c>
      <c r="CW227" s="27">
        <f t="shared" si="196"/>
        <v>0</v>
      </c>
      <c r="CX227" s="27">
        <f>Revenues!CX86</f>
        <v>0</v>
      </c>
      <c r="CY227" s="27">
        <f>Revenues!CY86</f>
        <v>0</v>
      </c>
      <c r="CZ227" s="27">
        <f>Revenues!CZ86</f>
        <v>0</v>
      </c>
      <c r="DA227" s="27">
        <f>Revenues!DA86</f>
        <v>53.466999999999999</v>
      </c>
      <c r="DB227" s="27">
        <f t="shared" si="197"/>
        <v>53.466999999999999</v>
      </c>
      <c r="DC227" s="27">
        <f>Revenues!DC86</f>
        <v>69.299000000000007</v>
      </c>
      <c r="DD227" s="27">
        <f>Revenues!DD86</f>
        <v>21.609000000000002</v>
      </c>
      <c r="DE227" s="27">
        <f>Revenues!DE86</f>
        <v>6.1310000000000002</v>
      </c>
      <c r="DF227" s="27">
        <f>Revenues!DF86</f>
        <v>14.388999999999999</v>
      </c>
      <c r="DG227" s="27">
        <f t="shared" si="198"/>
        <v>111.42800000000001</v>
      </c>
      <c r="DH227" s="27">
        <f>Revenues!DH86</f>
        <v>10.659000000000001</v>
      </c>
      <c r="DI227" s="27">
        <f>Revenues!DI86</f>
        <v>15.936999999999999</v>
      </c>
      <c r="DJ227" s="27">
        <f>Revenues!DJ86</f>
        <v>21.513000000000002</v>
      </c>
      <c r="DK227" s="27">
        <f>Revenues!DK86</f>
        <v>7.8449999999999998</v>
      </c>
      <c r="DL227" s="27">
        <f t="shared" si="199"/>
        <v>55.954000000000001</v>
      </c>
      <c r="DM227" s="27">
        <f>Revenues!DM86</f>
        <v>7.4119999999999999</v>
      </c>
      <c r="DN227" s="27">
        <f>Revenues!DN86</f>
        <v>23.52</v>
      </c>
      <c r="DO227" s="27">
        <f>Revenues!DO86</f>
        <v>47.828000000000003</v>
      </c>
      <c r="DP227" s="27">
        <f>Revenues!DP86</f>
        <v>111.726</v>
      </c>
      <c r="DQ227" s="27">
        <f t="shared" si="200"/>
        <v>190.48599999999999</v>
      </c>
      <c r="DR227" s="27">
        <f>Revenues!DR86</f>
        <v>77.984999999999999</v>
      </c>
      <c r="DS227" s="27">
        <f>Revenues!DS86</f>
        <v>88.048000000000002</v>
      </c>
      <c r="DT227" s="27">
        <f>Revenues!DT86</f>
        <v>129.24600000000001</v>
      </c>
      <c r="DU227" s="27">
        <f>Revenues!DU86</f>
        <v>152.029</v>
      </c>
      <c r="DV227" s="27">
        <f t="shared" si="201"/>
        <v>447.30799999999999</v>
      </c>
      <c r="DW227" s="27">
        <f>Revenues!DW86</f>
        <v>78.308000000000007</v>
      </c>
      <c r="DX227" s="27">
        <f>Revenues!DX86</f>
        <v>152.31200000000001</v>
      </c>
      <c r="DY227" s="27">
        <f>Revenues!DY86</f>
        <v>268.66160817000002</v>
      </c>
      <c r="DZ227" s="27">
        <f>Revenues!DZ86</f>
        <v>268.67205144999997</v>
      </c>
      <c r="EA227" s="27">
        <f t="shared" si="202"/>
        <v>767.95365962000005</v>
      </c>
      <c r="EB227" s="27">
        <f>Revenues!EB86</f>
        <v>107.18144956</v>
      </c>
      <c r="EC227" s="27">
        <f>Revenues!EC86</f>
        <v>156.27764543000001</v>
      </c>
      <c r="ED227" s="27">
        <f>Revenues!ED86</f>
        <v>203.739</v>
      </c>
      <c r="EE227" s="27">
        <f>Revenues!EE86</f>
        <v>256.66144438999999</v>
      </c>
      <c r="EF227" s="27">
        <f t="shared" si="203"/>
        <v>723.85953938000011</v>
      </c>
      <c r="EG227" s="27">
        <f>Revenues!EG86</f>
        <v>95.882593889999995</v>
      </c>
      <c r="EH227" s="27">
        <f>Revenues!EH86</f>
        <v>115.45160555999999</v>
      </c>
      <c r="EI227" s="27">
        <f>Revenues!EI86</f>
        <v>140.14901613999999</v>
      </c>
    </row>
    <row r="228" spans="1:139" ht="15" thickBot="1" x14ac:dyDescent="0.35">
      <c r="A228" s="2" t="s">
        <v>446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28">
        <f>Revenues!BJ87</f>
        <v>0</v>
      </c>
      <c r="BK228" s="28">
        <f>Revenues!BK87</f>
        <v>0</v>
      </c>
      <c r="BL228" s="28">
        <f>Revenues!BL87</f>
        <v>0</v>
      </c>
      <c r="BM228" s="28">
        <f>Revenues!BM87</f>
        <v>0</v>
      </c>
      <c r="BN228" s="28">
        <f t="shared" si="189"/>
        <v>0</v>
      </c>
      <c r="BO228" s="28">
        <f>Revenues!BO87</f>
        <v>0</v>
      </c>
      <c r="BP228" s="28">
        <f>Revenues!BP87</f>
        <v>0</v>
      </c>
      <c r="BQ228" s="28">
        <f>Revenues!BQ87</f>
        <v>0</v>
      </c>
      <c r="BR228" s="28">
        <f>Revenues!BR87</f>
        <v>0</v>
      </c>
      <c r="BS228" s="28">
        <f t="shared" si="190"/>
        <v>0</v>
      </c>
      <c r="BT228" s="28">
        <f>Revenues!BT87</f>
        <v>0</v>
      </c>
      <c r="BU228" s="28">
        <f>Revenues!BU87</f>
        <v>0</v>
      </c>
      <c r="BV228" s="28">
        <f>Revenues!BV87</f>
        <v>0</v>
      </c>
      <c r="BW228" s="28">
        <f>Revenues!BW87</f>
        <v>0</v>
      </c>
      <c r="BX228" s="28">
        <f t="shared" si="191"/>
        <v>0</v>
      </c>
      <c r="BY228" s="28">
        <f>Revenues!BY87</f>
        <v>0</v>
      </c>
      <c r="BZ228" s="28">
        <f>Revenues!BZ87</f>
        <v>0</v>
      </c>
      <c r="CA228" s="28">
        <f>Revenues!CA87</f>
        <v>0</v>
      </c>
      <c r="CB228" s="28">
        <f>Revenues!CB87</f>
        <v>0</v>
      </c>
      <c r="CC228" s="28">
        <f t="shared" si="192"/>
        <v>0</v>
      </c>
      <c r="CD228" s="28">
        <f>Revenues!CD87</f>
        <v>0</v>
      </c>
      <c r="CE228" s="28">
        <f>Revenues!CE87</f>
        <v>0</v>
      </c>
      <c r="CF228" s="28">
        <f>Revenues!CF87</f>
        <v>0</v>
      </c>
      <c r="CG228" s="28">
        <f>Revenues!CG87</f>
        <v>0</v>
      </c>
      <c r="CH228" s="28">
        <f t="shared" si="193"/>
        <v>0</v>
      </c>
      <c r="CI228" s="28">
        <f>Revenues!CI87</f>
        <v>0</v>
      </c>
      <c r="CJ228" s="28">
        <f>Revenues!CJ87</f>
        <v>0</v>
      </c>
      <c r="CK228" s="28">
        <f>Revenues!CK87</f>
        <v>0</v>
      </c>
      <c r="CL228" s="28">
        <f>Revenues!CL87</f>
        <v>0</v>
      </c>
      <c r="CM228" s="28">
        <f t="shared" si="194"/>
        <v>0</v>
      </c>
      <c r="CN228" s="28">
        <f>Revenues!CN87</f>
        <v>0</v>
      </c>
      <c r="CO228" s="28">
        <f>Revenues!CO87</f>
        <v>0</v>
      </c>
      <c r="CP228" s="28">
        <f>Revenues!CP87</f>
        <v>0</v>
      </c>
      <c r="CQ228" s="28">
        <f>Revenues!CQ87</f>
        <v>0</v>
      </c>
      <c r="CR228" s="28">
        <f t="shared" si="195"/>
        <v>0</v>
      </c>
      <c r="CS228" s="28">
        <f>Revenues!CS87</f>
        <v>0</v>
      </c>
      <c r="CT228" s="28">
        <f>Revenues!CT87</f>
        <v>0</v>
      </c>
      <c r="CU228" s="28">
        <f>Revenues!CU87</f>
        <v>0</v>
      </c>
      <c r="CV228" s="28">
        <f>Revenues!CV87</f>
        <v>0</v>
      </c>
      <c r="CW228" s="28">
        <f t="shared" si="196"/>
        <v>0</v>
      </c>
      <c r="CX228" s="28">
        <f>Revenues!CX87</f>
        <v>0</v>
      </c>
      <c r="CY228" s="28">
        <f>Revenues!CY87</f>
        <v>0</v>
      </c>
      <c r="CZ228" s="28">
        <f>Revenues!CZ87</f>
        <v>0</v>
      </c>
      <c r="DA228" s="28">
        <f>Revenues!DA87</f>
        <v>0</v>
      </c>
      <c r="DB228" s="28">
        <f t="shared" si="197"/>
        <v>0</v>
      </c>
      <c r="DC228" s="28">
        <f>Revenues!DC87</f>
        <v>0</v>
      </c>
      <c r="DD228" s="28">
        <f>Revenues!DD87</f>
        <v>0</v>
      </c>
      <c r="DE228" s="28">
        <f>Revenues!DE87</f>
        <v>0</v>
      </c>
      <c r="DF228" s="28">
        <f>Revenues!DF87</f>
        <v>0</v>
      </c>
      <c r="DG228" s="28">
        <f t="shared" si="198"/>
        <v>0</v>
      </c>
      <c r="DH228" s="28">
        <f>Revenues!DH87</f>
        <v>0</v>
      </c>
      <c r="DI228" s="28">
        <f>Revenues!DI87</f>
        <v>97.06</v>
      </c>
      <c r="DJ228" s="28">
        <f>Revenues!DJ87</f>
        <v>107.64</v>
      </c>
      <c r="DK228" s="28">
        <f>Revenues!DK87</f>
        <v>45.405000000000001</v>
      </c>
      <c r="DL228" s="28">
        <f t="shared" si="199"/>
        <v>250.10499999999999</v>
      </c>
      <c r="DM228" s="28">
        <f>Revenues!DM87</f>
        <v>24.661000000000001</v>
      </c>
      <c r="DN228" s="28">
        <f>Revenues!DN87</f>
        <v>21.257999999999999</v>
      </c>
      <c r="DO228" s="28">
        <f>Revenues!DO87</f>
        <v>41.354999999999997</v>
      </c>
      <c r="DP228" s="28">
        <f>Revenues!DP87</f>
        <v>82.635999999999996</v>
      </c>
      <c r="DQ228" s="28">
        <f t="shared" si="200"/>
        <v>169.91</v>
      </c>
      <c r="DR228" s="28">
        <f>Revenues!DR87</f>
        <v>79.185000000000002</v>
      </c>
      <c r="DS228" s="28">
        <f>Revenues!DS87</f>
        <v>64.198999999999998</v>
      </c>
      <c r="DT228" s="28">
        <f>Revenues!DT87</f>
        <v>93.588999999999999</v>
      </c>
      <c r="DU228" s="28">
        <f>Revenues!DU87</f>
        <v>101.374</v>
      </c>
      <c r="DV228" s="28">
        <f t="shared" si="201"/>
        <v>338.34699999999998</v>
      </c>
      <c r="DW228" s="28">
        <f>Revenues!DW87</f>
        <v>64.567999999999998</v>
      </c>
      <c r="DX228" s="28">
        <f>Revenues!DX87</f>
        <v>31.073</v>
      </c>
      <c r="DY228" s="28">
        <f>Revenues!DY87</f>
        <v>32.335844040000005</v>
      </c>
      <c r="DZ228" s="28">
        <f>Revenues!DZ87</f>
        <v>87.002562839999982</v>
      </c>
      <c r="EA228" s="28">
        <f t="shared" si="202"/>
        <v>214.97940688</v>
      </c>
      <c r="EB228" s="28">
        <f>Revenues!EB87</f>
        <v>78.664787010000012</v>
      </c>
      <c r="EC228" s="28">
        <f>Revenues!EC87</f>
        <v>73.633093409999987</v>
      </c>
      <c r="ED228" s="28">
        <f>Revenues!ED87</f>
        <v>77.073999999999998</v>
      </c>
      <c r="EE228" s="28">
        <f>Revenues!EE87</f>
        <v>78.542702159999962</v>
      </c>
      <c r="EF228" s="28">
        <f t="shared" si="203"/>
        <v>307.91458258</v>
      </c>
      <c r="EG228" s="28">
        <f>Revenues!EG87</f>
        <v>76.828789510000007</v>
      </c>
      <c r="EH228" s="28">
        <f>Revenues!EH87</f>
        <v>63.99076608</v>
      </c>
      <c r="EI228" s="28">
        <f>Revenues!EI87</f>
        <v>43.495011359999985</v>
      </c>
    </row>
    <row r="229" spans="1:139" ht="15" thickTop="1" x14ac:dyDescent="0.3">
      <c r="A229" s="1" t="s">
        <v>447</v>
      </c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27">
        <f>Revenues!BJ88</f>
        <v>0</v>
      </c>
      <c r="BK229" s="27">
        <f>Revenues!BK88</f>
        <v>0</v>
      </c>
      <c r="BL229" s="27">
        <f>Revenues!BL88</f>
        <v>0</v>
      </c>
      <c r="BM229" s="27">
        <f>Revenues!BM88</f>
        <v>0</v>
      </c>
      <c r="BN229" s="27">
        <f t="shared" si="189"/>
        <v>0</v>
      </c>
      <c r="BO229" s="27">
        <f>Revenues!BO88</f>
        <v>0</v>
      </c>
      <c r="BP229" s="27">
        <f>Revenues!BP88</f>
        <v>0</v>
      </c>
      <c r="BQ229" s="27">
        <f>Revenues!BQ88</f>
        <v>0</v>
      </c>
      <c r="BR229" s="27">
        <f>Revenues!BR88</f>
        <v>0</v>
      </c>
      <c r="BS229" s="27">
        <f t="shared" si="190"/>
        <v>0</v>
      </c>
      <c r="BT229" s="27">
        <f>Revenues!BT88</f>
        <v>0</v>
      </c>
      <c r="BU229" s="27">
        <f>Revenues!BU88</f>
        <v>0</v>
      </c>
      <c r="BV229" s="27">
        <f>Revenues!BV88</f>
        <v>0</v>
      </c>
      <c r="BW229" s="27">
        <f>Revenues!BW88</f>
        <v>0</v>
      </c>
      <c r="BX229" s="27">
        <f t="shared" si="191"/>
        <v>0</v>
      </c>
      <c r="BY229" s="27">
        <f>Revenues!BY88</f>
        <v>0</v>
      </c>
      <c r="BZ229" s="27">
        <f>Revenues!BZ88</f>
        <v>0</v>
      </c>
      <c r="CA229" s="27">
        <f>Revenues!CA88</f>
        <v>0</v>
      </c>
      <c r="CB229" s="27">
        <f>Revenues!CB88</f>
        <v>0</v>
      </c>
      <c r="CC229" s="27">
        <f t="shared" si="192"/>
        <v>0</v>
      </c>
      <c r="CD229" s="27">
        <f>Revenues!CD88</f>
        <v>0</v>
      </c>
      <c r="CE229" s="27">
        <f>Revenues!CE88</f>
        <v>0</v>
      </c>
      <c r="CF229" s="27">
        <f>Revenues!CF88</f>
        <v>0</v>
      </c>
      <c r="CG229" s="27">
        <f>Revenues!CG88</f>
        <v>0</v>
      </c>
      <c r="CH229" s="27">
        <f t="shared" si="193"/>
        <v>0</v>
      </c>
      <c r="CI229" s="27">
        <f>Revenues!CI88</f>
        <v>0</v>
      </c>
      <c r="CJ229" s="27">
        <f>Revenues!CJ88</f>
        <v>0</v>
      </c>
      <c r="CK229" s="27">
        <f>Revenues!CK88</f>
        <v>0</v>
      </c>
      <c r="CL229" s="27">
        <f>Revenues!CL88</f>
        <v>0</v>
      </c>
      <c r="CM229" s="27">
        <f t="shared" si="194"/>
        <v>0</v>
      </c>
      <c r="CN229" s="27">
        <f>Revenues!CN88</f>
        <v>0</v>
      </c>
      <c r="CO229" s="27">
        <f>Revenues!CO88</f>
        <v>0</v>
      </c>
      <c r="CP229" s="27">
        <f>Revenues!CP88</f>
        <v>0</v>
      </c>
      <c r="CQ229" s="27">
        <f>Revenues!CQ88</f>
        <v>0</v>
      </c>
      <c r="CR229" s="27">
        <f t="shared" si="195"/>
        <v>0</v>
      </c>
      <c r="CS229" s="27">
        <f>Revenues!CS88</f>
        <v>0</v>
      </c>
      <c r="CT229" s="27">
        <f>Revenues!CT88</f>
        <v>0</v>
      </c>
      <c r="CU229" s="27">
        <f>Revenues!CU88</f>
        <v>0</v>
      </c>
      <c r="CV229" s="27">
        <f>Revenues!CV88</f>
        <v>0</v>
      </c>
      <c r="CW229" s="27">
        <f t="shared" si="196"/>
        <v>0</v>
      </c>
      <c r="CX229" s="27">
        <f>Revenues!CX88</f>
        <v>0</v>
      </c>
      <c r="CY229" s="27">
        <f>Revenues!CY88</f>
        <v>0</v>
      </c>
      <c r="CZ229" s="27">
        <f>Revenues!CZ88</f>
        <v>0</v>
      </c>
      <c r="DA229" s="27">
        <f>Revenues!DA88</f>
        <v>0</v>
      </c>
      <c r="DB229" s="27">
        <f t="shared" si="197"/>
        <v>0</v>
      </c>
      <c r="DC229" s="27">
        <f>Revenues!DC88</f>
        <v>0</v>
      </c>
      <c r="DD229" s="27">
        <f>Revenues!DD88</f>
        <v>0</v>
      </c>
      <c r="DE229" s="27">
        <f>Revenues!DE88</f>
        <v>0</v>
      </c>
      <c r="DF229" s="27">
        <f>Revenues!DF88</f>
        <v>0</v>
      </c>
      <c r="DG229" s="27">
        <f t="shared" si="198"/>
        <v>0</v>
      </c>
      <c r="DH229" s="27">
        <f>Revenues!DH88</f>
        <v>0</v>
      </c>
      <c r="DI229" s="27">
        <f>Revenues!DI88</f>
        <v>0</v>
      </c>
      <c r="DJ229" s="27">
        <f>Revenues!DJ88</f>
        <v>0</v>
      </c>
      <c r="DK229" s="27">
        <f>Revenues!DK88</f>
        <v>0</v>
      </c>
      <c r="DL229" s="27">
        <f t="shared" si="199"/>
        <v>0</v>
      </c>
      <c r="DM229" s="27">
        <f>Revenues!DM88</f>
        <v>0</v>
      </c>
      <c r="DN229" s="27">
        <f>Revenues!DN88</f>
        <v>0</v>
      </c>
      <c r="DO229" s="27">
        <f>Revenues!DO88</f>
        <v>0</v>
      </c>
      <c r="DP229" s="27">
        <f>Revenues!DP88</f>
        <v>19.492999999999999</v>
      </c>
      <c r="DQ229" s="27">
        <f t="shared" si="200"/>
        <v>19.492999999999999</v>
      </c>
      <c r="DR229" s="27">
        <f>Revenues!DR88</f>
        <v>63.198</v>
      </c>
      <c r="DS229" s="27">
        <f>Revenues!DS88</f>
        <v>256.36200000000002</v>
      </c>
      <c r="DT229" s="27">
        <f>Revenues!DT88</f>
        <v>296.64100000000002</v>
      </c>
      <c r="DU229" s="27">
        <f>Revenues!DU88</f>
        <v>157.45699999999999</v>
      </c>
      <c r="DV229" s="27">
        <f t="shared" si="201"/>
        <v>773.65800000000002</v>
      </c>
      <c r="DW229" s="27">
        <f>Revenues!DW88</f>
        <v>69.563000000000002</v>
      </c>
      <c r="DX229" s="27">
        <f>Revenues!DX88</f>
        <v>83.332999999999998</v>
      </c>
      <c r="DY229" s="27">
        <f>Revenues!DY88</f>
        <v>129.71474314000002</v>
      </c>
      <c r="DZ229" s="27">
        <f>Revenues!DZ88</f>
        <v>127.69866931999999</v>
      </c>
      <c r="EA229" s="27">
        <f t="shared" si="202"/>
        <v>410.30941246000009</v>
      </c>
      <c r="EB229" s="27">
        <f>Revenues!EB88</f>
        <v>56.150883999999998</v>
      </c>
      <c r="EC229" s="27">
        <f>Revenues!EC88</f>
        <v>71.380522209999995</v>
      </c>
      <c r="ED229" s="27">
        <f>Revenues!ED88</f>
        <v>128.095</v>
      </c>
      <c r="EE229" s="27">
        <f>Revenues!EE88</f>
        <v>157.60693289</v>
      </c>
      <c r="EF229" s="27">
        <f t="shared" si="203"/>
        <v>413.23333909999997</v>
      </c>
      <c r="EG229" s="27">
        <f>Revenues!EG88</f>
        <v>26.293300850000001</v>
      </c>
      <c r="EH229" s="27">
        <f>Revenues!EH88</f>
        <v>31.343080939999997</v>
      </c>
      <c r="EI229" s="27">
        <f>Revenues!EI88</f>
        <v>61.128724399999996</v>
      </c>
    </row>
    <row r="230" spans="1:139" ht="15" thickBot="1" x14ac:dyDescent="0.35">
      <c r="A230" s="2" t="s">
        <v>448</v>
      </c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28">
        <f>Revenues!BJ89</f>
        <v>0</v>
      </c>
      <c r="BK230" s="28">
        <f>Revenues!BK89</f>
        <v>0</v>
      </c>
      <c r="BL230" s="28">
        <f>Revenues!BL89</f>
        <v>0</v>
      </c>
      <c r="BM230" s="28">
        <f>Revenues!BM89</f>
        <v>0</v>
      </c>
      <c r="BN230" s="28">
        <f t="shared" si="189"/>
        <v>0</v>
      </c>
      <c r="BO230" s="28">
        <f>Revenues!BO89</f>
        <v>0</v>
      </c>
      <c r="BP230" s="28">
        <f>Revenues!BP89</f>
        <v>0</v>
      </c>
      <c r="BQ230" s="28">
        <f>Revenues!BQ89</f>
        <v>0</v>
      </c>
      <c r="BR230" s="28">
        <f>Revenues!BR89</f>
        <v>0</v>
      </c>
      <c r="BS230" s="28">
        <f t="shared" si="190"/>
        <v>0</v>
      </c>
      <c r="BT230" s="28">
        <f>Revenues!BT89</f>
        <v>0</v>
      </c>
      <c r="BU230" s="28">
        <f>Revenues!BU89</f>
        <v>0</v>
      </c>
      <c r="BV230" s="28">
        <f>Revenues!BV89</f>
        <v>0</v>
      </c>
      <c r="BW230" s="28">
        <f>Revenues!BW89</f>
        <v>0</v>
      </c>
      <c r="BX230" s="28">
        <f t="shared" si="191"/>
        <v>0</v>
      </c>
      <c r="BY230" s="28">
        <f>Revenues!BY89</f>
        <v>0</v>
      </c>
      <c r="BZ230" s="28">
        <f>Revenues!BZ89</f>
        <v>0</v>
      </c>
      <c r="CA230" s="28">
        <f>Revenues!CA89</f>
        <v>0</v>
      </c>
      <c r="CB230" s="28">
        <f>Revenues!CB89</f>
        <v>0</v>
      </c>
      <c r="CC230" s="28">
        <f t="shared" si="192"/>
        <v>0</v>
      </c>
      <c r="CD230" s="28">
        <f>Revenues!CD89</f>
        <v>0</v>
      </c>
      <c r="CE230" s="28">
        <f>Revenues!CE89</f>
        <v>0</v>
      </c>
      <c r="CF230" s="28">
        <f>Revenues!CF89</f>
        <v>0</v>
      </c>
      <c r="CG230" s="28">
        <f>Revenues!CG89</f>
        <v>0</v>
      </c>
      <c r="CH230" s="28">
        <f t="shared" si="193"/>
        <v>0</v>
      </c>
      <c r="CI230" s="28">
        <f>Revenues!CI89</f>
        <v>0</v>
      </c>
      <c r="CJ230" s="28">
        <f>Revenues!CJ89</f>
        <v>0</v>
      </c>
      <c r="CK230" s="28">
        <f>Revenues!CK89</f>
        <v>0</v>
      </c>
      <c r="CL230" s="28">
        <f>Revenues!CL89</f>
        <v>0</v>
      </c>
      <c r="CM230" s="28">
        <f t="shared" si="194"/>
        <v>0</v>
      </c>
      <c r="CN230" s="28">
        <f>Revenues!CN89</f>
        <v>0</v>
      </c>
      <c r="CO230" s="28">
        <f>Revenues!CO89</f>
        <v>0</v>
      </c>
      <c r="CP230" s="28">
        <f>Revenues!CP89</f>
        <v>0</v>
      </c>
      <c r="CQ230" s="28">
        <f>Revenues!CQ89</f>
        <v>0</v>
      </c>
      <c r="CR230" s="28">
        <f t="shared" si="195"/>
        <v>0</v>
      </c>
      <c r="CS230" s="28">
        <f>Revenues!CS89</f>
        <v>0</v>
      </c>
      <c r="CT230" s="28">
        <f>Revenues!CT89</f>
        <v>0</v>
      </c>
      <c r="CU230" s="28">
        <f>Revenues!CU89</f>
        <v>0</v>
      </c>
      <c r="CV230" s="28">
        <f>Revenues!CV89</f>
        <v>0</v>
      </c>
      <c r="CW230" s="28">
        <f t="shared" si="196"/>
        <v>0</v>
      </c>
      <c r="CX230" s="28">
        <f>Revenues!CX89</f>
        <v>0</v>
      </c>
      <c r="CY230" s="28">
        <f>Revenues!CY89</f>
        <v>0</v>
      </c>
      <c r="CZ230" s="28">
        <f>Revenues!CZ89</f>
        <v>0</v>
      </c>
      <c r="DA230" s="28">
        <f>Revenues!DA89</f>
        <v>0</v>
      </c>
      <c r="DB230" s="28">
        <f t="shared" si="197"/>
        <v>0</v>
      </c>
      <c r="DC230" s="28">
        <f>Revenues!DC89</f>
        <v>0</v>
      </c>
      <c r="DD230" s="28">
        <f>Revenues!DD89</f>
        <v>0</v>
      </c>
      <c r="DE230" s="28">
        <f>Revenues!DE89</f>
        <v>0</v>
      </c>
      <c r="DF230" s="28">
        <f>Revenues!DF89</f>
        <v>0</v>
      </c>
      <c r="DG230" s="28">
        <f t="shared" si="198"/>
        <v>0</v>
      </c>
      <c r="DH230" s="28">
        <f>Revenues!DH89</f>
        <v>0</v>
      </c>
      <c r="DI230" s="28">
        <f>Revenues!DI89</f>
        <v>0</v>
      </c>
      <c r="DJ230" s="28">
        <f>Revenues!DJ89</f>
        <v>0</v>
      </c>
      <c r="DK230" s="28">
        <f>Revenues!DK89</f>
        <v>0</v>
      </c>
      <c r="DL230" s="28">
        <f t="shared" si="199"/>
        <v>0</v>
      </c>
      <c r="DM230" s="28">
        <f>Revenues!DM89</f>
        <v>0</v>
      </c>
      <c r="DN230" s="28">
        <f>Revenues!DN89</f>
        <v>0</v>
      </c>
      <c r="DO230" s="28">
        <f>Revenues!DO89</f>
        <v>0</v>
      </c>
      <c r="DP230" s="28">
        <f>Revenues!DP89</f>
        <v>0</v>
      </c>
      <c r="DQ230" s="28">
        <f t="shared" si="200"/>
        <v>0</v>
      </c>
      <c r="DR230" s="28">
        <f>Revenues!DR89</f>
        <v>0</v>
      </c>
      <c r="DS230" s="28">
        <f>Revenues!DS89</f>
        <v>0</v>
      </c>
      <c r="DT230" s="28">
        <f>Revenues!DT89</f>
        <v>0</v>
      </c>
      <c r="DU230" s="28">
        <f>Revenues!DU89</f>
        <v>74.311000000000007</v>
      </c>
      <c r="DV230" s="28">
        <f t="shared" si="201"/>
        <v>74.311000000000007</v>
      </c>
      <c r="DW230" s="28">
        <f>Revenues!DW89</f>
        <v>118.497</v>
      </c>
      <c r="DX230" s="28">
        <f>Revenues!DX89</f>
        <v>213.55699999999999</v>
      </c>
      <c r="DY230" s="28">
        <f>Revenues!DY89</f>
        <v>386.66798805000002</v>
      </c>
      <c r="DZ230" s="28">
        <f>Revenues!DZ89</f>
        <v>300.75822991999996</v>
      </c>
      <c r="EA230" s="28">
        <f t="shared" si="202"/>
        <v>1019.4802179699999</v>
      </c>
      <c r="EB230" s="28">
        <f>Revenues!EB89</f>
        <v>78.531664579999997</v>
      </c>
      <c r="EC230" s="28">
        <f>Revenues!EC89</f>
        <v>129.06909335</v>
      </c>
      <c r="ED230" s="28">
        <f>Revenues!ED89</f>
        <v>117.764</v>
      </c>
      <c r="EE230" s="28">
        <f>Revenues!EE89</f>
        <v>189.05644897999997</v>
      </c>
      <c r="EF230" s="28">
        <f t="shared" si="203"/>
        <v>514.42120690999991</v>
      </c>
      <c r="EG230" s="28">
        <f>Revenues!EG89</f>
        <v>179.32171650999999</v>
      </c>
      <c r="EH230" s="28">
        <f>Revenues!EH89</f>
        <v>286.28526342000004</v>
      </c>
      <c r="EI230" s="28">
        <f>Revenues!EI89</f>
        <v>335.21085155999998</v>
      </c>
    </row>
    <row r="231" spans="1:139" ht="15" thickTop="1" x14ac:dyDescent="0.3">
      <c r="A231" s="1" t="s">
        <v>449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v>0</v>
      </c>
      <c r="CC231" s="27">
        <v>0</v>
      </c>
      <c r="CD231" s="27">
        <v>0</v>
      </c>
      <c r="CE231" s="27">
        <v>0</v>
      </c>
      <c r="CF231" s="27">
        <v>0</v>
      </c>
      <c r="CG231" s="27">
        <v>0</v>
      </c>
      <c r="CH231" s="27">
        <v>0</v>
      </c>
      <c r="CI231" s="27">
        <v>0</v>
      </c>
      <c r="CJ231" s="27">
        <v>0</v>
      </c>
      <c r="CK231" s="27">
        <v>0</v>
      </c>
      <c r="CL231" s="27">
        <v>0</v>
      </c>
      <c r="CM231" s="27">
        <v>0</v>
      </c>
      <c r="CN231" s="27">
        <v>0</v>
      </c>
      <c r="CO231" s="27">
        <v>0</v>
      </c>
      <c r="CP231" s="27">
        <v>0</v>
      </c>
      <c r="CQ231" s="27">
        <v>0</v>
      </c>
      <c r="CR231" s="27">
        <v>0</v>
      </c>
      <c r="CS231" s="27">
        <v>0</v>
      </c>
      <c r="CT231" s="27">
        <v>0</v>
      </c>
      <c r="CU231" s="27">
        <v>0</v>
      </c>
      <c r="CV231" s="27">
        <v>0</v>
      </c>
      <c r="CW231" s="27">
        <v>0</v>
      </c>
      <c r="CX231" s="27">
        <v>0</v>
      </c>
      <c r="CY231" s="27">
        <v>0</v>
      </c>
      <c r="CZ231" s="27">
        <v>0</v>
      </c>
      <c r="DA231" s="27">
        <v>0</v>
      </c>
      <c r="DB231" s="27">
        <v>0</v>
      </c>
      <c r="DC231" s="27">
        <v>0</v>
      </c>
      <c r="DD231" s="27">
        <v>0</v>
      </c>
      <c r="DE231" s="27">
        <v>0</v>
      </c>
      <c r="DF231" s="27">
        <v>0</v>
      </c>
      <c r="DG231" s="27">
        <v>0</v>
      </c>
      <c r="DH231" s="27">
        <v>0</v>
      </c>
      <c r="DI231" s="27">
        <v>0</v>
      </c>
      <c r="DJ231" s="27">
        <v>0</v>
      </c>
      <c r="DK231" s="27">
        <v>0</v>
      </c>
      <c r="DL231" s="27">
        <v>0</v>
      </c>
      <c r="DM231" s="27">
        <v>0</v>
      </c>
      <c r="DN231" s="27">
        <v>0</v>
      </c>
      <c r="DO231" s="27">
        <v>0</v>
      </c>
      <c r="DP231" s="27">
        <v>0</v>
      </c>
      <c r="DQ231" s="27">
        <v>0</v>
      </c>
      <c r="DR231" s="27">
        <v>0</v>
      </c>
      <c r="DS231" s="27">
        <v>0</v>
      </c>
      <c r="DT231" s="27">
        <v>0</v>
      </c>
      <c r="DU231" s="27">
        <v>0</v>
      </c>
      <c r="DV231" s="27">
        <v>0</v>
      </c>
      <c r="DW231" s="27">
        <v>0</v>
      </c>
      <c r="DX231" s="27">
        <f>Revenues!DX90</f>
        <v>19.013000000000002</v>
      </c>
      <c r="DY231" s="27">
        <f>Revenues!DY90</f>
        <v>70.91776234999999</v>
      </c>
      <c r="DZ231" s="27">
        <f>Revenues!DZ90</f>
        <v>94.025924689999997</v>
      </c>
      <c r="EA231" s="27">
        <f t="shared" si="202"/>
        <v>183.95668703999999</v>
      </c>
      <c r="EB231" s="27">
        <f>Revenues!EB90</f>
        <v>88.591461299999992</v>
      </c>
      <c r="EC231" s="27">
        <f>Revenues!EC90</f>
        <v>130.99867774000001</v>
      </c>
      <c r="ED231" s="27">
        <f>Revenues!ED90</f>
        <v>78.995000000000005</v>
      </c>
      <c r="EE231" s="27">
        <f>Revenues!EE90</f>
        <v>109.14020609999996</v>
      </c>
      <c r="EF231" s="27">
        <f t="shared" si="203"/>
        <v>407.72534513999994</v>
      </c>
      <c r="EG231" s="27">
        <f>Revenues!EG90</f>
        <v>180.02774505000002</v>
      </c>
      <c r="EH231" s="27">
        <f>Revenues!EH90</f>
        <v>151.97908619999998</v>
      </c>
      <c r="EI231" s="27">
        <f>Revenues!EI90</f>
        <v>181.9112317</v>
      </c>
    </row>
    <row r="232" spans="1:139" x14ac:dyDescent="0.3">
      <c r="A232" s="2" t="s">
        <v>460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>
        <f>Revenues!EG91</f>
        <v>0</v>
      </c>
      <c r="EH232" s="28">
        <f>Revenues!EH91</f>
        <v>0</v>
      </c>
      <c r="EI232" s="28">
        <f>Revenues!EI91</f>
        <v>10.916472240000001</v>
      </c>
    </row>
    <row r="233" spans="1:139" x14ac:dyDescent="0.3">
      <c r="A233" s="5" t="s">
        <v>311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29">
        <f>SUM(BJ219:BJ231)</f>
        <v>64</v>
      </c>
      <c r="BK233" s="29">
        <f t="shared" ref="BK233:DV233" si="204">SUM(BK219:BK231)</f>
        <v>40.700000000000003</v>
      </c>
      <c r="BL233" s="29">
        <f t="shared" si="204"/>
        <v>33.200000000000003</v>
      </c>
      <c r="BM233" s="29">
        <f t="shared" si="204"/>
        <v>36.900000000000006</v>
      </c>
      <c r="BN233" s="29">
        <f t="shared" si="204"/>
        <v>174.8</v>
      </c>
      <c r="BO233" s="29">
        <f t="shared" si="204"/>
        <v>32</v>
      </c>
      <c r="BP233" s="29">
        <f t="shared" si="204"/>
        <v>54.8</v>
      </c>
      <c r="BQ233" s="29">
        <f t="shared" si="204"/>
        <v>49.100000000000009</v>
      </c>
      <c r="BR233" s="29">
        <f t="shared" si="204"/>
        <v>63.599999999999994</v>
      </c>
      <c r="BS233" s="29">
        <f t="shared" si="204"/>
        <v>199.5</v>
      </c>
      <c r="BT233" s="29">
        <f t="shared" si="204"/>
        <v>39.900000000000006</v>
      </c>
      <c r="BU233" s="29">
        <f t="shared" si="204"/>
        <v>63.400000000000006</v>
      </c>
      <c r="BV233" s="29">
        <f t="shared" si="204"/>
        <v>87.9</v>
      </c>
      <c r="BW233" s="29">
        <f t="shared" si="204"/>
        <v>107.1</v>
      </c>
      <c r="BX233" s="29">
        <f t="shared" si="204"/>
        <v>298.3</v>
      </c>
      <c r="BY233" s="29">
        <f t="shared" si="204"/>
        <v>58.1</v>
      </c>
      <c r="BZ233" s="29">
        <f t="shared" si="204"/>
        <v>130.1</v>
      </c>
      <c r="CA233" s="29">
        <f t="shared" si="204"/>
        <v>143.49999999999997</v>
      </c>
      <c r="CB233" s="29">
        <f t="shared" si="204"/>
        <v>174.1</v>
      </c>
      <c r="CC233" s="29">
        <f t="shared" si="204"/>
        <v>505.80000000000007</v>
      </c>
      <c r="CD233" s="29">
        <f t="shared" si="204"/>
        <v>119.64999999999999</v>
      </c>
      <c r="CE233" s="29">
        <f t="shared" si="204"/>
        <v>306.18281690999999</v>
      </c>
      <c r="CF233" s="29">
        <f t="shared" si="204"/>
        <v>138.6</v>
      </c>
      <c r="CG233" s="29">
        <f t="shared" si="204"/>
        <v>149.20000000000002</v>
      </c>
      <c r="CH233" s="29">
        <f t="shared" si="204"/>
        <v>713.63281690999997</v>
      </c>
      <c r="CI233" s="29">
        <f t="shared" si="204"/>
        <v>108.3</v>
      </c>
      <c r="CJ233" s="29">
        <f t="shared" si="204"/>
        <v>115.3</v>
      </c>
      <c r="CK233" s="29">
        <f t="shared" si="204"/>
        <v>111.5</v>
      </c>
      <c r="CL233" s="29">
        <f t="shared" si="204"/>
        <v>108</v>
      </c>
      <c r="CM233" s="29">
        <f t="shared" si="204"/>
        <v>443.1</v>
      </c>
      <c r="CN233" s="29">
        <f t="shared" si="204"/>
        <v>64.599999999999994</v>
      </c>
      <c r="CO233" s="29">
        <f t="shared" si="204"/>
        <v>95.9</v>
      </c>
      <c r="CP233" s="29">
        <f t="shared" si="204"/>
        <v>162.6</v>
      </c>
      <c r="CQ233" s="29">
        <f t="shared" si="204"/>
        <v>128.29999999999998</v>
      </c>
      <c r="CR233" s="29">
        <f t="shared" si="204"/>
        <v>451.4</v>
      </c>
      <c r="CS233" s="29">
        <f t="shared" si="204"/>
        <v>87.124641700000012</v>
      </c>
      <c r="CT233" s="29">
        <f t="shared" si="204"/>
        <v>147.66319407</v>
      </c>
      <c r="CU233" s="29">
        <f t="shared" si="204"/>
        <v>166.54955256999997</v>
      </c>
      <c r="CV233" s="29">
        <f t="shared" si="204"/>
        <v>185.19900514999995</v>
      </c>
      <c r="CW233" s="29">
        <f t="shared" si="204"/>
        <v>586.53639348999991</v>
      </c>
      <c r="CX233" s="29">
        <f t="shared" si="204"/>
        <v>126.74600000000001</v>
      </c>
      <c r="CY233" s="29">
        <f t="shared" si="204"/>
        <v>137.125</v>
      </c>
      <c r="CZ233" s="29">
        <f t="shared" si="204"/>
        <v>136.941</v>
      </c>
      <c r="DA233" s="29">
        <f t="shared" si="204"/>
        <v>252.255</v>
      </c>
      <c r="DB233" s="29">
        <f t="shared" si="204"/>
        <v>653.06700000000001</v>
      </c>
      <c r="DC233" s="29">
        <f t="shared" si="204"/>
        <v>224.82700000000003</v>
      </c>
      <c r="DD233" s="29">
        <f t="shared" si="204"/>
        <v>278.01000000000005</v>
      </c>
      <c r="DE233" s="29">
        <f t="shared" si="204"/>
        <v>199.32299999999995</v>
      </c>
      <c r="DF233" s="29">
        <f t="shared" si="204"/>
        <v>305.56600000000003</v>
      </c>
      <c r="DG233" s="29">
        <f t="shared" si="204"/>
        <v>1007.726</v>
      </c>
      <c r="DH233" s="29">
        <f t="shared" si="204"/>
        <v>202.02799999999999</v>
      </c>
      <c r="DI233" s="29">
        <f t="shared" si="204"/>
        <v>260.43700000000001</v>
      </c>
      <c r="DJ233" s="29">
        <f t="shared" si="204"/>
        <v>287.28100000000001</v>
      </c>
      <c r="DK233" s="29">
        <f t="shared" si="204"/>
        <v>231.73000000000002</v>
      </c>
      <c r="DL233" s="29">
        <f t="shared" si="204"/>
        <v>981.47599999999989</v>
      </c>
      <c r="DM233" s="29">
        <f t="shared" si="204"/>
        <v>169.553</v>
      </c>
      <c r="DN233" s="29">
        <f t="shared" si="204"/>
        <v>241.60000000000002</v>
      </c>
      <c r="DO233" s="29">
        <f t="shared" si="204"/>
        <v>339.447</v>
      </c>
      <c r="DP233" s="29">
        <f t="shared" si="204"/>
        <v>412.83699999999993</v>
      </c>
      <c r="DQ233" s="29">
        <f t="shared" si="204"/>
        <v>1163.4369999999999</v>
      </c>
      <c r="DR233" s="29">
        <f t="shared" si="204"/>
        <v>369.959</v>
      </c>
      <c r="DS233" s="29">
        <f t="shared" si="204"/>
        <v>572.84799999999996</v>
      </c>
      <c r="DT233" s="29">
        <f t="shared" si="204"/>
        <v>786.303</v>
      </c>
      <c r="DU233" s="29">
        <f t="shared" si="204"/>
        <v>759.86199999999997</v>
      </c>
      <c r="DV233" s="29">
        <f t="shared" si="204"/>
        <v>2488.9720000000002</v>
      </c>
      <c r="DW233" s="29">
        <f t="shared" ref="DW233:ED233" si="205">SUM(DW219:DW231)</f>
        <v>474.43599999999998</v>
      </c>
      <c r="DX233" s="29">
        <f t="shared" si="205"/>
        <v>727.16100000000006</v>
      </c>
      <c r="DY233" s="29">
        <f t="shared" si="205"/>
        <v>1129.0159958500001</v>
      </c>
      <c r="DZ233" s="29">
        <f t="shared" si="205"/>
        <v>1119.9176553499999</v>
      </c>
      <c r="EA233" s="29">
        <f t="shared" si="205"/>
        <v>3450.5306511999997</v>
      </c>
      <c r="EB233" s="29">
        <f t="shared" si="205"/>
        <v>605.04722755</v>
      </c>
      <c r="EC233" s="29">
        <f t="shared" si="205"/>
        <v>859.89926633999994</v>
      </c>
      <c r="ED233" s="29">
        <f t="shared" si="205"/>
        <v>870.69100000000003</v>
      </c>
      <c r="EE233" s="29">
        <f t="shared" ref="EE233:EF233" si="206">SUM(EE219:EE231)</f>
        <v>1096.9704495099998</v>
      </c>
      <c r="EF233" s="29">
        <f t="shared" si="206"/>
        <v>3432.6079433999994</v>
      </c>
      <c r="EG233" s="29">
        <f>SUM(EG219:EG232)</f>
        <v>757.27036492999991</v>
      </c>
      <c r="EH233" s="29">
        <f>SUM(EH219:EH232)</f>
        <v>899.27660818000004</v>
      </c>
      <c r="EI233" s="29">
        <f>SUM(EI219:EI232)</f>
        <v>1020.5725620699999</v>
      </c>
    </row>
    <row r="234" spans="1:139" x14ac:dyDescent="0.3">
      <c r="A234" s="20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EA234" s="21"/>
      <c r="EF234" s="21"/>
      <c r="EG234" s="21"/>
      <c r="EH234" s="21"/>
      <c r="EI234" s="21"/>
    </row>
    <row r="235" spans="1:139" x14ac:dyDescent="0.3">
      <c r="ED235" s="41"/>
      <c r="EE235" s="41"/>
      <c r="EF235" s="41"/>
      <c r="EG235" s="41"/>
      <c r="EH235" s="41"/>
      <c r="EI235" s="41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CR74 CR60:CR66 DB60:DB66 CX81:CX82 CY68 DB68 DB74:DB76 DG69:DG72 DG67 CR81:CR82 CR76" formulaRange="1"/>
    <ignoredError sqref="DB81:DB82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9D8FB-CDCE-454C-A137-0876C5DEBDF9}">
  <sheetPr codeName="Planilha4">
    <tabColor theme="4" tint="-0.499984740745262"/>
  </sheetPr>
  <dimension ref="A1:EI197"/>
  <sheetViews>
    <sheetView showGridLines="0" zoomScale="85" zoomScaleNormal="85" workbookViewId="0">
      <pane xSplit="1" topLeftCell="DR1" activePane="topRight" state="frozen"/>
      <selection activeCell="EK144" sqref="EK144"/>
      <selection pane="topRight" activeCell="EI1" sqref="EI1"/>
    </sheetView>
  </sheetViews>
  <sheetFormatPr defaultRowHeight="14.4" x14ac:dyDescent="0.3"/>
  <cols>
    <col min="1" max="1" width="48.77734375" customWidth="1"/>
    <col min="2" max="5" width="5.5546875" hidden="1" customWidth="1"/>
    <col min="6" max="6" width="5.21875" hidden="1" customWidth="1"/>
    <col min="7" max="10" width="5.5546875" hidden="1" customWidth="1"/>
    <col min="11" max="11" width="5.21875" hidden="1" customWidth="1"/>
    <col min="12" max="15" width="5.5546875" hidden="1" customWidth="1"/>
    <col min="16" max="16" width="5.21875" hidden="1" customWidth="1"/>
    <col min="17" max="20" width="5.5546875" hidden="1" customWidth="1"/>
    <col min="21" max="21" width="5.21875" hidden="1" customWidth="1"/>
    <col min="22" max="25" width="5.5546875" hidden="1" customWidth="1"/>
    <col min="26" max="26" width="5.21875" hidden="1" customWidth="1"/>
    <col min="27" max="30" width="5.5546875" hidden="1" customWidth="1"/>
    <col min="31" max="31" width="5.21875" hidden="1" customWidth="1"/>
    <col min="32" max="35" width="5.5546875" hidden="1" customWidth="1"/>
    <col min="36" max="36" width="5.21875" hidden="1" customWidth="1"/>
    <col min="37" max="40" width="5.5546875" hidden="1" customWidth="1"/>
    <col min="41" max="41" width="5.21875" hidden="1" customWidth="1"/>
    <col min="42" max="45" width="5.5546875" hidden="1" customWidth="1"/>
    <col min="46" max="46" width="5.21875" hidden="1" customWidth="1"/>
    <col min="47" max="50" width="5.5546875" hidden="1" customWidth="1"/>
    <col min="51" max="51" width="5.21875" hidden="1" customWidth="1"/>
    <col min="52" max="55" width="5.5546875" hidden="1" customWidth="1"/>
    <col min="56" max="56" width="5.21875" hidden="1" customWidth="1"/>
    <col min="57" max="60" width="5.5546875" hidden="1" customWidth="1"/>
    <col min="61" max="61" width="5.21875" hidden="1" customWidth="1"/>
    <col min="62" max="64" width="6" customWidth="1"/>
    <col min="65" max="65" width="6.77734375" customWidth="1"/>
    <col min="66" max="66" width="7" customWidth="1"/>
    <col min="67" max="67" width="6.77734375" customWidth="1"/>
    <col min="68" max="68" width="6" customWidth="1"/>
    <col min="69" max="69" width="6.77734375" customWidth="1"/>
    <col min="70" max="71" width="7" customWidth="1"/>
    <col min="72" max="72" width="6.77734375" customWidth="1"/>
    <col min="73" max="73" width="6" customWidth="1"/>
    <col min="74" max="74" width="6.77734375" customWidth="1"/>
    <col min="75" max="76" width="7" customWidth="1"/>
    <col min="77" max="77" width="6.77734375" customWidth="1"/>
    <col min="78" max="82" width="7" customWidth="1"/>
    <col min="83" max="83" width="6.77734375" customWidth="1"/>
    <col min="84" max="86" width="7" customWidth="1"/>
    <col min="87" max="90" width="6.77734375" customWidth="1"/>
    <col min="91" max="91" width="7" customWidth="1"/>
    <col min="92" max="95" width="6.77734375" customWidth="1"/>
    <col min="96" max="96" width="8" customWidth="1"/>
    <col min="97" max="100" width="6.77734375" customWidth="1"/>
    <col min="101" max="101" width="7" customWidth="1"/>
    <col min="102" max="105" width="6.77734375" customWidth="1"/>
    <col min="106" max="106" width="7" customWidth="1"/>
    <col min="107" max="110" width="6.77734375" customWidth="1"/>
    <col min="111" max="111" width="7" customWidth="1"/>
    <col min="112" max="114" width="6.77734375" customWidth="1"/>
    <col min="115" max="116" width="7" customWidth="1"/>
    <col min="117" max="120" width="6.77734375" customWidth="1"/>
    <col min="121" max="121" width="7.77734375" customWidth="1"/>
    <col min="122" max="124" width="6.77734375" customWidth="1"/>
    <col min="125" max="125" width="7" customWidth="1"/>
    <col min="126" max="126" width="7.77734375" customWidth="1"/>
    <col min="127" max="127" width="6.77734375" customWidth="1"/>
    <col min="128" max="128" width="8.5546875" customWidth="1"/>
    <col min="129" max="130" width="8.21875" customWidth="1"/>
    <col min="131" max="131" width="7.77734375" customWidth="1"/>
    <col min="132" max="135" width="8.21875" customWidth="1"/>
    <col min="136" max="140" width="7.77734375" customWidth="1"/>
    <col min="142" max="142" width="5" bestFit="1" customWidth="1"/>
    <col min="143" max="143" width="6" bestFit="1" customWidth="1"/>
    <col min="144" max="147" width="8.77734375" customWidth="1"/>
  </cols>
  <sheetData>
    <row r="1" spans="1:139" x14ac:dyDescent="0.3">
      <c r="A1" s="3" t="s">
        <v>387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321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27">
        <v>3.5186648200000001</v>
      </c>
      <c r="BK3" s="27">
        <v>3.5622400400000003</v>
      </c>
      <c r="BL3" s="27">
        <v>3.5618817799999998</v>
      </c>
      <c r="BM3" s="27">
        <v>3.9873695999999996</v>
      </c>
      <c r="BN3" s="27">
        <f>SUM(BJ3:BM3)</f>
        <v>14.63015624</v>
      </c>
      <c r="BO3" s="27">
        <v>3.3226797100000001</v>
      </c>
      <c r="BP3" s="27">
        <v>3.8963941299999996</v>
      </c>
      <c r="BQ3" s="27">
        <v>3.8292025000000001</v>
      </c>
      <c r="BR3" s="27">
        <v>4.2854060100000009</v>
      </c>
      <c r="BS3" s="27">
        <f>SUM(BO3:BR3)</f>
        <v>15.333682350000002</v>
      </c>
      <c r="BT3" s="27">
        <v>4.0500967399999999</v>
      </c>
      <c r="BU3" s="27">
        <v>4.2485960200000008</v>
      </c>
      <c r="BV3" s="27">
        <v>5.1851551499999999</v>
      </c>
      <c r="BW3" s="27">
        <v>4.3640027699999999</v>
      </c>
      <c r="BX3" s="27">
        <f>SUM(BT3:BW3)</f>
        <v>17.847850680000001</v>
      </c>
      <c r="BY3" s="27">
        <v>4.3865765099999994</v>
      </c>
      <c r="BZ3" s="27">
        <v>4.3906307400000006</v>
      </c>
      <c r="CA3" s="27">
        <v>4.1074915499999989</v>
      </c>
      <c r="CB3" s="27">
        <v>5.8179291300000022</v>
      </c>
      <c r="CC3" s="27">
        <f>SUM(BY3:CB3)</f>
        <v>18.702627930000002</v>
      </c>
      <c r="CD3" s="27">
        <v>4.5106123900000004</v>
      </c>
      <c r="CE3" s="27">
        <v>5.0328791400000004</v>
      </c>
      <c r="CF3" s="27">
        <v>4.8513553300000005</v>
      </c>
      <c r="CG3" s="27">
        <v>5.4597697699999976</v>
      </c>
      <c r="CH3" s="27">
        <f>SUM(CD3:CG3)</f>
        <v>19.854616629999999</v>
      </c>
      <c r="CI3" s="27">
        <v>4.3479241499999999</v>
      </c>
      <c r="CJ3" s="27">
        <v>4.850865820000001</v>
      </c>
      <c r="CK3" s="27">
        <v>3.8843584199999981</v>
      </c>
      <c r="CL3" s="27">
        <v>2.7606032500000008</v>
      </c>
      <c r="CM3" s="27">
        <f>SUM(CI3:CL3)</f>
        <v>15.843751639999999</v>
      </c>
      <c r="CN3" s="27">
        <v>5.9591056300000007</v>
      </c>
      <c r="CO3" s="27">
        <v>3.7595661600000008</v>
      </c>
      <c r="CP3" s="27">
        <v>3.8783974799999976</v>
      </c>
      <c r="CQ3" s="27">
        <f>17.354-SUM(CN3:CP3)</f>
        <v>3.7569307300000006</v>
      </c>
      <c r="CR3" s="27">
        <f>SUM(CN3:CQ3)</f>
        <v>17.353999999999999</v>
      </c>
      <c r="CS3" s="27">
        <v>4.2370000000000001</v>
      </c>
      <c r="CT3" s="27">
        <f>8.26-CS3</f>
        <v>4.0229999999999997</v>
      </c>
      <c r="CU3" s="27">
        <f>12.519-SUM(CS3:CT3)</f>
        <v>4.2590000000000003</v>
      </c>
      <c r="CV3" s="27">
        <f>17.463-SUM(CS3:CU3)</f>
        <v>4.9440000000000008</v>
      </c>
      <c r="CW3" s="27">
        <f>SUM(CS3:CV3)</f>
        <v>17.463000000000001</v>
      </c>
      <c r="CX3" s="27">
        <v>3.7029999999999998</v>
      </c>
      <c r="CY3" s="27">
        <v>3.7629999999999999</v>
      </c>
      <c r="CZ3" s="27">
        <v>4.0179999999999998</v>
      </c>
      <c r="DA3" s="27">
        <v>4.3579999999999997</v>
      </c>
      <c r="DB3" s="27">
        <f>SUM(CX3:DA3)</f>
        <v>15.841999999999999</v>
      </c>
      <c r="DC3" s="27">
        <v>4.1660000000000004</v>
      </c>
      <c r="DD3" s="27">
        <v>4.5140000000000002</v>
      </c>
      <c r="DE3" s="27">
        <v>5.5359999999999996</v>
      </c>
      <c r="DF3" s="27">
        <v>4.1980000000000004</v>
      </c>
      <c r="DG3" s="27">
        <f>SUM(DC3:DF3)</f>
        <v>18.414000000000001</v>
      </c>
      <c r="DH3" s="27">
        <v>3.7989999999999999</v>
      </c>
      <c r="DI3" s="27">
        <v>4.3940000000000001</v>
      </c>
      <c r="DJ3" s="27">
        <v>4.1879999999999997</v>
      </c>
      <c r="DK3" s="27">
        <v>4.694</v>
      </c>
      <c r="DL3" s="27">
        <f>SUM(DH3:DK3)</f>
        <v>17.074999999999999</v>
      </c>
      <c r="DM3" s="27">
        <v>4.88</v>
      </c>
      <c r="DN3" s="27">
        <v>5.2990000000000004</v>
      </c>
      <c r="DO3" s="27">
        <v>5.9749999999999996</v>
      </c>
      <c r="DP3" s="27">
        <v>2.4809999999999999</v>
      </c>
      <c r="DQ3" s="27">
        <f>SUM(DM3:DP3)</f>
        <v>18.634999999999998</v>
      </c>
      <c r="DR3" s="27">
        <v>1.0049999999999999</v>
      </c>
      <c r="DS3" s="27">
        <v>1.1439999999999999</v>
      </c>
      <c r="DT3" s="27">
        <v>0.71599999999999997</v>
      </c>
      <c r="DU3" s="27">
        <v>10.699</v>
      </c>
      <c r="DV3" s="27">
        <f>SUM(DR3:DU3)</f>
        <v>13.564</v>
      </c>
      <c r="DW3" s="27">
        <v>0.68700000000000006</v>
      </c>
      <c r="DX3" s="27">
        <v>0.14931280999999999</v>
      </c>
      <c r="DY3" s="27">
        <v>0.34437474000000001</v>
      </c>
      <c r="DZ3" s="27">
        <v>0.99698782000000008</v>
      </c>
      <c r="EA3" s="27">
        <f>SUM(DW3:DZ3)</f>
        <v>2.1776753700000002</v>
      </c>
      <c r="EB3" s="27">
        <v>0.17637048999999999</v>
      </c>
      <c r="EC3" s="27">
        <v>0.55428867000000004</v>
      </c>
      <c r="ED3" s="27">
        <v>-6.7000000000000004E-2</v>
      </c>
      <c r="EE3" s="27">
        <v>0.23963088000000002</v>
      </c>
      <c r="EF3" s="27">
        <f>SUM(EB3:EE3)</f>
        <v>0.90329004000000013</v>
      </c>
      <c r="EG3" s="27">
        <v>0.16024788000000001</v>
      </c>
      <c r="EH3" s="27">
        <v>1.8080760000000008E-2</v>
      </c>
      <c r="EI3" s="27">
        <v>0.17155677999999996</v>
      </c>
    </row>
    <row r="4" spans="1:139" ht="15" thickBot="1" x14ac:dyDescent="0.35">
      <c r="A4" s="2" t="s">
        <v>454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28">
        <v>2.7572960199999996</v>
      </c>
      <c r="BK4" s="28">
        <v>2.4723831199999999</v>
      </c>
      <c r="BL4" s="28">
        <v>2.7642817399999995</v>
      </c>
      <c r="BM4" s="28">
        <v>3.048052300000001</v>
      </c>
      <c r="BN4" s="28">
        <f t="shared" ref="BN4:BN25" si="0">SUM(BJ4:BM4)</f>
        <v>11.042013180000001</v>
      </c>
      <c r="BO4" s="28">
        <v>2.8046785999999999</v>
      </c>
      <c r="BP4" s="28">
        <v>3.89135067</v>
      </c>
      <c r="BQ4" s="28">
        <v>3.0620458000000008</v>
      </c>
      <c r="BR4" s="28">
        <v>0.50527684999999956</v>
      </c>
      <c r="BS4" s="28">
        <f t="shared" ref="BS4:BS25" si="1">SUM(BO4:BR4)</f>
        <v>10.26335192</v>
      </c>
      <c r="BT4" s="28">
        <v>3.5406734499999999</v>
      </c>
      <c r="BU4" s="28">
        <v>3.6691470700000002</v>
      </c>
      <c r="BV4" s="28">
        <v>2.7325074099999989</v>
      </c>
      <c r="BW4" s="28">
        <v>0.70720116000000166</v>
      </c>
      <c r="BX4" s="28">
        <f t="shared" ref="BX4:BX25" si="2">SUM(BT4:BW4)</f>
        <v>10.649529090000001</v>
      </c>
      <c r="BY4" s="28">
        <v>3.78978035</v>
      </c>
      <c r="BZ4" s="28">
        <v>4.0037377900000006</v>
      </c>
      <c r="CA4" s="28">
        <v>3.6814798800000004</v>
      </c>
      <c r="CB4" s="28">
        <v>4.7418974899999995</v>
      </c>
      <c r="CC4" s="28">
        <f t="shared" ref="CC4:CC25" si="3">SUM(BY4:CB4)</f>
        <v>16.216895510000001</v>
      </c>
      <c r="CD4" s="28">
        <v>3.7249826799999997</v>
      </c>
      <c r="CE4" s="28">
        <v>4.7191118400000001</v>
      </c>
      <c r="CF4" s="28">
        <v>2.8583871300000006</v>
      </c>
      <c r="CG4" s="28">
        <v>4.4596907299999993</v>
      </c>
      <c r="CH4" s="28">
        <f t="shared" ref="CH4:CH25" si="4">SUM(CD4:CG4)</f>
        <v>15.762172379999999</v>
      </c>
      <c r="CI4" s="28">
        <v>4.3048676499999994</v>
      </c>
      <c r="CJ4" s="28">
        <v>4.5377703399999998</v>
      </c>
      <c r="CK4" s="28">
        <v>5.9277624499999995</v>
      </c>
      <c r="CL4" s="28">
        <v>5.7057227500000005</v>
      </c>
      <c r="CM4" s="28">
        <f t="shared" ref="CM4:CM25" si="5">SUM(CI4:CL4)</f>
        <v>20.476123189999999</v>
      </c>
      <c r="CN4" s="28">
        <v>4.6551894699999998</v>
      </c>
      <c r="CO4" s="28">
        <v>4.0370972199999997</v>
      </c>
      <c r="CP4" s="28">
        <v>4.5014701100000005</v>
      </c>
      <c r="CQ4" s="28">
        <f>17.301-SUM(CN4:CP4)</f>
        <v>4.1072431999999992</v>
      </c>
      <c r="CR4" s="28">
        <f t="shared" ref="CR4:CR25" si="6">SUM(CN4:CQ4)</f>
        <v>17.300999999999998</v>
      </c>
      <c r="CS4" s="28">
        <v>3.992</v>
      </c>
      <c r="CT4" s="28">
        <f>8.407-CS4</f>
        <v>4.415</v>
      </c>
      <c r="CU4" s="28">
        <f>12.462-SUM(CS4:CT4)</f>
        <v>4.0549999999999997</v>
      </c>
      <c r="CV4" s="28">
        <f>17.174-SUM(CS4:CU4)</f>
        <v>4.7119999999999997</v>
      </c>
      <c r="CW4" s="28">
        <f t="shared" ref="CW4:CW25" si="7">SUM(CS4:CV4)</f>
        <v>17.173999999999999</v>
      </c>
      <c r="CX4" s="28">
        <v>4.58</v>
      </c>
      <c r="CY4" s="28">
        <v>4.1289999999999996</v>
      </c>
      <c r="CZ4" s="28">
        <v>4.12</v>
      </c>
      <c r="DA4" s="28">
        <v>4.7759999999999998</v>
      </c>
      <c r="DB4" s="28">
        <f t="shared" ref="DB4:DB25" si="8">SUM(CX4:DA4)</f>
        <v>17.605</v>
      </c>
      <c r="DC4" s="28">
        <v>3.778</v>
      </c>
      <c r="DD4" s="28">
        <v>4.2169999999999996</v>
      </c>
      <c r="DE4" s="28">
        <v>4.4710000000000001</v>
      </c>
      <c r="DF4" s="28">
        <v>4.2889999999999997</v>
      </c>
      <c r="DG4" s="28">
        <f t="shared" ref="DG4:DH25" si="9">SUM(DC4:DF4)</f>
        <v>16.754999999999999</v>
      </c>
      <c r="DH4" s="28">
        <v>4.3840000000000003</v>
      </c>
      <c r="DI4" s="28">
        <v>4.3520000000000003</v>
      </c>
      <c r="DJ4" s="28">
        <v>4.4160000000000004</v>
      </c>
      <c r="DK4" s="28">
        <v>4.6239999999999997</v>
      </c>
      <c r="DL4" s="28">
        <f t="shared" ref="DL4:DL25" si="10">SUM(DH4:DK4)</f>
        <v>17.776</v>
      </c>
      <c r="DM4" s="28">
        <v>4.3940000000000001</v>
      </c>
      <c r="DN4" s="28">
        <v>5.173</v>
      </c>
      <c r="DO4" s="28">
        <v>4.5449999999999999</v>
      </c>
      <c r="DP4" s="28">
        <v>4.7469999999999999</v>
      </c>
      <c r="DQ4" s="28">
        <f t="shared" ref="DQ4:DQ25" si="11">SUM(DM4:DP4)</f>
        <v>18.859000000000002</v>
      </c>
      <c r="DR4" s="28">
        <v>5.1260000000000003</v>
      </c>
      <c r="DS4" s="28">
        <v>4.4889999999999999</v>
      </c>
      <c r="DT4" s="28">
        <v>2.8839999999999999</v>
      </c>
      <c r="DU4" s="28">
        <v>4.8449999999999998</v>
      </c>
      <c r="DV4" s="28">
        <f t="shared" ref="DV4:DV25" si="12">SUM(DR4:DU4)</f>
        <v>17.344000000000001</v>
      </c>
      <c r="DW4" s="28">
        <v>4.7830000000000004</v>
      </c>
      <c r="DX4" s="28">
        <v>5.2230593600000006</v>
      </c>
      <c r="DY4" s="28">
        <v>3.0042306300000008</v>
      </c>
      <c r="DZ4" s="28">
        <v>7.3924856100000014</v>
      </c>
      <c r="EA4" s="28">
        <f t="shared" ref="EA4:EA15" si="13">SUM(DW4:DZ4)</f>
        <v>20.402775600000005</v>
      </c>
      <c r="EB4" s="28">
        <v>3.67080787</v>
      </c>
      <c r="EC4" s="28">
        <v>5.8153570599999993</v>
      </c>
      <c r="ED4" s="28">
        <v>9.7970000000000006</v>
      </c>
      <c r="EE4" s="28">
        <v>10.233725279999998</v>
      </c>
      <c r="EF4" s="28">
        <f t="shared" ref="EF4:EF15" si="14">SUM(EB4:EE4)</f>
        <v>29.516890209999996</v>
      </c>
      <c r="EG4" s="28">
        <v>7.9808928899999998</v>
      </c>
      <c r="EH4" s="28">
        <v>10.21004829</v>
      </c>
      <c r="EI4" s="28">
        <v>9.4287191400000001</v>
      </c>
    </row>
    <row r="5" spans="1:139" ht="15" thickTop="1" x14ac:dyDescent="0.3">
      <c r="A5" s="1" t="s">
        <v>442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27">
        <v>10.405836820000001</v>
      </c>
      <c r="BK5" s="27">
        <v>11.064496210000001</v>
      </c>
      <c r="BL5" s="27">
        <v>12.29792488</v>
      </c>
      <c r="BM5" s="27">
        <v>11.874975979999999</v>
      </c>
      <c r="BN5" s="27">
        <f t="shared" si="0"/>
        <v>45.643233890000005</v>
      </c>
      <c r="BO5" s="27">
        <v>11.519876550000001</v>
      </c>
      <c r="BP5" s="27">
        <v>10.73617462</v>
      </c>
      <c r="BQ5" s="27">
        <v>12.943980629999993</v>
      </c>
      <c r="BR5" s="27">
        <v>9.0179699200000041</v>
      </c>
      <c r="BS5" s="27">
        <f t="shared" si="1"/>
        <v>44.218001719999997</v>
      </c>
      <c r="BT5" s="27">
        <v>12.252360609999998</v>
      </c>
      <c r="BU5" s="27">
        <v>15.53624128</v>
      </c>
      <c r="BV5" s="27">
        <v>18.508919299999999</v>
      </c>
      <c r="BW5" s="27">
        <v>10.861107759999998</v>
      </c>
      <c r="BX5" s="27">
        <f t="shared" si="2"/>
        <v>57.158628949999994</v>
      </c>
      <c r="BY5" s="27">
        <v>12.325065690000001</v>
      </c>
      <c r="BZ5" s="27">
        <v>10.320246260000001</v>
      </c>
      <c r="CA5" s="27">
        <v>14.853760860000005</v>
      </c>
      <c r="CB5" s="27">
        <v>13.904622559999993</v>
      </c>
      <c r="CC5" s="27">
        <f t="shared" si="3"/>
        <v>51.403695369999994</v>
      </c>
      <c r="CD5" s="27">
        <v>16.911516730000002</v>
      </c>
      <c r="CE5" s="27">
        <v>9.3453660700000007</v>
      </c>
      <c r="CF5" s="27">
        <v>16.67177916</v>
      </c>
      <c r="CG5" s="27">
        <v>15.450397580000001</v>
      </c>
      <c r="CH5" s="27">
        <f t="shared" si="4"/>
        <v>58.37905954</v>
      </c>
      <c r="CI5" s="27">
        <v>11.72752088</v>
      </c>
      <c r="CJ5" s="27">
        <v>13.699645390000001</v>
      </c>
      <c r="CK5" s="27">
        <v>12.239962899999998</v>
      </c>
      <c r="CL5" s="27">
        <v>12.245607130000005</v>
      </c>
      <c r="CM5" s="27">
        <f t="shared" si="5"/>
        <v>49.912736299999999</v>
      </c>
      <c r="CN5" s="27">
        <v>15.857887700000001</v>
      </c>
      <c r="CO5" s="27">
        <v>13.045527129999996</v>
      </c>
      <c r="CP5" s="27">
        <v>12.500327970000003</v>
      </c>
      <c r="CQ5" s="27">
        <f>49.677-SUM(CN5:CP5)</f>
        <v>8.2732572000000033</v>
      </c>
      <c r="CR5" s="27">
        <f t="shared" si="6"/>
        <v>49.677</v>
      </c>
      <c r="CS5" s="27">
        <v>11.106</v>
      </c>
      <c r="CT5" s="27">
        <f>21.847-CS5</f>
        <v>10.741000000000001</v>
      </c>
      <c r="CU5" s="27">
        <f>32.584-SUM(CS5:CT5)</f>
        <v>10.737000000000002</v>
      </c>
      <c r="CV5" s="27">
        <f>44.354-SUM(CS5:CU5)</f>
        <v>11.769999999999996</v>
      </c>
      <c r="CW5" s="27">
        <f t="shared" si="7"/>
        <v>44.353999999999999</v>
      </c>
      <c r="CX5" s="27">
        <v>12.284000000000001</v>
      </c>
      <c r="CY5" s="27">
        <v>11.734</v>
      </c>
      <c r="CZ5" s="27">
        <v>9.67</v>
      </c>
      <c r="DA5" s="27">
        <v>11.335000000000001</v>
      </c>
      <c r="DB5" s="27">
        <f t="shared" si="8"/>
        <v>45.023000000000003</v>
      </c>
      <c r="DC5" s="27">
        <v>9.0950000000000006</v>
      </c>
      <c r="DD5" s="27">
        <v>12.805</v>
      </c>
      <c r="DE5" s="27">
        <v>10.345000000000001</v>
      </c>
      <c r="DF5" s="27">
        <v>10.971</v>
      </c>
      <c r="DG5" s="27">
        <f t="shared" si="9"/>
        <v>43.215999999999994</v>
      </c>
      <c r="DH5" s="27">
        <v>17.632000000000001</v>
      </c>
      <c r="DI5" s="27">
        <v>14.938000000000001</v>
      </c>
      <c r="DJ5" s="27">
        <v>15.816000000000001</v>
      </c>
      <c r="DK5" s="27">
        <v>4.5419999999999998</v>
      </c>
      <c r="DL5" s="27">
        <f t="shared" si="10"/>
        <v>52.928000000000004</v>
      </c>
      <c r="DM5" s="27">
        <v>17.068999999999999</v>
      </c>
      <c r="DN5" s="27">
        <v>16.323</v>
      </c>
      <c r="DO5" s="27">
        <v>16.61</v>
      </c>
      <c r="DP5" s="27">
        <v>19.390999999999998</v>
      </c>
      <c r="DQ5" s="27">
        <f t="shared" si="11"/>
        <v>69.393000000000001</v>
      </c>
      <c r="DR5" s="27">
        <v>19.677</v>
      </c>
      <c r="DS5" s="27">
        <v>15.69</v>
      </c>
      <c r="DT5" s="27">
        <v>18.023</v>
      </c>
      <c r="DU5" s="27">
        <v>20.044</v>
      </c>
      <c r="DV5" s="27">
        <f t="shared" si="12"/>
        <v>73.433999999999997</v>
      </c>
      <c r="DW5" s="27">
        <v>21.212</v>
      </c>
      <c r="DX5" s="27">
        <v>20.831904480000002</v>
      </c>
      <c r="DY5" s="27">
        <v>19.598949999999999</v>
      </c>
      <c r="DZ5" s="27">
        <v>22.265811659999997</v>
      </c>
      <c r="EA5" s="27">
        <f t="shared" si="13"/>
        <v>83.908666139999994</v>
      </c>
      <c r="EB5" s="27">
        <v>17.585106039999999</v>
      </c>
      <c r="EC5" s="27">
        <v>17.403121310000003</v>
      </c>
      <c r="ED5" s="27">
        <v>17.684999999999999</v>
      </c>
      <c r="EE5" s="27">
        <v>18.962449739999993</v>
      </c>
      <c r="EF5" s="27">
        <f t="shared" si="14"/>
        <v>71.635677090000001</v>
      </c>
      <c r="EG5" s="27">
        <v>33.300704959999997</v>
      </c>
      <c r="EH5" s="27">
        <v>27.349527250000001</v>
      </c>
      <c r="EI5" s="27">
        <v>26.127759639999994</v>
      </c>
    </row>
    <row r="6" spans="1:139" ht="15" thickBot="1" x14ac:dyDescent="0.35">
      <c r="A6" s="2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28">
        <v>4.11597028</v>
      </c>
      <c r="BK6" s="28">
        <v>5.2487231600000008</v>
      </c>
      <c r="BL6" s="28">
        <v>5.3091011799999999</v>
      </c>
      <c r="BM6" s="28">
        <v>5.8671908599999991</v>
      </c>
      <c r="BN6" s="28">
        <f t="shared" si="0"/>
        <v>20.540985479999996</v>
      </c>
      <c r="BO6" s="28">
        <v>4.3114964199999992</v>
      </c>
      <c r="BP6" s="28">
        <v>5.4819782400000001</v>
      </c>
      <c r="BQ6" s="28">
        <v>5.0990310199999991</v>
      </c>
      <c r="BR6" s="28">
        <v>5.9293767500000021</v>
      </c>
      <c r="BS6" s="28">
        <f t="shared" si="1"/>
        <v>20.821882430000002</v>
      </c>
      <c r="BT6" s="28">
        <v>0</v>
      </c>
      <c r="BU6" s="28">
        <v>10.125033949999999</v>
      </c>
      <c r="BV6" s="28">
        <v>5.4554769200000015</v>
      </c>
      <c r="BW6" s="28">
        <v>12.726830749999998</v>
      </c>
      <c r="BX6" s="28">
        <f t="shared" si="2"/>
        <v>28.307341619999999</v>
      </c>
      <c r="BY6" s="28">
        <v>4.4973594500000011</v>
      </c>
      <c r="BZ6" s="28">
        <v>5.3562411899999995</v>
      </c>
      <c r="CA6" s="28">
        <v>4.9010926800000005</v>
      </c>
      <c r="CB6" s="28">
        <v>5.7217577100000003</v>
      </c>
      <c r="CC6" s="28">
        <f t="shared" si="3"/>
        <v>20.47645103</v>
      </c>
      <c r="CD6" s="28">
        <v>5.8808552900000004</v>
      </c>
      <c r="CE6" s="28">
        <v>5.589724669999999</v>
      </c>
      <c r="CF6" s="28">
        <v>5.7152534100000016</v>
      </c>
      <c r="CG6" s="28">
        <v>6.8764079000000002</v>
      </c>
      <c r="CH6" s="28">
        <f t="shared" si="4"/>
        <v>24.062241270000001</v>
      </c>
      <c r="CI6" s="28">
        <v>5.44262069</v>
      </c>
      <c r="CJ6" s="28">
        <v>5.3901041099999993</v>
      </c>
      <c r="CK6" s="28">
        <v>5.3204397399999994</v>
      </c>
      <c r="CL6" s="28">
        <v>7.0394575800000005</v>
      </c>
      <c r="CM6" s="28">
        <f t="shared" si="5"/>
        <v>23.192622119999999</v>
      </c>
      <c r="CN6" s="28">
        <v>7.1315731700000002</v>
      </c>
      <c r="CO6" s="28">
        <v>5.3508391699999995</v>
      </c>
      <c r="CP6" s="28">
        <v>5.6874695999999991</v>
      </c>
      <c r="CQ6" s="28">
        <f>19.475-SUM(CN6:CP6)</f>
        <v>1.3051180600000016</v>
      </c>
      <c r="CR6" s="28">
        <f t="shared" si="6"/>
        <v>19.475000000000001</v>
      </c>
      <c r="CS6" s="28">
        <v>5.1349999999999998</v>
      </c>
      <c r="CT6" s="28">
        <f>9.794-CS6</f>
        <v>4.6590000000000007</v>
      </c>
      <c r="CU6" s="28">
        <f>14.336-SUM(CS6:CT6)</f>
        <v>4.5419999999999998</v>
      </c>
      <c r="CV6" s="28">
        <f>19.214-SUM(CS6:CU6)</f>
        <v>4.8779999999999983</v>
      </c>
      <c r="CW6" s="28">
        <f t="shared" si="7"/>
        <v>19.213999999999999</v>
      </c>
      <c r="CX6" s="28">
        <v>4.1849999999999996</v>
      </c>
      <c r="CY6" s="28">
        <v>4.1950000000000003</v>
      </c>
      <c r="CZ6" s="28">
        <v>4.0069999999999997</v>
      </c>
      <c r="DA6" s="28">
        <v>4.3929999999999998</v>
      </c>
      <c r="DB6" s="28">
        <f t="shared" si="8"/>
        <v>16.779999999999998</v>
      </c>
      <c r="DC6" s="28">
        <v>3.7610000000000001</v>
      </c>
      <c r="DD6" s="28">
        <v>3.9239999999999999</v>
      </c>
      <c r="DE6" s="28">
        <v>4.0010000000000003</v>
      </c>
      <c r="DF6" s="28">
        <v>4.157</v>
      </c>
      <c r="DG6" s="28">
        <f t="shared" si="9"/>
        <v>15.843</v>
      </c>
      <c r="DH6" s="28">
        <v>3.806</v>
      </c>
      <c r="DI6" s="28">
        <v>4.4119999999999999</v>
      </c>
      <c r="DJ6" s="28">
        <v>4.3029999999999999</v>
      </c>
      <c r="DK6" s="28">
        <v>5.7830000000000004</v>
      </c>
      <c r="DL6" s="28">
        <f t="shared" si="10"/>
        <v>18.304000000000002</v>
      </c>
      <c r="DM6" s="28">
        <v>6.6210000000000004</v>
      </c>
      <c r="DN6" s="28">
        <v>6.4980000000000002</v>
      </c>
      <c r="DO6" s="28">
        <v>6.7990000000000004</v>
      </c>
      <c r="DP6" s="28">
        <v>3.0270000000000001</v>
      </c>
      <c r="DQ6" s="28">
        <f t="shared" si="11"/>
        <v>22.945</v>
      </c>
      <c r="DR6" s="28">
        <v>1.627</v>
      </c>
      <c r="DS6" s="28">
        <v>1.446</v>
      </c>
      <c r="DT6" s="28">
        <v>1.05</v>
      </c>
      <c r="DU6" s="28">
        <v>1.8939999999999999</v>
      </c>
      <c r="DV6" s="28">
        <f t="shared" si="12"/>
        <v>6.0170000000000003</v>
      </c>
      <c r="DW6" s="28">
        <v>7.0999999999999994E-2</v>
      </c>
      <c r="DX6" s="28">
        <v>3.5479123000000001</v>
      </c>
      <c r="DY6" s="28">
        <v>0.51892548999999977</v>
      </c>
      <c r="DZ6" s="28">
        <v>0.67968085000000056</v>
      </c>
      <c r="EA6" s="28">
        <f t="shared" si="13"/>
        <v>4.8175186400000003</v>
      </c>
      <c r="EB6" s="28">
        <v>-0.29589140999999997</v>
      </c>
      <c r="EC6" s="28">
        <v>0.18914323999999999</v>
      </c>
      <c r="ED6" s="28">
        <v>0.315</v>
      </c>
      <c r="EE6" s="28">
        <v>0.31345631999999995</v>
      </c>
      <c r="EF6" s="28">
        <f t="shared" si="14"/>
        <v>0.52170815000000004</v>
      </c>
      <c r="EG6" s="28">
        <v>0.43798732000000001</v>
      </c>
      <c r="EH6" s="28">
        <v>0.15386153999999999</v>
      </c>
      <c r="EI6" s="28">
        <v>1.0611254399999999</v>
      </c>
    </row>
    <row r="7" spans="1:139" ht="15" thickTop="1" x14ac:dyDescent="0.3">
      <c r="A7" s="1" t="s">
        <v>443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27">
        <v>4.9335214599999997</v>
      </c>
      <c r="BK7" s="27">
        <v>4.4737184000000001</v>
      </c>
      <c r="BL7" s="27">
        <v>4.1789135399999999</v>
      </c>
      <c r="BM7" s="27">
        <v>4.7911132200000015</v>
      </c>
      <c r="BN7" s="27">
        <f t="shared" si="0"/>
        <v>18.37726662</v>
      </c>
      <c r="BO7" s="27">
        <v>3.5041707899999999</v>
      </c>
      <c r="BP7" s="27">
        <v>3.9175877099999994</v>
      </c>
      <c r="BQ7" s="27">
        <v>3.6335795000000006</v>
      </c>
      <c r="BR7" s="27">
        <v>4.2328386000000009</v>
      </c>
      <c r="BS7" s="27">
        <f t="shared" si="1"/>
        <v>15.2881766</v>
      </c>
      <c r="BT7" s="27">
        <v>4.4580785799999996</v>
      </c>
      <c r="BU7" s="27">
        <v>4.1475597300000002</v>
      </c>
      <c r="BV7" s="27">
        <v>1.7921544700000003</v>
      </c>
      <c r="BW7" s="27">
        <v>4.4787906099999972</v>
      </c>
      <c r="BX7" s="27">
        <f t="shared" si="2"/>
        <v>14.876583389999997</v>
      </c>
      <c r="BY7" s="27">
        <v>3.6670141099999993</v>
      </c>
      <c r="BZ7" s="27">
        <v>3.71774081</v>
      </c>
      <c r="CA7" s="27">
        <v>3.7152779900000001</v>
      </c>
      <c r="CB7" s="27">
        <v>5.1961104700000007</v>
      </c>
      <c r="CC7" s="27">
        <f t="shared" si="3"/>
        <v>16.29614338</v>
      </c>
      <c r="CD7" s="27">
        <v>4.5986961299999995</v>
      </c>
      <c r="CE7" s="27">
        <v>9.2935101599999985</v>
      </c>
      <c r="CF7" s="27">
        <v>3.4610525500000016</v>
      </c>
      <c r="CG7" s="27">
        <v>6.8654453399999991</v>
      </c>
      <c r="CH7" s="27">
        <f t="shared" si="4"/>
        <v>24.218704179999996</v>
      </c>
      <c r="CI7" s="27">
        <v>6.7963370299999992</v>
      </c>
      <c r="CJ7" s="27">
        <v>3.5450728400000004</v>
      </c>
      <c r="CK7" s="27">
        <v>6.0465366099999995</v>
      </c>
      <c r="CL7" s="27">
        <v>5.9472608899999999</v>
      </c>
      <c r="CM7" s="27">
        <f t="shared" si="5"/>
        <v>22.335207369999999</v>
      </c>
      <c r="CN7" s="27">
        <v>6.2300769799999998</v>
      </c>
      <c r="CO7" s="27">
        <v>4.7854070000000011</v>
      </c>
      <c r="CP7" s="27">
        <v>4.4441117799999992</v>
      </c>
      <c r="CQ7" s="27">
        <f>19.115-SUM(CN7:CP7)</f>
        <v>3.6554042399999993</v>
      </c>
      <c r="CR7" s="27">
        <f t="shared" si="6"/>
        <v>19.114999999999998</v>
      </c>
      <c r="CS7" s="27">
        <v>4.9829999999999997</v>
      </c>
      <c r="CT7" s="27">
        <f>9.501-CS7</f>
        <v>4.5179999999999998</v>
      </c>
      <c r="CU7" s="27">
        <f>14.276-SUM(CS7:CT7)</f>
        <v>4.7750000000000004</v>
      </c>
      <c r="CV7" s="27">
        <f>19.561-SUM(CS7:CU7)</f>
        <v>5.2850000000000001</v>
      </c>
      <c r="CW7" s="27">
        <f t="shared" si="7"/>
        <v>19.561</v>
      </c>
      <c r="CX7" s="27">
        <v>4.71</v>
      </c>
      <c r="CY7" s="27">
        <v>4.6820000000000004</v>
      </c>
      <c r="CZ7" s="27">
        <v>4.6429999999999998</v>
      </c>
      <c r="DA7" s="27">
        <v>4.9690000000000003</v>
      </c>
      <c r="DB7" s="27">
        <f t="shared" si="8"/>
        <v>19.004000000000001</v>
      </c>
      <c r="DC7" s="27">
        <v>5.0270000000000001</v>
      </c>
      <c r="DD7" s="27">
        <v>4.8</v>
      </c>
      <c r="DE7" s="27">
        <v>4.641</v>
      </c>
      <c r="DF7" s="27">
        <v>4.5339999999999998</v>
      </c>
      <c r="DG7" s="27">
        <f t="shared" si="9"/>
        <v>19.001999999999999</v>
      </c>
      <c r="DH7" s="27">
        <v>5.3360000000000003</v>
      </c>
      <c r="DI7" s="27">
        <v>5.1120000000000001</v>
      </c>
      <c r="DJ7" s="27">
        <v>4.968</v>
      </c>
      <c r="DK7" s="27">
        <v>5.2270000000000003</v>
      </c>
      <c r="DL7" s="27">
        <f t="shared" si="10"/>
        <v>20.643000000000001</v>
      </c>
      <c r="DM7" s="27">
        <v>5.7220000000000004</v>
      </c>
      <c r="DN7" s="27">
        <v>5.9059999999999997</v>
      </c>
      <c r="DO7" s="27">
        <v>5.351</v>
      </c>
      <c r="DP7" s="27">
        <v>5.9050000000000002</v>
      </c>
      <c r="DQ7" s="27">
        <f t="shared" si="11"/>
        <v>22.884</v>
      </c>
      <c r="DR7" s="27">
        <v>6.391</v>
      </c>
      <c r="DS7" s="27">
        <v>6.4530000000000003</v>
      </c>
      <c r="DT7" s="27">
        <v>6.0220000000000002</v>
      </c>
      <c r="DU7" s="27">
        <v>6.2649999999999997</v>
      </c>
      <c r="DV7" s="27">
        <f t="shared" si="12"/>
        <v>25.131</v>
      </c>
      <c r="DW7" s="27">
        <v>6.3470000000000004</v>
      </c>
      <c r="DX7" s="27">
        <v>6.3254568099999995</v>
      </c>
      <c r="DY7" s="27">
        <v>3.6488367899999989</v>
      </c>
      <c r="DZ7" s="27">
        <v>9.297512440000002</v>
      </c>
      <c r="EA7" s="27">
        <f t="shared" si="13"/>
        <v>25.618806039999999</v>
      </c>
      <c r="EB7" s="27">
        <v>3.6329405299999999</v>
      </c>
      <c r="EC7" s="27">
        <v>5.5511202500000003</v>
      </c>
      <c r="ED7" s="27">
        <v>4.0330000000000004</v>
      </c>
      <c r="EE7" s="27">
        <v>15.525408699999998</v>
      </c>
      <c r="EF7" s="27">
        <f t="shared" si="14"/>
        <v>28.742469479999997</v>
      </c>
      <c r="EG7" s="27">
        <v>7.5682918299999997</v>
      </c>
      <c r="EH7" s="27">
        <v>10.63155826</v>
      </c>
      <c r="EI7" s="27">
        <v>10.73071455</v>
      </c>
    </row>
    <row r="8" spans="1:139" ht="15" thickBot="1" x14ac:dyDescent="0.35">
      <c r="A8" s="2" t="s">
        <v>481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28">
        <v>0</v>
      </c>
      <c r="BK8" s="28">
        <v>0</v>
      </c>
      <c r="BL8" s="28">
        <v>0</v>
      </c>
      <c r="BM8" s="28">
        <v>0</v>
      </c>
      <c r="BN8" s="28">
        <f t="shared" si="0"/>
        <v>0</v>
      </c>
      <c r="BO8" s="28">
        <v>0</v>
      </c>
      <c r="BP8" s="28">
        <v>0</v>
      </c>
      <c r="BQ8" s="28">
        <v>0</v>
      </c>
      <c r="BR8" s="28">
        <v>0</v>
      </c>
      <c r="BS8" s="28">
        <f t="shared" si="1"/>
        <v>0</v>
      </c>
      <c r="BT8" s="28">
        <v>0</v>
      </c>
      <c r="BU8" s="28">
        <v>0.40365553000000004</v>
      </c>
      <c r="BV8" s="28">
        <v>0.91254997000000015</v>
      </c>
      <c r="BW8" s="28">
        <v>1.2846226599999999</v>
      </c>
      <c r="BX8" s="28">
        <f t="shared" si="2"/>
        <v>2.6008281599999998</v>
      </c>
      <c r="BY8" s="28">
        <v>2.1001461299999997</v>
      </c>
      <c r="BZ8" s="28">
        <v>0</v>
      </c>
      <c r="CA8" s="28">
        <v>10.284729690000001</v>
      </c>
      <c r="CB8" s="28">
        <v>7.2105597399999981</v>
      </c>
      <c r="CC8" s="28">
        <f t="shared" si="3"/>
        <v>19.595435559999999</v>
      </c>
      <c r="CD8" s="28">
        <v>7.0882629899999996</v>
      </c>
      <c r="CE8" s="28">
        <v>5.2203031899999992</v>
      </c>
      <c r="CF8" s="28">
        <v>9.1453160900000015</v>
      </c>
      <c r="CG8" s="28">
        <v>2.7148163200000015</v>
      </c>
      <c r="CH8" s="28">
        <f t="shared" si="4"/>
        <v>24.168698590000002</v>
      </c>
      <c r="CI8" s="28">
        <v>4.3846492700000006</v>
      </c>
      <c r="CJ8" s="28">
        <v>0.7118699699999993</v>
      </c>
      <c r="CK8" s="28">
        <v>3.1086012500000004</v>
      </c>
      <c r="CL8" s="28">
        <v>2.8982134800000003</v>
      </c>
      <c r="CM8" s="28">
        <f t="shared" si="5"/>
        <v>11.103333970000001</v>
      </c>
      <c r="CN8" s="28">
        <v>1.8917733699999999</v>
      </c>
      <c r="CO8" s="28">
        <v>2.0643875299999999</v>
      </c>
      <c r="CP8" s="28">
        <v>2.2881632600000001</v>
      </c>
      <c r="CQ8" s="28">
        <f>8.158-SUM(CN8:CP8)</f>
        <v>1.9136758399999998</v>
      </c>
      <c r="CR8" s="28">
        <f t="shared" si="6"/>
        <v>8.1579999999999995</v>
      </c>
      <c r="CS8" s="28">
        <v>2.097</v>
      </c>
      <c r="CT8" s="28">
        <f>3.727-CS8</f>
        <v>1.63</v>
      </c>
      <c r="CU8" s="28">
        <f>5.934-SUM(CS8:CT8)</f>
        <v>2.2070000000000003</v>
      </c>
      <c r="CV8" s="28">
        <f>8.211-SUM(CS8:CU8)</f>
        <v>2.2770000000000001</v>
      </c>
      <c r="CW8" s="28">
        <f t="shared" si="7"/>
        <v>8.2110000000000003</v>
      </c>
      <c r="CX8" s="28">
        <v>2.121</v>
      </c>
      <c r="CY8" s="28">
        <v>1.849</v>
      </c>
      <c r="CZ8" s="28">
        <v>1.528</v>
      </c>
      <c r="DA8" s="28">
        <v>3.879</v>
      </c>
      <c r="DB8" s="28">
        <f t="shared" si="8"/>
        <v>9.3769999999999989</v>
      </c>
      <c r="DC8" s="28">
        <v>3.1389999999999998</v>
      </c>
      <c r="DD8" s="28">
        <v>3.7330000000000001</v>
      </c>
      <c r="DE8" s="28">
        <v>3.3410000000000002</v>
      </c>
      <c r="DF8" s="28">
        <v>3.4620000000000002</v>
      </c>
      <c r="DG8" s="28">
        <f t="shared" si="9"/>
        <v>13.675000000000001</v>
      </c>
      <c r="DH8" s="28">
        <v>2.718</v>
      </c>
      <c r="DI8" s="28">
        <v>2.948</v>
      </c>
      <c r="DJ8" s="28">
        <v>2.613</v>
      </c>
      <c r="DK8" s="28">
        <v>50.759</v>
      </c>
      <c r="DL8" s="28">
        <f t="shared" si="10"/>
        <v>59.037999999999997</v>
      </c>
      <c r="DM8" s="28">
        <v>2.9470000000000001</v>
      </c>
      <c r="DN8" s="28">
        <v>3.1829999999999998</v>
      </c>
      <c r="DO8" s="28">
        <v>4.95</v>
      </c>
      <c r="DP8" s="28">
        <v>1.71</v>
      </c>
      <c r="DQ8" s="28">
        <f t="shared" si="11"/>
        <v>12.79</v>
      </c>
      <c r="DR8" s="28">
        <v>3.2639999999999998</v>
      </c>
      <c r="DS8" s="28">
        <v>3.7229999999999999</v>
      </c>
      <c r="DT8" s="28">
        <v>6.9880000000000004</v>
      </c>
      <c r="DU8" s="28">
        <v>6.085</v>
      </c>
      <c r="DV8" s="28">
        <f t="shared" si="12"/>
        <v>20.060000000000002</v>
      </c>
      <c r="DW8" s="28">
        <v>5.0590000000000002</v>
      </c>
      <c r="DX8" s="28">
        <v>4.3636880899999992</v>
      </c>
      <c r="DY8" s="28">
        <v>5.1410255600000001</v>
      </c>
      <c r="DZ8" s="28">
        <v>7.8744346400000005</v>
      </c>
      <c r="EA8" s="28">
        <f t="shared" si="13"/>
        <v>22.438148290000001</v>
      </c>
      <c r="EB8" s="28">
        <v>5.2306748499999998</v>
      </c>
      <c r="EC8" s="28">
        <v>5.0301722599999996</v>
      </c>
      <c r="ED8" s="28">
        <v>4.9189999999999996</v>
      </c>
      <c r="EE8" s="28">
        <v>6.0354109800000009</v>
      </c>
      <c r="EF8" s="28">
        <f t="shared" si="14"/>
        <v>21.215258090000003</v>
      </c>
      <c r="EG8" s="28">
        <v>5.6766592999999999</v>
      </c>
      <c r="EH8" s="28">
        <v>5.0551548300000011</v>
      </c>
      <c r="EI8" s="28">
        <v>7.1566788299999997</v>
      </c>
    </row>
    <row r="9" spans="1:139" ht="15" thickTop="1" x14ac:dyDescent="0.3">
      <c r="A9" s="1" t="s">
        <v>445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27">
        <v>0</v>
      </c>
      <c r="BK9" s="27">
        <v>0</v>
      </c>
      <c r="BL9" s="27">
        <v>0</v>
      </c>
      <c r="BM9" s="27">
        <v>0</v>
      </c>
      <c r="BN9" s="27">
        <f t="shared" si="0"/>
        <v>0</v>
      </c>
      <c r="BO9" s="27">
        <v>0</v>
      </c>
      <c r="BP9" s="27">
        <v>0</v>
      </c>
      <c r="BQ9" s="27">
        <v>0</v>
      </c>
      <c r="BR9" s="27">
        <v>0</v>
      </c>
      <c r="BS9" s="27">
        <f t="shared" si="1"/>
        <v>0</v>
      </c>
      <c r="BT9" s="27">
        <v>0</v>
      </c>
      <c r="BU9" s="27">
        <v>0</v>
      </c>
      <c r="BV9" s="27">
        <v>0</v>
      </c>
      <c r="BW9" s="27">
        <v>0</v>
      </c>
      <c r="BX9" s="27">
        <f t="shared" si="2"/>
        <v>0</v>
      </c>
      <c r="BY9" s="27">
        <v>0</v>
      </c>
      <c r="BZ9" s="27">
        <v>0</v>
      </c>
      <c r="CA9" s="27">
        <v>0</v>
      </c>
      <c r="CB9" s="27">
        <v>0</v>
      </c>
      <c r="CC9" s="27">
        <f t="shared" si="3"/>
        <v>0</v>
      </c>
      <c r="CD9" s="27">
        <v>0</v>
      </c>
      <c r="CE9" s="27">
        <v>0</v>
      </c>
      <c r="CF9" s="27">
        <v>0</v>
      </c>
      <c r="CG9" s="27">
        <v>0</v>
      </c>
      <c r="CH9" s="27">
        <f t="shared" si="4"/>
        <v>0</v>
      </c>
      <c r="CI9" s="27">
        <v>0</v>
      </c>
      <c r="CJ9" s="27">
        <v>1.7807062999999999</v>
      </c>
      <c r="CK9" s="27">
        <v>3.5201662199999997</v>
      </c>
      <c r="CL9" s="27">
        <v>4.1815825600000007</v>
      </c>
      <c r="CM9" s="27">
        <f t="shared" si="5"/>
        <v>9.4824550800000011</v>
      </c>
      <c r="CN9" s="27">
        <v>3.8763663399999997</v>
      </c>
      <c r="CO9" s="27">
        <v>3.7559133899999999</v>
      </c>
      <c r="CP9" s="27">
        <v>2.6179981899999998</v>
      </c>
      <c r="CQ9" s="27">
        <f>13.045-SUM(CN9:CP9)</f>
        <v>2.7947220800000014</v>
      </c>
      <c r="CR9" s="27">
        <f t="shared" si="6"/>
        <v>13.045</v>
      </c>
      <c r="CS9" s="27">
        <v>2.7570000000000001</v>
      </c>
      <c r="CT9" s="27">
        <f>5.718-CS9</f>
        <v>2.9609999999999999</v>
      </c>
      <c r="CU9" s="27">
        <f>8.366-SUM(CS9:CT9)</f>
        <v>2.6479999999999997</v>
      </c>
      <c r="CV9" s="27">
        <f>11.576-SUM(CS9:CU9)</f>
        <v>3.2100000000000009</v>
      </c>
      <c r="CW9" s="27">
        <f t="shared" si="7"/>
        <v>11.576000000000001</v>
      </c>
      <c r="CX9" s="27">
        <v>2.2250000000000001</v>
      </c>
      <c r="CY9" s="27">
        <v>3.3769999999999998</v>
      </c>
      <c r="CZ9" s="27">
        <v>2.6520000000000001</v>
      </c>
      <c r="DA9" s="27">
        <v>3.24</v>
      </c>
      <c r="DB9" s="27">
        <f t="shared" si="8"/>
        <v>11.494000000000002</v>
      </c>
      <c r="DC9" s="27">
        <v>2.84</v>
      </c>
      <c r="DD9" s="27">
        <v>2.673</v>
      </c>
      <c r="DE9" s="27">
        <v>2.5659999999999998</v>
      </c>
      <c r="DF9" s="27">
        <v>3.4780000000000002</v>
      </c>
      <c r="DG9" s="27">
        <f t="shared" si="9"/>
        <v>11.557</v>
      </c>
      <c r="DH9" s="27">
        <v>3.2719999999999998</v>
      </c>
      <c r="DI9" s="27">
        <v>3.1539999999999999</v>
      </c>
      <c r="DJ9" s="27">
        <v>3.5550000000000002</v>
      </c>
      <c r="DK9" s="27">
        <v>3.33</v>
      </c>
      <c r="DL9" s="27">
        <f t="shared" si="10"/>
        <v>13.311</v>
      </c>
      <c r="DM9" s="27">
        <v>3.7349999999999999</v>
      </c>
      <c r="DN9" s="27">
        <v>4.0090000000000003</v>
      </c>
      <c r="DO9" s="27">
        <v>3.855</v>
      </c>
      <c r="DP9" s="27">
        <v>3.7120000000000002</v>
      </c>
      <c r="DQ9" s="27">
        <f t="shared" si="11"/>
        <v>15.311</v>
      </c>
      <c r="DR9" s="27">
        <v>4.0579999999999998</v>
      </c>
      <c r="DS9" s="27">
        <v>3.7229999999999999</v>
      </c>
      <c r="DT9" s="27">
        <v>2.5840000000000001</v>
      </c>
      <c r="DU9" s="27">
        <v>3.6850000000000001</v>
      </c>
      <c r="DV9" s="27">
        <f t="shared" si="12"/>
        <v>14.05</v>
      </c>
      <c r="DW9" s="27">
        <v>3.875</v>
      </c>
      <c r="DX9" s="27">
        <v>3.361262</v>
      </c>
      <c r="DY9" s="27">
        <v>3.0643339900000002</v>
      </c>
      <c r="DZ9" s="27">
        <v>5.0654317600000001</v>
      </c>
      <c r="EA9" s="27">
        <f t="shared" si="13"/>
        <v>15.366027750000001</v>
      </c>
      <c r="EB9" s="27">
        <v>4.2154645400000001</v>
      </c>
      <c r="EC9" s="27">
        <v>3.4909887099999999</v>
      </c>
      <c r="ED9" s="27">
        <v>4.05</v>
      </c>
      <c r="EE9" s="27">
        <v>5.0542377899999993</v>
      </c>
      <c r="EF9" s="27">
        <f t="shared" si="14"/>
        <v>16.810691039999998</v>
      </c>
      <c r="EG9" s="27">
        <v>4.7029744600000001</v>
      </c>
      <c r="EH9" s="27">
        <v>4.6759052099999998</v>
      </c>
      <c r="EI9" s="27">
        <v>4.3253773699999991</v>
      </c>
    </row>
    <row r="10" spans="1:139" ht="15" thickBot="1" x14ac:dyDescent="0.35">
      <c r="A10" s="2" t="s">
        <v>444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28">
        <v>0</v>
      </c>
      <c r="BK10" s="28">
        <v>0</v>
      </c>
      <c r="BL10" s="28">
        <v>0</v>
      </c>
      <c r="BM10" s="28">
        <v>0</v>
      </c>
      <c r="BN10" s="28">
        <f t="shared" si="0"/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f t="shared" si="1"/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f t="shared" si="2"/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f t="shared" si="3"/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f t="shared" si="4"/>
        <v>0</v>
      </c>
      <c r="CI10" s="28">
        <v>0</v>
      </c>
      <c r="CJ10" s="28">
        <v>0</v>
      </c>
      <c r="CK10" s="28">
        <v>0</v>
      </c>
      <c r="CL10" s="28">
        <v>0</v>
      </c>
      <c r="CM10" s="28">
        <f t="shared" si="5"/>
        <v>0</v>
      </c>
      <c r="CN10" s="28">
        <v>0</v>
      </c>
      <c r="CO10" s="28">
        <v>0</v>
      </c>
      <c r="CP10" s="28">
        <v>0</v>
      </c>
      <c r="CQ10" s="28">
        <v>0</v>
      </c>
      <c r="CR10" s="28">
        <f t="shared" si="6"/>
        <v>0</v>
      </c>
      <c r="CS10" s="28">
        <v>0</v>
      </c>
      <c r="CT10" s="28">
        <v>0</v>
      </c>
      <c r="CU10" s="28">
        <v>0</v>
      </c>
      <c r="CV10" s="28">
        <v>0</v>
      </c>
      <c r="CW10" s="28">
        <f t="shared" si="7"/>
        <v>0</v>
      </c>
      <c r="CX10" s="28">
        <v>0</v>
      </c>
      <c r="CY10" s="28">
        <v>0</v>
      </c>
      <c r="CZ10" s="28">
        <v>0</v>
      </c>
      <c r="DA10" s="28">
        <v>0</v>
      </c>
      <c r="DB10" s="28">
        <f t="shared" si="8"/>
        <v>0</v>
      </c>
      <c r="DC10" s="28">
        <v>0</v>
      </c>
      <c r="DD10" s="28">
        <v>0</v>
      </c>
      <c r="DE10" s="28">
        <v>3.5030000000000001</v>
      </c>
      <c r="DF10" s="28">
        <v>6.6379999999999999</v>
      </c>
      <c r="DG10" s="28">
        <f t="shared" si="9"/>
        <v>10.141</v>
      </c>
      <c r="DH10" s="28">
        <v>3.6549999999999998</v>
      </c>
      <c r="DI10" s="28">
        <v>3.9140000000000001</v>
      </c>
      <c r="DJ10" s="28">
        <v>3.931</v>
      </c>
      <c r="DK10" s="28">
        <v>3.7730000000000001</v>
      </c>
      <c r="DL10" s="28">
        <f t="shared" si="10"/>
        <v>15.273</v>
      </c>
      <c r="DM10" s="28">
        <v>3.9750000000000001</v>
      </c>
      <c r="DN10" s="28">
        <v>3.7330000000000001</v>
      </c>
      <c r="DO10" s="28">
        <v>3.9129999999999998</v>
      </c>
      <c r="DP10" s="28">
        <v>3.7829999999999999</v>
      </c>
      <c r="DQ10" s="28">
        <f t="shared" si="11"/>
        <v>15.404</v>
      </c>
      <c r="DR10" s="28">
        <v>4.46</v>
      </c>
      <c r="DS10" s="28">
        <v>4.2279999999999998</v>
      </c>
      <c r="DT10" s="28">
        <v>3.7650000000000001</v>
      </c>
      <c r="DU10" s="28">
        <v>4.2549999999999999</v>
      </c>
      <c r="DV10" s="28">
        <f t="shared" si="12"/>
        <v>16.707999999999998</v>
      </c>
      <c r="DW10" s="28">
        <v>4.1989999999999998</v>
      </c>
      <c r="DX10" s="28">
        <v>4.4279183099999999</v>
      </c>
      <c r="DY10" s="28">
        <v>2.7544526899999995</v>
      </c>
      <c r="DZ10" s="28">
        <v>6.6410452399999986</v>
      </c>
      <c r="EA10" s="28">
        <f t="shared" si="13"/>
        <v>18.022416239999998</v>
      </c>
      <c r="EB10" s="28">
        <v>1.98158368</v>
      </c>
      <c r="EC10" s="28">
        <v>4.3663273500000006</v>
      </c>
      <c r="ED10" s="28">
        <v>4.8609999999999998</v>
      </c>
      <c r="EE10" s="28">
        <v>7.3156964800000024</v>
      </c>
      <c r="EF10" s="28">
        <f t="shared" si="14"/>
        <v>18.524607510000003</v>
      </c>
      <c r="EG10" s="28">
        <v>6.61560142</v>
      </c>
      <c r="EH10" s="28">
        <v>6.5867505700000004</v>
      </c>
      <c r="EI10" s="28">
        <v>6.1262142799999992</v>
      </c>
    </row>
    <row r="11" spans="1:139" ht="15" thickTop="1" x14ac:dyDescent="0.3">
      <c r="A11" s="1" t="s">
        <v>456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27">
        <v>0</v>
      </c>
      <c r="BK11" s="27">
        <v>0</v>
      </c>
      <c r="BL11" s="27">
        <v>0</v>
      </c>
      <c r="BM11" s="27">
        <v>0</v>
      </c>
      <c r="BN11" s="27">
        <f t="shared" si="0"/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f t="shared" si="1"/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f t="shared" si="2"/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f t="shared" si="3"/>
        <v>0</v>
      </c>
      <c r="CD11" s="27">
        <v>0</v>
      </c>
      <c r="CE11" s="27">
        <v>0</v>
      </c>
      <c r="CF11" s="27">
        <v>0</v>
      </c>
      <c r="CG11" s="27">
        <v>0</v>
      </c>
      <c r="CH11" s="27">
        <f t="shared" si="4"/>
        <v>0</v>
      </c>
      <c r="CI11" s="27">
        <v>0</v>
      </c>
      <c r="CJ11" s="27">
        <v>0</v>
      </c>
      <c r="CK11" s="27">
        <v>0</v>
      </c>
      <c r="CL11" s="27">
        <v>0</v>
      </c>
      <c r="CM11" s="27">
        <f t="shared" si="5"/>
        <v>0</v>
      </c>
      <c r="CN11" s="27">
        <v>0</v>
      </c>
      <c r="CO11" s="27">
        <v>0</v>
      </c>
      <c r="CP11" s="27">
        <v>0</v>
      </c>
      <c r="CQ11" s="27">
        <v>0</v>
      </c>
      <c r="CR11" s="27">
        <f t="shared" si="6"/>
        <v>0</v>
      </c>
      <c r="CS11" s="27">
        <v>0</v>
      </c>
      <c r="CT11" s="27">
        <v>0</v>
      </c>
      <c r="CU11" s="27">
        <v>0</v>
      </c>
      <c r="CV11" s="27">
        <v>0</v>
      </c>
      <c r="CW11" s="27">
        <f t="shared" si="7"/>
        <v>0</v>
      </c>
      <c r="CX11" s="27">
        <v>0</v>
      </c>
      <c r="CY11" s="27">
        <v>0</v>
      </c>
      <c r="CZ11" s="27">
        <v>1.9E-2</v>
      </c>
      <c r="DA11" s="27">
        <v>5.1959999999999997</v>
      </c>
      <c r="DB11" s="27">
        <f t="shared" si="8"/>
        <v>5.2149999999999999</v>
      </c>
      <c r="DC11" s="27">
        <v>2.5369999999999999</v>
      </c>
      <c r="DD11" s="27">
        <v>2.4940000000000002</v>
      </c>
      <c r="DE11" s="27">
        <v>2.4390000000000001</v>
      </c>
      <c r="DF11" s="27">
        <v>2.4260000000000002</v>
      </c>
      <c r="DG11" s="27">
        <f t="shared" si="9"/>
        <v>9.8960000000000008</v>
      </c>
      <c r="DH11" s="27">
        <v>2.6360000000000001</v>
      </c>
      <c r="DI11" s="27">
        <v>2.645</v>
      </c>
      <c r="DJ11" s="27">
        <v>2.758</v>
      </c>
      <c r="DK11" s="27">
        <v>2.6930000000000001</v>
      </c>
      <c r="DL11" s="27">
        <f t="shared" si="10"/>
        <v>10.732000000000001</v>
      </c>
      <c r="DM11" s="27">
        <v>3.0939999999999999</v>
      </c>
      <c r="DN11" s="27">
        <v>3.089</v>
      </c>
      <c r="DO11" s="27">
        <v>3.2120000000000002</v>
      </c>
      <c r="DP11" s="27">
        <v>3.6749999999999998</v>
      </c>
      <c r="DQ11" s="27">
        <f t="shared" si="11"/>
        <v>13.07</v>
      </c>
      <c r="DR11" s="27">
        <v>4.2480000000000002</v>
      </c>
      <c r="DS11" s="27">
        <v>3.9060000000000001</v>
      </c>
      <c r="DT11" s="27">
        <v>3.419</v>
      </c>
      <c r="DU11" s="27">
        <v>3.476</v>
      </c>
      <c r="DV11" s="27">
        <f t="shared" si="12"/>
        <v>15.048999999999999</v>
      </c>
      <c r="DW11" s="27">
        <v>4.234</v>
      </c>
      <c r="DX11" s="27">
        <v>3.8639646400000003</v>
      </c>
      <c r="DY11" s="27">
        <v>4.3475723699999991</v>
      </c>
      <c r="DZ11" s="27">
        <v>4.9264636500000005</v>
      </c>
      <c r="EA11" s="27">
        <f t="shared" si="13"/>
        <v>17.372000659999998</v>
      </c>
      <c r="EB11" s="27">
        <v>3.5611760600000002</v>
      </c>
      <c r="EC11" s="27">
        <v>3.6446609499999996</v>
      </c>
      <c r="ED11" s="27">
        <v>5.8419999999999996</v>
      </c>
      <c r="EE11" s="27">
        <v>8.7073261699999982</v>
      </c>
      <c r="EF11" s="27">
        <f t="shared" si="14"/>
        <v>21.755163179999997</v>
      </c>
      <c r="EG11" s="27">
        <v>4.5971635900000001</v>
      </c>
      <c r="EH11" s="27">
        <v>5.810043620000001</v>
      </c>
      <c r="EI11" s="27">
        <v>5.9795409699999986</v>
      </c>
    </row>
    <row r="12" spans="1:139" ht="15" thickBot="1" x14ac:dyDescent="0.35">
      <c r="A12" s="2" t="s">
        <v>446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28">
        <v>0</v>
      </c>
      <c r="BK12" s="28">
        <v>0</v>
      </c>
      <c r="BL12" s="28">
        <v>0</v>
      </c>
      <c r="BM12" s="28">
        <v>0</v>
      </c>
      <c r="BN12" s="28">
        <f t="shared" si="0"/>
        <v>0</v>
      </c>
      <c r="BO12" s="28">
        <v>0</v>
      </c>
      <c r="BP12" s="28">
        <v>0</v>
      </c>
      <c r="BQ12" s="28">
        <v>0</v>
      </c>
      <c r="BR12" s="28">
        <v>0</v>
      </c>
      <c r="BS12" s="28">
        <f t="shared" si="1"/>
        <v>0</v>
      </c>
      <c r="BT12" s="28">
        <v>0</v>
      </c>
      <c r="BU12" s="28">
        <v>0</v>
      </c>
      <c r="BV12" s="28">
        <v>0</v>
      </c>
      <c r="BW12" s="28">
        <v>0</v>
      </c>
      <c r="BX12" s="28">
        <f t="shared" si="2"/>
        <v>0</v>
      </c>
      <c r="BY12" s="28">
        <v>0</v>
      </c>
      <c r="BZ12" s="28">
        <v>0</v>
      </c>
      <c r="CA12" s="28">
        <v>0</v>
      </c>
      <c r="CB12" s="28">
        <v>0</v>
      </c>
      <c r="CC12" s="28">
        <f t="shared" si="3"/>
        <v>0</v>
      </c>
      <c r="CD12" s="28">
        <v>0</v>
      </c>
      <c r="CE12" s="28">
        <v>0</v>
      </c>
      <c r="CF12" s="28">
        <v>0</v>
      </c>
      <c r="CG12" s="28">
        <v>0</v>
      </c>
      <c r="CH12" s="28">
        <f t="shared" si="4"/>
        <v>0</v>
      </c>
      <c r="CI12" s="28">
        <v>0</v>
      </c>
      <c r="CJ12" s="28">
        <v>0</v>
      </c>
      <c r="CK12" s="28">
        <v>0</v>
      </c>
      <c r="CL12" s="28">
        <v>0</v>
      </c>
      <c r="CM12" s="28">
        <f t="shared" si="5"/>
        <v>0</v>
      </c>
      <c r="CN12" s="28">
        <v>0</v>
      </c>
      <c r="CO12" s="28">
        <v>0</v>
      </c>
      <c r="CP12" s="28">
        <v>0</v>
      </c>
      <c r="CQ12" s="28">
        <v>0</v>
      </c>
      <c r="CR12" s="28">
        <f t="shared" si="6"/>
        <v>0</v>
      </c>
      <c r="CS12" s="28">
        <v>0</v>
      </c>
      <c r="CT12" s="28">
        <v>0</v>
      </c>
      <c r="CU12" s="28">
        <v>0</v>
      </c>
      <c r="CV12" s="28">
        <v>0</v>
      </c>
      <c r="CW12" s="28">
        <f t="shared" si="7"/>
        <v>0</v>
      </c>
      <c r="CX12" s="28">
        <v>0</v>
      </c>
      <c r="CY12" s="28">
        <v>0</v>
      </c>
      <c r="CZ12" s="28">
        <v>0</v>
      </c>
      <c r="DA12" s="28">
        <v>0</v>
      </c>
      <c r="DB12" s="28">
        <f t="shared" si="8"/>
        <v>0</v>
      </c>
      <c r="DC12" s="28">
        <v>0</v>
      </c>
      <c r="DD12" s="28">
        <v>0</v>
      </c>
      <c r="DE12" s="28">
        <v>0</v>
      </c>
      <c r="DF12" s="28">
        <v>0</v>
      </c>
      <c r="DG12" s="28">
        <f t="shared" si="9"/>
        <v>0</v>
      </c>
      <c r="DH12" s="28">
        <v>1.8660000000000001</v>
      </c>
      <c r="DI12" s="28">
        <v>2.2509999999999999</v>
      </c>
      <c r="DJ12" s="28">
        <v>4.024</v>
      </c>
      <c r="DK12" s="28">
        <v>6.101</v>
      </c>
      <c r="DL12" s="28">
        <f t="shared" si="10"/>
        <v>14.242000000000001</v>
      </c>
      <c r="DM12" s="28">
        <v>3.0489999999999999</v>
      </c>
      <c r="DN12" s="28">
        <v>4.0940000000000003</v>
      </c>
      <c r="DO12" s="28">
        <v>2.4529999999999998</v>
      </c>
      <c r="DP12" s="28">
        <v>3.177</v>
      </c>
      <c r="DQ12" s="28">
        <f t="shared" si="11"/>
        <v>12.773</v>
      </c>
      <c r="DR12" s="28">
        <v>3.8330000000000002</v>
      </c>
      <c r="DS12" s="28">
        <v>3.7730000000000001</v>
      </c>
      <c r="DT12" s="28">
        <v>3.242</v>
      </c>
      <c r="DU12" s="28">
        <v>3.8450000000000002</v>
      </c>
      <c r="DV12" s="28">
        <f t="shared" si="12"/>
        <v>14.693</v>
      </c>
      <c r="DW12" s="28">
        <v>3.8620000000000001</v>
      </c>
      <c r="DX12" s="28">
        <v>3.8611172099999997</v>
      </c>
      <c r="DY12" s="28">
        <v>4.1766578499999998</v>
      </c>
      <c r="DZ12" s="28">
        <v>3.8239675000000002</v>
      </c>
      <c r="EA12" s="28">
        <f t="shared" si="13"/>
        <v>15.72374256</v>
      </c>
      <c r="EB12" s="28">
        <v>2.0498282900000002</v>
      </c>
      <c r="EC12" s="28">
        <v>2.69440291</v>
      </c>
      <c r="ED12" s="28">
        <v>3.2559999999999998</v>
      </c>
      <c r="EE12" s="28">
        <v>4.5888910900000006</v>
      </c>
      <c r="EF12" s="28">
        <f t="shared" si="14"/>
        <v>12.589122290000001</v>
      </c>
      <c r="EG12" s="28">
        <v>4.3653550899999995</v>
      </c>
      <c r="EH12" s="28">
        <v>4.8345763399999999</v>
      </c>
      <c r="EI12" s="28">
        <v>4.7517771500000006</v>
      </c>
    </row>
    <row r="13" spans="1:139" ht="15" thickTop="1" x14ac:dyDescent="0.3">
      <c r="A13" s="1" t="s">
        <v>447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7">
        <v>0</v>
      </c>
      <c r="BK13" s="27">
        <v>0</v>
      </c>
      <c r="BL13" s="27">
        <v>0</v>
      </c>
      <c r="BM13" s="27">
        <v>0</v>
      </c>
      <c r="BN13" s="27">
        <f t="shared" si="0"/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f t="shared" si="1"/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f t="shared" si="2"/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f t="shared" si="3"/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f t="shared" si="4"/>
        <v>0</v>
      </c>
      <c r="CI13" s="27">
        <v>0</v>
      </c>
      <c r="CJ13" s="27">
        <v>0</v>
      </c>
      <c r="CK13" s="27">
        <v>0</v>
      </c>
      <c r="CL13" s="27">
        <v>0</v>
      </c>
      <c r="CM13" s="27">
        <f t="shared" si="5"/>
        <v>0</v>
      </c>
      <c r="CN13" s="27">
        <v>0</v>
      </c>
      <c r="CO13" s="27">
        <v>0</v>
      </c>
      <c r="CP13" s="27">
        <v>0</v>
      </c>
      <c r="CQ13" s="27">
        <v>0</v>
      </c>
      <c r="CR13" s="27">
        <f t="shared" si="6"/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f t="shared" si="7"/>
        <v>0</v>
      </c>
      <c r="CX13" s="27">
        <v>0</v>
      </c>
      <c r="CY13" s="27">
        <v>0</v>
      </c>
      <c r="CZ13" s="27">
        <v>0</v>
      </c>
      <c r="DA13" s="27">
        <v>0</v>
      </c>
      <c r="DB13" s="27">
        <f t="shared" si="8"/>
        <v>0</v>
      </c>
      <c r="DC13" s="27">
        <v>0</v>
      </c>
      <c r="DD13" s="27">
        <v>0</v>
      </c>
      <c r="DE13" s="27">
        <v>0</v>
      </c>
      <c r="DF13" s="27">
        <v>0</v>
      </c>
      <c r="DG13" s="27">
        <f t="shared" si="9"/>
        <v>0</v>
      </c>
      <c r="DH13" s="27">
        <v>0</v>
      </c>
      <c r="DI13" s="27">
        <v>0</v>
      </c>
      <c r="DJ13" s="27">
        <v>0</v>
      </c>
      <c r="DK13" s="27">
        <v>0</v>
      </c>
      <c r="DL13" s="27">
        <f t="shared" si="10"/>
        <v>0</v>
      </c>
      <c r="DM13" s="27">
        <v>0</v>
      </c>
      <c r="DN13" s="27">
        <v>0</v>
      </c>
      <c r="DO13" s="27">
        <v>0.63200000000000001</v>
      </c>
      <c r="DP13" s="27">
        <v>5.6379999999999999</v>
      </c>
      <c r="DQ13" s="27">
        <f t="shared" si="11"/>
        <v>6.27</v>
      </c>
      <c r="DR13" s="27">
        <v>5.2750000000000004</v>
      </c>
      <c r="DS13" s="27">
        <v>5.226</v>
      </c>
      <c r="DT13" s="27">
        <v>4.524</v>
      </c>
      <c r="DU13" s="27">
        <v>6.7119999999999997</v>
      </c>
      <c r="DV13" s="27">
        <f t="shared" si="12"/>
        <v>21.737000000000002</v>
      </c>
      <c r="DW13" s="27">
        <v>6.1529999999999996</v>
      </c>
      <c r="DX13" s="27">
        <v>6.3810881000000004</v>
      </c>
      <c r="DY13" s="27">
        <v>6.2576010100000019</v>
      </c>
      <c r="DZ13" s="27">
        <v>5.840799800000001</v>
      </c>
      <c r="EA13" s="27">
        <f t="shared" si="13"/>
        <v>24.632488909999999</v>
      </c>
      <c r="EB13" s="27">
        <v>8.2083353099999989</v>
      </c>
      <c r="EC13" s="27">
        <v>6.9009660000000153E-2</v>
      </c>
      <c r="ED13" s="27">
        <v>6.5970000000000004</v>
      </c>
      <c r="EE13" s="27">
        <v>6.5093834799999986</v>
      </c>
      <c r="EF13" s="27">
        <f t="shared" si="14"/>
        <v>21.38372845</v>
      </c>
      <c r="EG13" s="27">
        <v>4.6218709499999999</v>
      </c>
      <c r="EH13" s="27">
        <v>5.6175553699999998</v>
      </c>
      <c r="EI13" s="27">
        <v>5.5639188799999992</v>
      </c>
    </row>
    <row r="14" spans="1:139" ht="15" thickBot="1" x14ac:dyDescent="0.35">
      <c r="A14" s="2" t="s">
        <v>448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28">
        <v>0</v>
      </c>
      <c r="BK14" s="28">
        <v>0</v>
      </c>
      <c r="BL14" s="28">
        <v>0</v>
      </c>
      <c r="BM14" s="28">
        <v>0</v>
      </c>
      <c r="BN14" s="28">
        <f t="shared" si="0"/>
        <v>0</v>
      </c>
      <c r="BO14" s="28">
        <v>0</v>
      </c>
      <c r="BP14" s="28">
        <v>0</v>
      </c>
      <c r="BQ14" s="28">
        <v>0</v>
      </c>
      <c r="BR14" s="28">
        <v>0</v>
      </c>
      <c r="BS14" s="28">
        <f t="shared" si="1"/>
        <v>0</v>
      </c>
      <c r="BT14" s="28">
        <v>0</v>
      </c>
      <c r="BU14" s="28">
        <v>0</v>
      </c>
      <c r="BV14" s="28">
        <v>0</v>
      </c>
      <c r="BW14" s="28">
        <v>0</v>
      </c>
      <c r="BX14" s="28">
        <f t="shared" si="2"/>
        <v>0</v>
      </c>
      <c r="BY14" s="28">
        <v>0</v>
      </c>
      <c r="BZ14" s="28">
        <v>0</v>
      </c>
      <c r="CA14" s="28">
        <v>0</v>
      </c>
      <c r="CB14" s="28">
        <v>0</v>
      </c>
      <c r="CC14" s="28">
        <f t="shared" si="3"/>
        <v>0</v>
      </c>
      <c r="CD14" s="28">
        <v>0</v>
      </c>
      <c r="CE14" s="28">
        <v>0</v>
      </c>
      <c r="CF14" s="28">
        <v>0</v>
      </c>
      <c r="CG14" s="28">
        <v>0</v>
      </c>
      <c r="CH14" s="28">
        <f t="shared" si="4"/>
        <v>0</v>
      </c>
      <c r="CI14" s="28">
        <v>0</v>
      </c>
      <c r="CJ14" s="28">
        <v>0</v>
      </c>
      <c r="CK14" s="28">
        <v>0</v>
      </c>
      <c r="CL14" s="28">
        <v>0</v>
      </c>
      <c r="CM14" s="28">
        <f t="shared" si="5"/>
        <v>0</v>
      </c>
      <c r="CN14" s="28">
        <v>0</v>
      </c>
      <c r="CO14" s="28">
        <v>0</v>
      </c>
      <c r="CP14" s="28">
        <v>0</v>
      </c>
      <c r="CQ14" s="28">
        <v>0</v>
      </c>
      <c r="CR14" s="28">
        <f t="shared" si="6"/>
        <v>0</v>
      </c>
      <c r="CS14" s="28">
        <v>0</v>
      </c>
      <c r="CT14" s="28">
        <v>0</v>
      </c>
      <c r="CU14" s="28">
        <v>0</v>
      </c>
      <c r="CV14" s="28">
        <v>0</v>
      </c>
      <c r="CW14" s="28">
        <f t="shared" si="7"/>
        <v>0</v>
      </c>
      <c r="CX14" s="28">
        <v>0</v>
      </c>
      <c r="CY14" s="28">
        <v>0</v>
      </c>
      <c r="CZ14" s="28">
        <v>0</v>
      </c>
      <c r="DA14" s="28">
        <v>0</v>
      </c>
      <c r="DB14" s="28">
        <f t="shared" si="8"/>
        <v>0</v>
      </c>
      <c r="DC14" s="28">
        <v>0</v>
      </c>
      <c r="DD14" s="28">
        <v>0</v>
      </c>
      <c r="DE14" s="28">
        <v>0</v>
      </c>
      <c r="DF14" s="28">
        <v>0</v>
      </c>
      <c r="DG14" s="28">
        <f t="shared" si="9"/>
        <v>0</v>
      </c>
      <c r="DH14" s="28">
        <v>0</v>
      </c>
      <c r="DI14" s="28">
        <v>0</v>
      </c>
      <c r="DJ14" s="28">
        <v>0</v>
      </c>
      <c r="DK14" s="28">
        <v>0</v>
      </c>
      <c r="DL14" s="28">
        <f t="shared" si="10"/>
        <v>0</v>
      </c>
      <c r="DM14" s="28">
        <v>0</v>
      </c>
      <c r="DN14" s="28">
        <v>0</v>
      </c>
      <c r="DO14" s="28">
        <v>0</v>
      </c>
      <c r="DP14" s="28">
        <v>0</v>
      </c>
      <c r="DQ14" s="28">
        <f t="shared" si="11"/>
        <v>0</v>
      </c>
      <c r="DR14" s="28">
        <v>0</v>
      </c>
      <c r="DS14" s="28">
        <v>0</v>
      </c>
      <c r="DT14" s="28">
        <v>0.50700000000000001</v>
      </c>
      <c r="DU14" s="28">
        <v>8.3450000000000006</v>
      </c>
      <c r="DV14" s="28">
        <f t="shared" si="12"/>
        <v>8.8520000000000003</v>
      </c>
      <c r="DW14" s="28">
        <v>8.1609999999999996</v>
      </c>
      <c r="DX14" s="28">
        <v>8.6885224499999989</v>
      </c>
      <c r="DY14" s="28">
        <v>10.220555899999999</v>
      </c>
      <c r="DZ14" s="28">
        <v>9.7044483599999989</v>
      </c>
      <c r="EA14" s="28">
        <f t="shared" si="13"/>
        <v>36.774526709999996</v>
      </c>
      <c r="EB14" s="28">
        <v>5.2849402400000001</v>
      </c>
      <c r="EC14" s="28">
        <v>6.5953356199999993</v>
      </c>
      <c r="ED14" s="28">
        <v>14.035</v>
      </c>
      <c r="EE14" s="28">
        <v>15.017327170000002</v>
      </c>
      <c r="EF14" s="28">
        <f t="shared" si="14"/>
        <v>40.932603030000003</v>
      </c>
      <c r="EG14" s="28">
        <v>10.693165050000001</v>
      </c>
      <c r="EH14" s="28">
        <v>8.8108204499999996</v>
      </c>
      <c r="EI14" s="28">
        <v>9.6509037499999994</v>
      </c>
    </row>
    <row r="15" spans="1:139" ht="15" thickTop="1" x14ac:dyDescent="0.3">
      <c r="A15" s="1" t="s">
        <v>449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0</v>
      </c>
      <c r="CZ15" s="27">
        <v>0</v>
      </c>
      <c r="DA15" s="27">
        <v>0</v>
      </c>
      <c r="DB15" s="27">
        <v>0</v>
      </c>
      <c r="DC15" s="27">
        <v>0</v>
      </c>
      <c r="DD15" s="27">
        <v>0</v>
      </c>
      <c r="DE15" s="27">
        <v>0</v>
      </c>
      <c r="DF15" s="27">
        <v>0</v>
      </c>
      <c r="DG15" s="27">
        <v>0</v>
      </c>
      <c r="DH15" s="27">
        <v>0</v>
      </c>
      <c r="DI15" s="27">
        <v>0</v>
      </c>
      <c r="DJ15" s="27">
        <v>0</v>
      </c>
      <c r="DK15" s="27">
        <v>0</v>
      </c>
      <c r="DL15" s="27">
        <v>0</v>
      </c>
      <c r="DM15" s="27">
        <v>0</v>
      </c>
      <c r="DN15" s="27">
        <v>0</v>
      </c>
      <c r="DO15" s="27">
        <v>0</v>
      </c>
      <c r="DP15" s="27">
        <v>0</v>
      </c>
      <c r="DQ15" s="27">
        <v>0</v>
      </c>
      <c r="DR15" s="27">
        <v>0</v>
      </c>
      <c r="DS15" s="27">
        <v>0</v>
      </c>
      <c r="DT15" s="27">
        <v>0</v>
      </c>
      <c r="DU15" s="27">
        <v>0</v>
      </c>
      <c r="DV15" s="27">
        <v>0</v>
      </c>
      <c r="DW15" s="27">
        <v>0</v>
      </c>
      <c r="DX15" s="27">
        <v>1.5175485100000001</v>
      </c>
      <c r="DY15" s="27">
        <v>6.9256005800000002</v>
      </c>
      <c r="DZ15" s="27">
        <v>8.4175257300000013</v>
      </c>
      <c r="EA15" s="27">
        <f t="shared" si="13"/>
        <v>16.86067482</v>
      </c>
      <c r="EB15" s="27">
        <v>5.8036952099999999</v>
      </c>
      <c r="EC15" s="27">
        <v>5.189402180000001</v>
      </c>
      <c r="ED15" s="27">
        <v>8.532</v>
      </c>
      <c r="EE15" s="27">
        <v>9.0797615099999973</v>
      </c>
      <c r="EF15" s="27">
        <f t="shared" si="14"/>
        <v>28.604858899999996</v>
      </c>
      <c r="EG15" s="27">
        <v>5.8399560599999996</v>
      </c>
      <c r="EH15" s="27">
        <v>6.7227021300000001</v>
      </c>
      <c r="EI15" s="27">
        <v>7.0495612700000017</v>
      </c>
    </row>
    <row r="16" spans="1:139" ht="15" thickBot="1" x14ac:dyDescent="0.35">
      <c r="A16" s="2" t="s">
        <v>460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>
        <v>0</v>
      </c>
      <c r="EH16" s="28">
        <v>4.7958713200000007</v>
      </c>
      <c r="EI16" s="28">
        <v>6.4204804499999995</v>
      </c>
    </row>
    <row r="17" spans="1:139" ht="15" thickTop="1" x14ac:dyDescent="0.3">
      <c r="A17" s="1" t="s">
        <v>304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27">
        <v>0</v>
      </c>
      <c r="BK17" s="27">
        <v>0</v>
      </c>
      <c r="BL17" s="27">
        <v>0</v>
      </c>
      <c r="BM17" s="27">
        <v>0</v>
      </c>
      <c r="BN17" s="27">
        <f t="shared" si="0"/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f t="shared" si="1"/>
        <v>0</v>
      </c>
      <c r="BT17" s="27">
        <v>0</v>
      </c>
      <c r="BU17" s="27">
        <v>0</v>
      </c>
      <c r="BV17" s="27">
        <v>0</v>
      </c>
      <c r="BW17" s="27">
        <v>105.944182375</v>
      </c>
      <c r="BX17" s="27">
        <f t="shared" si="2"/>
        <v>105.944182375</v>
      </c>
      <c r="BY17" s="27">
        <v>40.14584528999999</v>
      </c>
      <c r="BZ17" s="27">
        <v>37.149236569999999</v>
      </c>
      <c r="CA17" s="27">
        <v>45.126130789999984</v>
      </c>
      <c r="CB17" s="27">
        <v>51.482395189999991</v>
      </c>
      <c r="CC17" s="27">
        <f t="shared" si="3"/>
        <v>173.90360783999995</v>
      </c>
      <c r="CD17" s="27">
        <v>40.070829209999999</v>
      </c>
      <c r="CE17" s="27">
        <v>38.137295719999997</v>
      </c>
      <c r="CF17" s="27">
        <v>40.544740530000006</v>
      </c>
      <c r="CG17" s="27">
        <v>35.422268009999996</v>
      </c>
      <c r="CH17" s="27">
        <f t="shared" si="4"/>
        <v>154.17513346999999</v>
      </c>
      <c r="CI17" s="27">
        <v>40.186535289999995</v>
      </c>
      <c r="CJ17" s="27">
        <v>38.878241980000006</v>
      </c>
      <c r="CK17" s="27">
        <v>39.89507236</v>
      </c>
      <c r="CL17" s="27">
        <v>38.438322140000004</v>
      </c>
      <c r="CM17" s="27">
        <f t="shared" si="5"/>
        <v>157.39817177</v>
      </c>
      <c r="CN17" s="27">
        <v>38.191010280000008</v>
      </c>
      <c r="CO17" s="27">
        <v>48.172194089999998</v>
      </c>
      <c r="CP17" s="27">
        <v>47.621250770000003</v>
      </c>
      <c r="CQ17" s="27">
        <f>67.025-SUM(CN17:CP17)</f>
        <v>-66.959455140000017</v>
      </c>
      <c r="CR17" s="27">
        <f t="shared" si="6"/>
        <v>67.025000000000006</v>
      </c>
      <c r="CS17" s="27">
        <v>8.4139999999999997</v>
      </c>
      <c r="CT17" s="27">
        <f>20.14-CS17</f>
        <v>11.726000000000001</v>
      </c>
      <c r="CU17" s="27">
        <f>32.334-SUM(CS17:CT17)</f>
        <v>12.194000000000003</v>
      </c>
      <c r="CV17" s="27">
        <f>46.123-SUM(CS17:CU17)</f>
        <v>13.788999999999994</v>
      </c>
      <c r="CW17" s="27">
        <f t="shared" si="7"/>
        <v>46.122999999999998</v>
      </c>
      <c r="CX17" s="27">
        <v>9.8049999999999997</v>
      </c>
      <c r="CY17" s="27">
        <v>10.132999999999999</v>
      </c>
      <c r="CZ17" s="27">
        <v>10.39</v>
      </c>
      <c r="DA17" s="27">
        <v>8.6620000000000008</v>
      </c>
      <c r="DB17" s="27">
        <f t="shared" si="8"/>
        <v>38.99</v>
      </c>
      <c r="DC17" s="27">
        <v>9.2140000000000004</v>
      </c>
      <c r="DD17" s="27">
        <v>9.3940000000000001</v>
      </c>
      <c r="DE17" s="27">
        <v>11.183</v>
      </c>
      <c r="DF17" s="27">
        <v>23.164999999999999</v>
      </c>
      <c r="DG17" s="27">
        <f t="shared" si="9"/>
        <v>52.956000000000003</v>
      </c>
      <c r="DH17" s="27">
        <v>12.586</v>
      </c>
      <c r="DI17" s="27">
        <v>10.704000000000001</v>
      </c>
      <c r="DJ17" s="27">
        <v>11.019</v>
      </c>
      <c r="DK17" s="27">
        <v>15.583</v>
      </c>
      <c r="DL17" s="27">
        <f t="shared" si="10"/>
        <v>49.891999999999996</v>
      </c>
      <c r="DM17" s="27">
        <v>9.984</v>
      </c>
      <c r="DN17" s="27">
        <v>12.167999999999999</v>
      </c>
      <c r="DO17" s="27">
        <v>11.779</v>
      </c>
      <c r="DP17" s="27">
        <v>9.0449999999999999</v>
      </c>
      <c r="DQ17" s="27">
        <f t="shared" si="11"/>
        <v>42.975999999999999</v>
      </c>
      <c r="DR17" s="27">
        <v>12.754</v>
      </c>
      <c r="DS17" s="27">
        <v>13.9</v>
      </c>
      <c r="DT17" s="27">
        <v>10.38</v>
      </c>
      <c r="DU17" s="27">
        <v>17.244</v>
      </c>
      <c r="DV17" s="27">
        <f t="shared" si="12"/>
        <v>54.277999999999999</v>
      </c>
      <c r="DW17" s="27">
        <v>12.67</v>
      </c>
      <c r="DX17" s="27">
        <v>13.2531567</v>
      </c>
      <c r="DY17" s="27">
        <f>(10122769.64+2247497.54)/1000000</f>
        <v>12.370267179999999</v>
      </c>
      <c r="DZ17" s="27">
        <v>13.39983685</v>
      </c>
      <c r="EA17" s="27">
        <f t="shared" ref="EA17:EA25" si="15">SUM(DW17:DZ17)</f>
        <v>51.693260729999999</v>
      </c>
      <c r="EB17" s="27">
        <f>(13815921.53+1264359.77)/1000000</f>
        <v>15.080281299999999</v>
      </c>
      <c r="EC17" s="27">
        <v>9.7105391000000001</v>
      </c>
      <c r="ED17" s="27">
        <v>20.135000000000002</v>
      </c>
      <c r="EE17" s="27">
        <v>19.048657770000002</v>
      </c>
      <c r="EF17" s="27">
        <f t="shared" ref="EF17:EF25" si="16">SUM(EB17:EE17)</f>
        <v>63.974478170000012</v>
      </c>
      <c r="EG17" s="27">
        <v>14.44423774</v>
      </c>
      <c r="EH17" s="27">
        <v>14.259589169999998</v>
      </c>
      <c r="EI17" s="27">
        <v>12.470040640000002</v>
      </c>
    </row>
    <row r="18" spans="1:139" ht="15" thickBot="1" x14ac:dyDescent="0.35">
      <c r="A18" s="2" t="s">
        <v>305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f t="shared" si="8"/>
        <v>0</v>
      </c>
      <c r="DC18" s="28">
        <v>1.1990000000000001</v>
      </c>
      <c r="DD18" s="28">
        <v>1.0569999999999999</v>
      </c>
      <c r="DE18" s="28">
        <v>1.214</v>
      </c>
      <c r="DF18" s="28">
        <v>1.044</v>
      </c>
      <c r="DG18" s="28">
        <f t="shared" si="9"/>
        <v>4.5140000000000002</v>
      </c>
      <c r="DH18" s="28">
        <v>1</v>
      </c>
      <c r="DI18" s="28">
        <v>2.2000000000000002</v>
      </c>
      <c r="DJ18" s="28">
        <v>2.2130000000000001</v>
      </c>
      <c r="DK18" s="28">
        <v>1.66</v>
      </c>
      <c r="DL18" s="28">
        <f t="shared" si="10"/>
        <v>7.0730000000000004</v>
      </c>
      <c r="DM18" s="28">
        <v>1.512</v>
      </c>
      <c r="DN18" s="28">
        <v>1.8720000000000001</v>
      </c>
      <c r="DO18" s="28">
        <v>1.4259999999999999</v>
      </c>
      <c r="DP18" s="28">
        <v>1.4350000000000001</v>
      </c>
      <c r="DQ18" s="28">
        <f t="shared" si="11"/>
        <v>6.245000000000001</v>
      </c>
      <c r="DR18" s="28">
        <v>1.1000000000000001</v>
      </c>
      <c r="DS18" s="28">
        <v>1.4470000000000001</v>
      </c>
      <c r="DT18" s="28">
        <v>0.93400000000000005</v>
      </c>
      <c r="DU18" s="28">
        <v>1.2589999999999999</v>
      </c>
      <c r="DV18" s="28">
        <f t="shared" si="12"/>
        <v>4.74</v>
      </c>
      <c r="DW18" s="28">
        <v>1.377</v>
      </c>
      <c r="DX18" s="28">
        <v>1.2877997700000001</v>
      </c>
      <c r="DY18" s="28">
        <v>1.6848035100000003</v>
      </c>
      <c r="DZ18" s="28">
        <v>1.9051658200000003</v>
      </c>
      <c r="EA18" s="28">
        <f t="shared" si="15"/>
        <v>6.2547691000000007</v>
      </c>
      <c r="EB18" s="28">
        <v>2.0102388499999999</v>
      </c>
      <c r="EC18" s="28">
        <v>2.2018204700000004</v>
      </c>
      <c r="ED18" s="28">
        <v>2.2999999999999998</v>
      </c>
      <c r="EE18" s="28">
        <v>2.1009871200000001</v>
      </c>
      <c r="EF18" s="28">
        <f t="shared" si="16"/>
        <v>8.6130464399999997</v>
      </c>
      <c r="EG18" s="28">
        <v>1.6536809699999999</v>
      </c>
      <c r="EH18" s="28">
        <v>1.99284949</v>
      </c>
      <c r="EI18" s="28">
        <v>1.9023634500000002</v>
      </c>
    </row>
    <row r="19" spans="1:139" ht="15" thickTop="1" x14ac:dyDescent="0.3">
      <c r="A19" s="1" t="s">
        <v>306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27">
        <v>0</v>
      </c>
      <c r="BK19" s="27">
        <v>0</v>
      </c>
      <c r="BL19" s="27">
        <v>0</v>
      </c>
      <c r="BM19" s="27">
        <v>0</v>
      </c>
      <c r="BN19" s="27">
        <f t="shared" si="0"/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f t="shared" si="1"/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f t="shared" si="2"/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f t="shared" si="3"/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f t="shared" si="4"/>
        <v>0</v>
      </c>
      <c r="CI19" s="27">
        <v>0</v>
      </c>
      <c r="CJ19" s="27">
        <v>11.728030800000001</v>
      </c>
      <c r="CK19" s="27">
        <v>9.2321737000000006</v>
      </c>
      <c r="CL19" s="27">
        <v>8.4310018899999974</v>
      </c>
      <c r="CM19" s="27">
        <f t="shared" si="5"/>
        <v>29.391206390000001</v>
      </c>
      <c r="CN19" s="27">
        <v>4.9258542699999994</v>
      </c>
      <c r="CO19" s="27">
        <v>7.0557901499999991</v>
      </c>
      <c r="CP19" s="27">
        <v>12.677664870000003</v>
      </c>
      <c r="CQ19" s="27">
        <f>43.841-SUM(CN19:CP19)</f>
        <v>19.181690709999998</v>
      </c>
      <c r="CR19" s="27">
        <f t="shared" si="6"/>
        <v>43.841000000000001</v>
      </c>
      <c r="CS19" s="27">
        <v>16.821000000000002</v>
      </c>
      <c r="CT19" s="27">
        <f>34.152-CS19</f>
        <v>17.331</v>
      </c>
      <c r="CU19" s="27">
        <f>52.748-SUM(CS19:CT19)</f>
        <v>18.595999999999997</v>
      </c>
      <c r="CV19" s="27">
        <f>75.511-SUM(CS19:CU19)</f>
        <v>22.762999999999998</v>
      </c>
      <c r="CW19" s="27">
        <f t="shared" si="7"/>
        <v>75.510999999999996</v>
      </c>
      <c r="CX19" s="27">
        <v>12.266999999999999</v>
      </c>
      <c r="CY19" s="27">
        <v>11.832000000000001</v>
      </c>
      <c r="CZ19" s="27">
        <v>12.403</v>
      </c>
      <c r="DA19" s="27">
        <v>22.532</v>
      </c>
      <c r="DB19" s="27">
        <f t="shared" si="8"/>
        <v>59.034000000000006</v>
      </c>
      <c r="DC19" s="27">
        <v>14.231999999999999</v>
      </c>
      <c r="DD19" s="27">
        <v>16.776</v>
      </c>
      <c r="DE19" s="27">
        <v>18.251999999999999</v>
      </c>
      <c r="DF19" s="27">
        <v>19.757999999999999</v>
      </c>
      <c r="DG19" s="27">
        <f t="shared" si="9"/>
        <v>69.018000000000001</v>
      </c>
      <c r="DH19" s="27">
        <v>18.628</v>
      </c>
      <c r="DI19" s="27">
        <v>17.733000000000001</v>
      </c>
      <c r="DJ19" s="27">
        <v>19.263999999999999</v>
      </c>
      <c r="DK19" s="27">
        <v>17.582999999999998</v>
      </c>
      <c r="DL19" s="27">
        <f t="shared" si="10"/>
        <v>73.207999999999998</v>
      </c>
      <c r="DM19" s="27">
        <v>14.951000000000001</v>
      </c>
      <c r="DN19" s="27">
        <v>11.632</v>
      </c>
      <c r="DO19" s="27">
        <v>22.234000000000002</v>
      </c>
      <c r="DP19" s="27">
        <v>33.084000000000003</v>
      </c>
      <c r="DQ19" s="27">
        <f t="shared" si="11"/>
        <v>81.90100000000001</v>
      </c>
      <c r="DR19" s="27">
        <v>18.565000000000001</v>
      </c>
      <c r="DS19" s="27">
        <v>20.030999999999999</v>
      </c>
      <c r="DT19" s="27">
        <v>19.696999999999999</v>
      </c>
      <c r="DU19" s="27">
        <v>33.686999999999998</v>
      </c>
      <c r="DV19" s="27">
        <f t="shared" si="12"/>
        <v>91.98</v>
      </c>
      <c r="DW19" s="27">
        <v>18.748999999999999</v>
      </c>
      <c r="DX19" s="27">
        <v>8.6570661600000012</v>
      </c>
      <c r="DY19" s="27">
        <v>15.894393989999998</v>
      </c>
      <c r="DZ19" s="27">
        <v>18.019485550000006</v>
      </c>
      <c r="EA19" s="27">
        <f t="shared" si="15"/>
        <v>61.319945700000005</v>
      </c>
      <c r="EB19" s="27">
        <v>17.196060030000002</v>
      </c>
      <c r="EC19" s="27">
        <v>14.797410919999997</v>
      </c>
      <c r="ED19" s="27">
        <v>19.138999999999999</v>
      </c>
      <c r="EE19" s="27">
        <v>21.856277660000003</v>
      </c>
      <c r="EF19" s="27">
        <f t="shared" si="16"/>
        <v>72.988748610000002</v>
      </c>
      <c r="EG19" s="27">
        <v>16.464147570000002</v>
      </c>
      <c r="EH19" s="27">
        <v>14.864705219999999</v>
      </c>
      <c r="EI19" s="27">
        <v>17.75673746</v>
      </c>
    </row>
    <row r="20" spans="1:139" ht="15" thickBot="1" x14ac:dyDescent="0.35">
      <c r="A20" s="2" t="s">
        <v>323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28">
        <v>0</v>
      </c>
      <c r="BK20" s="28">
        <v>0</v>
      </c>
      <c r="BL20" s="28">
        <v>0</v>
      </c>
      <c r="BM20" s="28">
        <v>0</v>
      </c>
      <c r="BN20" s="28">
        <f t="shared" si="0"/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f t="shared" si="1"/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f t="shared" si="2"/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f t="shared" si="3"/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f t="shared" si="4"/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f t="shared" si="5"/>
        <v>0</v>
      </c>
      <c r="CN20" s="28">
        <v>0</v>
      </c>
      <c r="CO20" s="28">
        <v>0</v>
      </c>
      <c r="CP20" s="28">
        <v>0</v>
      </c>
      <c r="CQ20" s="28">
        <v>0</v>
      </c>
      <c r="CR20" s="28">
        <f t="shared" si="6"/>
        <v>0</v>
      </c>
      <c r="CS20" s="28">
        <v>0</v>
      </c>
      <c r="CT20" s="28">
        <v>0</v>
      </c>
      <c r="CU20" s="28">
        <v>0</v>
      </c>
      <c r="CV20" s="28">
        <v>0</v>
      </c>
      <c r="CW20" s="28">
        <f t="shared" si="7"/>
        <v>0</v>
      </c>
      <c r="CX20" s="28">
        <v>0</v>
      </c>
      <c r="CY20" s="28">
        <v>0</v>
      </c>
      <c r="CZ20" s="28">
        <v>0</v>
      </c>
      <c r="DA20" s="28">
        <v>0</v>
      </c>
      <c r="DB20" s="28">
        <f t="shared" si="8"/>
        <v>0</v>
      </c>
      <c r="DC20" s="28">
        <v>0</v>
      </c>
      <c r="DD20" s="28">
        <v>0</v>
      </c>
      <c r="DE20" s="28"/>
      <c r="DF20" s="28">
        <v>0</v>
      </c>
      <c r="DG20" s="28">
        <f t="shared" si="9"/>
        <v>0</v>
      </c>
      <c r="DH20" s="28">
        <f t="shared" si="9"/>
        <v>0</v>
      </c>
      <c r="DI20" s="28">
        <v>2.3E-2</v>
      </c>
      <c r="DJ20" s="28">
        <v>-5.0000000000000001E-3</v>
      </c>
      <c r="DK20" s="28">
        <v>0</v>
      </c>
      <c r="DL20" s="28">
        <f t="shared" si="10"/>
        <v>1.7999999999999999E-2</v>
      </c>
      <c r="DM20" s="28">
        <v>1.4E-2</v>
      </c>
      <c r="DN20" s="28">
        <v>4.0000000000000001E-3</v>
      </c>
      <c r="DO20" s="28">
        <v>5.0000000000000001E-3</v>
      </c>
      <c r="DP20" s="28">
        <v>-4.2999999999999997E-2</v>
      </c>
      <c r="DQ20" s="28">
        <f t="shared" si="11"/>
        <v>-1.9999999999999993E-2</v>
      </c>
      <c r="DR20" s="28">
        <v>0.01</v>
      </c>
      <c r="DS20" s="28">
        <v>3.0000000000000001E-3</v>
      </c>
      <c r="DT20" s="28">
        <v>5.0000000000000001E-3</v>
      </c>
      <c r="DU20" s="28">
        <v>0</v>
      </c>
      <c r="DV20" s="28">
        <f t="shared" si="12"/>
        <v>1.8000000000000002E-2</v>
      </c>
      <c r="DW20" s="28">
        <v>7.0000000000000001E-3</v>
      </c>
      <c r="DX20" s="28">
        <v>2.2400000000000002E-3</v>
      </c>
      <c r="DY20" s="28">
        <v>2.8200400000000011E-3</v>
      </c>
      <c r="DZ20" s="28">
        <v>5.6647499999999996E-3</v>
      </c>
      <c r="EA20" s="28">
        <f t="shared" si="15"/>
        <v>1.7724790000000001E-2</v>
      </c>
      <c r="EB20" s="28">
        <v>1.31545E-2</v>
      </c>
      <c r="EC20" s="28">
        <v>0</v>
      </c>
      <c r="ED20" s="28">
        <v>0</v>
      </c>
      <c r="EE20" s="28">
        <v>2.32825E-3</v>
      </c>
      <c r="EF20" s="28">
        <f t="shared" si="16"/>
        <v>1.548275E-2</v>
      </c>
      <c r="EG20" s="28">
        <v>1.0723999999999999E-2</v>
      </c>
      <c r="EH20" s="28">
        <v>8.9326300000000004E-3</v>
      </c>
      <c r="EI20" s="28">
        <v>0</v>
      </c>
    </row>
    <row r="21" spans="1:139" ht="15" thickTop="1" x14ac:dyDescent="0.3">
      <c r="A21" s="1" t="s">
        <v>322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27">
        <v>0</v>
      </c>
      <c r="BK21" s="27">
        <v>0</v>
      </c>
      <c r="BL21" s="27">
        <v>0</v>
      </c>
      <c r="BM21" s="27">
        <v>0</v>
      </c>
      <c r="BN21" s="27">
        <f t="shared" si="0"/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f t="shared" si="1"/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f t="shared" si="2"/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f t="shared" si="3"/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f t="shared" si="4"/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f t="shared" si="5"/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f t="shared" si="6"/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f t="shared" si="7"/>
        <v>0</v>
      </c>
      <c r="CX21" s="27">
        <v>0</v>
      </c>
      <c r="CY21" s="27">
        <v>0</v>
      </c>
      <c r="CZ21" s="27">
        <v>0</v>
      </c>
      <c r="DA21" s="27">
        <v>0</v>
      </c>
      <c r="DB21" s="27">
        <f t="shared" si="8"/>
        <v>0</v>
      </c>
      <c r="DC21" s="27">
        <v>0</v>
      </c>
      <c r="DD21" s="27">
        <v>0</v>
      </c>
      <c r="DE21" s="27"/>
      <c r="DF21" s="27"/>
      <c r="DG21" s="27">
        <f t="shared" si="9"/>
        <v>0</v>
      </c>
      <c r="DH21" s="27">
        <f t="shared" si="9"/>
        <v>0</v>
      </c>
      <c r="DI21" s="27">
        <v>0</v>
      </c>
      <c r="DJ21" s="27">
        <v>0</v>
      </c>
      <c r="DK21" s="27">
        <v>0</v>
      </c>
      <c r="DL21" s="27">
        <f t="shared" si="10"/>
        <v>0</v>
      </c>
      <c r="DM21" s="27">
        <f>SUM(DI21:DL21)</f>
        <v>0</v>
      </c>
      <c r="DN21" s="27">
        <f>SUM(DJ21:DM21)</f>
        <v>0</v>
      </c>
      <c r="DO21" s="27">
        <v>0.28399999999999997</v>
      </c>
      <c r="DP21" s="27">
        <v>0.61799999999999999</v>
      </c>
      <c r="DQ21" s="27">
        <f t="shared" si="11"/>
        <v>0.90199999999999991</v>
      </c>
      <c r="DR21" s="27">
        <v>0.38700000000000001</v>
      </c>
      <c r="DS21" s="27">
        <v>0.23400000000000001</v>
      </c>
      <c r="DT21" s="27">
        <v>0.17299999999999999</v>
      </c>
      <c r="DU21" s="27">
        <v>0.187</v>
      </c>
      <c r="DV21" s="27">
        <f t="shared" si="12"/>
        <v>0.98100000000000009</v>
      </c>
      <c r="DW21" s="27">
        <v>0.22</v>
      </c>
      <c r="DX21" s="27">
        <v>0.21192511999999999</v>
      </c>
      <c r="DY21" s="27">
        <v>0.19152461000000004</v>
      </c>
      <c r="DZ21" s="27">
        <v>0.19016935999999998</v>
      </c>
      <c r="EA21" s="27">
        <f t="shared" si="15"/>
        <v>0.81361908999999999</v>
      </c>
      <c r="EB21" s="27">
        <v>0.23195170000000001</v>
      </c>
      <c r="EC21" s="27">
        <v>0.22861464999999997</v>
      </c>
      <c r="ED21" s="27">
        <v>0.20799999999999999</v>
      </c>
      <c r="EE21" s="27">
        <v>0.21820985999999998</v>
      </c>
      <c r="EF21" s="27">
        <f t="shared" si="16"/>
        <v>0.88677620999999995</v>
      </c>
      <c r="EG21" s="27">
        <v>0.22522325000000001</v>
      </c>
      <c r="EH21" s="27">
        <v>0.22239879999999998</v>
      </c>
      <c r="EI21" s="27">
        <v>-0.16684362</v>
      </c>
    </row>
    <row r="22" spans="1:139" ht="15" thickBot="1" x14ac:dyDescent="0.35">
      <c r="A22" s="2" t="s">
        <v>370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28">
        <v>1.0985873100000001</v>
      </c>
      <c r="BK22" s="28">
        <v>1.4506887399999999</v>
      </c>
      <c r="BL22" s="28">
        <v>5.763072880000002</v>
      </c>
      <c r="BM22" s="28">
        <v>3.8988040100000001</v>
      </c>
      <c r="BN22" s="28">
        <f t="shared" si="0"/>
        <v>12.211152940000002</v>
      </c>
      <c r="BO22" s="28">
        <v>3.3003722299999998</v>
      </c>
      <c r="BP22" s="28">
        <v>21.082164299999995</v>
      </c>
      <c r="BQ22" s="28">
        <v>16.379298110000001</v>
      </c>
      <c r="BR22" s="28">
        <v>27.632298859999992</v>
      </c>
      <c r="BS22" s="28">
        <f t="shared" si="1"/>
        <v>68.394133499999981</v>
      </c>
      <c r="BT22" s="28">
        <v>0</v>
      </c>
      <c r="BU22" s="28">
        <v>0</v>
      </c>
      <c r="BV22" s="28">
        <v>0</v>
      </c>
      <c r="BW22" s="28">
        <v>0</v>
      </c>
      <c r="BX22" s="28">
        <f t="shared" si="2"/>
        <v>0</v>
      </c>
      <c r="BY22" s="28">
        <v>0</v>
      </c>
      <c r="BZ22" s="28">
        <v>0</v>
      </c>
      <c r="CA22" s="28">
        <v>0</v>
      </c>
      <c r="CB22" s="28">
        <v>0</v>
      </c>
      <c r="CC22" s="28">
        <f t="shared" si="3"/>
        <v>0</v>
      </c>
      <c r="CD22" s="28">
        <v>0</v>
      </c>
      <c r="CE22" s="28">
        <v>0</v>
      </c>
      <c r="CF22" s="28">
        <v>0</v>
      </c>
      <c r="CG22" s="28">
        <v>0</v>
      </c>
      <c r="CH22" s="28">
        <f t="shared" si="4"/>
        <v>0</v>
      </c>
      <c r="CI22" s="28">
        <v>0</v>
      </c>
      <c r="CJ22" s="28">
        <v>0</v>
      </c>
      <c r="CK22" s="28">
        <v>0</v>
      </c>
      <c r="CL22" s="28">
        <v>0</v>
      </c>
      <c r="CM22" s="28">
        <f t="shared" si="5"/>
        <v>0</v>
      </c>
      <c r="CN22" s="28">
        <v>0</v>
      </c>
      <c r="CO22" s="28">
        <v>0</v>
      </c>
      <c r="CP22" s="28">
        <v>0</v>
      </c>
      <c r="CQ22" s="28">
        <v>0</v>
      </c>
      <c r="CR22" s="28">
        <f t="shared" si="6"/>
        <v>0</v>
      </c>
      <c r="CS22" s="28">
        <v>0</v>
      </c>
      <c r="CT22" s="28">
        <v>0</v>
      </c>
      <c r="CU22" s="28">
        <v>0</v>
      </c>
      <c r="CV22" s="28">
        <v>0</v>
      </c>
      <c r="CW22" s="28">
        <f t="shared" si="7"/>
        <v>0</v>
      </c>
      <c r="CX22" s="28">
        <v>0</v>
      </c>
      <c r="CY22" s="28">
        <v>0</v>
      </c>
      <c r="CZ22" s="28">
        <v>0</v>
      </c>
      <c r="DA22" s="28">
        <v>0</v>
      </c>
      <c r="DB22" s="28">
        <f t="shared" si="8"/>
        <v>0</v>
      </c>
      <c r="DC22" s="28">
        <v>0</v>
      </c>
      <c r="DD22" s="28">
        <v>0</v>
      </c>
      <c r="DE22" s="28"/>
      <c r="DF22" s="28"/>
      <c r="DG22" s="28">
        <f t="shared" si="9"/>
        <v>0</v>
      </c>
      <c r="DH22" s="28">
        <f t="shared" si="9"/>
        <v>0</v>
      </c>
      <c r="DI22" s="28">
        <v>0</v>
      </c>
      <c r="DJ22" s="28">
        <v>0</v>
      </c>
      <c r="DK22" s="28">
        <v>0</v>
      </c>
      <c r="DL22" s="28">
        <f t="shared" si="10"/>
        <v>0</v>
      </c>
      <c r="DM22" s="28">
        <f>SUM(DI22:DL22)</f>
        <v>0</v>
      </c>
      <c r="DN22" s="28">
        <f>SUM(DJ22:DM22)</f>
        <v>0</v>
      </c>
      <c r="DO22" s="28">
        <f>SUM(DK22:DN22)</f>
        <v>0</v>
      </c>
      <c r="DP22" s="28">
        <f>SUM(DL22:DO22)</f>
        <v>0</v>
      </c>
      <c r="DQ22" s="28">
        <f t="shared" si="11"/>
        <v>0</v>
      </c>
      <c r="DR22" s="28">
        <v>0</v>
      </c>
      <c r="DS22" s="28">
        <v>0</v>
      </c>
      <c r="DT22" s="28">
        <v>0</v>
      </c>
      <c r="DU22" s="28">
        <v>0</v>
      </c>
      <c r="DV22" s="28">
        <f t="shared" si="12"/>
        <v>0</v>
      </c>
      <c r="DW22" s="28">
        <v>0</v>
      </c>
      <c r="DX22" s="28">
        <v>0</v>
      </c>
      <c r="DY22" s="28">
        <v>0</v>
      </c>
      <c r="DZ22" s="28">
        <v>0</v>
      </c>
      <c r="EA22" s="28">
        <f t="shared" si="15"/>
        <v>0</v>
      </c>
      <c r="EB22" s="28">
        <v>0</v>
      </c>
      <c r="EC22" s="28">
        <v>0</v>
      </c>
      <c r="ED22" s="28">
        <v>0</v>
      </c>
      <c r="EE22" s="28">
        <v>0</v>
      </c>
      <c r="EF22" s="28">
        <f t="shared" si="16"/>
        <v>0</v>
      </c>
      <c r="EG22" s="28">
        <v>0</v>
      </c>
      <c r="EH22" s="28">
        <v>0</v>
      </c>
      <c r="EI22" s="28">
        <v>0</v>
      </c>
    </row>
    <row r="23" spans="1:139" ht="15" thickTop="1" x14ac:dyDescent="0.3">
      <c r="A23" s="1" t="s">
        <v>338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27">
        <v>2.1790392300000003</v>
      </c>
      <c r="BK23" s="27">
        <v>1.90190518</v>
      </c>
      <c r="BL23" s="27">
        <v>1.9717600000000002</v>
      </c>
      <c r="BM23" s="27">
        <v>2.28077423</v>
      </c>
      <c r="BN23" s="27">
        <f t="shared" si="0"/>
        <v>8.3334786400000009</v>
      </c>
      <c r="BO23" s="27">
        <v>2.10276226</v>
      </c>
      <c r="BP23" s="27">
        <v>2.1394252200000001</v>
      </c>
      <c r="BQ23" s="27">
        <v>2.8314542</v>
      </c>
      <c r="BR23" s="27">
        <v>5.1272095295359996</v>
      </c>
      <c r="BS23" s="27">
        <f t="shared" si="1"/>
        <v>12.200851209535999</v>
      </c>
      <c r="BT23" s="27">
        <v>0</v>
      </c>
      <c r="BU23" s="27">
        <v>0</v>
      </c>
      <c r="BV23" s="27">
        <v>0</v>
      </c>
      <c r="BW23" s="27">
        <v>0</v>
      </c>
      <c r="BX23" s="27">
        <f t="shared" si="2"/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f t="shared" si="3"/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f t="shared" si="4"/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f t="shared" si="5"/>
        <v>0</v>
      </c>
      <c r="CN23" s="27">
        <v>0</v>
      </c>
      <c r="CO23" s="27">
        <v>0</v>
      </c>
      <c r="CP23" s="27">
        <v>0</v>
      </c>
      <c r="CQ23" s="27">
        <f>1.547-SUM(CN23:CP23)</f>
        <v>1.5469999999999999</v>
      </c>
      <c r="CR23" s="27">
        <f t="shared" si="6"/>
        <v>1.5469999999999999</v>
      </c>
      <c r="CS23" s="27">
        <v>0.374</v>
      </c>
      <c r="CT23" s="27">
        <f>0.722-CS23</f>
        <v>0.34799999999999998</v>
      </c>
      <c r="CU23" s="27">
        <f>1.232-SUM(CS23:CT23)</f>
        <v>0.51</v>
      </c>
      <c r="CV23" s="27">
        <f>1.828-SUM(CS23:CU23)</f>
        <v>0.59600000000000009</v>
      </c>
      <c r="CW23" s="27">
        <f t="shared" si="7"/>
        <v>1.8280000000000001</v>
      </c>
      <c r="CX23" s="27">
        <v>0.42099999999999999</v>
      </c>
      <c r="CY23" s="27">
        <v>0.34799999999999998</v>
      </c>
      <c r="CZ23" s="27">
        <v>0.45200000000000001</v>
      </c>
      <c r="DA23" s="27">
        <f>0.409</f>
        <v>0.40899999999999997</v>
      </c>
      <c r="DB23" s="27">
        <f t="shared" si="8"/>
        <v>1.63</v>
      </c>
      <c r="DC23" s="27">
        <f>0.338+0.112</f>
        <v>0.45</v>
      </c>
      <c r="DD23" s="27">
        <f>0.572+0.1</f>
        <v>0.67199999999999993</v>
      </c>
      <c r="DE23" s="27">
        <f>0.512+0.095</f>
        <v>0.60699999999999998</v>
      </c>
      <c r="DF23" s="27">
        <f>0.572+0.063</f>
        <v>0.63500000000000001</v>
      </c>
      <c r="DG23" s="27">
        <f t="shared" si="9"/>
        <v>2.3639999999999999</v>
      </c>
      <c r="DH23" s="27">
        <f>0.479+0.088</f>
        <v>0.56699999999999995</v>
      </c>
      <c r="DI23" s="27">
        <f>0.357+0.044</f>
        <v>0.40099999999999997</v>
      </c>
      <c r="DJ23" s="27">
        <f>0.543+0.034</f>
        <v>0.57700000000000007</v>
      </c>
      <c r="DK23" s="27">
        <f>-1.211+0.038</f>
        <v>-1.173</v>
      </c>
      <c r="DL23" s="27">
        <f t="shared" si="10"/>
        <v>0.37199999999999989</v>
      </c>
      <c r="DM23" s="27">
        <f>0.325+0.04</f>
        <v>0.36499999999999999</v>
      </c>
      <c r="DN23" s="27">
        <f>0.556+0.071</f>
        <v>0.627</v>
      </c>
      <c r="DO23" s="27">
        <v>0.70799999999999996</v>
      </c>
      <c r="DP23" s="27">
        <f>0.895+0.006</f>
        <v>0.90100000000000002</v>
      </c>
      <c r="DQ23" s="27">
        <f t="shared" si="11"/>
        <v>2.601</v>
      </c>
      <c r="DR23" s="27">
        <f>0.381+0.128</f>
        <v>0.50900000000000001</v>
      </c>
      <c r="DS23" s="27">
        <f>0.392+0.041</f>
        <v>0.433</v>
      </c>
      <c r="DT23" s="27">
        <v>0.81499999999999995</v>
      </c>
      <c r="DU23" s="27">
        <v>0.47899999999999998</v>
      </c>
      <c r="DV23" s="27">
        <f t="shared" si="12"/>
        <v>2.2359999999999998</v>
      </c>
      <c r="DW23" s="27">
        <v>0.44500000000000001</v>
      </c>
      <c r="DX23" s="27">
        <v>0.18812960999999997</v>
      </c>
      <c r="DY23" s="27">
        <v>0.88133145999999973</v>
      </c>
      <c r="DZ23" s="27">
        <f>0.00896981000000006+0.52805813</f>
        <v>0.53702794000000009</v>
      </c>
      <c r="EA23" s="27">
        <f t="shared" si="15"/>
        <v>2.0514890100000001</v>
      </c>
      <c r="EB23" s="27">
        <f>(103331.6+417446.64)/1000000</f>
        <v>0.52077823999999995</v>
      </c>
      <c r="EC23" s="27">
        <v>0.44974056000000001</v>
      </c>
      <c r="ED23" s="27">
        <v>0.45600000000000002</v>
      </c>
      <c r="EE23" s="27">
        <v>0.86568866000000011</v>
      </c>
      <c r="EF23" s="27">
        <f t="shared" si="16"/>
        <v>2.2922074600000002</v>
      </c>
      <c r="EG23" s="27">
        <v>0.57092385000000001</v>
      </c>
      <c r="EH23" s="27">
        <v>-8.3446980000000004E-2</v>
      </c>
      <c r="EI23" s="27">
        <v>1.5460749500000002</v>
      </c>
    </row>
    <row r="24" spans="1:139" ht="15" thickBot="1" x14ac:dyDescent="0.35">
      <c r="A24" s="2" t="s">
        <v>331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28">
        <v>10.651034640000001</v>
      </c>
      <c r="BK24" s="28">
        <v>8.2167883100000001</v>
      </c>
      <c r="BL24" s="28">
        <v>9.5154564800000028</v>
      </c>
      <c r="BM24" s="28">
        <v>9.6624580299999998</v>
      </c>
      <c r="BN24" s="28">
        <f t="shared" si="0"/>
        <v>38.045737459999998</v>
      </c>
      <c r="BO24" s="28">
        <v>8.6172895700000005</v>
      </c>
      <c r="BP24" s="28">
        <v>9.8275576800000017</v>
      </c>
      <c r="BQ24" s="28">
        <v>10.205858739999998</v>
      </c>
      <c r="BR24" s="28">
        <v>12.921469640000002</v>
      </c>
      <c r="BS24" s="28">
        <f t="shared" si="1"/>
        <v>41.572175630000004</v>
      </c>
      <c r="BT24" s="28">
        <v>14.932197010000001</v>
      </c>
      <c r="BU24" s="28">
        <v>13.793861700000001</v>
      </c>
      <c r="BV24" s="28">
        <v>14.668254000000001</v>
      </c>
      <c r="BW24" s="28">
        <v>13.442398430000001</v>
      </c>
      <c r="BX24" s="28">
        <f t="shared" si="2"/>
        <v>56.836711140000006</v>
      </c>
      <c r="BY24" s="28">
        <v>14.97276722</v>
      </c>
      <c r="BZ24" s="28">
        <v>19.281602900000003</v>
      </c>
      <c r="CA24" s="28">
        <v>19.3260328</v>
      </c>
      <c r="CB24" s="28">
        <v>22.796769299999998</v>
      </c>
      <c r="CC24" s="28">
        <f t="shared" si="3"/>
        <v>76.377172220000006</v>
      </c>
      <c r="CD24" s="28">
        <v>21.008825760000001</v>
      </c>
      <c r="CE24" s="28">
        <v>16.268998470000003</v>
      </c>
      <c r="CF24" s="28">
        <v>29.195264510000001</v>
      </c>
      <c r="CG24" s="28">
        <v>33.402111170000012</v>
      </c>
      <c r="CH24" s="28">
        <f t="shared" si="4"/>
        <v>99.875199910000021</v>
      </c>
      <c r="CI24" s="28">
        <v>18.409193140000003</v>
      </c>
      <c r="CJ24" s="28">
        <v>10.182898810000001</v>
      </c>
      <c r="CK24" s="28">
        <v>6.9346804999999989</v>
      </c>
      <c r="CL24" s="28">
        <v>13.787716750000003</v>
      </c>
      <c r="CM24" s="28">
        <f t="shared" si="5"/>
        <v>49.314489200000004</v>
      </c>
      <c r="CN24" s="28">
        <v>7.1963374199999999</v>
      </c>
      <c r="CO24" s="28">
        <v>7.8247204100000003</v>
      </c>
      <c r="CP24" s="28">
        <v>4.58142754</v>
      </c>
      <c r="CQ24" s="28">
        <f>25.289-SUM(CN24:CP24)</f>
        <v>5.6865146300000013</v>
      </c>
      <c r="CR24" s="28">
        <f t="shared" si="6"/>
        <v>25.289000000000001</v>
      </c>
      <c r="CS24" s="28">
        <v>9.23</v>
      </c>
      <c r="CT24" s="28">
        <f>12.071-CS24</f>
        <v>2.8409999999999993</v>
      </c>
      <c r="CU24" s="28">
        <f>20.85-SUM(CS24:CT24)</f>
        <v>8.7790000000000017</v>
      </c>
      <c r="CV24" s="28">
        <f>28.132-SUM(CS24:CU24)</f>
        <v>7.282</v>
      </c>
      <c r="CW24" s="28">
        <f t="shared" si="7"/>
        <v>28.132000000000001</v>
      </c>
      <c r="CX24" s="28">
        <v>8.391</v>
      </c>
      <c r="CY24" s="28">
        <v>5.3280000000000003</v>
      </c>
      <c r="CZ24" s="28">
        <v>9.4130000000000003</v>
      </c>
      <c r="DA24" s="28">
        <v>16.196999999999999</v>
      </c>
      <c r="DB24" s="28">
        <f t="shared" si="8"/>
        <v>39.329000000000001</v>
      </c>
      <c r="DC24" s="28">
        <v>14.503</v>
      </c>
      <c r="DD24" s="28">
        <v>16.858000000000001</v>
      </c>
      <c r="DE24" s="28">
        <v>25.93</v>
      </c>
      <c r="DF24" s="28">
        <v>20.503</v>
      </c>
      <c r="DG24" s="28">
        <f t="shared" si="9"/>
        <v>77.793999999999997</v>
      </c>
      <c r="DH24" s="28">
        <v>10.760999999999999</v>
      </c>
      <c r="DI24" s="28">
        <v>8.1720000000000006</v>
      </c>
      <c r="DJ24" s="28">
        <v>8.0210000000000008</v>
      </c>
      <c r="DK24" s="28">
        <v>4.8739999999999997</v>
      </c>
      <c r="DL24" s="28">
        <f t="shared" si="10"/>
        <v>31.827999999999999</v>
      </c>
      <c r="DM24" s="28">
        <v>6.63</v>
      </c>
      <c r="DN24" s="28">
        <v>7.3579999999999997</v>
      </c>
      <c r="DO24" s="28">
        <v>5.1539999999999999</v>
      </c>
      <c r="DP24" s="28">
        <v>8.2620000000000005</v>
      </c>
      <c r="DQ24" s="28">
        <f t="shared" si="11"/>
        <v>27.404</v>
      </c>
      <c r="DR24" s="28">
        <v>7.6790000000000003</v>
      </c>
      <c r="DS24" s="28">
        <v>5.6470000000000002</v>
      </c>
      <c r="DT24" s="28">
        <v>9.3040000000000003</v>
      </c>
      <c r="DU24" s="28">
        <v>9.7289999999999992</v>
      </c>
      <c r="DV24" s="28">
        <f t="shared" si="12"/>
        <v>32.359000000000002</v>
      </c>
      <c r="DW24" s="28">
        <v>10.141</v>
      </c>
      <c r="DX24" s="28">
        <v>9.4029932200000008</v>
      </c>
      <c r="DY24" s="28">
        <v>9.1190272400000012</v>
      </c>
      <c r="DZ24" s="28">
        <v>13.256932050000001</v>
      </c>
      <c r="EA24" s="28">
        <f t="shared" si="15"/>
        <v>41.919952510000002</v>
      </c>
      <c r="EB24" s="28">
        <v>11.229754439999999</v>
      </c>
      <c r="EC24" s="28">
        <v>10.945708639999999</v>
      </c>
      <c r="ED24" s="28">
        <v>13.081</v>
      </c>
      <c r="EE24" s="28">
        <v>5.1402470899999964</v>
      </c>
      <c r="EF24" s="28">
        <f t="shared" si="16"/>
        <v>40.396710169999999</v>
      </c>
      <c r="EG24" s="28">
        <v>11.54531347</v>
      </c>
      <c r="EH24" s="28">
        <v>11.744677080000001</v>
      </c>
      <c r="EI24" s="28">
        <v>12.022613720000003</v>
      </c>
    </row>
    <row r="25" spans="1:139" ht="15" thickTop="1" x14ac:dyDescent="0.3">
      <c r="A25" s="1" t="s">
        <v>308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27">
        <v>-8.8230000000000004</v>
      </c>
      <c r="BK25" s="27">
        <v>-8.8230000000000004</v>
      </c>
      <c r="BL25" s="27">
        <v>0</v>
      </c>
      <c r="BM25" s="27">
        <v>-18.860279999999996</v>
      </c>
      <c r="BN25" s="27">
        <f t="shared" si="0"/>
        <v>-36.506279999999997</v>
      </c>
      <c r="BO25" s="27">
        <v>-10.34094</v>
      </c>
      <c r="BP25" s="27">
        <v>-9.6087440000000015</v>
      </c>
      <c r="BQ25" s="27">
        <v>-13.357897343999998</v>
      </c>
      <c r="BR25" s="27">
        <v>33.307581343999999</v>
      </c>
      <c r="BS25" s="27">
        <f t="shared" si="1"/>
        <v>0</v>
      </c>
      <c r="BT25" s="27">
        <v>-12.1</v>
      </c>
      <c r="BU25" s="27">
        <v>-4.8</v>
      </c>
      <c r="BV25" s="27">
        <v>-3.5</v>
      </c>
      <c r="BW25" s="27">
        <v>-6</v>
      </c>
      <c r="BX25" s="27">
        <f t="shared" si="2"/>
        <v>-26.4</v>
      </c>
      <c r="BY25" s="27">
        <v>-13.8</v>
      </c>
      <c r="BZ25" s="27">
        <v>-0.9</v>
      </c>
      <c r="CA25" s="27">
        <v>-17.600000000000001</v>
      </c>
      <c r="CB25" s="27">
        <v>4.4000000000000004</v>
      </c>
      <c r="CC25" s="27">
        <f t="shared" si="3"/>
        <v>-27.900000000000006</v>
      </c>
      <c r="CD25" s="27">
        <v>-10.6</v>
      </c>
      <c r="CE25" s="27">
        <v>-24.2</v>
      </c>
      <c r="CF25" s="27">
        <v>-10.1</v>
      </c>
      <c r="CG25" s="27">
        <v>-17.100000000000001</v>
      </c>
      <c r="CH25" s="27">
        <f t="shared" si="4"/>
        <v>-62</v>
      </c>
      <c r="CI25" s="27">
        <v>-19.799935780000002</v>
      </c>
      <c r="CJ25" s="27">
        <v>-19.939172109999998</v>
      </c>
      <c r="CK25" s="27">
        <v>-21.915030100000003</v>
      </c>
      <c r="CL25" s="27">
        <v>-21.085191849999994</v>
      </c>
      <c r="CM25" s="27">
        <f t="shared" si="5"/>
        <v>-82.739329839999996</v>
      </c>
      <c r="CN25" s="27">
        <v>-26.414023889999996</v>
      </c>
      <c r="CO25" s="27">
        <v>-17.004077800000001</v>
      </c>
      <c r="CP25" s="27">
        <v>-18.365953010000002</v>
      </c>
      <c r="CQ25" s="27">
        <f>-71.067-SUM(CN25:CP25)</f>
        <v>-9.2829452999999944</v>
      </c>
      <c r="CR25" s="27">
        <f t="shared" si="6"/>
        <v>-71.066999999999993</v>
      </c>
      <c r="CS25" s="27">
        <v>-16.432707569999998</v>
      </c>
      <c r="CT25" s="27">
        <f>-32.853-CS25</f>
        <v>-16.420292430000003</v>
      </c>
      <c r="CU25" s="27">
        <f>-48.601-SUM(CS25:CT25)</f>
        <v>-15.747999999999998</v>
      </c>
      <c r="CV25" s="27">
        <f>-64.016-SUM(CS25:CU25)</f>
        <v>-15.415000000000006</v>
      </c>
      <c r="CW25" s="27">
        <f t="shared" si="7"/>
        <v>-64.016000000000005</v>
      </c>
      <c r="CX25" s="27">
        <v>-15.316000000000001</v>
      </c>
      <c r="CY25" s="27">
        <v>-15.315</v>
      </c>
      <c r="CZ25" s="27">
        <v>-14.882999999999999</v>
      </c>
      <c r="DA25" s="27">
        <v>-14.628</v>
      </c>
      <c r="DB25" s="27">
        <f t="shared" si="8"/>
        <v>-60.141999999999996</v>
      </c>
      <c r="DC25" s="27">
        <v>-13.566000000000001</v>
      </c>
      <c r="DD25" s="27">
        <v>-17.504000000000001</v>
      </c>
      <c r="DE25" s="27">
        <v>-16.256</v>
      </c>
      <c r="DF25" s="27">
        <v>-16.605</v>
      </c>
      <c r="DG25" s="27">
        <f t="shared" si="9"/>
        <v>-63.930999999999997</v>
      </c>
      <c r="DH25" s="27">
        <v>-21.872</v>
      </c>
      <c r="DI25" s="27">
        <v>-22.238</v>
      </c>
      <c r="DJ25" s="27">
        <v>-22.372</v>
      </c>
      <c r="DK25" s="27">
        <v>2.0299999999999998</v>
      </c>
      <c r="DL25" s="27">
        <f t="shared" si="10"/>
        <v>-64.451999999999998</v>
      </c>
      <c r="DM25" s="27">
        <v>-27.788</v>
      </c>
      <c r="DN25" s="27">
        <v>-28.652000000000001</v>
      </c>
      <c r="DO25" s="27">
        <v>-26.835000000000001</v>
      </c>
      <c r="DP25" s="27">
        <v>-28.486000000000001</v>
      </c>
      <c r="DQ25" s="27">
        <f t="shared" si="11"/>
        <v>-111.76100000000001</v>
      </c>
      <c r="DR25" s="27">
        <v>-30.494</v>
      </c>
      <c r="DS25" s="27">
        <v>-25.035</v>
      </c>
      <c r="DT25" s="27">
        <v>-30.494</v>
      </c>
      <c r="DU25" s="27">
        <v>-36.253999999999998</v>
      </c>
      <c r="DV25" s="27">
        <f t="shared" si="12"/>
        <v>-122.27699999999999</v>
      </c>
      <c r="DW25" s="27">
        <v>-38.692</v>
      </c>
      <c r="DX25" s="27">
        <v>-38.37870933</v>
      </c>
      <c r="DY25" s="27">
        <v>-36.711750559999984</v>
      </c>
      <c r="DZ25" s="27">
        <v>-46.617541109999998</v>
      </c>
      <c r="EA25" s="27">
        <f t="shared" si="15"/>
        <v>-160.40000099999997</v>
      </c>
      <c r="EB25" s="27">
        <v>-20.550162399999998</v>
      </c>
      <c r="EC25" s="27">
        <v>-23.433675520000005</v>
      </c>
      <c r="ED25" s="27">
        <v>-45.58</v>
      </c>
      <c r="EE25" s="27">
        <v>-62.374134549999994</v>
      </c>
      <c r="EF25" s="27">
        <f t="shared" si="16"/>
        <v>-151.93797246999998</v>
      </c>
      <c r="EG25" s="27">
        <v>-57.717811609999998</v>
      </c>
      <c r="EH25" s="27">
        <v>-54.135495519999999</v>
      </c>
      <c r="EI25" s="27">
        <v>-55.942488249999997</v>
      </c>
    </row>
    <row r="26" spans="1:139" x14ac:dyDescent="0.3">
      <c r="A26" s="5" t="s">
        <v>311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29">
        <f t="shared" ref="BJ26:CW26" si="17">SUM(BJ3:BJ25)</f>
        <v>30.83695058</v>
      </c>
      <c r="BK26" s="29">
        <f t="shared" si="17"/>
        <v>29.567943160000006</v>
      </c>
      <c r="BL26" s="29">
        <f t="shared" si="17"/>
        <v>45.362392480000004</v>
      </c>
      <c r="BM26" s="29">
        <f t="shared" si="17"/>
        <v>26.550458229999997</v>
      </c>
      <c r="BN26" s="29">
        <f t="shared" si="17"/>
        <v>132.31774445000002</v>
      </c>
      <c r="BO26" s="29">
        <f t="shared" si="17"/>
        <v>29.142386130000002</v>
      </c>
      <c r="BP26" s="29">
        <f t="shared" si="17"/>
        <v>51.36388857</v>
      </c>
      <c r="BQ26" s="29">
        <f t="shared" si="17"/>
        <v>44.626553155999986</v>
      </c>
      <c r="BR26" s="29">
        <f t="shared" si="17"/>
        <v>102.95942750353599</v>
      </c>
      <c r="BS26" s="29">
        <f t="shared" si="17"/>
        <v>228.09225535953598</v>
      </c>
      <c r="BT26" s="29">
        <f t="shared" si="17"/>
        <v>27.133406389999998</v>
      </c>
      <c r="BU26" s="29">
        <f t="shared" si="17"/>
        <v>47.124095280000006</v>
      </c>
      <c r="BV26" s="29">
        <f t="shared" si="17"/>
        <v>45.755017219999999</v>
      </c>
      <c r="BW26" s="29">
        <f t="shared" si="17"/>
        <v>147.80913651499998</v>
      </c>
      <c r="BX26" s="29">
        <f t="shared" si="17"/>
        <v>267.821655405</v>
      </c>
      <c r="BY26" s="29">
        <f t="shared" si="17"/>
        <v>72.084554749999995</v>
      </c>
      <c r="BZ26" s="29">
        <f t="shared" si="17"/>
        <v>83.319436260000003</v>
      </c>
      <c r="CA26" s="29">
        <f t="shared" si="17"/>
        <v>88.395996239999988</v>
      </c>
      <c r="CB26" s="29">
        <f t="shared" si="17"/>
        <v>121.27204158999999</v>
      </c>
      <c r="CC26" s="29">
        <f t="shared" si="17"/>
        <v>365.07202884000003</v>
      </c>
      <c r="CD26" s="29">
        <f t="shared" si="17"/>
        <v>93.19458118</v>
      </c>
      <c r="CE26" s="29">
        <f t="shared" si="17"/>
        <v>69.407189259999996</v>
      </c>
      <c r="CF26" s="29">
        <f t="shared" si="17"/>
        <v>102.34314871000002</v>
      </c>
      <c r="CG26" s="29">
        <f t="shared" si="17"/>
        <v>93.550906820000023</v>
      </c>
      <c r="CH26" s="29">
        <f t="shared" si="17"/>
        <v>358.49582596999994</v>
      </c>
      <c r="CI26" s="29">
        <f t="shared" si="17"/>
        <v>75.799712319999998</v>
      </c>
      <c r="CJ26" s="29">
        <f t="shared" si="17"/>
        <v>75.366034250000013</v>
      </c>
      <c r="CK26" s="29">
        <f t="shared" si="17"/>
        <v>74.194724049999991</v>
      </c>
      <c r="CL26" s="29">
        <f t="shared" si="17"/>
        <v>80.35029657000004</v>
      </c>
      <c r="CM26" s="29">
        <f t="shared" si="17"/>
        <v>305.71076719000001</v>
      </c>
      <c r="CN26" s="29">
        <f t="shared" si="17"/>
        <v>69.501150740000014</v>
      </c>
      <c r="CO26" s="29">
        <f t="shared" si="17"/>
        <v>82.847364449999972</v>
      </c>
      <c r="CP26" s="29">
        <f t="shared" si="17"/>
        <v>82.432328560000002</v>
      </c>
      <c r="CQ26" s="29">
        <f t="shared" si="17"/>
        <v>-24.020843750000004</v>
      </c>
      <c r="CR26" s="29">
        <f t="shared" si="17"/>
        <v>210.76</v>
      </c>
      <c r="CS26" s="29">
        <f t="shared" si="17"/>
        <v>52.713292430000003</v>
      </c>
      <c r="CT26" s="29">
        <f t="shared" si="17"/>
        <v>48.772707569999994</v>
      </c>
      <c r="CU26" s="29">
        <f t="shared" si="17"/>
        <v>57.554000000000009</v>
      </c>
      <c r="CV26" s="29">
        <f t="shared" si="17"/>
        <v>66.09099999999998</v>
      </c>
      <c r="CW26" s="29">
        <f t="shared" si="17"/>
        <v>225.13099999999997</v>
      </c>
      <c r="CX26" s="29">
        <f>SUM(CX3:CX25)</f>
        <v>49.375999999999991</v>
      </c>
      <c r="CY26" s="29">
        <f>SUM(CY3:CY25)</f>
        <v>46.055</v>
      </c>
      <c r="CZ26" s="29">
        <f>SUM(CZ3:CZ25)</f>
        <v>48.432000000000002</v>
      </c>
      <c r="DA26" s="29">
        <f t="shared" ref="DA26:DT26" si="18">SUM(DA3:DA25)</f>
        <v>75.318000000000012</v>
      </c>
      <c r="DB26" s="29">
        <f t="shared" si="18"/>
        <v>219.18100000000004</v>
      </c>
      <c r="DC26" s="29">
        <f t="shared" si="18"/>
        <v>60.375</v>
      </c>
      <c r="DD26" s="29">
        <f t="shared" si="18"/>
        <v>66.412999999999997</v>
      </c>
      <c r="DE26" s="29">
        <f t="shared" si="18"/>
        <v>81.772999999999996</v>
      </c>
      <c r="DF26" s="29">
        <f t="shared" si="18"/>
        <v>92.652999999999992</v>
      </c>
      <c r="DG26" s="29">
        <f t="shared" si="18"/>
        <v>301.21399999999994</v>
      </c>
      <c r="DH26" s="29">
        <f t="shared" si="18"/>
        <v>70.773999999999987</v>
      </c>
      <c r="DI26" s="29">
        <f t="shared" si="18"/>
        <v>65.114999999999995</v>
      </c>
      <c r="DJ26" s="29">
        <f t="shared" si="18"/>
        <v>69.289000000000001</v>
      </c>
      <c r="DK26" s="29">
        <f t="shared" si="18"/>
        <v>132.083</v>
      </c>
      <c r="DL26" s="29">
        <f t="shared" si="18"/>
        <v>337.26099999999997</v>
      </c>
      <c r="DM26" s="29">
        <f t="shared" si="18"/>
        <v>61.153999999999982</v>
      </c>
      <c r="DN26" s="29">
        <f t="shared" si="18"/>
        <v>62.316000000000003</v>
      </c>
      <c r="DO26" s="29">
        <f t="shared" si="18"/>
        <v>73.050000000000011</v>
      </c>
      <c r="DP26" s="29">
        <f t="shared" si="18"/>
        <v>82.061999999999983</v>
      </c>
      <c r="DQ26" s="29">
        <f t="shared" si="18"/>
        <v>278.58199999999999</v>
      </c>
      <c r="DR26" s="29">
        <f t="shared" si="18"/>
        <v>69.474000000000004</v>
      </c>
      <c r="DS26" s="29">
        <f t="shared" si="18"/>
        <v>70.461000000000013</v>
      </c>
      <c r="DT26" s="29">
        <f t="shared" si="18"/>
        <v>64.537999999999997</v>
      </c>
      <c r="DU26" s="29">
        <f t="shared" ref="DU26:EA26" si="19">SUM(DU3:DU25)</f>
        <v>106.48100000000002</v>
      </c>
      <c r="DV26" s="29">
        <f t="shared" si="19"/>
        <v>310.95400000000001</v>
      </c>
      <c r="DW26" s="29">
        <f t="shared" si="19"/>
        <v>73.56</v>
      </c>
      <c r="DX26" s="29">
        <f t="shared" si="19"/>
        <v>67.16735632000001</v>
      </c>
      <c r="DY26" s="29">
        <f t="shared" si="19"/>
        <v>73.435535070000014</v>
      </c>
      <c r="DZ26" s="29">
        <f t="shared" si="19"/>
        <v>93.623336269999982</v>
      </c>
      <c r="EA26" s="29">
        <f t="shared" si="19"/>
        <v>307.78622766000001</v>
      </c>
      <c r="EB26" s="29">
        <f>SUM(EB3:EB25)</f>
        <v>86.837088359999967</v>
      </c>
      <c r="EC26" s="29">
        <f>SUM(EC3:EC25)</f>
        <v>75.493488990000003</v>
      </c>
      <c r="ED26" s="29">
        <f>SUM(ED3:ED25)</f>
        <v>93.59399999999998</v>
      </c>
      <c r="EE26" s="29">
        <f>SUM(EE3:EE25)</f>
        <v>94.440967450000031</v>
      </c>
      <c r="EF26" s="29">
        <f t="shared" ref="EF26" si="20">SUM(EF3:EF25)</f>
        <v>350.36554480000001</v>
      </c>
      <c r="EG26" s="29">
        <f>SUM(EG3:EG25)</f>
        <v>83.757310040000007</v>
      </c>
      <c r="EH26" s="29">
        <f>SUM(EH3:EH25)</f>
        <v>90.146665830000018</v>
      </c>
      <c r="EI26" s="29">
        <f>SUM(EI3:EI25)</f>
        <v>94.132826849999987</v>
      </c>
    </row>
    <row r="27" spans="1:139" x14ac:dyDescent="0.3"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</row>
    <row r="28" spans="1:139" x14ac:dyDescent="0.3">
      <c r="A28" s="22"/>
      <c r="BY28" s="33"/>
      <c r="CH28" s="33"/>
      <c r="CS28" s="33"/>
      <c r="CU28" s="33"/>
      <c r="CV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</row>
    <row r="30" spans="1:139" x14ac:dyDescent="0.3">
      <c r="A30" s="3" t="s">
        <v>328</v>
      </c>
      <c r="B30" s="6" t="s">
        <v>4</v>
      </c>
      <c r="C30" s="6" t="s">
        <v>5</v>
      </c>
      <c r="D30" s="6" t="s">
        <v>6</v>
      </c>
      <c r="E30" s="6" t="s">
        <v>7</v>
      </c>
      <c r="F30" s="6">
        <v>2018</v>
      </c>
      <c r="G30" s="6" t="s">
        <v>8</v>
      </c>
      <c r="H30" s="6" t="s">
        <v>9</v>
      </c>
      <c r="I30" s="6" t="s">
        <v>10</v>
      </c>
      <c r="J30" s="6" t="s">
        <v>11</v>
      </c>
      <c r="K30" s="6">
        <v>2019</v>
      </c>
      <c r="L30" s="6" t="s">
        <v>12</v>
      </c>
      <c r="M30" s="6" t="s">
        <v>13</v>
      </c>
      <c r="N30" s="6" t="s">
        <v>14</v>
      </c>
      <c r="O30" s="6" t="s">
        <v>15</v>
      </c>
      <c r="P30" s="6">
        <v>2000</v>
      </c>
      <c r="Q30" s="6" t="s">
        <v>16</v>
      </c>
      <c r="R30" s="6" t="s">
        <v>17</v>
      </c>
      <c r="S30" s="6" t="s">
        <v>18</v>
      </c>
      <c r="T30" s="6" t="s">
        <v>19</v>
      </c>
      <c r="U30" s="6">
        <v>2001</v>
      </c>
      <c r="V30" s="6" t="s">
        <v>20</v>
      </c>
      <c r="W30" s="6" t="s">
        <v>21</v>
      </c>
      <c r="X30" s="6" t="s">
        <v>22</v>
      </c>
      <c r="Y30" s="6" t="s">
        <v>23</v>
      </c>
      <c r="Z30" s="6">
        <v>2002</v>
      </c>
      <c r="AA30" s="6" t="s">
        <v>24</v>
      </c>
      <c r="AB30" s="6" t="s">
        <v>25</v>
      </c>
      <c r="AC30" s="6" t="s">
        <v>26</v>
      </c>
      <c r="AD30" s="6" t="s">
        <v>27</v>
      </c>
      <c r="AE30" s="6">
        <v>2003</v>
      </c>
      <c r="AF30" s="6" t="s">
        <v>28</v>
      </c>
      <c r="AG30" s="6" t="s">
        <v>29</v>
      </c>
      <c r="AH30" s="6" t="s">
        <v>30</v>
      </c>
      <c r="AI30" s="6" t="s">
        <v>31</v>
      </c>
      <c r="AJ30" s="6">
        <v>2004</v>
      </c>
      <c r="AK30" s="6" t="s">
        <v>32</v>
      </c>
      <c r="AL30" s="6" t="s">
        <v>33</v>
      </c>
      <c r="AM30" s="6" t="s">
        <v>34</v>
      </c>
      <c r="AN30" s="6" t="s">
        <v>35</v>
      </c>
      <c r="AO30" s="6">
        <v>2005</v>
      </c>
      <c r="AP30" s="6" t="s">
        <v>36</v>
      </c>
      <c r="AQ30" s="6" t="s">
        <v>37</v>
      </c>
      <c r="AR30" s="6" t="s">
        <v>38</v>
      </c>
      <c r="AS30" s="6" t="s">
        <v>39</v>
      </c>
      <c r="AT30" s="6">
        <v>2006</v>
      </c>
      <c r="AU30" s="6" t="s">
        <v>40</v>
      </c>
      <c r="AV30" s="6" t="s">
        <v>41</v>
      </c>
      <c r="AW30" s="6" t="s">
        <v>42</v>
      </c>
      <c r="AX30" s="6" t="s">
        <v>43</v>
      </c>
      <c r="AY30" s="6">
        <v>2007</v>
      </c>
      <c r="AZ30" s="6" t="s">
        <v>44</v>
      </c>
      <c r="BA30" s="6" t="s">
        <v>45</v>
      </c>
      <c r="BB30" s="6" t="s">
        <v>46</v>
      </c>
      <c r="BC30" s="6" t="s">
        <v>47</v>
      </c>
      <c r="BD30" s="6">
        <v>2008</v>
      </c>
      <c r="BE30" s="6" t="s">
        <v>48</v>
      </c>
      <c r="BF30" s="6" t="s">
        <v>49</v>
      </c>
      <c r="BG30" s="6" t="s">
        <v>50</v>
      </c>
      <c r="BH30" s="6" t="s">
        <v>51</v>
      </c>
      <c r="BI30" s="6">
        <v>2009</v>
      </c>
      <c r="BJ30" s="6" t="s">
        <v>52</v>
      </c>
      <c r="BK30" s="6" t="s">
        <v>53</v>
      </c>
      <c r="BL30" s="6" t="s">
        <v>54</v>
      </c>
      <c r="BM30" s="6" t="s">
        <v>55</v>
      </c>
      <c r="BN30" s="6">
        <v>2010</v>
      </c>
      <c r="BO30" s="6" t="s">
        <v>56</v>
      </c>
      <c r="BP30" s="6" t="s">
        <v>57</v>
      </c>
      <c r="BQ30" s="6" t="s">
        <v>58</v>
      </c>
      <c r="BR30" s="6" t="s">
        <v>59</v>
      </c>
      <c r="BS30" s="6">
        <v>2011</v>
      </c>
      <c r="BT30" s="6" t="s">
        <v>60</v>
      </c>
      <c r="BU30" s="6" t="s">
        <v>61</v>
      </c>
      <c r="BV30" s="6" t="s">
        <v>62</v>
      </c>
      <c r="BW30" s="6" t="s">
        <v>63</v>
      </c>
      <c r="BX30" s="6">
        <v>2012</v>
      </c>
      <c r="BY30" s="6" t="s">
        <v>64</v>
      </c>
      <c r="BZ30" s="6" t="s">
        <v>65</v>
      </c>
      <c r="CA30" s="6" t="s">
        <v>66</v>
      </c>
      <c r="CB30" s="6" t="s">
        <v>67</v>
      </c>
      <c r="CC30" s="6">
        <v>2013</v>
      </c>
      <c r="CD30" s="6" t="s">
        <v>68</v>
      </c>
      <c r="CE30" s="6" t="s">
        <v>69</v>
      </c>
      <c r="CF30" s="6" t="s">
        <v>70</v>
      </c>
      <c r="CG30" s="6" t="s">
        <v>71</v>
      </c>
      <c r="CH30" s="6">
        <v>2014</v>
      </c>
      <c r="CI30" s="6" t="s">
        <v>72</v>
      </c>
      <c r="CJ30" s="6" t="s">
        <v>73</v>
      </c>
      <c r="CK30" s="6" t="s">
        <v>74</v>
      </c>
      <c r="CL30" s="6" t="s">
        <v>75</v>
      </c>
      <c r="CM30" s="6">
        <v>2015</v>
      </c>
      <c r="CN30" s="6" t="s">
        <v>76</v>
      </c>
      <c r="CO30" s="6" t="s">
        <v>77</v>
      </c>
      <c r="CP30" s="6" t="s">
        <v>78</v>
      </c>
      <c r="CQ30" s="6" t="s">
        <v>79</v>
      </c>
      <c r="CR30" s="6">
        <v>2016</v>
      </c>
      <c r="CS30" s="6" t="s">
        <v>80</v>
      </c>
      <c r="CT30" s="6" t="s">
        <v>81</v>
      </c>
      <c r="CU30" s="6" t="s">
        <v>82</v>
      </c>
      <c r="CV30" s="6" t="s">
        <v>83</v>
      </c>
      <c r="CW30" s="6">
        <v>2017</v>
      </c>
      <c r="CX30" s="6" t="s">
        <v>84</v>
      </c>
      <c r="CY30" s="6" t="s">
        <v>85</v>
      </c>
      <c r="CZ30" s="6" t="s">
        <v>86</v>
      </c>
      <c r="DA30" s="6" t="s">
        <v>87</v>
      </c>
      <c r="DB30" s="6">
        <v>2018</v>
      </c>
      <c r="DC30" s="6" t="s">
        <v>88</v>
      </c>
      <c r="DD30" s="6" t="s">
        <v>89</v>
      </c>
      <c r="DE30" s="6" t="s">
        <v>90</v>
      </c>
      <c r="DF30" s="6" t="s">
        <v>91</v>
      </c>
      <c r="DG30" s="6">
        <v>2019</v>
      </c>
      <c r="DH30" s="6" t="s">
        <v>92</v>
      </c>
      <c r="DI30" s="6" t="s">
        <v>93</v>
      </c>
      <c r="DJ30" s="6" t="s">
        <v>94</v>
      </c>
      <c r="DK30" s="6" t="s">
        <v>95</v>
      </c>
      <c r="DL30" s="6">
        <v>2020</v>
      </c>
      <c r="DM30" s="6" t="s">
        <v>96</v>
      </c>
      <c r="DN30" s="6" t="s">
        <v>97</v>
      </c>
      <c r="DO30" s="6" t="s">
        <v>98</v>
      </c>
      <c r="DP30" s="6" t="s">
        <v>99</v>
      </c>
      <c r="DQ30" s="6">
        <v>2021</v>
      </c>
      <c r="DR30" s="6" t="s">
        <v>100</v>
      </c>
      <c r="DS30" s="6" t="s">
        <v>101</v>
      </c>
      <c r="DT30" s="6" t="s">
        <v>200</v>
      </c>
      <c r="DU30" s="6" t="s">
        <v>380</v>
      </c>
      <c r="DV30" s="6">
        <v>2022</v>
      </c>
      <c r="DW30" s="6" t="s">
        <v>379</v>
      </c>
      <c r="DX30" s="6" t="s">
        <v>402</v>
      </c>
      <c r="DY30" s="6" t="s">
        <v>414</v>
      </c>
      <c r="DZ30" s="6" t="s">
        <v>419</v>
      </c>
      <c r="EA30" s="6">
        <v>2023</v>
      </c>
      <c r="EB30" s="6" t="s">
        <v>424</v>
      </c>
      <c r="EC30" s="6" t="s">
        <v>429</v>
      </c>
      <c r="ED30" s="6" t="str">
        <f>$ED$1</f>
        <v>3T24</v>
      </c>
      <c r="EE30" s="6" t="str">
        <f>$EE$1</f>
        <v>4T24</v>
      </c>
      <c r="EF30" s="6">
        <f>$EF$1</f>
        <v>2024</v>
      </c>
      <c r="EG30" s="6" t="str">
        <f>EG$1</f>
        <v>1T25</v>
      </c>
      <c r="EH30" s="6" t="str">
        <f>EH$1</f>
        <v>2T25</v>
      </c>
      <c r="EI30" s="6" t="str">
        <f>EI$1</f>
        <v>3T25</v>
      </c>
    </row>
    <row r="31" spans="1:139" ht="15" thickBot="1" x14ac:dyDescent="0.35">
      <c r="A31" s="4" t="s">
        <v>329</v>
      </c>
      <c r="B31" s="7" t="s">
        <v>102</v>
      </c>
      <c r="C31" s="7" t="s">
        <v>103</v>
      </c>
      <c r="D31" s="7" t="s">
        <v>104</v>
      </c>
      <c r="E31" s="7" t="s">
        <v>105</v>
      </c>
      <c r="F31" s="7">
        <v>2018</v>
      </c>
      <c r="G31" s="7" t="s">
        <v>106</v>
      </c>
      <c r="H31" s="7" t="s">
        <v>107</v>
      </c>
      <c r="I31" s="7" t="s">
        <v>108</v>
      </c>
      <c r="J31" s="7" t="s">
        <v>109</v>
      </c>
      <c r="K31" s="7">
        <v>2019</v>
      </c>
      <c r="L31" s="7" t="s">
        <v>110</v>
      </c>
      <c r="M31" s="7" t="s">
        <v>111</v>
      </c>
      <c r="N31" s="7" t="s">
        <v>112</v>
      </c>
      <c r="O31" s="7" t="s">
        <v>113</v>
      </c>
      <c r="P31" s="7">
        <v>2000</v>
      </c>
      <c r="Q31" s="7" t="s">
        <v>114</v>
      </c>
      <c r="R31" s="7" t="s">
        <v>115</v>
      </c>
      <c r="S31" s="7" t="s">
        <v>116</v>
      </c>
      <c r="T31" s="7" t="s">
        <v>117</v>
      </c>
      <c r="U31" s="7">
        <v>2001</v>
      </c>
      <c r="V31" s="7" t="s">
        <v>118</v>
      </c>
      <c r="W31" s="7" t="s">
        <v>119</v>
      </c>
      <c r="X31" s="7" t="s">
        <v>120</v>
      </c>
      <c r="Y31" s="7" t="s">
        <v>121</v>
      </c>
      <c r="Z31" s="7">
        <v>2002</v>
      </c>
      <c r="AA31" s="7" t="s">
        <v>122</v>
      </c>
      <c r="AB31" s="7" t="s">
        <v>123</v>
      </c>
      <c r="AC31" s="7" t="s">
        <v>124</v>
      </c>
      <c r="AD31" s="7" t="s">
        <v>125</v>
      </c>
      <c r="AE31" s="7">
        <v>2003</v>
      </c>
      <c r="AF31" s="7" t="s">
        <v>126</v>
      </c>
      <c r="AG31" s="7" t="s">
        <v>127</v>
      </c>
      <c r="AH31" s="7" t="s">
        <v>128</v>
      </c>
      <c r="AI31" s="7" t="s">
        <v>129</v>
      </c>
      <c r="AJ31" s="7">
        <v>2004</v>
      </c>
      <c r="AK31" s="7" t="s">
        <v>130</v>
      </c>
      <c r="AL31" s="7" t="s">
        <v>131</v>
      </c>
      <c r="AM31" s="7" t="s">
        <v>132</v>
      </c>
      <c r="AN31" s="7" t="s">
        <v>133</v>
      </c>
      <c r="AO31" s="7">
        <v>2005</v>
      </c>
      <c r="AP31" s="7" t="s">
        <v>134</v>
      </c>
      <c r="AQ31" s="7" t="s">
        <v>135</v>
      </c>
      <c r="AR31" s="7" t="s">
        <v>136</v>
      </c>
      <c r="AS31" s="7" t="s">
        <v>137</v>
      </c>
      <c r="AT31" s="7">
        <v>2006</v>
      </c>
      <c r="AU31" s="7" t="s">
        <v>138</v>
      </c>
      <c r="AV31" s="7" t="s">
        <v>139</v>
      </c>
      <c r="AW31" s="7" t="s">
        <v>140</v>
      </c>
      <c r="AX31" s="7" t="s">
        <v>141</v>
      </c>
      <c r="AY31" s="7">
        <v>2007</v>
      </c>
      <c r="AZ31" s="7" t="s">
        <v>142</v>
      </c>
      <c r="BA31" s="7" t="s">
        <v>143</v>
      </c>
      <c r="BB31" s="7" t="s">
        <v>144</v>
      </c>
      <c r="BC31" s="7" t="s">
        <v>145</v>
      </c>
      <c r="BD31" s="7">
        <v>2008</v>
      </c>
      <c r="BE31" s="7" t="s">
        <v>146</v>
      </c>
      <c r="BF31" s="7" t="s">
        <v>147</v>
      </c>
      <c r="BG31" s="7" t="s">
        <v>148</v>
      </c>
      <c r="BH31" s="7" t="s">
        <v>149</v>
      </c>
      <c r="BI31" s="7">
        <v>2009</v>
      </c>
      <c r="BJ31" s="7" t="s">
        <v>150</v>
      </c>
      <c r="BK31" s="7" t="s">
        <v>151</v>
      </c>
      <c r="BL31" s="7" t="s">
        <v>152</v>
      </c>
      <c r="BM31" s="7" t="s">
        <v>153</v>
      </c>
      <c r="BN31" s="7">
        <v>2010</v>
      </c>
      <c r="BO31" s="7" t="s">
        <v>154</v>
      </c>
      <c r="BP31" s="7" t="s">
        <v>155</v>
      </c>
      <c r="BQ31" s="7" t="s">
        <v>156</v>
      </c>
      <c r="BR31" s="7" t="s">
        <v>157</v>
      </c>
      <c r="BS31" s="7">
        <v>2011</v>
      </c>
      <c r="BT31" s="7" t="s">
        <v>158</v>
      </c>
      <c r="BU31" s="7" t="s">
        <v>159</v>
      </c>
      <c r="BV31" s="7" t="s">
        <v>160</v>
      </c>
      <c r="BW31" s="7" t="s">
        <v>161</v>
      </c>
      <c r="BX31" s="7">
        <v>2012</v>
      </c>
      <c r="BY31" s="7" t="s">
        <v>162</v>
      </c>
      <c r="BZ31" s="7" t="s">
        <v>163</v>
      </c>
      <c r="CA31" s="7" t="s">
        <v>164</v>
      </c>
      <c r="CB31" s="7" t="s">
        <v>165</v>
      </c>
      <c r="CC31" s="7">
        <v>2013</v>
      </c>
      <c r="CD31" s="7" t="s">
        <v>166</v>
      </c>
      <c r="CE31" s="7" t="s">
        <v>167</v>
      </c>
      <c r="CF31" s="7" t="s">
        <v>168</v>
      </c>
      <c r="CG31" s="7" t="s">
        <v>169</v>
      </c>
      <c r="CH31" s="7">
        <v>2014</v>
      </c>
      <c r="CI31" s="7" t="s">
        <v>170</v>
      </c>
      <c r="CJ31" s="7" t="s">
        <v>171</v>
      </c>
      <c r="CK31" s="7" t="s">
        <v>172</v>
      </c>
      <c r="CL31" s="7" t="s">
        <v>173</v>
      </c>
      <c r="CM31" s="7">
        <v>2015</v>
      </c>
      <c r="CN31" s="7" t="s">
        <v>174</v>
      </c>
      <c r="CO31" s="7" t="s">
        <v>175</v>
      </c>
      <c r="CP31" s="7" t="s">
        <v>176</v>
      </c>
      <c r="CQ31" s="7" t="s">
        <v>177</v>
      </c>
      <c r="CR31" s="7">
        <v>2016</v>
      </c>
      <c r="CS31" s="7" t="s">
        <v>178</v>
      </c>
      <c r="CT31" s="7" t="s">
        <v>179</v>
      </c>
      <c r="CU31" s="7" t="s">
        <v>180</v>
      </c>
      <c r="CV31" s="7" t="s">
        <v>181</v>
      </c>
      <c r="CW31" s="7">
        <v>2017</v>
      </c>
      <c r="CX31" s="7" t="s">
        <v>182</v>
      </c>
      <c r="CY31" s="7" t="s">
        <v>183</v>
      </c>
      <c r="CZ31" s="7" t="s">
        <v>184</v>
      </c>
      <c r="DA31" s="7" t="s">
        <v>185</v>
      </c>
      <c r="DB31" s="7">
        <v>2018</v>
      </c>
      <c r="DC31" s="7" t="s">
        <v>186</v>
      </c>
      <c r="DD31" s="7" t="s">
        <v>187</v>
      </c>
      <c r="DE31" s="7" t="s">
        <v>188</v>
      </c>
      <c r="DF31" s="7" t="s">
        <v>189</v>
      </c>
      <c r="DG31" s="7">
        <v>2019</v>
      </c>
      <c r="DH31" s="7" t="s">
        <v>190</v>
      </c>
      <c r="DI31" s="7" t="s">
        <v>191</v>
      </c>
      <c r="DJ31" s="7" t="s">
        <v>192</v>
      </c>
      <c r="DK31" s="7" t="s">
        <v>193</v>
      </c>
      <c r="DL31" s="7">
        <v>2020</v>
      </c>
      <c r="DM31" s="7" t="s">
        <v>194</v>
      </c>
      <c r="DN31" s="7" t="s">
        <v>195</v>
      </c>
      <c r="DO31" s="7" t="s">
        <v>196</v>
      </c>
      <c r="DP31" s="7" t="s">
        <v>197</v>
      </c>
      <c r="DQ31" s="7">
        <v>2021</v>
      </c>
      <c r="DR31" s="7" t="s">
        <v>198</v>
      </c>
      <c r="DS31" s="7" t="s">
        <v>199</v>
      </c>
      <c r="DT31" s="7" t="s">
        <v>201</v>
      </c>
      <c r="DU31" s="7" t="s">
        <v>381</v>
      </c>
      <c r="DV31" s="7">
        <v>2022</v>
      </c>
      <c r="DW31" s="7" t="s">
        <v>382</v>
      </c>
      <c r="DX31" s="7" t="s">
        <v>403</v>
      </c>
      <c r="DY31" s="7" t="s">
        <v>415</v>
      </c>
      <c r="DZ31" s="7" t="s">
        <v>420</v>
      </c>
      <c r="EA31" s="7">
        <v>2023</v>
      </c>
      <c r="EB31" s="7" t="s">
        <v>425</v>
      </c>
      <c r="EC31" s="7" t="s">
        <v>430</v>
      </c>
      <c r="ED31" s="7" t="str">
        <f>$ED$2</f>
        <v>3Q24</v>
      </c>
      <c r="EE31" s="6" t="str">
        <f>$EE$2</f>
        <v>4Q24</v>
      </c>
      <c r="EF31" s="56">
        <f>$EF$2</f>
        <v>2024</v>
      </c>
      <c r="EG31" s="6" t="str">
        <f>EG$2</f>
        <v>1Q25</v>
      </c>
      <c r="EH31" s="6" t="str">
        <f>EH$2</f>
        <v>2Q25</v>
      </c>
      <c r="EI31" s="6" t="str">
        <f>EI$2</f>
        <v>3Q25</v>
      </c>
    </row>
    <row r="32" spans="1:139" ht="15" thickTop="1" x14ac:dyDescent="0.3">
      <c r="A32" s="1" t="s">
        <v>2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27">
        <v>0.78402214000000003</v>
      </c>
      <c r="BK32" s="27">
        <v>0.80440593999999987</v>
      </c>
      <c r="BL32" s="27">
        <v>0.5504681800000002</v>
      </c>
      <c r="BM32" s="27">
        <v>0.6749265499999999</v>
      </c>
      <c r="BN32" s="27">
        <f>SUM(BJ32:BM32)</f>
        <v>2.81382281</v>
      </c>
      <c r="BO32" s="27">
        <v>0.81978734999999991</v>
      </c>
      <c r="BP32" s="27">
        <v>1.05947346</v>
      </c>
      <c r="BQ32" s="27">
        <v>0.50665141000000036</v>
      </c>
      <c r="BR32" s="27">
        <v>0.10051869999999941</v>
      </c>
      <c r="BS32" s="27">
        <f>SUM(BO32:BR32)</f>
        <v>2.4864309199999997</v>
      </c>
      <c r="BT32" s="27">
        <v>1.10658429</v>
      </c>
      <c r="BU32" s="27">
        <v>1.1346893700000005</v>
      </c>
      <c r="BV32" s="27">
        <v>1.0715708299999995</v>
      </c>
      <c r="BW32" s="27">
        <v>1.1811708399999998</v>
      </c>
      <c r="BX32" s="27">
        <f>SUM(BT32:BW32)</f>
        <v>4.4940153299999999</v>
      </c>
      <c r="BY32" s="27">
        <v>1.4760556299999998</v>
      </c>
      <c r="BZ32" s="27">
        <v>1.28739106</v>
      </c>
      <c r="CA32" s="27">
        <v>1.2877567700000001</v>
      </c>
      <c r="CB32" s="27">
        <v>1.4538312599999998</v>
      </c>
      <c r="CC32" s="27">
        <f>SUM(BY32:CB32)</f>
        <v>5.5050347199999994</v>
      </c>
      <c r="CD32" s="27">
        <v>1.6666377700000001</v>
      </c>
      <c r="CE32" s="27">
        <v>1.7610432399999996</v>
      </c>
      <c r="CF32" s="27">
        <v>1.6049773800000005</v>
      </c>
      <c r="CG32" s="27">
        <v>1.7555098799999989</v>
      </c>
      <c r="CH32" s="27">
        <f>SUM(CD32:CG32)</f>
        <v>6.788168269999999</v>
      </c>
      <c r="CI32" s="27">
        <v>1.2404898700000002</v>
      </c>
      <c r="CJ32" s="27">
        <v>1.5085316</v>
      </c>
      <c r="CK32" s="27">
        <v>0.9599608599999998</v>
      </c>
      <c r="CL32" s="27">
        <v>0.92576578000000032</v>
      </c>
      <c r="CM32" s="27">
        <f>SUM(CI32:CL32)</f>
        <v>4.6347481100000003</v>
      </c>
      <c r="CN32" s="27">
        <v>1.1178862199999999</v>
      </c>
      <c r="CO32" s="27">
        <v>1.0068307300000003</v>
      </c>
      <c r="CP32" s="27">
        <v>0.92927596000000001</v>
      </c>
      <c r="CQ32" s="27">
        <f>4.086-SUM(CN32:CP32)</f>
        <v>1.03200709</v>
      </c>
      <c r="CR32" s="27">
        <f>SUM(CN32:CQ32)</f>
        <v>4.0860000000000003</v>
      </c>
      <c r="CS32" s="27">
        <v>1.42718784</v>
      </c>
      <c r="CT32" s="27">
        <v>1.3735200100000002</v>
      </c>
      <c r="CU32" s="27">
        <v>1.4716417300000002</v>
      </c>
      <c r="CV32" s="27">
        <v>1.4605221899999992</v>
      </c>
      <c r="CW32" s="27">
        <f>SUM(CS32:CV32)</f>
        <v>5.7328717699999991</v>
      </c>
      <c r="CX32" s="27">
        <v>1.194</v>
      </c>
      <c r="CY32" s="27">
        <v>1.119</v>
      </c>
      <c r="CZ32" s="27">
        <v>1.454</v>
      </c>
      <c r="DA32" s="27">
        <v>1.6859999999999999</v>
      </c>
      <c r="DB32" s="27">
        <f>SUM(CX32:DA32)</f>
        <v>5.4529999999999994</v>
      </c>
      <c r="DC32" s="27">
        <v>1.627</v>
      </c>
      <c r="DD32" s="27">
        <v>1.7290000000000001</v>
      </c>
      <c r="DE32" s="27">
        <v>2.843</v>
      </c>
      <c r="DF32" s="27">
        <v>0.93400000000000005</v>
      </c>
      <c r="DG32" s="27">
        <f t="shared" ref="DG32:DG43" si="21">SUM(DC32:DF32)</f>
        <v>7.133</v>
      </c>
      <c r="DH32" s="27">
        <v>1.0169999999999999</v>
      </c>
      <c r="DI32" s="27">
        <v>1.1399999999999999</v>
      </c>
      <c r="DJ32" s="27">
        <v>1.026</v>
      </c>
      <c r="DK32" s="27">
        <v>0.43099999999999999</v>
      </c>
      <c r="DL32" s="27">
        <f>SUM(DH32:DK32)</f>
        <v>3.6139999999999999</v>
      </c>
      <c r="DM32" s="27">
        <v>1.607</v>
      </c>
      <c r="DN32" s="27">
        <v>1.722</v>
      </c>
      <c r="DO32" s="27">
        <v>1.9830000000000001</v>
      </c>
      <c r="DP32" s="27">
        <v>-8.5000000000000006E-2</v>
      </c>
      <c r="DQ32" s="27">
        <f>SUM(DM32:DP32)</f>
        <v>5.2269999999999994</v>
      </c>
      <c r="DR32" s="27">
        <v>0.32600000000000001</v>
      </c>
      <c r="DS32" s="27">
        <v>0.55200000000000005</v>
      </c>
      <c r="DT32" s="27">
        <v>1.0999999999999999E-2</v>
      </c>
      <c r="DU32" s="27">
        <v>1.0109999999999999</v>
      </c>
      <c r="DV32" s="27">
        <f>SUM(DR32:DU32)</f>
        <v>1.9</v>
      </c>
      <c r="DW32" s="27">
        <v>0.13900000000000001</v>
      </c>
      <c r="DX32" s="27">
        <v>8.0752190000000001E-2</v>
      </c>
      <c r="DY32" s="27">
        <v>0.31346810999999997</v>
      </c>
      <c r="DZ32" s="27">
        <v>0.19878148000000009</v>
      </c>
      <c r="EA32" s="27">
        <f>SUM(DW32:DZ32)</f>
        <v>0.73200178000000005</v>
      </c>
      <c r="EB32" s="27">
        <v>-3.2914099999999998E-3</v>
      </c>
      <c r="EC32" s="27">
        <v>1.1570809999999999E-2</v>
      </c>
      <c r="ED32" s="27">
        <v>0.01</v>
      </c>
      <c r="EE32" s="27">
        <v>2.4859750000000003E-2</v>
      </c>
      <c r="EF32" s="27">
        <f>SUM(EB32:EE32)</f>
        <v>4.3139150000000001E-2</v>
      </c>
      <c r="EG32" s="27">
        <v>1.4509350000000001E-2</v>
      </c>
      <c r="EH32" s="27">
        <v>1.1496929999999999E-2</v>
      </c>
      <c r="EI32" s="27">
        <v>1.3573050000000003E-2</v>
      </c>
    </row>
    <row r="33" spans="1:139" ht="15" thickBot="1" x14ac:dyDescent="0.35">
      <c r="A33" s="2" t="s">
        <v>454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28">
        <v>1.29367214</v>
      </c>
      <c r="BK33" s="28">
        <v>1.4199891099999999</v>
      </c>
      <c r="BL33" s="28">
        <v>1.3529172199999997</v>
      </c>
      <c r="BM33" s="28">
        <v>1.393513720000001</v>
      </c>
      <c r="BN33" s="28">
        <f t="shared" ref="BN33:BN54" si="22">SUM(BJ33:BM33)</f>
        <v>5.460092190000001</v>
      </c>
      <c r="BO33" s="28">
        <v>1.3917438099999999</v>
      </c>
      <c r="BP33" s="28">
        <v>1.5867769200000001</v>
      </c>
      <c r="BQ33" s="28">
        <v>1.3194481900000006</v>
      </c>
      <c r="BR33" s="28">
        <v>1.4666900399999991</v>
      </c>
      <c r="BS33" s="28">
        <f t="shared" ref="BS33:BS54" si="23">SUM(BO33:BR33)</f>
        <v>5.7646589600000002</v>
      </c>
      <c r="BT33" s="28">
        <v>2.0067791499999998</v>
      </c>
      <c r="BU33" s="28">
        <v>1.7524759800000003</v>
      </c>
      <c r="BV33" s="28">
        <v>1.3401622599999992</v>
      </c>
      <c r="BW33" s="28">
        <v>1.7219897000000013</v>
      </c>
      <c r="BX33" s="28">
        <f t="shared" ref="BX33:BX54" si="24">SUM(BT33:BW33)</f>
        <v>6.821407090000001</v>
      </c>
      <c r="BY33" s="28">
        <v>1.5919304399999998</v>
      </c>
      <c r="BZ33" s="28">
        <v>1.9782299200000002</v>
      </c>
      <c r="CA33" s="28">
        <v>0.72445905999999982</v>
      </c>
      <c r="CB33" s="28">
        <v>2.5495627899999995</v>
      </c>
      <c r="CC33" s="28">
        <f t="shared" ref="CC33:CC54" si="25">SUM(BY33:CB33)</f>
        <v>6.8441822099999996</v>
      </c>
      <c r="CD33" s="28">
        <v>1.776762</v>
      </c>
      <c r="CE33" s="28">
        <v>2.1350759699999999</v>
      </c>
      <c r="CF33" s="28">
        <v>0.99348222000000042</v>
      </c>
      <c r="CG33" s="28">
        <v>1.6832488100000005</v>
      </c>
      <c r="CH33" s="28">
        <f t="shared" ref="CH33:CH54" si="26">SUM(CD33:CG33)</f>
        <v>6.5885690000000006</v>
      </c>
      <c r="CI33" s="28">
        <v>1.26138325</v>
      </c>
      <c r="CJ33" s="28">
        <v>1.4556318500000003</v>
      </c>
      <c r="CK33" s="28">
        <v>1.2770485299999998</v>
      </c>
      <c r="CL33" s="28">
        <v>1.3682001499999996</v>
      </c>
      <c r="CM33" s="28">
        <f t="shared" ref="CM33:CM54" si="27">SUM(CI33:CL33)</f>
        <v>5.3622637800000001</v>
      </c>
      <c r="CN33" s="28">
        <v>1.2889650100000001</v>
      </c>
      <c r="CO33" s="28">
        <v>1.32479316</v>
      </c>
      <c r="CP33" s="28">
        <v>1.4927218899999999</v>
      </c>
      <c r="CQ33" s="28">
        <f>5.737-SUM(CN33:CP33)</f>
        <v>1.6305199400000001</v>
      </c>
      <c r="CR33" s="28">
        <f t="shared" ref="CR33:CR54" si="28">SUM(CN33:CQ33)</f>
        <v>5.7370000000000001</v>
      </c>
      <c r="CS33" s="28">
        <v>1.3459973799999998</v>
      </c>
      <c r="CT33" s="28">
        <v>1.2683143900000002</v>
      </c>
      <c r="CU33" s="28">
        <v>1.2956836200000004</v>
      </c>
      <c r="CV33" s="28">
        <v>1.6431003099999997</v>
      </c>
      <c r="CW33" s="28">
        <f t="shared" ref="CW33:CW54" si="29">SUM(CS33:CV33)</f>
        <v>5.5530957000000001</v>
      </c>
      <c r="CX33" s="28">
        <v>1.5349999999999999</v>
      </c>
      <c r="CY33" s="28">
        <v>1.169</v>
      </c>
      <c r="CZ33" s="28">
        <v>1.228</v>
      </c>
      <c r="DA33" s="28">
        <v>1.54</v>
      </c>
      <c r="DB33" s="28">
        <f t="shared" ref="DB33:DB54" si="30">SUM(CX33:DA33)</f>
        <v>5.4719999999999995</v>
      </c>
      <c r="DC33" s="28">
        <v>1.1779999999999999</v>
      </c>
      <c r="DD33" s="28">
        <v>1.34</v>
      </c>
      <c r="DE33" s="28">
        <v>1.4830000000000001</v>
      </c>
      <c r="DF33" s="28">
        <v>1.284</v>
      </c>
      <c r="DG33" s="28">
        <f t="shared" si="21"/>
        <v>5.2849999999999993</v>
      </c>
      <c r="DH33" s="28">
        <v>1.1819999999999999</v>
      </c>
      <c r="DI33" s="28">
        <v>1.0960000000000001</v>
      </c>
      <c r="DJ33" s="28">
        <v>1.2969999999999999</v>
      </c>
      <c r="DK33" s="28">
        <v>1.024</v>
      </c>
      <c r="DL33" s="28">
        <f t="shared" ref="DL33:DL54" si="31">SUM(DH33:DK33)</f>
        <v>4.5990000000000002</v>
      </c>
      <c r="DM33" s="28">
        <v>1.19</v>
      </c>
      <c r="DN33" s="28">
        <v>1.3680000000000001</v>
      </c>
      <c r="DO33" s="28">
        <v>1.502</v>
      </c>
      <c r="DP33" s="28">
        <v>1.4059999999999999</v>
      </c>
      <c r="DQ33" s="28">
        <f t="shared" ref="DQ33:DQ54" si="32">SUM(DM33:DP33)</f>
        <v>5.4659999999999993</v>
      </c>
      <c r="DR33" s="28">
        <v>1.5369999999999999</v>
      </c>
      <c r="DS33" s="28">
        <v>1.8109999999999999</v>
      </c>
      <c r="DT33" s="28">
        <v>0.57799999999999996</v>
      </c>
      <c r="DU33" s="28">
        <v>1.29</v>
      </c>
      <c r="DV33" s="28">
        <f t="shared" ref="DV33:DV48" si="33">SUM(DR33:DU33)</f>
        <v>5.2159999999999993</v>
      </c>
      <c r="DW33" s="28">
        <v>1.3160000000000001</v>
      </c>
      <c r="DX33" s="28">
        <v>1.6342504199999999</v>
      </c>
      <c r="DY33" s="28">
        <v>1.3171041299999999</v>
      </c>
      <c r="DZ33" s="28">
        <v>1.6405795400000001</v>
      </c>
      <c r="EA33" s="28">
        <f t="shared" ref="EA33:EA44" si="34">SUM(DW33:DZ33)</f>
        <v>5.9079340899999995</v>
      </c>
      <c r="EB33" s="28">
        <v>1.7991933500000001</v>
      </c>
      <c r="EC33" s="28">
        <v>1.54026744</v>
      </c>
      <c r="ED33" s="28">
        <v>1.7609999999999999</v>
      </c>
      <c r="EE33" s="28">
        <v>1.3435172999999998</v>
      </c>
      <c r="EF33" s="28">
        <f t="shared" ref="EF33:EF44" si="35">SUM(EB33:EE33)</f>
        <v>6.4439780899999999</v>
      </c>
      <c r="EG33" s="28">
        <v>1.5884913300000001</v>
      </c>
      <c r="EH33" s="28">
        <v>4.0088110499999994</v>
      </c>
      <c r="EI33" s="28">
        <v>3.4793256499999994</v>
      </c>
    </row>
    <row r="34" spans="1:139" ht="15" thickTop="1" x14ac:dyDescent="0.3">
      <c r="A34" s="1" t="s">
        <v>442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27">
        <v>3.1877556399999998</v>
      </c>
      <c r="BK34" s="27">
        <v>3.0575874399999998</v>
      </c>
      <c r="BL34" s="27">
        <v>1.6611935400000002</v>
      </c>
      <c r="BM34" s="27">
        <v>3.2712608499999991</v>
      </c>
      <c r="BN34" s="27">
        <f t="shared" si="22"/>
        <v>11.177797469999998</v>
      </c>
      <c r="BO34" s="27">
        <v>3.4756556999999999</v>
      </c>
      <c r="BP34" s="27">
        <v>3.0960320499999998</v>
      </c>
      <c r="BQ34" s="27">
        <v>3.5014162999999998</v>
      </c>
      <c r="BR34" s="27">
        <v>2.5034917800000001</v>
      </c>
      <c r="BS34" s="27">
        <f t="shared" si="23"/>
        <v>12.576595829999999</v>
      </c>
      <c r="BT34" s="27">
        <v>3.4580164</v>
      </c>
      <c r="BU34" s="27">
        <v>2.8135877399999991</v>
      </c>
      <c r="BV34" s="27">
        <v>2.4981076800000022</v>
      </c>
      <c r="BW34" s="27">
        <v>3.3471268299999988</v>
      </c>
      <c r="BX34" s="27">
        <f t="shared" si="24"/>
        <v>12.11683865</v>
      </c>
      <c r="BY34" s="27">
        <v>1.9125044499999999</v>
      </c>
      <c r="BZ34" s="27">
        <v>3.3856655099999999</v>
      </c>
      <c r="CA34" s="27">
        <v>3.1253953000000001</v>
      </c>
      <c r="CB34" s="27">
        <v>3.2954456500000004</v>
      </c>
      <c r="CC34" s="27">
        <f t="shared" si="25"/>
        <v>11.719010910000002</v>
      </c>
      <c r="CD34" s="27">
        <v>2.4970074700000002</v>
      </c>
      <c r="CE34" s="27">
        <v>3.3092954999999997</v>
      </c>
      <c r="CF34" s="27">
        <v>3.5223921299999996</v>
      </c>
      <c r="CG34" s="27">
        <v>4.7868556500000015</v>
      </c>
      <c r="CH34" s="27">
        <f t="shared" si="26"/>
        <v>14.115550750000001</v>
      </c>
      <c r="CI34" s="27">
        <v>1.9388521599999999</v>
      </c>
      <c r="CJ34" s="27">
        <v>2.6957237699999999</v>
      </c>
      <c r="CK34" s="27">
        <v>2.0070895500000008</v>
      </c>
      <c r="CL34" s="27">
        <v>3.0902071199999988</v>
      </c>
      <c r="CM34" s="27">
        <f t="shared" si="27"/>
        <v>9.7318725999999991</v>
      </c>
      <c r="CN34" s="27">
        <v>2.99154052</v>
      </c>
      <c r="CO34" s="27">
        <v>2.8897816399999998</v>
      </c>
      <c r="CP34" s="27">
        <v>2.5732329599999986</v>
      </c>
      <c r="CQ34" s="27">
        <f>11.353-SUM(CN34:CP34)</f>
        <v>2.8984448800000013</v>
      </c>
      <c r="CR34" s="27">
        <f t="shared" si="28"/>
        <v>11.353</v>
      </c>
      <c r="CS34" s="27">
        <v>2.4632448599999996</v>
      </c>
      <c r="CT34" s="27">
        <v>2.3309688700000004</v>
      </c>
      <c r="CU34" s="27">
        <v>2.5019813900000001</v>
      </c>
      <c r="CV34" s="27">
        <v>2.7089406100000009</v>
      </c>
      <c r="CW34" s="27">
        <f t="shared" si="29"/>
        <v>10.005135730000001</v>
      </c>
      <c r="CX34" s="27">
        <v>2.4809999999999999</v>
      </c>
      <c r="CY34" s="27">
        <v>2.3660000000000001</v>
      </c>
      <c r="CZ34" s="27">
        <v>2.4660000000000002</v>
      </c>
      <c r="DA34" s="27">
        <v>2.5009999999999999</v>
      </c>
      <c r="DB34" s="27">
        <f t="shared" si="30"/>
        <v>9.8140000000000001</v>
      </c>
      <c r="DC34" s="27">
        <v>2.65</v>
      </c>
      <c r="DD34" s="27">
        <v>2.5230000000000001</v>
      </c>
      <c r="DE34" s="27">
        <v>2.7050000000000001</v>
      </c>
      <c r="DF34" s="27">
        <v>2.2280000000000002</v>
      </c>
      <c r="DG34" s="27">
        <f t="shared" si="21"/>
        <v>10.106</v>
      </c>
      <c r="DH34" s="27">
        <v>2.1480000000000001</v>
      </c>
      <c r="DI34" s="27">
        <v>1.931</v>
      </c>
      <c r="DJ34" s="27">
        <v>2.1579999999999999</v>
      </c>
      <c r="DK34" s="27">
        <v>2.4279999999999999</v>
      </c>
      <c r="DL34" s="27">
        <f t="shared" si="31"/>
        <v>8.6649999999999991</v>
      </c>
      <c r="DM34" s="27">
        <v>2.3980000000000001</v>
      </c>
      <c r="DN34" s="27">
        <v>2.5499999999999998</v>
      </c>
      <c r="DO34" s="27">
        <v>2.6680000000000001</v>
      </c>
      <c r="DP34" s="27">
        <v>2.7349999999999999</v>
      </c>
      <c r="DQ34" s="27">
        <f t="shared" si="32"/>
        <v>10.351000000000001</v>
      </c>
      <c r="DR34" s="27">
        <v>3.0310000000000001</v>
      </c>
      <c r="DS34" s="27">
        <v>2.5329999999999999</v>
      </c>
      <c r="DT34" s="27">
        <v>1.843</v>
      </c>
      <c r="DU34" s="27">
        <v>2.5489999999999999</v>
      </c>
      <c r="DV34" s="27">
        <f t="shared" si="33"/>
        <v>9.9559999999999995</v>
      </c>
      <c r="DW34" s="27">
        <v>2.6909999999999998</v>
      </c>
      <c r="DX34" s="27">
        <v>3.4136051899999997</v>
      </c>
      <c r="DY34" s="27">
        <v>2.2186211600000001</v>
      </c>
      <c r="DZ34" s="27">
        <v>3.4807949200000001</v>
      </c>
      <c r="EA34" s="27">
        <f t="shared" si="34"/>
        <v>11.80402127</v>
      </c>
      <c r="EB34" s="27">
        <v>2.9340716000000002</v>
      </c>
      <c r="EC34" s="27">
        <v>2.78731222</v>
      </c>
      <c r="ED34" s="27">
        <v>2.9180000000000001</v>
      </c>
      <c r="EE34" s="27">
        <v>2.5737093500000015</v>
      </c>
      <c r="EF34" s="27">
        <f t="shared" si="35"/>
        <v>11.21309317</v>
      </c>
      <c r="EG34" s="27">
        <v>2.8108716199999999</v>
      </c>
      <c r="EH34" s="27">
        <v>3.2632826600000002</v>
      </c>
      <c r="EI34" s="27">
        <v>3.22342905</v>
      </c>
    </row>
    <row r="35" spans="1:139" ht="15" thickBot="1" x14ac:dyDescent="0.35">
      <c r="A35" s="2" t="s">
        <v>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28">
        <v>1.25492005</v>
      </c>
      <c r="BK35" s="28">
        <v>1.3999145799999999</v>
      </c>
      <c r="BL35" s="28">
        <v>1.0535890299999999</v>
      </c>
      <c r="BM35" s="28">
        <v>1.5570082599999999</v>
      </c>
      <c r="BN35" s="28">
        <f t="shared" si="22"/>
        <v>5.2654319199999993</v>
      </c>
      <c r="BO35" s="28">
        <v>1.2443864200000001</v>
      </c>
      <c r="BP35" s="28">
        <v>1.07065696</v>
      </c>
      <c r="BQ35" s="28">
        <v>1.6335209599999998</v>
      </c>
      <c r="BR35" s="28">
        <v>1.1956545800000002</v>
      </c>
      <c r="BS35" s="28">
        <f t="shared" si="23"/>
        <v>5.1442189200000001</v>
      </c>
      <c r="BT35" s="28">
        <v>0</v>
      </c>
      <c r="BU35" s="28">
        <v>3.5228556600000003</v>
      </c>
      <c r="BV35" s="28">
        <v>1.2209441099999996</v>
      </c>
      <c r="BW35" s="28">
        <v>8.8839671200000012</v>
      </c>
      <c r="BX35" s="28">
        <f t="shared" si="24"/>
        <v>13.62776689</v>
      </c>
      <c r="BY35" s="28">
        <v>1.5992997499999999</v>
      </c>
      <c r="BZ35" s="28">
        <v>1.7707441600000002</v>
      </c>
      <c r="CA35" s="28">
        <v>1.7363305099999995</v>
      </c>
      <c r="CB35" s="28">
        <v>1.7419466299999995</v>
      </c>
      <c r="CC35" s="28">
        <f t="shared" si="25"/>
        <v>6.8483210499999991</v>
      </c>
      <c r="CD35" s="28">
        <v>2.0917800299999998</v>
      </c>
      <c r="CE35" s="28">
        <v>1.9845572699999998</v>
      </c>
      <c r="CF35" s="28">
        <v>2.05276981</v>
      </c>
      <c r="CG35" s="28">
        <v>1.8510986700000007</v>
      </c>
      <c r="CH35" s="28">
        <f t="shared" si="26"/>
        <v>7.9802057800000004</v>
      </c>
      <c r="CI35" s="28">
        <v>1.9243989399999999</v>
      </c>
      <c r="CJ35" s="28">
        <v>2.0606634599999998</v>
      </c>
      <c r="CK35" s="28">
        <v>1.5565111999999999</v>
      </c>
      <c r="CL35" s="28">
        <v>2.3551458000000007</v>
      </c>
      <c r="CM35" s="28">
        <f t="shared" si="27"/>
        <v>7.8967194000000003</v>
      </c>
      <c r="CN35" s="28">
        <v>2.0330885599999999</v>
      </c>
      <c r="CO35" s="28">
        <v>2.1149124699999997</v>
      </c>
      <c r="CP35" s="28">
        <v>2.1535506799999999</v>
      </c>
      <c r="CQ35" s="28">
        <f>8.996-SUM(CN35:CP35)</f>
        <v>2.6944482900000004</v>
      </c>
      <c r="CR35" s="28">
        <f t="shared" si="28"/>
        <v>8.9960000000000004</v>
      </c>
      <c r="CS35" s="28">
        <v>1.6300851000000001</v>
      </c>
      <c r="CT35" s="28">
        <v>1.7820854800000001</v>
      </c>
      <c r="CU35" s="28">
        <v>1.4343070099999999</v>
      </c>
      <c r="CV35" s="28">
        <v>1.5318346799999989</v>
      </c>
      <c r="CW35" s="28">
        <f t="shared" si="29"/>
        <v>6.3783122699999986</v>
      </c>
      <c r="CX35" s="28">
        <v>1.306</v>
      </c>
      <c r="CY35" s="28">
        <v>1.1539999999999999</v>
      </c>
      <c r="CZ35" s="28">
        <v>1.1140000000000001</v>
      </c>
      <c r="DA35" s="28">
        <v>1.2130000000000001</v>
      </c>
      <c r="DB35" s="28">
        <f t="shared" si="30"/>
        <v>4.7869999999999999</v>
      </c>
      <c r="DC35" s="28">
        <v>0.81399999999999995</v>
      </c>
      <c r="DD35" s="28">
        <v>1.0169999999999999</v>
      </c>
      <c r="DE35" s="28">
        <v>0.872</v>
      </c>
      <c r="DF35" s="28">
        <v>0.751</v>
      </c>
      <c r="DG35" s="28">
        <f t="shared" si="21"/>
        <v>3.4539999999999997</v>
      </c>
      <c r="DH35" s="28">
        <v>0.84799999999999998</v>
      </c>
      <c r="DI35" s="28">
        <v>0.76100000000000001</v>
      </c>
      <c r="DJ35" s="28">
        <v>0.85899999999999999</v>
      </c>
      <c r="DK35" s="28">
        <v>0.81499999999999995</v>
      </c>
      <c r="DL35" s="28">
        <f t="shared" si="31"/>
        <v>3.2829999999999999</v>
      </c>
      <c r="DM35" s="28">
        <v>1.91</v>
      </c>
      <c r="DN35" s="28">
        <v>2.0819999999999999</v>
      </c>
      <c r="DO35" s="28">
        <v>1.9590000000000001</v>
      </c>
      <c r="DP35" s="28">
        <v>-0.77100000000000002</v>
      </c>
      <c r="DQ35" s="28">
        <f t="shared" si="32"/>
        <v>5.1800000000000006</v>
      </c>
      <c r="DR35" s="28">
        <v>0.501</v>
      </c>
      <c r="DS35" s="28">
        <v>0.34699999999999998</v>
      </c>
      <c r="DT35" s="28">
        <v>0.37</v>
      </c>
      <c r="DU35" s="28">
        <v>0.97199999999999998</v>
      </c>
      <c r="DV35" s="28">
        <f t="shared" si="33"/>
        <v>2.19</v>
      </c>
      <c r="DW35" s="28">
        <v>0.29699999999999999</v>
      </c>
      <c r="DX35" s="28">
        <v>0.35089059999999994</v>
      </c>
      <c r="DY35" s="28">
        <v>0.30589658999999997</v>
      </c>
      <c r="DZ35" s="28">
        <v>0.51045695999999996</v>
      </c>
      <c r="EA35" s="28">
        <f t="shared" si="34"/>
        <v>1.4642441499999999</v>
      </c>
      <c r="EB35" s="28">
        <v>-8.2985139999999999E-2</v>
      </c>
      <c r="EC35" s="28">
        <v>2.2635449999999998E-2</v>
      </c>
      <c r="ED35" s="28">
        <v>4.7E-2</v>
      </c>
      <c r="EE35" s="28">
        <v>4.9966610000000002E-2</v>
      </c>
      <c r="EF35" s="28">
        <f t="shared" si="35"/>
        <v>3.6616920000000004E-2</v>
      </c>
      <c r="EG35" s="28">
        <v>1.982507E-2</v>
      </c>
      <c r="EH35" s="28">
        <v>1.7229620000000001E-2</v>
      </c>
      <c r="EI35" s="28">
        <v>1.9773119999999995E-2</v>
      </c>
    </row>
    <row r="36" spans="1:139" ht="15" thickTop="1" x14ac:dyDescent="0.3">
      <c r="A36" s="1" t="s">
        <v>443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27">
        <v>2.1374466600000002</v>
      </c>
      <c r="BK36" s="27">
        <v>1.5545453499999997</v>
      </c>
      <c r="BL36" s="27">
        <v>1.5194832199999997</v>
      </c>
      <c r="BM36" s="27">
        <v>1.5773060200000009</v>
      </c>
      <c r="BN36" s="27">
        <f t="shared" si="22"/>
        <v>6.7887812500000004</v>
      </c>
      <c r="BO36" s="27">
        <v>1.4321411399999999</v>
      </c>
      <c r="BP36" s="27">
        <v>1.6629280599999998</v>
      </c>
      <c r="BQ36" s="27">
        <v>1.4347407999999999</v>
      </c>
      <c r="BR36" s="27">
        <v>1.54824506</v>
      </c>
      <c r="BS36" s="27">
        <f t="shared" si="23"/>
        <v>6.0780550599999996</v>
      </c>
      <c r="BT36" s="27">
        <v>1.95768996</v>
      </c>
      <c r="BU36" s="27">
        <v>1.79859696</v>
      </c>
      <c r="BV36" s="27">
        <v>1.55603782</v>
      </c>
      <c r="BW36" s="27">
        <v>1.9922958599999985</v>
      </c>
      <c r="BX36" s="27">
        <f t="shared" si="24"/>
        <v>7.3046205999999989</v>
      </c>
      <c r="BY36" s="27">
        <v>1.84134515</v>
      </c>
      <c r="BZ36" s="27">
        <v>1.9973290399999999</v>
      </c>
      <c r="CA36" s="27">
        <v>2.05926572</v>
      </c>
      <c r="CB36" s="27">
        <v>1.4631445800000007</v>
      </c>
      <c r="CC36" s="27">
        <f t="shared" si="25"/>
        <v>7.3610844900000005</v>
      </c>
      <c r="CD36" s="27">
        <v>1.7576148</v>
      </c>
      <c r="CE36" s="27">
        <v>2.4392825499999997</v>
      </c>
      <c r="CF36" s="27">
        <v>0.8795344800000009</v>
      </c>
      <c r="CG36" s="27">
        <v>1.8031660799999998</v>
      </c>
      <c r="CH36" s="27">
        <f t="shared" si="26"/>
        <v>6.8795979100000002</v>
      </c>
      <c r="CI36" s="27">
        <v>0.97691830000000002</v>
      </c>
      <c r="CJ36" s="27">
        <v>1.59554806</v>
      </c>
      <c r="CK36" s="27">
        <v>1.4657855199999998</v>
      </c>
      <c r="CL36" s="27">
        <v>1.1123241500000001</v>
      </c>
      <c r="CM36" s="27">
        <f t="shared" si="27"/>
        <v>5.1505760299999999</v>
      </c>
      <c r="CN36" s="27">
        <v>1.03259082</v>
      </c>
      <c r="CO36" s="27">
        <v>1.2534318900000001</v>
      </c>
      <c r="CP36" s="27">
        <v>1.1310636999999997</v>
      </c>
      <c r="CQ36" s="27">
        <f>4.593-SUM(CN36:CP36)</f>
        <v>1.1759135900000004</v>
      </c>
      <c r="CR36" s="27">
        <f t="shared" si="28"/>
        <v>4.593</v>
      </c>
      <c r="CS36" s="27">
        <v>1.24058114</v>
      </c>
      <c r="CT36" s="27">
        <v>0.98925766000000004</v>
      </c>
      <c r="CU36" s="27">
        <v>1.2020397899999995</v>
      </c>
      <c r="CV36" s="27">
        <v>1.3566077900000006</v>
      </c>
      <c r="CW36" s="27">
        <f t="shared" si="29"/>
        <v>4.7884863800000002</v>
      </c>
      <c r="CX36" s="27">
        <v>1.048</v>
      </c>
      <c r="CY36" s="27">
        <v>1.018</v>
      </c>
      <c r="CZ36" s="27">
        <v>1.2749999999999999</v>
      </c>
      <c r="DA36" s="27">
        <v>1.3260000000000001</v>
      </c>
      <c r="DB36" s="27">
        <f t="shared" si="30"/>
        <v>4.6669999999999998</v>
      </c>
      <c r="DC36" s="27">
        <v>1.3180000000000001</v>
      </c>
      <c r="DD36" s="27">
        <v>1.2909999999999999</v>
      </c>
      <c r="DE36" s="27">
        <v>1.0049999999999999</v>
      </c>
      <c r="DF36" s="27">
        <v>1.1319999999999999</v>
      </c>
      <c r="DG36" s="27">
        <f t="shared" si="21"/>
        <v>4.7459999999999996</v>
      </c>
      <c r="DH36" s="27">
        <v>1.131</v>
      </c>
      <c r="DI36" s="27">
        <v>0.97699999999999998</v>
      </c>
      <c r="DJ36" s="27">
        <v>1.21</v>
      </c>
      <c r="DK36" s="27">
        <v>1.4530000000000001</v>
      </c>
      <c r="DL36" s="27">
        <f t="shared" si="31"/>
        <v>4.7709999999999999</v>
      </c>
      <c r="DM36" s="27">
        <v>1.34</v>
      </c>
      <c r="DN36" s="27">
        <v>1.4450000000000001</v>
      </c>
      <c r="DO36" s="27">
        <v>1.4470000000000001</v>
      </c>
      <c r="DP36" s="27">
        <v>1.4870000000000001</v>
      </c>
      <c r="DQ36" s="27">
        <f t="shared" si="32"/>
        <v>5.7190000000000003</v>
      </c>
      <c r="DR36" s="27">
        <v>1.3080000000000001</v>
      </c>
      <c r="DS36" s="27">
        <v>1.2490000000000001</v>
      </c>
      <c r="DT36" s="27">
        <v>0.99399999999999999</v>
      </c>
      <c r="DU36" s="27">
        <v>1.1739999999999999</v>
      </c>
      <c r="DV36" s="27">
        <f t="shared" si="33"/>
        <v>4.7249999999999996</v>
      </c>
      <c r="DW36" s="27">
        <v>0.90100000000000002</v>
      </c>
      <c r="DX36" s="27">
        <v>0.75730967000000005</v>
      </c>
      <c r="DY36" s="27">
        <v>0.81721685000000011</v>
      </c>
      <c r="DZ36" s="27">
        <v>0.84272502000000005</v>
      </c>
      <c r="EA36" s="27">
        <f t="shared" si="34"/>
        <v>3.3182515399999999</v>
      </c>
      <c r="EB36" s="27">
        <v>0.88933018000000008</v>
      </c>
      <c r="EC36" s="27">
        <v>1.1259205400000001</v>
      </c>
      <c r="ED36" s="27">
        <v>1.3280000000000001</v>
      </c>
      <c r="EE36" s="27">
        <v>1.2024501000000005</v>
      </c>
      <c r="EF36" s="27">
        <f t="shared" si="35"/>
        <v>4.5457008200000004</v>
      </c>
      <c r="EG36" s="27">
        <v>1.2121047899999999</v>
      </c>
      <c r="EH36" s="27">
        <v>1.26355481</v>
      </c>
      <c r="EI36" s="27">
        <v>1.3964234499999997</v>
      </c>
    </row>
    <row r="37" spans="1:139" ht="15" thickBot="1" x14ac:dyDescent="0.35">
      <c r="A37" s="2" t="s">
        <v>481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28">
        <v>0</v>
      </c>
      <c r="BK37" s="28">
        <v>0</v>
      </c>
      <c r="BL37" s="28">
        <v>0</v>
      </c>
      <c r="BM37" s="28">
        <v>0</v>
      </c>
      <c r="BN37" s="28">
        <f t="shared" si="22"/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f t="shared" si="23"/>
        <v>0</v>
      </c>
      <c r="BT37" s="28">
        <v>0</v>
      </c>
      <c r="BU37" s="28">
        <v>9.212461999999999E-2</v>
      </c>
      <c r="BV37" s="28">
        <v>0.42687941000000007</v>
      </c>
      <c r="BW37" s="28">
        <v>0.44086812999999991</v>
      </c>
      <c r="BX37" s="28">
        <f t="shared" si="24"/>
        <v>0.95987215999999997</v>
      </c>
      <c r="BY37" s="28">
        <v>0.47122052000000003</v>
      </c>
      <c r="BZ37" s="28">
        <v>0</v>
      </c>
      <c r="CA37" s="28">
        <v>1.8369932499999999</v>
      </c>
      <c r="CB37" s="28">
        <v>1.0496681799999998</v>
      </c>
      <c r="CC37" s="28">
        <f t="shared" si="25"/>
        <v>3.3578819499999999</v>
      </c>
      <c r="CD37" s="28">
        <v>1.91248021</v>
      </c>
      <c r="CE37" s="28">
        <v>2.6037239400000001</v>
      </c>
      <c r="CF37" s="28">
        <v>2.1691170900000003</v>
      </c>
      <c r="CG37" s="28">
        <v>2.0938725100000006</v>
      </c>
      <c r="CH37" s="28">
        <f t="shared" si="26"/>
        <v>8.779193750000001</v>
      </c>
      <c r="CI37" s="28">
        <v>0.76428768999999996</v>
      </c>
      <c r="CJ37" s="28">
        <v>0.86292614000000012</v>
      </c>
      <c r="CK37" s="28">
        <v>0.98613660999999997</v>
      </c>
      <c r="CL37" s="28">
        <v>0.96247760000000016</v>
      </c>
      <c r="CM37" s="28">
        <f t="shared" si="27"/>
        <v>3.5758280400000002</v>
      </c>
      <c r="CN37" s="28">
        <v>0.91945927000000005</v>
      </c>
      <c r="CO37" s="28">
        <v>0.82258510000000007</v>
      </c>
      <c r="CP37" s="28">
        <v>1.0647141900000001</v>
      </c>
      <c r="CQ37" s="28">
        <f>3.81-SUM(CN37:CP37)</f>
        <v>1.0032414399999996</v>
      </c>
      <c r="CR37" s="28">
        <f t="shared" si="28"/>
        <v>3.81</v>
      </c>
      <c r="CS37" s="28">
        <v>0.97569048000000003</v>
      </c>
      <c r="CT37" s="28">
        <v>0.53137300999999992</v>
      </c>
      <c r="CU37" s="28">
        <v>0.9207449000000002</v>
      </c>
      <c r="CV37" s="28">
        <v>0.99024972999999983</v>
      </c>
      <c r="CW37" s="28">
        <f t="shared" si="29"/>
        <v>3.41805812</v>
      </c>
      <c r="CX37" s="28">
        <v>0.90900000000000003</v>
      </c>
      <c r="CY37" s="28">
        <v>0.90800000000000003</v>
      </c>
      <c r="CZ37" s="28">
        <v>0.65600000000000003</v>
      </c>
      <c r="DA37" s="28">
        <v>2.8540000000000001</v>
      </c>
      <c r="DB37" s="28">
        <f t="shared" si="30"/>
        <v>5.327</v>
      </c>
      <c r="DC37" s="28">
        <v>1.042</v>
      </c>
      <c r="DD37" s="28">
        <v>1.03</v>
      </c>
      <c r="DE37" s="28">
        <v>0.92900000000000005</v>
      </c>
      <c r="DF37" s="28">
        <v>0.94199999999999995</v>
      </c>
      <c r="DG37" s="28">
        <f t="shared" si="21"/>
        <v>3.9430000000000005</v>
      </c>
      <c r="DH37" s="28">
        <v>0.68600000000000005</v>
      </c>
      <c r="DI37" s="28">
        <v>0.59099999999999997</v>
      </c>
      <c r="DJ37" s="28">
        <v>0.64700000000000002</v>
      </c>
      <c r="DK37" s="28">
        <v>0.74099999999999999</v>
      </c>
      <c r="DL37" s="28">
        <f t="shared" si="31"/>
        <v>2.665</v>
      </c>
      <c r="DM37" s="28">
        <v>0.69199999999999995</v>
      </c>
      <c r="DN37" s="28">
        <v>0.755</v>
      </c>
      <c r="DO37" s="28">
        <v>0.73399999999999999</v>
      </c>
      <c r="DP37" s="28">
        <v>0.53200000000000003</v>
      </c>
      <c r="DQ37" s="28">
        <f t="shared" si="32"/>
        <v>2.7130000000000001</v>
      </c>
      <c r="DR37" s="28">
        <v>0.873</v>
      </c>
      <c r="DS37" s="28">
        <v>0.68600000000000005</v>
      </c>
      <c r="DT37" s="28">
        <v>3.3919999999999999</v>
      </c>
      <c r="DU37" s="28">
        <v>1.7</v>
      </c>
      <c r="DV37" s="28">
        <f t="shared" si="33"/>
        <v>6.6510000000000007</v>
      </c>
      <c r="DW37" s="28">
        <v>1.5129999999999999</v>
      </c>
      <c r="DX37" s="28">
        <v>1.5994456100000003</v>
      </c>
      <c r="DY37" s="28">
        <v>1.4409587000000001</v>
      </c>
      <c r="DZ37" s="28">
        <v>1.6232871399999997</v>
      </c>
      <c r="EA37" s="28">
        <f t="shared" si="34"/>
        <v>6.1766914499999999</v>
      </c>
      <c r="EB37" s="28">
        <v>1.57377232</v>
      </c>
      <c r="EC37" s="28">
        <v>1.6326923200000001</v>
      </c>
      <c r="ED37" s="28">
        <v>1.9219999999999999</v>
      </c>
      <c r="EE37" s="28">
        <v>1.7321930800000001</v>
      </c>
      <c r="EF37" s="28">
        <f t="shared" si="35"/>
        <v>6.8606577199999998</v>
      </c>
      <c r="EG37" s="28">
        <v>1.89879949</v>
      </c>
      <c r="EH37" s="28">
        <v>2.0114755199999999</v>
      </c>
      <c r="EI37" s="28">
        <v>2.4721348100000005</v>
      </c>
    </row>
    <row r="38" spans="1:139" ht="15" thickTop="1" x14ac:dyDescent="0.3">
      <c r="A38" s="1" t="s">
        <v>445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27">
        <v>0</v>
      </c>
      <c r="BK38" s="27">
        <v>0</v>
      </c>
      <c r="BL38" s="27">
        <v>0</v>
      </c>
      <c r="BM38" s="27">
        <v>0</v>
      </c>
      <c r="BN38" s="27">
        <f t="shared" si="22"/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f t="shared" si="23"/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f t="shared" si="24"/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f t="shared" si="25"/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f t="shared" si="26"/>
        <v>0</v>
      </c>
      <c r="CI38" s="27">
        <v>0</v>
      </c>
      <c r="CJ38" s="27">
        <v>0.58731971999999999</v>
      </c>
      <c r="CK38" s="27">
        <v>1.1745370399999999</v>
      </c>
      <c r="CL38" s="27">
        <v>1.1078533600000002</v>
      </c>
      <c r="CM38" s="27">
        <f t="shared" si="27"/>
        <v>2.8697101200000001</v>
      </c>
      <c r="CN38" s="27">
        <v>1.24225042</v>
      </c>
      <c r="CO38" s="27">
        <v>1.21912522</v>
      </c>
      <c r="CP38" s="27">
        <v>1.0937013599999998</v>
      </c>
      <c r="CQ38" s="27">
        <f>4.838-SUM(CN38:CP38)</f>
        <v>1.2829230000000003</v>
      </c>
      <c r="CR38" s="27">
        <f t="shared" si="28"/>
        <v>4.8380000000000001</v>
      </c>
      <c r="CS38" s="27">
        <v>1.2614265200000001</v>
      </c>
      <c r="CT38" s="27">
        <v>1.2667787499999998</v>
      </c>
      <c r="CU38" s="27">
        <v>1.2066767299999999</v>
      </c>
      <c r="CV38" s="27">
        <v>1.4324524700000003</v>
      </c>
      <c r="CW38" s="27">
        <f t="shared" si="29"/>
        <v>5.1673344700000001</v>
      </c>
      <c r="CX38" s="27">
        <v>0.95199999999999996</v>
      </c>
      <c r="CY38" s="27">
        <v>0.84199999999999997</v>
      </c>
      <c r="CZ38" s="27">
        <v>1.1399999999999999</v>
      </c>
      <c r="DA38" s="27">
        <v>0.98099999999999998</v>
      </c>
      <c r="DB38" s="27">
        <f t="shared" si="30"/>
        <v>3.915</v>
      </c>
      <c r="DC38" s="27">
        <v>0.97399999999999998</v>
      </c>
      <c r="DD38" s="27">
        <v>0.94299999999999995</v>
      </c>
      <c r="DE38" s="27">
        <v>0.70599999999999996</v>
      </c>
      <c r="DF38" s="27">
        <v>1.1719999999999999</v>
      </c>
      <c r="DG38" s="27">
        <f t="shared" si="21"/>
        <v>3.7949999999999999</v>
      </c>
      <c r="DH38" s="27">
        <v>0.92800000000000005</v>
      </c>
      <c r="DI38" s="27">
        <v>0.91</v>
      </c>
      <c r="DJ38" s="27">
        <v>0.98799999999999999</v>
      </c>
      <c r="DK38" s="27">
        <v>0.98499999999999999</v>
      </c>
      <c r="DL38" s="27">
        <f t="shared" si="31"/>
        <v>3.8109999999999999</v>
      </c>
      <c r="DM38" s="27">
        <v>1.0409999999999999</v>
      </c>
      <c r="DN38" s="27">
        <v>1.1839999999999999</v>
      </c>
      <c r="DO38" s="27">
        <v>1.179</v>
      </c>
      <c r="DP38" s="27">
        <v>1.1659999999999999</v>
      </c>
      <c r="DQ38" s="27">
        <f t="shared" si="32"/>
        <v>4.57</v>
      </c>
      <c r="DR38" s="27">
        <v>1.284</v>
      </c>
      <c r="DS38" s="27">
        <v>1.202</v>
      </c>
      <c r="DT38" s="27">
        <v>1.1659999999999999</v>
      </c>
      <c r="DU38" s="27">
        <v>1.383</v>
      </c>
      <c r="DV38" s="27">
        <f t="shared" si="33"/>
        <v>5.0350000000000001</v>
      </c>
      <c r="DW38" s="27">
        <v>1.59</v>
      </c>
      <c r="DX38" s="27">
        <v>1.2923083799999999</v>
      </c>
      <c r="DY38" s="27">
        <v>1.3700647599999998</v>
      </c>
      <c r="DZ38" s="27">
        <v>1.8170301900000003</v>
      </c>
      <c r="EA38" s="27">
        <f t="shared" si="34"/>
        <v>6.0694033300000001</v>
      </c>
      <c r="EB38" s="27">
        <v>1.2410435500000001</v>
      </c>
      <c r="EC38" s="27">
        <v>1.1098845100000001</v>
      </c>
      <c r="ED38" s="27">
        <v>1.516</v>
      </c>
      <c r="EE38" s="27">
        <v>0.99795795999999992</v>
      </c>
      <c r="EF38" s="27">
        <f t="shared" si="35"/>
        <v>4.8648860200000001</v>
      </c>
      <c r="EG38" s="27">
        <v>1.3095010499999999</v>
      </c>
      <c r="EH38" s="27">
        <v>1.4857074999999997</v>
      </c>
      <c r="EI38" s="27">
        <v>1.3632411400000002</v>
      </c>
    </row>
    <row r="39" spans="1:139" ht="15" thickBot="1" x14ac:dyDescent="0.35">
      <c r="A39" s="2" t="s">
        <v>444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28">
        <v>0</v>
      </c>
      <c r="BK39" s="28">
        <v>0</v>
      </c>
      <c r="BL39" s="28">
        <v>0</v>
      </c>
      <c r="BM39" s="28">
        <v>0</v>
      </c>
      <c r="BN39" s="28">
        <f t="shared" si="22"/>
        <v>0</v>
      </c>
      <c r="BO39" s="28">
        <v>0</v>
      </c>
      <c r="BP39" s="28">
        <v>0</v>
      </c>
      <c r="BQ39" s="28">
        <v>0</v>
      </c>
      <c r="BR39" s="28">
        <v>0</v>
      </c>
      <c r="BS39" s="28">
        <f t="shared" si="23"/>
        <v>0</v>
      </c>
      <c r="BT39" s="28">
        <v>0</v>
      </c>
      <c r="BU39" s="28">
        <v>0</v>
      </c>
      <c r="BV39" s="28">
        <v>0</v>
      </c>
      <c r="BW39" s="28">
        <v>0</v>
      </c>
      <c r="BX39" s="28">
        <f t="shared" si="24"/>
        <v>0</v>
      </c>
      <c r="BY39" s="28">
        <v>0</v>
      </c>
      <c r="BZ39" s="28">
        <v>0</v>
      </c>
      <c r="CA39" s="28">
        <v>0</v>
      </c>
      <c r="CB39" s="28">
        <v>0</v>
      </c>
      <c r="CC39" s="28">
        <f t="shared" si="25"/>
        <v>0</v>
      </c>
      <c r="CD39" s="28">
        <v>0</v>
      </c>
      <c r="CE39" s="28">
        <v>0</v>
      </c>
      <c r="CF39" s="28">
        <v>0</v>
      </c>
      <c r="CG39" s="28">
        <v>0</v>
      </c>
      <c r="CH39" s="28">
        <f t="shared" si="26"/>
        <v>0</v>
      </c>
      <c r="CI39" s="28">
        <v>0</v>
      </c>
      <c r="CJ39" s="28">
        <v>0</v>
      </c>
      <c r="CK39" s="28">
        <v>0</v>
      </c>
      <c r="CL39" s="28">
        <v>0</v>
      </c>
      <c r="CM39" s="28">
        <f t="shared" si="27"/>
        <v>0</v>
      </c>
      <c r="CN39" s="28">
        <v>0</v>
      </c>
      <c r="CO39" s="28">
        <v>0</v>
      </c>
      <c r="CP39" s="28">
        <v>0</v>
      </c>
      <c r="CQ39" s="28">
        <v>0</v>
      </c>
      <c r="CR39" s="28">
        <f t="shared" si="28"/>
        <v>0</v>
      </c>
      <c r="CS39" s="28">
        <v>0</v>
      </c>
      <c r="CT39" s="28">
        <v>0</v>
      </c>
      <c r="CU39" s="28">
        <v>0</v>
      </c>
      <c r="CV39" s="28">
        <v>0</v>
      </c>
      <c r="CW39" s="28">
        <f t="shared" si="29"/>
        <v>0</v>
      </c>
      <c r="CX39" s="28">
        <v>0</v>
      </c>
      <c r="CY39" s="28">
        <v>0</v>
      </c>
      <c r="CZ39" s="28">
        <v>0</v>
      </c>
      <c r="DA39" s="28">
        <v>0</v>
      </c>
      <c r="DB39" s="28">
        <f t="shared" si="30"/>
        <v>0</v>
      </c>
      <c r="DC39" s="28">
        <v>0</v>
      </c>
      <c r="DD39" s="28">
        <v>0</v>
      </c>
      <c r="DE39" s="28">
        <v>2.7909999999999999</v>
      </c>
      <c r="DF39" s="28">
        <v>0.219</v>
      </c>
      <c r="DG39" s="28">
        <f t="shared" si="21"/>
        <v>3.01</v>
      </c>
      <c r="DH39" s="28">
        <v>0.81</v>
      </c>
      <c r="DI39" s="28">
        <v>0.53</v>
      </c>
      <c r="DJ39" s="28">
        <v>0.67500000000000004</v>
      </c>
      <c r="DK39" s="28">
        <v>1.4039999999999999</v>
      </c>
      <c r="DL39" s="28">
        <f t="shared" si="31"/>
        <v>3.419</v>
      </c>
      <c r="DM39" s="28">
        <v>0.95899999999999996</v>
      </c>
      <c r="DN39" s="28">
        <v>1.0980000000000001</v>
      </c>
      <c r="DO39" s="28">
        <v>1.278</v>
      </c>
      <c r="DP39" s="28">
        <v>0.85899999999999999</v>
      </c>
      <c r="DQ39" s="28">
        <f t="shared" si="32"/>
        <v>4.194</v>
      </c>
      <c r="DR39" s="28">
        <v>1.153</v>
      </c>
      <c r="DS39" s="28">
        <v>1.022</v>
      </c>
      <c r="DT39" s="28">
        <v>0.83399999999999996</v>
      </c>
      <c r="DU39" s="28">
        <v>1.0149999999999999</v>
      </c>
      <c r="DV39" s="28">
        <f t="shared" si="33"/>
        <v>4.024</v>
      </c>
      <c r="DW39" s="28">
        <v>1.016</v>
      </c>
      <c r="DX39" s="28">
        <v>0.95270601999999993</v>
      </c>
      <c r="DY39" s="28">
        <v>0.96851932000000007</v>
      </c>
      <c r="DZ39" s="28">
        <v>1.0323431000000001</v>
      </c>
      <c r="EA39" s="28">
        <f t="shared" si="34"/>
        <v>3.9695684399999998</v>
      </c>
      <c r="EB39" s="28">
        <v>1.0542470900000001</v>
      </c>
      <c r="EC39" s="28">
        <v>1.2540787</v>
      </c>
      <c r="ED39" s="28">
        <v>1.159</v>
      </c>
      <c r="EE39" s="28">
        <v>1.1926117299999994</v>
      </c>
      <c r="EF39" s="28">
        <f t="shared" si="35"/>
        <v>4.6599375199999997</v>
      </c>
      <c r="EG39" s="28">
        <v>0.81787825999999997</v>
      </c>
      <c r="EH39" s="28">
        <v>1.0054105200000001</v>
      </c>
      <c r="EI39" s="28">
        <v>1.1648490300000001</v>
      </c>
    </row>
    <row r="40" spans="1:139" ht="15" thickTop="1" x14ac:dyDescent="0.3">
      <c r="A40" s="1" t="s">
        <v>456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27">
        <v>0</v>
      </c>
      <c r="BK40" s="27">
        <v>0</v>
      </c>
      <c r="BL40" s="27">
        <v>0</v>
      </c>
      <c r="BM40" s="27">
        <v>0</v>
      </c>
      <c r="BN40" s="27">
        <f t="shared" si="22"/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f t="shared" si="23"/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f t="shared" si="24"/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f t="shared" si="25"/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f t="shared" si="26"/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f t="shared" si="27"/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f t="shared" si="28"/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f t="shared" si="29"/>
        <v>0</v>
      </c>
      <c r="CX40" s="27">
        <v>0</v>
      </c>
      <c r="CY40" s="27">
        <v>0</v>
      </c>
      <c r="CZ40" s="27">
        <v>0</v>
      </c>
      <c r="DA40" s="27">
        <v>2.8010000000000002</v>
      </c>
      <c r="DB40" s="27">
        <f t="shared" si="30"/>
        <v>2.8010000000000002</v>
      </c>
      <c r="DC40" s="27">
        <v>1.204</v>
      </c>
      <c r="DD40" s="27">
        <v>0.99199999999999999</v>
      </c>
      <c r="DE40" s="27">
        <v>1.0409999999999999</v>
      </c>
      <c r="DF40" s="27">
        <v>0.92800000000000005</v>
      </c>
      <c r="DG40" s="27">
        <f t="shared" si="21"/>
        <v>4.165</v>
      </c>
      <c r="DH40" s="27">
        <v>1.1000000000000001</v>
      </c>
      <c r="DI40" s="27">
        <v>0.94399999999999995</v>
      </c>
      <c r="DJ40" s="27">
        <v>1.109</v>
      </c>
      <c r="DK40" s="27">
        <v>1.044</v>
      </c>
      <c r="DL40" s="27">
        <f t="shared" si="31"/>
        <v>4.1970000000000001</v>
      </c>
      <c r="DM40" s="27">
        <v>1.0489999999999999</v>
      </c>
      <c r="DN40" s="27">
        <v>1.0780000000000001</v>
      </c>
      <c r="DO40" s="27">
        <v>1.0369999999999999</v>
      </c>
      <c r="DP40" s="27">
        <v>1.0820000000000001</v>
      </c>
      <c r="DQ40" s="27">
        <f t="shared" si="32"/>
        <v>4.2459999999999996</v>
      </c>
      <c r="DR40" s="27">
        <v>1.851</v>
      </c>
      <c r="DS40" s="27">
        <v>1.2170000000000001</v>
      </c>
      <c r="DT40" s="27">
        <v>0.91800000000000004</v>
      </c>
      <c r="DU40" s="27">
        <v>1.0589999999999999</v>
      </c>
      <c r="DV40" s="27">
        <f t="shared" si="33"/>
        <v>5.0449999999999999</v>
      </c>
      <c r="DW40" s="27">
        <v>1.254</v>
      </c>
      <c r="DX40" s="27">
        <v>1.43052523</v>
      </c>
      <c r="DY40" s="27">
        <v>1.4942265699999999</v>
      </c>
      <c r="DZ40" s="27">
        <v>1.7373092799999998</v>
      </c>
      <c r="EA40" s="27">
        <f t="shared" si="34"/>
        <v>5.9160610800000004</v>
      </c>
      <c r="EB40" s="27">
        <v>1.35544833</v>
      </c>
      <c r="EC40" s="27">
        <v>1.6954714499999997</v>
      </c>
      <c r="ED40" s="27">
        <v>1.792</v>
      </c>
      <c r="EE40" s="27">
        <v>1.4974392800000003</v>
      </c>
      <c r="EF40" s="27">
        <f t="shared" si="35"/>
        <v>6.3403590599999999</v>
      </c>
      <c r="EG40" s="27">
        <v>1.46891657</v>
      </c>
      <c r="EH40" s="27">
        <v>1.5580057599999999</v>
      </c>
      <c r="EI40" s="27">
        <v>1.8913570599999996</v>
      </c>
    </row>
    <row r="41" spans="1:139" ht="15" thickBot="1" x14ac:dyDescent="0.35">
      <c r="A41" s="2" t="s">
        <v>446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28">
        <v>0</v>
      </c>
      <c r="BK41" s="28">
        <v>0</v>
      </c>
      <c r="BL41" s="28">
        <v>0</v>
      </c>
      <c r="BM41" s="28">
        <v>0</v>
      </c>
      <c r="BN41" s="28">
        <f t="shared" si="22"/>
        <v>0</v>
      </c>
      <c r="BO41" s="28">
        <v>0</v>
      </c>
      <c r="BP41" s="28">
        <v>0</v>
      </c>
      <c r="BQ41" s="28">
        <v>0</v>
      </c>
      <c r="BR41" s="28">
        <v>0</v>
      </c>
      <c r="BS41" s="28">
        <f t="shared" si="23"/>
        <v>0</v>
      </c>
      <c r="BT41" s="28">
        <v>0</v>
      </c>
      <c r="BU41" s="28">
        <v>0</v>
      </c>
      <c r="BV41" s="28">
        <v>0</v>
      </c>
      <c r="BW41" s="28">
        <v>0</v>
      </c>
      <c r="BX41" s="28">
        <f t="shared" si="24"/>
        <v>0</v>
      </c>
      <c r="BY41" s="28">
        <v>0</v>
      </c>
      <c r="BZ41" s="28">
        <v>0</v>
      </c>
      <c r="CA41" s="28">
        <v>0</v>
      </c>
      <c r="CB41" s="28">
        <v>0</v>
      </c>
      <c r="CC41" s="28">
        <f t="shared" si="25"/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f t="shared" si="26"/>
        <v>0</v>
      </c>
      <c r="CI41" s="28">
        <v>0</v>
      </c>
      <c r="CJ41" s="28">
        <v>0</v>
      </c>
      <c r="CK41" s="28">
        <v>0</v>
      </c>
      <c r="CL41" s="28">
        <v>0</v>
      </c>
      <c r="CM41" s="28">
        <f t="shared" si="27"/>
        <v>0</v>
      </c>
      <c r="CN41" s="28">
        <v>0</v>
      </c>
      <c r="CO41" s="28">
        <v>0</v>
      </c>
      <c r="CP41" s="28">
        <v>0</v>
      </c>
      <c r="CQ41" s="28">
        <v>0</v>
      </c>
      <c r="CR41" s="28">
        <f t="shared" si="28"/>
        <v>0</v>
      </c>
      <c r="CS41" s="28">
        <v>0</v>
      </c>
      <c r="CT41" s="28">
        <v>0</v>
      </c>
      <c r="CU41" s="28">
        <v>0</v>
      </c>
      <c r="CV41" s="28">
        <v>0</v>
      </c>
      <c r="CW41" s="28">
        <f t="shared" si="29"/>
        <v>0</v>
      </c>
      <c r="CX41" s="28">
        <v>0</v>
      </c>
      <c r="CY41" s="28">
        <v>0</v>
      </c>
      <c r="CZ41" s="28">
        <v>0</v>
      </c>
      <c r="DA41" s="28">
        <v>0</v>
      </c>
      <c r="DB41" s="28">
        <f t="shared" si="30"/>
        <v>0</v>
      </c>
      <c r="DC41" s="28">
        <v>0</v>
      </c>
      <c r="DD41" s="28">
        <v>0</v>
      </c>
      <c r="DE41" s="28">
        <v>0</v>
      </c>
      <c r="DF41" s="28">
        <v>0</v>
      </c>
      <c r="DG41" s="28">
        <f t="shared" si="21"/>
        <v>0</v>
      </c>
      <c r="DH41" s="28">
        <v>0.29699999999999999</v>
      </c>
      <c r="DI41" s="28">
        <v>0.377</v>
      </c>
      <c r="DJ41" s="28">
        <v>0.441</v>
      </c>
      <c r="DK41" s="28">
        <v>1.337</v>
      </c>
      <c r="DL41" s="28">
        <f t="shared" si="31"/>
        <v>2.452</v>
      </c>
      <c r="DM41" s="28">
        <v>0.73099999999999998</v>
      </c>
      <c r="DN41" s="28">
        <v>0.89300000000000002</v>
      </c>
      <c r="DO41" s="28">
        <v>0.997</v>
      </c>
      <c r="DP41" s="28">
        <v>0.57599999999999996</v>
      </c>
      <c r="DQ41" s="28">
        <f t="shared" si="32"/>
        <v>3.1970000000000001</v>
      </c>
      <c r="DR41" s="28">
        <v>1.0780000000000001</v>
      </c>
      <c r="DS41" s="28">
        <v>1.133</v>
      </c>
      <c r="DT41" s="28">
        <v>0.42399999999999999</v>
      </c>
      <c r="DU41" s="28">
        <v>0.873</v>
      </c>
      <c r="DV41" s="28">
        <f t="shared" si="33"/>
        <v>3.508</v>
      </c>
      <c r="DW41" s="28">
        <v>0.89800000000000002</v>
      </c>
      <c r="DX41" s="28">
        <v>0.91059456999999999</v>
      </c>
      <c r="DY41" s="28">
        <v>0.85169649999999997</v>
      </c>
      <c r="DZ41" s="28">
        <v>0.85027735000000004</v>
      </c>
      <c r="EA41" s="28">
        <f t="shared" si="34"/>
        <v>3.5105684200000002</v>
      </c>
      <c r="EB41" s="28">
        <v>0.76071783999999998</v>
      </c>
      <c r="EC41" s="28">
        <v>1.02485647</v>
      </c>
      <c r="ED41" s="28">
        <v>1.0269999999999999</v>
      </c>
      <c r="EE41" s="28">
        <v>1.09811554</v>
      </c>
      <c r="EF41" s="28">
        <f t="shared" si="35"/>
        <v>3.9106898499999998</v>
      </c>
      <c r="EG41" s="28">
        <v>1.1642793600000001</v>
      </c>
      <c r="EH41" s="28">
        <v>1.5806698699999999</v>
      </c>
      <c r="EI41" s="28">
        <v>1.6823111700000004</v>
      </c>
    </row>
    <row r="42" spans="1:139" ht="15" thickTop="1" x14ac:dyDescent="0.3">
      <c r="A42" s="1" t="s">
        <v>447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27">
        <v>0</v>
      </c>
      <c r="BK42" s="27">
        <v>0</v>
      </c>
      <c r="BL42" s="27">
        <v>0</v>
      </c>
      <c r="BM42" s="27">
        <v>0</v>
      </c>
      <c r="BN42" s="27">
        <f t="shared" si="22"/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f t="shared" si="23"/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f t="shared" si="24"/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f t="shared" si="25"/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f t="shared" si="26"/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f t="shared" si="27"/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f t="shared" si="28"/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f t="shared" si="29"/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f t="shared" si="30"/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f t="shared" si="21"/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f t="shared" si="31"/>
        <v>0</v>
      </c>
      <c r="DM42" s="27">
        <v>0</v>
      </c>
      <c r="DN42" s="27">
        <v>0</v>
      </c>
      <c r="DO42" s="27">
        <v>0.38200000000000001</v>
      </c>
      <c r="DP42" s="27">
        <v>1.4890000000000001</v>
      </c>
      <c r="DQ42" s="27">
        <f t="shared" si="32"/>
        <v>1.871</v>
      </c>
      <c r="DR42" s="27">
        <v>1.5669999999999999</v>
      </c>
      <c r="DS42" s="27">
        <v>1.7849999999999999</v>
      </c>
      <c r="DT42" s="27">
        <v>0.80700000000000005</v>
      </c>
      <c r="DU42" s="27">
        <v>1.474</v>
      </c>
      <c r="DV42" s="27">
        <f t="shared" si="33"/>
        <v>5.633</v>
      </c>
      <c r="DW42" s="27">
        <v>1.774</v>
      </c>
      <c r="DX42" s="27">
        <v>1.64573853</v>
      </c>
      <c r="DY42" s="27">
        <v>1.59312711</v>
      </c>
      <c r="DZ42" s="27">
        <v>1.8539477499999999</v>
      </c>
      <c r="EA42" s="27">
        <f t="shared" si="34"/>
        <v>6.8668133899999999</v>
      </c>
      <c r="EB42" s="27">
        <v>2.0335627500000002</v>
      </c>
      <c r="EC42" s="27">
        <v>1.3292229799999999</v>
      </c>
      <c r="ED42" s="27">
        <v>1.724</v>
      </c>
      <c r="EE42" s="27">
        <v>1.8120783399999998</v>
      </c>
      <c r="EF42" s="27">
        <f t="shared" si="35"/>
        <v>6.8988640700000001</v>
      </c>
      <c r="EG42" s="27">
        <v>1.7177544199999999</v>
      </c>
      <c r="EH42" s="27">
        <v>1.8565406299999998</v>
      </c>
      <c r="EI42" s="27">
        <v>2.1381295899999997</v>
      </c>
    </row>
    <row r="43" spans="1:139" ht="15" thickBot="1" x14ac:dyDescent="0.35">
      <c r="A43" s="2" t="s">
        <v>448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28">
        <v>0</v>
      </c>
      <c r="BK43" s="28">
        <v>0</v>
      </c>
      <c r="BL43" s="28">
        <v>0</v>
      </c>
      <c r="BM43" s="28">
        <v>0</v>
      </c>
      <c r="BN43" s="28">
        <f t="shared" si="22"/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f t="shared" si="23"/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f t="shared" si="24"/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f t="shared" si="25"/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f t="shared" si="26"/>
        <v>0</v>
      </c>
      <c r="CI43" s="28">
        <v>0</v>
      </c>
      <c r="CJ43" s="28">
        <v>0</v>
      </c>
      <c r="CK43" s="28">
        <v>0</v>
      </c>
      <c r="CL43" s="28">
        <v>0</v>
      </c>
      <c r="CM43" s="28">
        <f t="shared" si="27"/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f t="shared" si="28"/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f t="shared" si="29"/>
        <v>0</v>
      </c>
      <c r="CX43" s="28">
        <v>0</v>
      </c>
      <c r="CY43" s="28">
        <v>0</v>
      </c>
      <c r="CZ43" s="28">
        <v>0</v>
      </c>
      <c r="DA43" s="28">
        <v>0</v>
      </c>
      <c r="DB43" s="28">
        <f t="shared" si="30"/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f t="shared" si="21"/>
        <v>0</v>
      </c>
      <c r="DH43" s="28"/>
      <c r="DI43" s="28">
        <v>0</v>
      </c>
      <c r="DJ43" s="28">
        <v>0</v>
      </c>
      <c r="DK43" s="28">
        <v>0</v>
      </c>
      <c r="DL43" s="28">
        <f t="shared" si="31"/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f t="shared" si="32"/>
        <v>0</v>
      </c>
      <c r="DR43" s="28">
        <v>0</v>
      </c>
      <c r="DS43" s="28">
        <v>0</v>
      </c>
      <c r="DT43" s="28">
        <v>0.378</v>
      </c>
      <c r="DU43" s="28">
        <v>0.78200000000000003</v>
      </c>
      <c r="DV43" s="28">
        <f t="shared" si="33"/>
        <v>1.1600000000000001</v>
      </c>
      <c r="DW43" s="28">
        <v>1.0509999999999999</v>
      </c>
      <c r="DX43" s="28">
        <v>1.1259075999999999</v>
      </c>
      <c r="DY43" s="28">
        <v>1.35393396</v>
      </c>
      <c r="DZ43" s="28">
        <v>1.6887465300000002</v>
      </c>
      <c r="EA43" s="28">
        <f t="shared" si="34"/>
        <v>5.2195880900000002</v>
      </c>
      <c r="EB43" s="28">
        <v>1.9640152799999999</v>
      </c>
      <c r="EC43" s="28">
        <v>1.7555794000000002</v>
      </c>
      <c r="ED43" s="28">
        <v>1.9</v>
      </c>
      <c r="EE43" s="28">
        <v>2.0390643199999992</v>
      </c>
      <c r="EF43" s="28">
        <f t="shared" si="35"/>
        <v>7.6586590000000001</v>
      </c>
      <c r="EG43" s="28">
        <v>1.8767622800000001</v>
      </c>
      <c r="EH43" s="28">
        <v>2.1739576600000001</v>
      </c>
      <c r="EI43" s="28">
        <v>2.39666253</v>
      </c>
    </row>
    <row r="44" spans="1:139" ht="15" thickTop="1" x14ac:dyDescent="0.3">
      <c r="A44" s="1" t="s">
        <v>449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0.85697774000000004</v>
      </c>
      <c r="DY44" s="27">
        <v>1.20504415</v>
      </c>
      <c r="DZ44" s="27">
        <v>1.7308107500000003</v>
      </c>
      <c r="EA44" s="27">
        <f t="shared" si="34"/>
        <v>3.7928326400000003</v>
      </c>
      <c r="EB44" s="27">
        <v>2.97446622</v>
      </c>
      <c r="EC44" s="27">
        <v>0.68388194999999974</v>
      </c>
      <c r="ED44" s="27">
        <v>1.47</v>
      </c>
      <c r="EE44" s="27">
        <v>1.5456086299999998</v>
      </c>
      <c r="EF44" s="27">
        <f t="shared" si="35"/>
        <v>6.6739567999999991</v>
      </c>
      <c r="EG44" s="27">
        <v>1.5389245</v>
      </c>
      <c r="EH44" s="27">
        <v>2.0079670299999997</v>
      </c>
      <c r="EI44" s="27">
        <v>1.69266315</v>
      </c>
    </row>
    <row r="45" spans="1:139" ht="15" thickBot="1" x14ac:dyDescent="0.35">
      <c r="A45" s="2" t="s">
        <v>460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>
        <v>0</v>
      </c>
      <c r="EH45" s="28">
        <v>1.4302793600000001</v>
      </c>
      <c r="EI45" s="28">
        <v>1.62204624</v>
      </c>
    </row>
    <row r="46" spans="1:139" ht="15" thickTop="1" x14ac:dyDescent="0.3">
      <c r="A46" s="1" t="s">
        <v>304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27">
        <v>0</v>
      </c>
      <c r="BK46" s="27">
        <v>0</v>
      </c>
      <c r="BL46" s="27">
        <v>0</v>
      </c>
      <c r="BM46" s="27">
        <v>0</v>
      </c>
      <c r="BN46" s="27">
        <f t="shared" si="22"/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f t="shared" si="23"/>
        <v>0</v>
      </c>
      <c r="BT46" s="27">
        <v>0</v>
      </c>
      <c r="BU46" s="27">
        <v>0</v>
      </c>
      <c r="BV46" s="27">
        <v>0</v>
      </c>
      <c r="BW46" s="27">
        <v>18.193616065000001</v>
      </c>
      <c r="BX46" s="27">
        <f t="shared" si="24"/>
        <v>18.193616065000001</v>
      </c>
      <c r="BY46" s="27">
        <v>10.460340220000001</v>
      </c>
      <c r="BZ46" s="27">
        <v>9.9585476699999997</v>
      </c>
      <c r="CA46" s="27">
        <v>12.261808119999996</v>
      </c>
      <c r="CB46" s="27">
        <v>9.0820307299999978</v>
      </c>
      <c r="CC46" s="27">
        <f t="shared" si="25"/>
        <v>41.762726739999998</v>
      </c>
      <c r="CD46" s="27">
        <v>8.4942270400000002</v>
      </c>
      <c r="CE46" s="27">
        <v>9.4841286900000004</v>
      </c>
      <c r="CF46" s="27">
        <v>7.8487447100000036</v>
      </c>
      <c r="CG46" s="27">
        <v>4.8525181699999926</v>
      </c>
      <c r="CH46" s="27">
        <f t="shared" si="26"/>
        <v>30.679618609999995</v>
      </c>
      <c r="CI46" s="27">
        <v>8.5481849700000012</v>
      </c>
      <c r="CJ46" s="27">
        <v>9.5817210999999993</v>
      </c>
      <c r="CK46" s="27">
        <v>7.5164474000000006</v>
      </c>
      <c r="CL46" s="27">
        <v>6.4446713000000031</v>
      </c>
      <c r="CM46" s="27">
        <f t="shared" si="27"/>
        <v>32.091024770000004</v>
      </c>
      <c r="CN46" s="27">
        <v>8.2594331400000005</v>
      </c>
      <c r="CO46" s="27">
        <v>7.5078058300000006</v>
      </c>
      <c r="CP46" s="27">
        <v>7.1311744599999969</v>
      </c>
      <c r="CQ46" s="27">
        <f>30.565-SUM(CN46:CP46)</f>
        <v>7.6665865700000033</v>
      </c>
      <c r="CR46" s="27">
        <f t="shared" si="28"/>
        <v>30.565000000000001</v>
      </c>
      <c r="CS46" s="27">
        <v>4.8609999999999998</v>
      </c>
      <c r="CT46" s="27">
        <f>12.351-CS46</f>
        <v>7.4900000000000011</v>
      </c>
      <c r="CU46" s="27">
        <f>19.602-SUM(CS46:CT46)</f>
        <v>7.2509999999999994</v>
      </c>
      <c r="CV46" s="27">
        <f>26.683-SUM(CS46:CU46)</f>
        <v>7.0809999999999995</v>
      </c>
      <c r="CW46" s="27">
        <f t="shared" si="29"/>
        <v>26.683</v>
      </c>
      <c r="CX46" s="27">
        <v>5.8239999999999998</v>
      </c>
      <c r="CY46" s="27">
        <v>5.6509999999999998</v>
      </c>
      <c r="CZ46" s="27">
        <v>5.875</v>
      </c>
      <c r="DA46" s="27">
        <v>3.26</v>
      </c>
      <c r="DB46" s="27">
        <f t="shared" si="30"/>
        <v>20.61</v>
      </c>
      <c r="DC46" s="27">
        <v>4.3780000000000001</v>
      </c>
      <c r="DD46" s="27">
        <v>3.6640000000000001</v>
      </c>
      <c r="DE46" s="27">
        <v>4.8979999999999997</v>
      </c>
      <c r="DF46" s="27">
        <v>5.218</v>
      </c>
      <c r="DG46" s="27">
        <f>SUM(DC46:DF46)</f>
        <v>18.158000000000001</v>
      </c>
      <c r="DH46" s="27">
        <v>5.5890000000000004</v>
      </c>
      <c r="DI46" s="27">
        <v>4.05</v>
      </c>
      <c r="DJ46" s="27">
        <v>4.8319999999999999</v>
      </c>
      <c r="DK46" s="27">
        <v>6.5739999999999998</v>
      </c>
      <c r="DL46" s="27">
        <f t="shared" si="31"/>
        <v>21.045000000000002</v>
      </c>
      <c r="DM46" s="27">
        <v>5.8860000000000001</v>
      </c>
      <c r="DN46" s="27">
        <v>6.492</v>
      </c>
      <c r="DO46" s="27">
        <v>6.4909999999999997</v>
      </c>
      <c r="DP46" s="27">
        <v>4.9489999999999998</v>
      </c>
      <c r="DQ46" s="27">
        <f t="shared" si="32"/>
        <v>23.817999999999998</v>
      </c>
      <c r="DR46" s="27">
        <v>7.8049999999999997</v>
      </c>
      <c r="DS46" s="27">
        <v>7.9370000000000003</v>
      </c>
      <c r="DT46" s="27">
        <v>7.9530000000000003</v>
      </c>
      <c r="DU46" s="27">
        <v>9.1739999999999995</v>
      </c>
      <c r="DV46" s="27">
        <f t="shared" si="33"/>
        <v>32.869</v>
      </c>
      <c r="DW46" s="27">
        <v>8.7249999999999996</v>
      </c>
      <c r="DX46" s="27">
        <v>8.5554613699999997</v>
      </c>
      <c r="DY46" s="27">
        <f>(6017674.57+1472989.17)/1000000</f>
        <v>7.4906637400000005</v>
      </c>
      <c r="DZ46" s="27">
        <v>6.6044124700000015</v>
      </c>
      <c r="EA46" s="27">
        <f>SUM(DW46:DZ46)</f>
        <v>31.37553758</v>
      </c>
      <c r="EB46" s="27">
        <f>(4729392.51+511150.78)/1000000</f>
        <v>5.2405432899999997</v>
      </c>
      <c r="EC46" s="27">
        <v>5.6540078400000002</v>
      </c>
      <c r="ED46" s="27">
        <v>7.3490000000000002</v>
      </c>
      <c r="EE46" s="27">
        <v>7.6671519299999993</v>
      </c>
      <c r="EF46" s="27">
        <f>SUM(EB46:EE46)</f>
        <v>25.910703059999999</v>
      </c>
      <c r="EG46" s="27">
        <v>7.1980539299999995</v>
      </c>
      <c r="EH46" s="27">
        <v>7.8707808099999994</v>
      </c>
      <c r="EI46" s="27">
        <v>8.7654229499999996</v>
      </c>
    </row>
    <row r="47" spans="1:139" ht="15" thickBot="1" x14ac:dyDescent="0.35">
      <c r="A47" s="2" t="s">
        <v>305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28">
        <v>0</v>
      </c>
      <c r="BK47" s="28">
        <v>0</v>
      </c>
      <c r="BL47" s="28">
        <v>0</v>
      </c>
      <c r="BM47" s="28">
        <v>0</v>
      </c>
      <c r="BN47" s="28">
        <f t="shared" si="22"/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f t="shared" si="23"/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f t="shared" si="24"/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f t="shared" si="25"/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f t="shared" si="26"/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f t="shared" si="27"/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f t="shared" si="28"/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f t="shared" si="29"/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f t="shared" si="30"/>
        <v>0</v>
      </c>
      <c r="DC47" s="28">
        <v>0.72199999999999998</v>
      </c>
      <c r="DD47" s="28">
        <v>0.74099999999999999</v>
      </c>
      <c r="DE47" s="28">
        <v>0.83599999999999997</v>
      </c>
      <c r="DF47" s="28">
        <v>0.78200000000000003</v>
      </c>
      <c r="DG47" s="28">
        <f>SUM(DC47:DF47)</f>
        <v>3.081</v>
      </c>
      <c r="DH47" s="28">
        <v>0.65200000000000002</v>
      </c>
      <c r="DI47" s="28">
        <v>1.256</v>
      </c>
      <c r="DJ47" s="28">
        <v>1.359</v>
      </c>
      <c r="DK47" s="28">
        <v>1.1140000000000001</v>
      </c>
      <c r="DL47" s="28">
        <f t="shared" si="31"/>
        <v>4.3810000000000002</v>
      </c>
      <c r="DM47" s="28">
        <v>1.0089999999999999</v>
      </c>
      <c r="DN47" s="28">
        <v>1.26</v>
      </c>
      <c r="DO47" s="28">
        <v>1.022</v>
      </c>
      <c r="DP47" s="28">
        <v>0.94299999999999995</v>
      </c>
      <c r="DQ47" s="28">
        <f t="shared" si="32"/>
        <v>4.234</v>
      </c>
      <c r="DR47" s="28">
        <v>0.72599999999999998</v>
      </c>
      <c r="DS47" s="28">
        <v>0.872</v>
      </c>
      <c r="DT47" s="28">
        <v>0.57699999999999996</v>
      </c>
      <c r="DU47" s="28">
        <v>0.63600000000000001</v>
      </c>
      <c r="DV47" s="28">
        <f t="shared" si="33"/>
        <v>2.8109999999999999</v>
      </c>
      <c r="DW47" s="28">
        <v>0.70699999999999996</v>
      </c>
      <c r="DX47" s="28">
        <v>0.87112135999999996</v>
      </c>
      <c r="DY47" s="28">
        <v>1.2304261000000001</v>
      </c>
      <c r="DZ47" s="28">
        <v>1.5201150499999998</v>
      </c>
      <c r="EA47" s="28">
        <f>SUM(DW47:DZ47)</f>
        <v>4.3286625099999991</v>
      </c>
      <c r="EB47" s="28">
        <v>1.6380857200000001</v>
      </c>
      <c r="EC47" s="28">
        <v>1.5460054600000002</v>
      </c>
      <c r="ED47" s="28">
        <v>1.5629999999999999</v>
      </c>
      <c r="EE47" s="28">
        <v>1.1929034699999996</v>
      </c>
      <c r="EF47" s="28">
        <f>SUM(EB47:EE47)</f>
        <v>5.9399946499999992</v>
      </c>
      <c r="EG47" s="28">
        <v>0.94265301000000001</v>
      </c>
      <c r="EH47" s="28">
        <v>1.1790111500000002</v>
      </c>
      <c r="EI47" s="28">
        <v>1.3051096599999996</v>
      </c>
    </row>
    <row r="48" spans="1:139" ht="15" thickTop="1" x14ac:dyDescent="0.3">
      <c r="A48" s="1" t="s">
        <v>306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27">
        <v>0</v>
      </c>
      <c r="BK48" s="27">
        <v>0</v>
      </c>
      <c r="BL48" s="27">
        <v>0</v>
      </c>
      <c r="BM48" s="27">
        <v>0</v>
      </c>
      <c r="BN48" s="27">
        <f t="shared" si="22"/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f t="shared" si="23"/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f t="shared" si="24"/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f t="shared" si="25"/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f t="shared" si="26"/>
        <v>0</v>
      </c>
      <c r="CI48" s="27">
        <v>0</v>
      </c>
      <c r="CJ48" s="27">
        <v>9.503559730000001</v>
      </c>
      <c r="CK48" s="27">
        <v>7.5561558000000009</v>
      </c>
      <c r="CL48" s="27">
        <v>6.6565285699999972</v>
      </c>
      <c r="CM48" s="27">
        <f t="shared" si="27"/>
        <v>23.716244099999997</v>
      </c>
      <c r="CN48" s="27">
        <v>3.7927109900000002</v>
      </c>
      <c r="CO48" s="27">
        <v>4.4545642000000001</v>
      </c>
      <c r="CP48" s="27">
        <v>7.4467090500000008</v>
      </c>
      <c r="CQ48" s="27">
        <f>25.67-SUM(CN48:CP48)</f>
        <v>9.976015760000001</v>
      </c>
      <c r="CR48" s="27">
        <f t="shared" si="28"/>
        <v>25.67</v>
      </c>
      <c r="CS48" s="27">
        <v>5.1141484299999993</v>
      </c>
      <c r="CT48" s="27">
        <v>9.3010835199999988</v>
      </c>
      <c r="CU48" s="27">
        <v>6.1013036300000012</v>
      </c>
      <c r="CV48" s="27">
        <v>12.730760819999997</v>
      </c>
      <c r="CW48" s="27">
        <f t="shared" si="29"/>
        <v>33.247296399999996</v>
      </c>
      <c r="CX48" s="27">
        <v>6.4930000000000003</v>
      </c>
      <c r="CY48" s="27">
        <v>6.4240000000000004</v>
      </c>
      <c r="CZ48" s="27">
        <v>8.5259999999999998</v>
      </c>
      <c r="DA48" s="27">
        <v>9.4420000000000002</v>
      </c>
      <c r="DB48" s="27">
        <f t="shared" si="30"/>
        <v>30.885000000000002</v>
      </c>
      <c r="DC48" s="27">
        <v>8.3949999999999996</v>
      </c>
      <c r="DD48" s="27">
        <v>7.3</v>
      </c>
      <c r="DE48" s="27">
        <v>9.48</v>
      </c>
      <c r="DF48" s="27">
        <v>8.9030000000000005</v>
      </c>
      <c r="DG48" s="27">
        <f>SUM(DC48:DF48)</f>
        <v>34.078000000000003</v>
      </c>
      <c r="DH48" s="27">
        <v>9.4369999999999994</v>
      </c>
      <c r="DI48" s="27">
        <v>8.6959999999999997</v>
      </c>
      <c r="DJ48" s="27">
        <v>7.7409999999999997</v>
      </c>
      <c r="DK48" s="27">
        <v>2.1869999999999998</v>
      </c>
      <c r="DL48" s="27">
        <f t="shared" si="31"/>
        <v>28.061</v>
      </c>
      <c r="DM48" s="27">
        <v>7.7430000000000003</v>
      </c>
      <c r="DN48" s="27">
        <v>9.9019999999999992</v>
      </c>
      <c r="DO48" s="27">
        <v>9.5879999999999992</v>
      </c>
      <c r="DP48" s="27">
        <v>0.7</v>
      </c>
      <c r="DQ48" s="27">
        <f t="shared" si="32"/>
        <v>27.932999999999996</v>
      </c>
      <c r="DR48" s="27">
        <v>10.233000000000001</v>
      </c>
      <c r="DS48" s="27">
        <v>6.4269999999999996</v>
      </c>
      <c r="DT48" s="27">
        <v>10.614000000000001</v>
      </c>
      <c r="DU48" s="27">
        <v>13.914</v>
      </c>
      <c r="DV48" s="27">
        <f t="shared" si="33"/>
        <v>41.188000000000002</v>
      </c>
      <c r="DW48" s="27">
        <v>10.355</v>
      </c>
      <c r="DX48" s="27">
        <v>5.6965162099999995</v>
      </c>
      <c r="DY48" s="27">
        <v>7.8584782200000003</v>
      </c>
      <c r="DZ48" s="27">
        <v>11.42053877</v>
      </c>
      <c r="EA48" s="27">
        <f>SUM(DW48:DZ48)</f>
        <v>35.330533199999998</v>
      </c>
      <c r="EB48" s="27">
        <v>12.1637033</v>
      </c>
      <c r="EC48" s="27">
        <v>8.2091909300000001</v>
      </c>
      <c r="ED48" s="27">
        <v>11.041</v>
      </c>
      <c r="EE48" s="27">
        <v>6.3612406699999982</v>
      </c>
      <c r="EF48" s="27">
        <f>SUM(EB48:EE48)</f>
        <v>37.775134899999998</v>
      </c>
      <c r="EG48" s="27">
        <v>10.038256519999999</v>
      </c>
      <c r="EH48" s="27">
        <v>11.56613795</v>
      </c>
      <c r="EI48" s="27">
        <v>11.529986780000002</v>
      </c>
    </row>
    <row r="49" spans="1:139" ht="15" thickBot="1" x14ac:dyDescent="0.35">
      <c r="A49" s="2" t="s">
        <v>323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v>0</v>
      </c>
      <c r="EG49" s="28">
        <v>0</v>
      </c>
      <c r="EH49" s="28">
        <v>0</v>
      </c>
      <c r="EI49" s="28">
        <v>0</v>
      </c>
    </row>
    <row r="50" spans="1:139" ht="15" thickTop="1" x14ac:dyDescent="0.3">
      <c r="A50" s="1" t="s">
        <v>322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27">
        <v>0</v>
      </c>
      <c r="CK50" s="27">
        <v>0</v>
      </c>
      <c r="CL50" s="27">
        <v>0</v>
      </c>
      <c r="CM50" s="27">
        <v>0</v>
      </c>
      <c r="CN50" s="27">
        <v>0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0</v>
      </c>
      <c r="CZ50" s="27">
        <v>0</v>
      </c>
      <c r="DA50" s="27">
        <v>0</v>
      </c>
      <c r="DB50" s="27">
        <v>0</v>
      </c>
      <c r="DC50" s="27">
        <v>0</v>
      </c>
      <c r="DD50" s="27">
        <v>0</v>
      </c>
      <c r="DE50" s="27">
        <v>0</v>
      </c>
      <c r="DF50" s="27">
        <v>0</v>
      </c>
      <c r="DG50" s="27">
        <v>0</v>
      </c>
      <c r="DH50" s="27">
        <v>0</v>
      </c>
      <c r="DI50" s="27">
        <v>0</v>
      </c>
      <c r="DJ50" s="27">
        <v>0</v>
      </c>
      <c r="DK50" s="27">
        <v>0</v>
      </c>
      <c r="DL50" s="27">
        <v>0</v>
      </c>
      <c r="DM50" s="27">
        <v>0</v>
      </c>
      <c r="DN50" s="27">
        <v>0</v>
      </c>
      <c r="DO50" s="27">
        <v>0</v>
      </c>
      <c r="DP50" s="27">
        <v>5.8000000000000003E-2</v>
      </c>
      <c r="DQ50" s="27">
        <v>0</v>
      </c>
      <c r="DR50" s="27">
        <v>8.5999999999999993E-2</v>
      </c>
      <c r="DS50" s="27">
        <v>-6.9000000000000006E-2</v>
      </c>
      <c r="DT50" s="27">
        <v>8.9999999999999993E-3</v>
      </c>
      <c r="DU50" s="27">
        <v>8.0000000000000002E-3</v>
      </c>
      <c r="DV50" s="27">
        <v>0</v>
      </c>
      <c r="DW50" s="27">
        <v>8.9999999999999993E-3</v>
      </c>
      <c r="DX50" s="27">
        <v>8.6400000000000001E-3</v>
      </c>
      <c r="DY50" s="27">
        <v>8.6400000000000001E-3</v>
      </c>
      <c r="DZ50" s="27">
        <v>8.6400000000000001E-3</v>
      </c>
      <c r="EA50" s="27">
        <v>0</v>
      </c>
      <c r="EB50" s="27">
        <v>8.6400000000000001E-3</v>
      </c>
      <c r="EC50" s="27">
        <v>8.6400000000000001E-3</v>
      </c>
      <c r="ED50" s="27">
        <v>8.9999999999999993E-3</v>
      </c>
      <c r="EE50" s="27">
        <v>1.0483629999999997E-2</v>
      </c>
      <c r="EF50" s="27">
        <v>0</v>
      </c>
      <c r="EG50" s="27">
        <v>8.6400000000000001E-3</v>
      </c>
      <c r="EH50" s="27">
        <v>8.6400000000000001E-3</v>
      </c>
      <c r="EI50" s="27">
        <v>8.6400000000000001E-3</v>
      </c>
    </row>
    <row r="51" spans="1:139" ht="15" thickBot="1" x14ac:dyDescent="0.35">
      <c r="A51" s="2" t="s">
        <v>370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28">
        <v>0.12705401</v>
      </c>
      <c r="BK51" s="28">
        <v>0.61713941000000005</v>
      </c>
      <c r="BL51" s="28">
        <v>0.66846353000000014</v>
      </c>
      <c r="BM51" s="28">
        <v>0.94494090000000019</v>
      </c>
      <c r="BN51" s="28">
        <f t="shared" si="22"/>
        <v>2.3575978500000003</v>
      </c>
      <c r="BO51" s="28">
        <v>1.4171119599999999</v>
      </c>
      <c r="BP51" s="28">
        <v>12.265906810000001</v>
      </c>
      <c r="BQ51" s="28">
        <v>7.1383494399999989</v>
      </c>
      <c r="BR51" s="28">
        <v>13.499384739999993</v>
      </c>
      <c r="BS51" s="28">
        <f t="shared" si="23"/>
        <v>34.320752949999992</v>
      </c>
      <c r="BT51" s="28">
        <v>0</v>
      </c>
      <c r="BU51" s="28">
        <v>0</v>
      </c>
      <c r="BV51" s="28">
        <v>0</v>
      </c>
      <c r="BW51" s="28">
        <v>0</v>
      </c>
      <c r="BX51" s="28">
        <f t="shared" si="24"/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f t="shared" si="25"/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f t="shared" si="26"/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f t="shared" si="27"/>
        <v>0</v>
      </c>
      <c r="CN51" s="28">
        <v>0</v>
      </c>
      <c r="CO51" s="28">
        <v>0</v>
      </c>
      <c r="CP51" s="28">
        <v>0</v>
      </c>
      <c r="CQ51" s="28">
        <v>0</v>
      </c>
      <c r="CR51" s="28">
        <f t="shared" si="28"/>
        <v>0</v>
      </c>
      <c r="CS51" s="28">
        <v>0</v>
      </c>
      <c r="CT51" s="28">
        <v>0</v>
      </c>
      <c r="CU51" s="28">
        <v>0</v>
      </c>
      <c r="CV51" s="28">
        <v>0</v>
      </c>
      <c r="CW51" s="28">
        <f t="shared" si="29"/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f t="shared" si="30"/>
        <v>0</v>
      </c>
      <c r="DC51" s="28">
        <v>0</v>
      </c>
      <c r="DD51" s="28">
        <f>SUM(CZ51:DC51)</f>
        <v>0</v>
      </c>
      <c r="DE51" s="28">
        <f>SUM(DA51:DD51)</f>
        <v>0</v>
      </c>
      <c r="DF51" s="28">
        <f>SUM(DB51:DE51)</f>
        <v>0</v>
      </c>
      <c r="DG51" s="28">
        <f>SUM(DC51:DF51)</f>
        <v>0</v>
      </c>
      <c r="DH51" s="28">
        <f>SUM(DD51:DG51)</f>
        <v>0</v>
      </c>
      <c r="DI51" s="28">
        <v>0</v>
      </c>
      <c r="DJ51" s="28">
        <v>0</v>
      </c>
      <c r="DK51" s="28">
        <v>0</v>
      </c>
      <c r="DL51" s="28">
        <f t="shared" si="31"/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f t="shared" si="32"/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f>SUM(DR51:DU51)</f>
        <v>0</v>
      </c>
      <c r="DW51" s="28">
        <v>0</v>
      </c>
      <c r="DX51" s="28">
        <v>0</v>
      </c>
      <c r="DY51" s="28">
        <v>0</v>
      </c>
      <c r="DZ51" s="28">
        <v>0</v>
      </c>
      <c r="EA51" s="28">
        <f>SUM(DW51:DZ51)</f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f>SUM(EB51:EE51)</f>
        <v>0</v>
      </c>
      <c r="EG51" s="28">
        <v>0</v>
      </c>
      <c r="EH51" s="28">
        <v>0</v>
      </c>
      <c r="EI51" s="28">
        <v>0</v>
      </c>
    </row>
    <row r="52" spans="1:139" ht="15" thickTop="1" x14ac:dyDescent="0.3">
      <c r="A52" s="1" t="s">
        <v>338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27">
        <v>0.88160765000000008</v>
      </c>
      <c r="BK52" s="27">
        <v>0.71078376999999993</v>
      </c>
      <c r="BL52" s="27">
        <v>0.80898811999999976</v>
      </c>
      <c r="BM52" s="27">
        <v>0.97014696000000034</v>
      </c>
      <c r="BN52" s="27">
        <f t="shared" si="22"/>
        <v>3.3715264999999999</v>
      </c>
      <c r="BO52" s="27">
        <v>0.89050395000000004</v>
      </c>
      <c r="BP52" s="27">
        <v>0.85095774000000013</v>
      </c>
      <c r="BQ52" s="27">
        <v>1.0913113400000001</v>
      </c>
      <c r="BR52" s="27">
        <v>1.2411430284759997</v>
      </c>
      <c r="BS52" s="27">
        <f t="shared" si="23"/>
        <v>4.0739160584759997</v>
      </c>
      <c r="BT52" s="27">
        <v>0</v>
      </c>
      <c r="BU52" s="27">
        <v>0</v>
      </c>
      <c r="BV52" s="27">
        <v>0</v>
      </c>
      <c r="BW52" s="27">
        <v>0</v>
      </c>
      <c r="BX52" s="27">
        <f t="shared" si="24"/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f t="shared" si="25"/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f t="shared" si="26"/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f t="shared" si="27"/>
        <v>0</v>
      </c>
      <c r="CN52" s="27">
        <v>0</v>
      </c>
      <c r="CO52" s="27">
        <v>0</v>
      </c>
      <c r="CP52" s="27">
        <v>0</v>
      </c>
      <c r="CQ52" s="27">
        <v>0.105</v>
      </c>
      <c r="CR52" s="27">
        <f t="shared" si="28"/>
        <v>0.105</v>
      </c>
      <c r="CS52" s="27">
        <v>0.113</v>
      </c>
      <c r="CT52" s="27">
        <f>0.113-CS52</f>
        <v>0</v>
      </c>
      <c r="CU52" s="27">
        <f>0.113-CT52-CS52</f>
        <v>0</v>
      </c>
      <c r="CV52" s="27">
        <f>0.113-CU52-CT52-CS52</f>
        <v>0</v>
      </c>
      <c r="CW52" s="27">
        <f t="shared" si="29"/>
        <v>0.113</v>
      </c>
      <c r="CX52" s="27">
        <v>0</v>
      </c>
      <c r="CY52" s="27">
        <v>0</v>
      </c>
      <c r="CZ52" s="27">
        <v>0</v>
      </c>
      <c r="DA52" s="27">
        <v>1.7000000000000001E-2</v>
      </c>
      <c r="DB52" s="27">
        <f t="shared" si="30"/>
        <v>1.7000000000000001E-2</v>
      </c>
      <c r="DC52" s="27">
        <v>0</v>
      </c>
      <c r="DD52" s="27">
        <v>0.222</v>
      </c>
      <c r="DE52" s="27">
        <v>-0.09</v>
      </c>
      <c r="DF52" s="27">
        <v>0</v>
      </c>
      <c r="DG52" s="27">
        <f>SUM(DC52:DF52)</f>
        <v>0.13200000000000001</v>
      </c>
      <c r="DH52" s="27">
        <v>0</v>
      </c>
      <c r="DI52" s="27">
        <v>3.6999999999999998E-2</v>
      </c>
      <c r="DJ52" s="27">
        <v>5.2999999999999999E-2</v>
      </c>
      <c r="DK52" s="27">
        <v>9.9000000000000005E-2</v>
      </c>
      <c r="DL52" s="27">
        <f t="shared" si="31"/>
        <v>0.189</v>
      </c>
      <c r="DM52" s="27">
        <v>0</v>
      </c>
      <c r="DN52" s="27">
        <v>0</v>
      </c>
      <c r="DO52" s="27">
        <v>0</v>
      </c>
      <c r="DP52" s="27">
        <v>0</v>
      </c>
      <c r="DQ52" s="27">
        <f t="shared" si="32"/>
        <v>0</v>
      </c>
      <c r="DR52" s="27">
        <v>-4.0000000000000001E-3</v>
      </c>
      <c r="DS52" s="27">
        <v>0</v>
      </c>
      <c r="DT52" s="27">
        <v>8.2000000000000003E-2</v>
      </c>
      <c r="DU52" s="27">
        <v>0</v>
      </c>
      <c r="DV52" s="27">
        <f>SUM(DR52:DU52)</f>
        <v>7.8E-2</v>
      </c>
      <c r="DW52" s="27">
        <v>0</v>
      </c>
      <c r="DX52" s="27">
        <v>0</v>
      </c>
      <c r="DY52" s="27">
        <v>0</v>
      </c>
      <c r="DZ52" s="27">
        <v>4.9216379999999997E-2</v>
      </c>
      <c r="EA52" s="27">
        <f>SUM(DW52:DZ52)</f>
        <v>4.9216379999999997E-2</v>
      </c>
      <c r="EB52" s="27">
        <v>0.10333160000000001</v>
      </c>
      <c r="EC52" s="27">
        <v>0.20707623</v>
      </c>
      <c r="ED52" s="27">
        <v>0.14499999999999999</v>
      </c>
      <c r="EE52" s="27">
        <v>0.12558592999999998</v>
      </c>
      <c r="EF52" s="27">
        <f>SUM(EB52:EE52)</f>
        <v>0.58099375999999991</v>
      </c>
      <c r="EG52" s="27">
        <v>0.15159021</v>
      </c>
      <c r="EH52" s="27">
        <v>0.15300316</v>
      </c>
      <c r="EI52" s="27">
        <v>0.45933511999999999</v>
      </c>
    </row>
    <row r="53" spans="1:139" ht="15" thickBot="1" x14ac:dyDescent="0.35">
      <c r="A53" s="2" t="s">
        <v>331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28">
        <v>6.9584903000000002</v>
      </c>
      <c r="BK53" s="28">
        <v>4.1532202299999996</v>
      </c>
      <c r="BL53" s="28">
        <v>4.0813061600000013</v>
      </c>
      <c r="BM53" s="28">
        <v>4.222578030000002</v>
      </c>
      <c r="BN53" s="28">
        <f t="shared" si="22"/>
        <v>19.415594720000001</v>
      </c>
      <c r="BO53" s="28">
        <v>4.50550753</v>
      </c>
      <c r="BP53" s="28">
        <v>5.9328275899999996</v>
      </c>
      <c r="BQ53" s="28">
        <v>5.5243957499999992</v>
      </c>
      <c r="BR53" s="28">
        <v>4.8877232200000007</v>
      </c>
      <c r="BS53" s="28">
        <f t="shared" si="23"/>
        <v>20.850454089999999</v>
      </c>
      <c r="BT53" s="28">
        <v>6.7872362599999994</v>
      </c>
      <c r="BU53" s="28">
        <v>5.4475320200000015</v>
      </c>
      <c r="BV53" s="28">
        <v>5.2406490499999991</v>
      </c>
      <c r="BW53" s="28">
        <v>7.5252812100000037</v>
      </c>
      <c r="BX53" s="28">
        <f t="shared" si="24"/>
        <v>25.000698540000002</v>
      </c>
      <c r="BY53" s="28">
        <v>5.6872865499999996</v>
      </c>
      <c r="BZ53" s="28">
        <v>5.4902873100000011</v>
      </c>
      <c r="CA53" s="28">
        <v>5.8248570599999976</v>
      </c>
      <c r="CB53" s="28">
        <v>5.8880364500000031</v>
      </c>
      <c r="CC53" s="28">
        <f t="shared" si="25"/>
        <v>22.890467370000003</v>
      </c>
      <c r="CD53" s="28">
        <v>13.571332700000001</v>
      </c>
      <c r="CE53" s="28">
        <v>7.7883626800000005</v>
      </c>
      <c r="CF53" s="28">
        <v>11.918260209999998</v>
      </c>
      <c r="CG53" s="28">
        <v>10.2755621</v>
      </c>
      <c r="CH53" s="28">
        <f t="shared" si="26"/>
        <v>43.55351769</v>
      </c>
      <c r="CI53" s="28">
        <v>10.79035369</v>
      </c>
      <c r="CJ53" s="28">
        <v>5.7312121100000013</v>
      </c>
      <c r="CK53" s="28">
        <v>3.5180454999999995</v>
      </c>
      <c r="CL53" s="28">
        <v>9.3116584300000014</v>
      </c>
      <c r="CM53" s="28">
        <f t="shared" si="27"/>
        <v>29.351269730000002</v>
      </c>
      <c r="CN53" s="28">
        <v>4.0576290300000002</v>
      </c>
      <c r="CO53" s="28">
        <v>5.2141980600000002</v>
      </c>
      <c r="CP53" s="28">
        <v>2.1873024799999996</v>
      </c>
      <c r="CQ53" s="28">
        <f>14.475-SUM(CN53:CP53)</f>
        <v>3.0158704299999997</v>
      </c>
      <c r="CR53" s="28">
        <f t="shared" si="28"/>
        <v>14.475</v>
      </c>
      <c r="CS53" s="28">
        <v>7.0674835400000005</v>
      </c>
      <c r="CT53" s="28">
        <f>8.049-CS53</f>
        <v>0.98151645999999904</v>
      </c>
      <c r="CU53" s="28">
        <v>7.0135963800000001</v>
      </c>
      <c r="CV53" s="28">
        <v>5.01018031</v>
      </c>
      <c r="CW53" s="28">
        <f t="shared" si="29"/>
        <v>20.072776689999998</v>
      </c>
      <c r="CX53" s="28">
        <v>4.7169999999999996</v>
      </c>
      <c r="CY53" s="28">
        <v>2.6110000000000002</v>
      </c>
      <c r="CZ53" s="28">
        <v>8.1690000000000005</v>
      </c>
      <c r="DA53" s="28">
        <v>5.6260000000000003</v>
      </c>
      <c r="DB53" s="28">
        <f t="shared" si="30"/>
        <v>21.123000000000001</v>
      </c>
      <c r="DC53" s="28">
        <v>10.332000000000001</v>
      </c>
      <c r="DD53" s="28">
        <v>8.3610000000000007</v>
      </c>
      <c r="DE53" s="28">
        <v>18.026</v>
      </c>
      <c r="DF53" s="28">
        <v>3.879</v>
      </c>
      <c r="DG53" s="28">
        <f>SUM(DC53:DF53)</f>
        <v>40.597999999999999</v>
      </c>
      <c r="DH53" s="28">
        <v>3.911</v>
      </c>
      <c r="DI53" s="28">
        <v>3.5920000000000001</v>
      </c>
      <c r="DJ53" s="28">
        <v>3.476</v>
      </c>
      <c r="DK53" s="28">
        <v>1.5640000000000001</v>
      </c>
      <c r="DL53" s="28">
        <f t="shared" si="31"/>
        <v>12.542999999999999</v>
      </c>
      <c r="DM53" s="28">
        <v>3.8140000000000001</v>
      </c>
      <c r="DN53" s="28">
        <v>4.9349999999999996</v>
      </c>
      <c r="DO53" s="28">
        <v>3.6419999999999999</v>
      </c>
      <c r="DP53" s="28">
        <v>-0.64600000000000002</v>
      </c>
      <c r="DQ53" s="28">
        <f t="shared" si="32"/>
        <v>11.744999999999997</v>
      </c>
      <c r="DR53" s="28">
        <v>4.8970000000000002</v>
      </c>
      <c r="DS53" s="28">
        <v>3.4529999999999998</v>
      </c>
      <c r="DT53" s="28">
        <v>6.5410000000000004</v>
      </c>
      <c r="DU53" s="28">
        <v>4.5910000000000002</v>
      </c>
      <c r="DV53" s="28">
        <f>SUM(DR53:DU53)</f>
        <v>19.481999999999999</v>
      </c>
      <c r="DW53" s="28">
        <v>5.923</v>
      </c>
      <c r="DX53" s="28">
        <v>6.6879970499999999</v>
      </c>
      <c r="DY53" s="28">
        <v>6.5263622100000012</v>
      </c>
      <c r="DZ53" s="28">
        <v>10.590448969999999</v>
      </c>
      <c r="EA53" s="28">
        <f>SUM(DW53:DZ53)</f>
        <v>29.727808230000001</v>
      </c>
      <c r="EB53" s="28">
        <v>7.9232905999999996</v>
      </c>
      <c r="EC53" s="28">
        <v>7.7514774100000006</v>
      </c>
      <c r="ED53" s="28">
        <v>7.0259999999999998</v>
      </c>
      <c r="EE53" s="28">
        <v>4.161837150000002</v>
      </c>
      <c r="EF53" s="28">
        <f>SUM(EB53:EE53)</f>
        <v>26.862605160000001</v>
      </c>
      <c r="EG53" s="28">
        <v>7.6455368300000002</v>
      </c>
      <c r="EH53" s="28">
        <v>8.503893119999999</v>
      </c>
      <c r="EI53" s="28">
        <v>8.352074570000001</v>
      </c>
    </row>
    <row r="54" spans="1:139" ht="15" thickTop="1" x14ac:dyDescent="0.3">
      <c r="A54" s="1" t="s">
        <v>308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27">
        <v>0</v>
      </c>
      <c r="BK54" s="27">
        <v>0</v>
      </c>
      <c r="BL54" s="27">
        <v>0</v>
      </c>
      <c r="BM54" s="27">
        <v>0</v>
      </c>
      <c r="BN54" s="27">
        <f t="shared" si="22"/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f t="shared" si="23"/>
        <v>0</v>
      </c>
      <c r="BT54" s="27">
        <v>1.8</v>
      </c>
      <c r="BU54" s="27">
        <v>2.2000000000000002</v>
      </c>
      <c r="BV54" s="27">
        <v>2</v>
      </c>
      <c r="BW54" s="27">
        <v>3.9</v>
      </c>
      <c r="BX54" s="27">
        <f t="shared" si="24"/>
        <v>9.9</v>
      </c>
      <c r="BY54" s="27">
        <v>2</v>
      </c>
      <c r="BZ54" s="27">
        <v>2.4</v>
      </c>
      <c r="CA54" s="27">
        <v>2.2000000000000002</v>
      </c>
      <c r="CB54" s="27">
        <v>2.2000000000000002</v>
      </c>
      <c r="CC54" s="27">
        <f t="shared" si="25"/>
        <v>8.8000000000000007</v>
      </c>
      <c r="CD54" s="27">
        <v>2.1</v>
      </c>
      <c r="CE54" s="27">
        <v>1.5</v>
      </c>
      <c r="CF54" s="27">
        <v>1.5</v>
      </c>
      <c r="CG54" s="27">
        <v>0.8</v>
      </c>
      <c r="CH54" s="27">
        <f t="shared" si="26"/>
        <v>5.8999999999999995</v>
      </c>
      <c r="CI54" s="27">
        <v>0</v>
      </c>
      <c r="CJ54" s="27">
        <v>0</v>
      </c>
      <c r="CK54" s="27">
        <v>0</v>
      </c>
      <c r="CL54" s="27">
        <v>0</v>
      </c>
      <c r="CM54" s="27">
        <f t="shared" si="27"/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f t="shared" si="28"/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f t="shared" si="29"/>
        <v>0</v>
      </c>
      <c r="CX54" s="27">
        <v>0</v>
      </c>
      <c r="CY54" s="27">
        <v>0</v>
      </c>
      <c r="CZ54" s="27">
        <v>0</v>
      </c>
      <c r="DA54" s="27">
        <v>0</v>
      </c>
      <c r="DB54" s="27">
        <f t="shared" si="30"/>
        <v>0</v>
      </c>
      <c r="DC54" s="27">
        <v>0</v>
      </c>
      <c r="DD54" s="27">
        <v>0</v>
      </c>
      <c r="DE54" s="27">
        <v>0</v>
      </c>
      <c r="DF54" s="27">
        <v>0</v>
      </c>
      <c r="DG54" s="27">
        <f>SUM(DC54:DF54)</f>
        <v>0</v>
      </c>
      <c r="DH54" s="27">
        <v>0</v>
      </c>
      <c r="DI54" s="27">
        <v>0</v>
      </c>
      <c r="DJ54" s="27">
        <v>0</v>
      </c>
      <c r="DK54" s="27">
        <v>0</v>
      </c>
      <c r="DL54" s="27">
        <f t="shared" si="31"/>
        <v>0</v>
      </c>
      <c r="DM54" s="27">
        <v>0</v>
      </c>
      <c r="DN54" s="27">
        <v>0</v>
      </c>
      <c r="DO54" s="27">
        <v>0</v>
      </c>
      <c r="DP54" s="27">
        <v>0</v>
      </c>
      <c r="DQ54" s="27">
        <f t="shared" si="32"/>
        <v>0</v>
      </c>
      <c r="DR54" s="27">
        <v>0</v>
      </c>
      <c r="DS54" s="27">
        <v>0</v>
      </c>
      <c r="DT54" s="27">
        <v>0</v>
      </c>
      <c r="DU54" s="27">
        <v>0</v>
      </c>
      <c r="DV54" s="27">
        <f>SUM(DR54:DU54)</f>
        <v>0</v>
      </c>
      <c r="DW54" s="27">
        <v>0</v>
      </c>
      <c r="DX54" s="27">
        <v>0</v>
      </c>
      <c r="DY54" s="27">
        <v>0</v>
      </c>
      <c r="DZ54" s="27">
        <v>0</v>
      </c>
      <c r="EA54" s="27">
        <f>SUM(DW54:DZ54)</f>
        <v>0</v>
      </c>
      <c r="EB54" s="27">
        <v>0</v>
      </c>
      <c r="EC54" s="27">
        <v>0</v>
      </c>
      <c r="ED54" s="27">
        <v>0</v>
      </c>
      <c r="EE54" s="27">
        <v>0</v>
      </c>
      <c r="EF54" s="27">
        <f>SUM(EB54:EE54)</f>
        <v>0</v>
      </c>
      <c r="EG54" s="27">
        <v>0</v>
      </c>
      <c r="EH54" s="27">
        <v>0</v>
      </c>
      <c r="EI54" s="27">
        <v>0</v>
      </c>
    </row>
    <row r="55" spans="1:139" x14ac:dyDescent="0.3">
      <c r="A55" s="5" t="s">
        <v>311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29">
        <f t="shared" ref="BJ55:CW55" si="36">SUM(BJ32:BJ54)</f>
        <v>16.624968589999998</v>
      </c>
      <c r="BK55" s="29">
        <f t="shared" si="36"/>
        <v>13.717585829999997</v>
      </c>
      <c r="BL55" s="29">
        <f t="shared" si="36"/>
        <v>11.696409000000001</v>
      </c>
      <c r="BM55" s="29">
        <f t="shared" si="36"/>
        <v>14.611681290000003</v>
      </c>
      <c r="BN55" s="29">
        <f t="shared" si="36"/>
        <v>56.650644709999995</v>
      </c>
      <c r="BO55" s="29">
        <f t="shared" si="36"/>
        <v>15.176837859999999</v>
      </c>
      <c r="BP55" s="29">
        <f t="shared" si="36"/>
        <v>27.525559589999997</v>
      </c>
      <c r="BQ55" s="29">
        <f t="shared" si="36"/>
        <v>22.14983419</v>
      </c>
      <c r="BR55" s="29">
        <f t="shared" si="36"/>
        <v>26.442851148475995</v>
      </c>
      <c r="BS55" s="29">
        <f t="shared" si="36"/>
        <v>91.295082788475995</v>
      </c>
      <c r="BT55" s="29">
        <f t="shared" si="36"/>
        <v>17.116306059999999</v>
      </c>
      <c r="BU55" s="29">
        <f t="shared" si="36"/>
        <v>18.761862350000001</v>
      </c>
      <c r="BV55" s="29">
        <f t="shared" si="36"/>
        <v>15.35435116</v>
      </c>
      <c r="BW55" s="29">
        <f t="shared" si="36"/>
        <v>47.186315755000003</v>
      </c>
      <c r="BX55" s="29">
        <f t="shared" si="36"/>
        <v>98.418835325000003</v>
      </c>
      <c r="BY55" s="29">
        <f t="shared" si="36"/>
        <v>27.03998271</v>
      </c>
      <c r="BZ55" s="29">
        <f t="shared" si="36"/>
        <v>28.26819467</v>
      </c>
      <c r="CA55" s="29">
        <f t="shared" si="36"/>
        <v>31.056865789999993</v>
      </c>
      <c r="CB55" s="29">
        <f t="shared" si="36"/>
        <v>28.723666269999999</v>
      </c>
      <c r="CC55" s="29">
        <f t="shared" si="36"/>
        <v>115.08870943999999</v>
      </c>
      <c r="CD55" s="29">
        <f t="shared" si="36"/>
        <v>35.867842020000005</v>
      </c>
      <c r="CE55" s="29">
        <f t="shared" si="36"/>
        <v>33.005469839999996</v>
      </c>
      <c r="CF55" s="29">
        <f t="shared" si="36"/>
        <v>32.489278030000001</v>
      </c>
      <c r="CG55" s="29">
        <f t="shared" si="36"/>
        <v>29.901831869999999</v>
      </c>
      <c r="CH55" s="29">
        <f t="shared" si="36"/>
        <v>131.26442176</v>
      </c>
      <c r="CI55" s="29">
        <f t="shared" si="36"/>
        <v>27.444868870000001</v>
      </c>
      <c r="CJ55" s="29">
        <f t="shared" si="36"/>
        <v>35.58283754</v>
      </c>
      <c r="CK55" s="29">
        <f t="shared" si="36"/>
        <v>28.017718010000003</v>
      </c>
      <c r="CL55" s="29">
        <f t="shared" si="36"/>
        <v>33.334832259999999</v>
      </c>
      <c r="CM55" s="29">
        <f t="shared" si="36"/>
        <v>124.38025668</v>
      </c>
      <c r="CN55" s="29">
        <f t="shared" si="36"/>
        <v>26.735553980000002</v>
      </c>
      <c r="CO55" s="29">
        <f t="shared" si="36"/>
        <v>27.808028300000004</v>
      </c>
      <c r="CP55" s="29">
        <f t="shared" si="36"/>
        <v>27.203446729999996</v>
      </c>
      <c r="CQ55" s="29">
        <f t="shared" si="36"/>
        <v>32.480970990000003</v>
      </c>
      <c r="CR55" s="29">
        <f t="shared" si="36"/>
        <v>114.22800000000001</v>
      </c>
      <c r="CS55" s="29">
        <f t="shared" si="36"/>
        <v>27.499845290000003</v>
      </c>
      <c r="CT55" s="29">
        <f t="shared" si="36"/>
        <v>27.314898149999998</v>
      </c>
      <c r="CU55" s="29">
        <f t="shared" si="36"/>
        <v>30.398975180000001</v>
      </c>
      <c r="CV55" s="29">
        <f t="shared" si="36"/>
        <v>35.945648909999996</v>
      </c>
      <c r="CW55" s="29">
        <f t="shared" si="36"/>
        <v>121.15936753</v>
      </c>
      <c r="CX55" s="29">
        <f>SUM(CX32:CX54)</f>
        <v>26.459</v>
      </c>
      <c r="CY55" s="29">
        <f>SUM(CY32:CY54)</f>
        <v>23.262</v>
      </c>
      <c r="CZ55" s="29">
        <f>SUM(CZ32:CZ54)</f>
        <v>31.903000000000002</v>
      </c>
      <c r="DA55" s="29">
        <f t="shared" ref="DA55:DT55" si="37">SUM(DA32:DA54)</f>
        <v>33.247</v>
      </c>
      <c r="DB55" s="29">
        <f t="shared" si="37"/>
        <v>114.871</v>
      </c>
      <c r="DC55" s="29">
        <f t="shared" si="37"/>
        <v>34.634</v>
      </c>
      <c r="DD55" s="29">
        <f t="shared" si="37"/>
        <v>31.152999999999999</v>
      </c>
      <c r="DE55" s="29">
        <f t="shared" si="37"/>
        <v>47.525000000000006</v>
      </c>
      <c r="DF55" s="29">
        <f t="shared" si="37"/>
        <v>28.372000000000003</v>
      </c>
      <c r="DG55" s="29">
        <f t="shared" si="37"/>
        <v>141.68400000000003</v>
      </c>
      <c r="DH55" s="29">
        <f t="shared" si="37"/>
        <v>29.736000000000004</v>
      </c>
      <c r="DI55" s="29">
        <f t="shared" si="37"/>
        <v>26.887999999999998</v>
      </c>
      <c r="DJ55" s="29">
        <f t="shared" si="37"/>
        <v>27.870999999999999</v>
      </c>
      <c r="DK55" s="29">
        <f t="shared" si="37"/>
        <v>23.200000000000003</v>
      </c>
      <c r="DL55" s="29">
        <f t="shared" si="37"/>
        <v>107.69499999999999</v>
      </c>
      <c r="DM55" s="29">
        <f t="shared" si="37"/>
        <v>31.369</v>
      </c>
      <c r="DN55" s="29">
        <f t="shared" si="37"/>
        <v>36.764000000000003</v>
      </c>
      <c r="DO55" s="29">
        <f t="shared" si="37"/>
        <v>35.909000000000006</v>
      </c>
      <c r="DP55" s="29">
        <f t="shared" si="37"/>
        <v>16.48</v>
      </c>
      <c r="DQ55" s="29">
        <f t="shared" si="37"/>
        <v>120.464</v>
      </c>
      <c r="DR55" s="29">
        <f t="shared" si="37"/>
        <v>38.251999999999995</v>
      </c>
      <c r="DS55" s="29">
        <f t="shared" si="37"/>
        <v>32.157000000000004</v>
      </c>
      <c r="DT55" s="29">
        <f t="shared" si="37"/>
        <v>37.491</v>
      </c>
      <c r="DU55" s="29">
        <f t="shared" ref="DU55:EA55" si="38">SUM(DU32:DU54)</f>
        <v>43.604999999999997</v>
      </c>
      <c r="DV55" s="29">
        <f t="shared" si="38"/>
        <v>151.471</v>
      </c>
      <c r="DW55" s="29">
        <f t="shared" si="38"/>
        <v>40.159000000000006</v>
      </c>
      <c r="DX55" s="29">
        <f t="shared" si="38"/>
        <v>37.870747739999999</v>
      </c>
      <c r="DY55" s="29">
        <f t="shared" si="38"/>
        <v>38.364448179999997</v>
      </c>
      <c r="DZ55" s="29">
        <f t="shared" si="38"/>
        <v>49.200461650000001</v>
      </c>
      <c r="EA55" s="29">
        <f t="shared" si="38"/>
        <v>165.55973756999998</v>
      </c>
      <c r="EB55" s="29">
        <f>SUM(EB32:EB54)</f>
        <v>45.571186470000001</v>
      </c>
      <c r="EC55" s="29">
        <f>SUM(EC32:EC54)</f>
        <v>39.349772109999996</v>
      </c>
      <c r="ED55" s="29">
        <f>SUM(ED32:ED54)</f>
        <v>45.707000000000008</v>
      </c>
      <c r="EE55" s="29">
        <f>SUM(EE32:EE54)</f>
        <v>36.628774770000007</v>
      </c>
      <c r="EF55" s="29">
        <f t="shared" ref="EF55" si="39">SUM(EF32:EF54)</f>
        <v>167.21996971999999</v>
      </c>
      <c r="EG55" s="29">
        <f>SUM(EG32:EG54)</f>
        <v>43.423348589999996</v>
      </c>
      <c r="EH55" s="29">
        <f>SUM(EH32:EH54)</f>
        <v>52.955855109999995</v>
      </c>
      <c r="EI55" s="29">
        <f>SUM(EI32:EI54)</f>
        <v>54.976488119999999</v>
      </c>
    </row>
    <row r="56" spans="1:139" x14ac:dyDescent="0.3">
      <c r="A56" s="20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</row>
    <row r="57" spans="1:139" x14ac:dyDescent="0.3">
      <c r="A57" s="20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</row>
    <row r="58" spans="1:139" x14ac:dyDescent="0.3">
      <c r="A58" s="3" t="s">
        <v>373</v>
      </c>
      <c r="B58" s="6" t="s">
        <v>4</v>
      </c>
      <c r="C58" s="6" t="s">
        <v>5</v>
      </c>
      <c r="D58" s="6" t="s">
        <v>6</v>
      </c>
      <c r="E58" s="6" t="s">
        <v>7</v>
      </c>
      <c r="F58" s="6">
        <v>2018</v>
      </c>
      <c r="G58" s="6" t="s">
        <v>8</v>
      </c>
      <c r="H58" s="6" t="s">
        <v>9</v>
      </c>
      <c r="I58" s="6" t="s">
        <v>10</v>
      </c>
      <c r="J58" s="6" t="s">
        <v>11</v>
      </c>
      <c r="K58" s="6">
        <v>2019</v>
      </c>
      <c r="L58" s="6" t="s">
        <v>12</v>
      </c>
      <c r="M58" s="6" t="s">
        <v>13</v>
      </c>
      <c r="N58" s="6" t="s">
        <v>14</v>
      </c>
      <c r="O58" s="6" t="s">
        <v>15</v>
      </c>
      <c r="P58" s="6">
        <v>2000</v>
      </c>
      <c r="Q58" s="6" t="s">
        <v>16</v>
      </c>
      <c r="R58" s="6" t="s">
        <v>17</v>
      </c>
      <c r="S58" s="6" t="s">
        <v>18</v>
      </c>
      <c r="T58" s="6" t="s">
        <v>19</v>
      </c>
      <c r="U58" s="6">
        <v>2001</v>
      </c>
      <c r="V58" s="6" t="s">
        <v>20</v>
      </c>
      <c r="W58" s="6" t="s">
        <v>21</v>
      </c>
      <c r="X58" s="6" t="s">
        <v>22</v>
      </c>
      <c r="Y58" s="6" t="s">
        <v>23</v>
      </c>
      <c r="Z58" s="6">
        <v>2002</v>
      </c>
      <c r="AA58" s="6" t="s">
        <v>24</v>
      </c>
      <c r="AB58" s="6" t="s">
        <v>25</v>
      </c>
      <c r="AC58" s="6" t="s">
        <v>26</v>
      </c>
      <c r="AD58" s="6" t="s">
        <v>27</v>
      </c>
      <c r="AE58" s="6">
        <v>2003</v>
      </c>
      <c r="AF58" s="6" t="s">
        <v>28</v>
      </c>
      <c r="AG58" s="6" t="s">
        <v>29</v>
      </c>
      <c r="AH58" s="6" t="s">
        <v>30</v>
      </c>
      <c r="AI58" s="6" t="s">
        <v>31</v>
      </c>
      <c r="AJ58" s="6">
        <v>2004</v>
      </c>
      <c r="AK58" s="6" t="s">
        <v>32</v>
      </c>
      <c r="AL58" s="6" t="s">
        <v>33</v>
      </c>
      <c r="AM58" s="6" t="s">
        <v>34</v>
      </c>
      <c r="AN58" s="6" t="s">
        <v>35</v>
      </c>
      <c r="AO58" s="6">
        <v>2005</v>
      </c>
      <c r="AP58" s="6" t="s">
        <v>36</v>
      </c>
      <c r="AQ58" s="6" t="s">
        <v>37</v>
      </c>
      <c r="AR58" s="6" t="s">
        <v>38</v>
      </c>
      <c r="AS58" s="6" t="s">
        <v>39</v>
      </c>
      <c r="AT58" s="6">
        <v>2006</v>
      </c>
      <c r="AU58" s="6" t="s">
        <v>40</v>
      </c>
      <c r="AV58" s="6" t="s">
        <v>41</v>
      </c>
      <c r="AW58" s="6" t="s">
        <v>42</v>
      </c>
      <c r="AX58" s="6" t="s">
        <v>43</v>
      </c>
      <c r="AY58" s="6">
        <v>2007</v>
      </c>
      <c r="AZ58" s="6" t="s">
        <v>44</v>
      </c>
      <c r="BA58" s="6" t="s">
        <v>45</v>
      </c>
      <c r="BB58" s="6" t="s">
        <v>46</v>
      </c>
      <c r="BC58" s="6" t="s">
        <v>47</v>
      </c>
      <c r="BD58" s="6">
        <v>2008</v>
      </c>
      <c r="BE58" s="6" t="s">
        <v>48</v>
      </c>
      <c r="BF58" s="6" t="s">
        <v>49</v>
      </c>
      <c r="BG58" s="6" t="s">
        <v>50</v>
      </c>
      <c r="BH58" s="6" t="s">
        <v>51</v>
      </c>
      <c r="BI58" s="6">
        <v>2009</v>
      </c>
      <c r="BJ58" s="6" t="s">
        <v>52</v>
      </c>
      <c r="BK58" s="6" t="s">
        <v>53</v>
      </c>
      <c r="BL58" s="6" t="s">
        <v>54</v>
      </c>
      <c r="BM58" s="6" t="s">
        <v>55</v>
      </c>
      <c r="BN58" s="6">
        <v>2010</v>
      </c>
      <c r="BO58" s="6" t="s">
        <v>56</v>
      </c>
      <c r="BP58" s="6" t="s">
        <v>57</v>
      </c>
      <c r="BQ58" s="6" t="s">
        <v>58</v>
      </c>
      <c r="BR58" s="6" t="s">
        <v>59</v>
      </c>
      <c r="BS58" s="6">
        <v>2011</v>
      </c>
      <c r="BT58" s="6" t="s">
        <v>60</v>
      </c>
      <c r="BU58" s="6" t="s">
        <v>61</v>
      </c>
      <c r="BV58" s="6" t="s">
        <v>62</v>
      </c>
      <c r="BW58" s="6" t="s">
        <v>63</v>
      </c>
      <c r="BX58" s="6">
        <v>2012</v>
      </c>
      <c r="BY58" s="6" t="s">
        <v>64</v>
      </c>
      <c r="BZ58" s="6" t="s">
        <v>65</v>
      </c>
      <c r="CA58" s="6" t="s">
        <v>66</v>
      </c>
      <c r="CB58" s="6" t="s">
        <v>67</v>
      </c>
      <c r="CC58" s="6">
        <v>2013</v>
      </c>
      <c r="CD58" s="6" t="s">
        <v>68</v>
      </c>
      <c r="CE58" s="6" t="s">
        <v>69</v>
      </c>
      <c r="CF58" s="6" t="s">
        <v>70</v>
      </c>
      <c r="CG58" s="6" t="s">
        <v>71</v>
      </c>
      <c r="CH58" s="6">
        <v>2014</v>
      </c>
      <c r="CI58" s="6" t="s">
        <v>72</v>
      </c>
      <c r="CJ58" s="6" t="s">
        <v>73</v>
      </c>
      <c r="CK58" s="6" t="s">
        <v>74</v>
      </c>
      <c r="CL58" s="6" t="s">
        <v>75</v>
      </c>
      <c r="CM58" s="6">
        <v>2015</v>
      </c>
      <c r="CN58" s="6" t="s">
        <v>76</v>
      </c>
      <c r="CO58" s="6" t="s">
        <v>77</v>
      </c>
      <c r="CP58" s="6" t="s">
        <v>78</v>
      </c>
      <c r="CQ58" s="6" t="s">
        <v>79</v>
      </c>
      <c r="CR58" s="6">
        <v>2016</v>
      </c>
      <c r="CS58" s="6" t="s">
        <v>80</v>
      </c>
      <c r="CT58" s="6" t="s">
        <v>81</v>
      </c>
      <c r="CU58" s="6" t="s">
        <v>82</v>
      </c>
      <c r="CV58" s="6" t="s">
        <v>83</v>
      </c>
      <c r="CW58" s="6">
        <v>2017</v>
      </c>
      <c r="CX58" s="6" t="s">
        <v>84</v>
      </c>
      <c r="CY58" s="6" t="s">
        <v>85</v>
      </c>
      <c r="CZ58" s="6" t="s">
        <v>86</v>
      </c>
      <c r="DA58" s="6" t="s">
        <v>87</v>
      </c>
      <c r="DB58" s="6">
        <v>2018</v>
      </c>
      <c r="DC58" s="6" t="s">
        <v>88</v>
      </c>
      <c r="DD58" s="6" t="s">
        <v>89</v>
      </c>
      <c r="DE58" s="6" t="s">
        <v>90</v>
      </c>
      <c r="DF58" s="6" t="s">
        <v>91</v>
      </c>
      <c r="DG58" s="6">
        <v>2019</v>
      </c>
      <c r="DH58" s="6" t="s">
        <v>92</v>
      </c>
      <c r="DI58" s="6" t="s">
        <v>93</v>
      </c>
      <c r="DJ58" s="6" t="s">
        <v>94</v>
      </c>
      <c r="DK58" s="6" t="s">
        <v>95</v>
      </c>
      <c r="DL58" s="6">
        <v>2020</v>
      </c>
      <c r="DM58" s="6" t="s">
        <v>96</v>
      </c>
      <c r="DN58" s="6" t="s">
        <v>97</v>
      </c>
      <c r="DO58" s="6" t="s">
        <v>98</v>
      </c>
      <c r="DP58" s="6" t="s">
        <v>99</v>
      </c>
      <c r="DQ58" s="6">
        <v>2021</v>
      </c>
      <c r="DR58" s="6" t="s">
        <v>100</v>
      </c>
      <c r="DS58" s="6" t="s">
        <v>101</v>
      </c>
      <c r="DT58" s="6" t="s">
        <v>200</v>
      </c>
      <c r="DU58" s="6" t="s">
        <v>380</v>
      </c>
      <c r="DV58" s="6">
        <v>2022</v>
      </c>
      <c r="DW58" s="6" t="s">
        <v>379</v>
      </c>
      <c r="DX58" s="6" t="s">
        <v>402</v>
      </c>
      <c r="DY58" s="6" t="s">
        <v>414</v>
      </c>
      <c r="DZ58" s="6" t="s">
        <v>419</v>
      </c>
      <c r="EA58" s="6">
        <v>2023</v>
      </c>
      <c r="EB58" s="6" t="s">
        <v>424</v>
      </c>
      <c r="EC58" s="6" t="s">
        <v>429</v>
      </c>
      <c r="ED58" s="6" t="str">
        <f>$ED$1</f>
        <v>3T24</v>
      </c>
      <c r="EE58" s="6" t="str">
        <f>$EE$1</f>
        <v>4T24</v>
      </c>
      <c r="EF58" s="6">
        <f>$EF$1</f>
        <v>2024</v>
      </c>
      <c r="EG58" s="6" t="str">
        <f>EG$1</f>
        <v>1T25</v>
      </c>
      <c r="EH58" s="6" t="str">
        <f>EH$1</f>
        <v>2T25</v>
      </c>
      <c r="EI58" s="6" t="str">
        <f>EI$1</f>
        <v>3T25</v>
      </c>
    </row>
    <row r="59" spans="1:139" ht="15" thickBot="1" x14ac:dyDescent="0.35">
      <c r="A59" s="4" t="s">
        <v>374</v>
      </c>
      <c r="B59" s="7" t="s">
        <v>102</v>
      </c>
      <c r="C59" s="7" t="s">
        <v>103</v>
      </c>
      <c r="D59" s="7" t="s">
        <v>104</v>
      </c>
      <c r="E59" s="7" t="s">
        <v>105</v>
      </c>
      <c r="F59" s="7">
        <v>2018</v>
      </c>
      <c r="G59" s="7" t="s">
        <v>106</v>
      </c>
      <c r="H59" s="7" t="s">
        <v>107</v>
      </c>
      <c r="I59" s="7" t="s">
        <v>108</v>
      </c>
      <c r="J59" s="7" t="s">
        <v>109</v>
      </c>
      <c r="K59" s="7">
        <v>2019</v>
      </c>
      <c r="L59" s="7" t="s">
        <v>110</v>
      </c>
      <c r="M59" s="7" t="s">
        <v>111</v>
      </c>
      <c r="N59" s="7" t="s">
        <v>112</v>
      </c>
      <c r="O59" s="7" t="s">
        <v>113</v>
      </c>
      <c r="P59" s="7">
        <v>2000</v>
      </c>
      <c r="Q59" s="7" t="s">
        <v>114</v>
      </c>
      <c r="R59" s="7" t="s">
        <v>115</v>
      </c>
      <c r="S59" s="7" t="s">
        <v>116</v>
      </c>
      <c r="T59" s="7" t="s">
        <v>117</v>
      </c>
      <c r="U59" s="7">
        <v>2001</v>
      </c>
      <c r="V59" s="7" t="s">
        <v>118</v>
      </c>
      <c r="W59" s="7" t="s">
        <v>119</v>
      </c>
      <c r="X59" s="7" t="s">
        <v>120</v>
      </c>
      <c r="Y59" s="7" t="s">
        <v>121</v>
      </c>
      <c r="Z59" s="7">
        <v>2002</v>
      </c>
      <c r="AA59" s="7" t="s">
        <v>122</v>
      </c>
      <c r="AB59" s="7" t="s">
        <v>123</v>
      </c>
      <c r="AC59" s="7" t="s">
        <v>124</v>
      </c>
      <c r="AD59" s="7" t="s">
        <v>125</v>
      </c>
      <c r="AE59" s="7">
        <v>2003</v>
      </c>
      <c r="AF59" s="7" t="s">
        <v>126</v>
      </c>
      <c r="AG59" s="7" t="s">
        <v>127</v>
      </c>
      <c r="AH59" s="7" t="s">
        <v>128</v>
      </c>
      <c r="AI59" s="7" t="s">
        <v>129</v>
      </c>
      <c r="AJ59" s="7">
        <v>2004</v>
      </c>
      <c r="AK59" s="7" t="s">
        <v>130</v>
      </c>
      <c r="AL59" s="7" t="s">
        <v>131</v>
      </c>
      <c r="AM59" s="7" t="s">
        <v>132</v>
      </c>
      <c r="AN59" s="7" t="s">
        <v>133</v>
      </c>
      <c r="AO59" s="7">
        <v>2005</v>
      </c>
      <c r="AP59" s="7" t="s">
        <v>134</v>
      </c>
      <c r="AQ59" s="7" t="s">
        <v>135</v>
      </c>
      <c r="AR59" s="7" t="s">
        <v>136</v>
      </c>
      <c r="AS59" s="7" t="s">
        <v>137</v>
      </c>
      <c r="AT59" s="7">
        <v>2006</v>
      </c>
      <c r="AU59" s="7" t="s">
        <v>138</v>
      </c>
      <c r="AV59" s="7" t="s">
        <v>139</v>
      </c>
      <c r="AW59" s="7" t="s">
        <v>140</v>
      </c>
      <c r="AX59" s="7" t="s">
        <v>141</v>
      </c>
      <c r="AY59" s="7">
        <v>2007</v>
      </c>
      <c r="AZ59" s="7" t="s">
        <v>142</v>
      </c>
      <c r="BA59" s="7" t="s">
        <v>143</v>
      </c>
      <c r="BB59" s="7" t="s">
        <v>144</v>
      </c>
      <c r="BC59" s="7" t="s">
        <v>145</v>
      </c>
      <c r="BD59" s="7">
        <v>2008</v>
      </c>
      <c r="BE59" s="7" t="s">
        <v>146</v>
      </c>
      <c r="BF59" s="7" t="s">
        <v>147</v>
      </c>
      <c r="BG59" s="7" t="s">
        <v>148</v>
      </c>
      <c r="BH59" s="7" t="s">
        <v>149</v>
      </c>
      <c r="BI59" s="7">
        <v>2009</v>
      </c>
      <c r="BJ59" s="7" t="s">
        <v>150</v>
      </c>
      <c r="BK59" s="7" t="s">
        <v>151</v>
      </c>
      <c r="BL59" s="7" t="s">
        <v>152</v>
      </c>
      <c r="BM59" s="7" t="s">
        <v>153</v>
      </c>
      <c r="BN59" s="7">
        <v>2010</v>
      </c>
      <c r="BO59" s="7" t="s">
        <v>154</v>
      </c>
      <c r="BP59" s="7" t="s">
        <v>155</v>
      </c>
      <c r="BQ59" s="7" t="s">
        <v>156</v>
      </c>
      <c r="BR59" s="7" t="s">
        <v>157</v>
      </c>
      <c r="BS59" s="7">
        <v>2011</v>
      </c>
      <c r="BT59" s="7" t="s">
        <v>158</v>
      </c>
      <c r="BU59" s="7" t="s">
        <v>159</v>
      </c>
      <c r="BV59" s="7" t="s">
        <v>160</v>
      </c>
      <c r="BW59" s="7" t="s">
        <v>161</v>
      </c>
      <c r="BX59" s="7">
        <v>2012</v>
      </c>
      <c r="BY59" s="7" t="s">
        <v>162</v>
      </c>
      <c r="BZ59" s="7" t="s">
        <v>163</v>
      </c>
      <c r="CA59" s="7" t="s">
        <v>164</v>
      </c>
      <c r="CB59" s="7" t="s">
        <v>165</v>
      </c>
      <c r="CC59" s="7">
        <v>2013</v>
      </c>
      <c r="CD59" s="7" t="s">
        <v>166</v>
      </c>
      <c r="CE59" s="7" t="s">
        <v>167</v>
      </c>
      <c r="CF59" s="7" t="s">
        <v>168</v>
      </c>
      <c r="CG59" s="7" t="s">
        <v>169</v>
      </c>
      <c r="CH59" s="7">
        <v>2014</v>
      </c>
      <c r="CI59" s="7" t="s">
        <v>170</v>
      </c>
      <c r="CJ59" s="7" t="s">
        <v>171</v>
      </c>
      <c r="CK59" s="7" t="s">
        <v>172</v>
      </c>
      <c r="CL59" s="7" t="s">
        <v>173</v>
      </c>
      <c r="CM59" s="7">
        <v>2015</v>
      </c>
      <c r="CN59" s="7" t="s">
        <v>174</v>
      </c>
      <c r="CO59" s="7" t="s">
        <v>175</v>
      </c>
      <c r="CP59" s="7" t="s">
        <v>176</v>
      </c>
      <c r="CQ59" s="7" t="s">
        <v>177</v>
      </c>
      <c r="CR59" s="7">
        <v>2016</v>
      </c>
      <c r="CS59" s="7" t="s">
        <v>178</v>
      </c>
      <c r="CT59" s="7" t="s">
        <v>179</v>
      </c>
      <c r="CU59" s="7" t="s">
        <v>180</v>
      </c>
      <c r="CV59" s="7" t="s">
        <v>181</v>
      </c>
      <c r="CW59" s="7">
        <v>2017</v>
      </c>
      <c r="CX59" s="7" t="s">
        <v>182</v>
      </c>
      <c r="CY59" s="7" t="s">
        <v>183</v>
      </c>
      <c r="CZ59" s="7" t="s">
        <v>184</v>
      </c>
      <c r="DA59" s="7" t="s">
        <v>185</v>
      </c>
      <c r="DB59" s="7">
        <v>2018</v>
      </c>
      <c r="DC59" s="7" t="s">
        <v>186</v>
      </c>
      <c r="DD59" s="7" t="s">
        <v>187</v>
      </c>
      <c r="DE59" s="7" t="s">
        <v>188</v>
      </c>
      <c r="DF59" s="7" t="s">
        <v>189</v>
      </c>
      <c r="DG59" s="7">
        <v>2019</v>
      </c>
      <c r="DH59" s="7" t="s">
        <v>190</v>
      </c>
      <c r="DI59" s="7" t="s">
        <v>191</v>
      </c>
      <c r="DJ59" s="7" t="s">
        <v>192</v>
      </c>
      <c r="DK59" s="7" t="s">
        <v>193</v>
      </c>
      <c r="DL59" s="7">
        <v>2020</v>
      </c>
      <c r="DM59" s="7" t="s">
        <v>194</v>
      </c>
      <c r="DN59" s="7" t="s">
        <v>195</v>
      </c>
      <c r="DO59" s="7" t="s">
        <v>196</v>
      </c>
      <c r="DP59" s="7" t="s">
        <v>197</v>
      </c>
      <c r="DQ59" s="7">
        <v>2021</v>
      </c>
      <c r="DR59" s="7" t="s">
        <v>198</v>
      </c>
      <c r="DS59" s="7" t="s">
        <v>199</v>
      </c>
      <c r="DT59" s="7" t="s">
        <v>201</v>
      </c>
      <c r="DU59" s="7" t="s">
        <v>381</v>
      </c>
      <c r="DV59" s="7">
        <v>2022</v>
      </c>
      <c r="DW59" s="7" t="s">
        <v>382</v>
      </c>
      <c r="DX59" s="7" t="s">
        <v>403</v>
      </c>
      <c r="DY59" s="7" t="s">
        <v>415</v>
      </c>
      <c r="DZ59" s="7" t="s">
        <v>420</v>
      </c>
      <c r="EA59" s="7">
        <v>2023</v>
      </c>
      <c r="EB59" s="7" t="s">
        <v>425</v>
      </c>
      <c r="EC59" s="7" t="s">
        <v>430</v>
      </c>
      <c r="ED59" s="7" t="str">
        <f>$ED$2</f>
        <v>3Q24</v>
      </c>
      <c r="EE59" s="6" t="str">
        <f>$EE$2</f>
        <v>4Q24</v>
      </c>
      <c r="EF59" s="56">
        <f>$EF$2</f>
        <v>2024</v>
      </c>
      <c r="EG59" s="6" t="str">
        <f>EG$2</f>
        <v>1Q25</v>
      </c>
      <c r="EH59" s="6" t="str">
        <f>EH$2</f>
        <v>2Q25</v>
      </c>
      <c r="EI59" s="6" t="str">
        <f>EI$2</f>
        <v>3Q25</v>
      </c>
    </row>
    <row r="60" spans="1:139" ht="15" thickTop="1" x14ac:dyDescent="0.3">
      <c r="A60" s="1" t="s">
        <v>2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27">
        <v>8.1151120000000007E-2</v>
      </c>
      <c r="BK60" s="27">
        <v>3.6190349999999996E-2</v>
      </c>
      <c r="BL60" s="27">
        <v>7.5106900000000004E-3</v>
      </c>
      <c r="BM60" s="27">
        <v>3.1091749999999974E-2</v>
      </c>
      <c r="BN60" s="27">
        <f>SUM(BJ60:BM60)</f>
        <v>0.15594390999999996</v>
      </c>
      <c r="BO60" s="27">
        <v>1.667954E-2</v>
      </c>
      <c r="BP60" s="27">
        <v>2.0065990000000006E-2</v>
      </c>
      <c r="BQ60" s="27">
        <v>3.4383019999999993E-2</v>
      </c>
      <c r="BR60" s="27">
        <v>3.8171610000000016E-2</v>
      </c>
      <c r="BS60" s="27">
        <f>SUM(BO60:BR60)</f>
        <v>0.10930016000000001</v>
      </c>
      <c r="BT60" s="27">
        <v>7.6514880000000007E-2</v>
      </c>
      <c r="BU60" s="27">
        <v>2.2586540000000002E-2</v>
      </c>
      <c r="BV60" s="27">
        <v>0.52076093999999995</v>
      </c>
      <c r="BW60" s="27">
        <v>-0.57070322999999989</v>
      </c>
      <c r="BX60" s="27">
        <f>SUM(BT60:BW60)</f>
        <v>4.9159130000000051E-2</v>
      </c>
      <c r="BY60" s="27">
        <v>1.559292E-2</v>
      </c>
      <c r="BZ60" s="27">
        <v>-7.103299999999986E-4</v>
      </c>
      <c r="CA60" s="27">
        <v>3.7286599999999982E-3</v>
      </c>
      <c r="CB60" s="27">
        <v>1.4931580000000003E-2</v>
      </c>
      <c r="CC60" s="27">
        <f>SUM(BY60:CB60)</f>
        <v>3.3542830000000003E-2</v>
      </c>
      <c r="CD60" s="27">
        <v>4.0247399999999997E-3</v>
      </c>
      <c r="CE60" s="27">
        <v>3.0871100000000005E-3</v>
      </c>
      <c r="CF60" s="27">
        <v>2.5276630000000005E-2</v>
      </c>
      <c r="CG60" s="27">
        <v>3.0460599999999954E-3</v>
      </c>
      <c r="CH60" s="27">
        <f>SUM(CD60:CG60)</f>
        <v>3.543454E-2</v>
      </c>
      <c r="CI60" s="27">
        <v>4.2152999999999998E-4</v>
      </c>
      <c r="CJ60" s="27">
        <v>-4.2152999999999998E-4</v>
      </c>
      <c r="CK60" s="27">
        <v>7.9533099999999999E-3</v>
      </c>
      <c r="CL60" s="27">
        <v>3.429999999999999E-3</v>
      </c>
      <c r="CM60" s="27">
        <f>SUM(CI60:CL60)</f>
        <v>1.1383309999999999E-2</v>
      </c>
      <c r="CN60" s="27">
        <v>5.7298660000000001E-2</v>
      </c>
      <c r="CO60" s="27">
        <v>-5.5096039999999999E-2</v>
      </c>
      <c r="CP60" s="27">
        <v>2.738109999999995E-3</v>
      </c>
      <c r="CQ60" s="27">
        <f>0.015-SUM(CN60:CP60)</f>
        <v>1.0059270000000002E-2</v>
      </c>
      <c r="CR60" s="27">
        <f>SUM(CN60:CQ60)</f>
        <v>1.4999999999999999E-2</v>
      </c>
      <c r="CS60" s="27">
        <v>1.1299760000000001E-2</v>
      </c>
      <c r="CT60" s="27">
        <v>2.343158E-2</v>
      </c>
      <c r="CU60" s="27">
        <v>1.9355390000000007E-2</v>
      </c>
      <c r="CV60" s="27">
        <v>3.1222379999999994E-2</v>
      </c>
      <c r="CW60" s="27">
        <f>SUM(CS60:CV60)</f>
        <v>8.5309109999999994E-2</v>
      </c>
      <c r="CX60" s="27">
        <v>8.0000000000000002E-3</v>
      </c>
      <c r="CY60" s="27">
        <v>7.0000000000000001E-3</v>
      </c>
      <c r="CZ60" s="27">
        <v>1.4999999999999999E-2</v>
      </c>
      <c r="DA60" s="27">
        <v>1.9E-2</v>
      </c>
      <c r="DB60" s="27">
        <f>SUM(CX60:DA60)</f>
        <v>4.9000000000000002E-2</v>
      </c>
      <c r="DC60" s="27">
        <v>8.0000000000000002E-3</v>
      </c>
      <c r="DD60" s="27">
        <v>-2E-3</v>
      </c>
      <c r="DE60" s="27">
        <v>1.2999999999999999E-2</v>
      </c>
      <c r="DF60" s="27">
        <v>2.1999999999999999E-2</v>
      </c>
      <c r="DG60" s="27">
        <f>SUM(DC60:DF60)</f>
        <v>4.0999999999999995E-2</v>
      </c>
      <c r="DH60" s="27">
        <v>2.9000000000000001E-2</v>
      </c>
      <c r="DI60" s="27">
        <v>2.3E-2</v>
      </c>
      <c r="DJ60" s="27">
        <v>1.2999999999999999E-2</v>
      </c>
      <c r="DK60" s="27">
        <v>3.1E-2</v>
      </c>
      <c r="DL60" s="27">
        <f>SUM(DH60:DK60)</f>
        <v>9.6000000000000002E-2</v>
      </c>
      <c r="DM60" s="27">
        <v>2.5999999999999999E-2</v>
      </c>
      <c r="DN60" s="27">
        <v>2.1000000000000001E-2</v>
      </c>
      <c r="DO60" s="27">
        <v>1.9E-2</v>
      </c>
      <c r="DP60" s="27">
        <v>1.6E-2</v>
      </c>
      <c r="DQ60" s="27">
        <f>SUM(DM60:DP60)</f>
        <v>8.2000000000000003E-2</v>
      </c>
      <c r="DR60" s="27">
        <v>1E-3</v>
      </c>
      <c r="DS60" s="27">
        <v>0</v>
      </c>
      <c r="DT60" s="27">
        <v>4.1000000000000002E-2</v>
      </c>
      <c r="DU60" s="27">
        <v>1.077</v>
      </c>
      <c r="DV60" s="27">
        <f>SUM(DR60:DU60)</f>
        <v>1.119</v>
      </c>
      <c r="DW60" s="27">
        <v>0.15</v>
      </c>
      <c r="DX60" s="27">
        <v>0</v>
      </c>
      <c r="DY60" s="27">
        <v>0</v>
      </c>
      <c r="DZ60" s="27">
        <v>0.12096</v>
      </c>
      <c r="EA60" s="27">
        <f>SUM(DW60:DZ60)</f>
        <v>0.27095999999999998</v>
      </c>
      <c r="EB60" s="27">
        <v>1.5299999999999999E-2</v>
      </c>
      <c r="EC60" s="27">
        <v>2.2000000000000001E-3</v>
      </c>
      <c r="ED60" s="27">
        <v>0</v>
      </c>
      <c r="EE60" s="27">
        <v>0</v>
      </c>
      <c r="EF60" s="27">
        <f>SUM(EB60:EE60)</f>
        <v>1.7499999999999998E-2</v>
      </c>
      <c r="EG60" s="27">
        <v>0</v>
      </c>
      <c r="EH60" s="27">
        <v>-7.2585600000000007E-3</v>
      </c>
      <c r="EI60" s="27">
        <v>-4.83104E-3</v>
      </c>
    </row>
    <row r="61" spans="1:139" ht="15" thickBot="1" x14ac:dyDescent="0.35">
      <c r="A61" s="2" t="s">
        <v>454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28">
        <v>2.0514569999999999E-2</v>
      </c>
      <c r="BK61" s="28">
        <v>2.3104540000000003E-2</v>
      </c>
      <c r="BL61" s="28">
        <v>1.2392709999999998E-2</v>
      </c>
      <c r="BM61" s="28">
        <v>3.1407859999999996E-2</v>
      </c>
      <c r="BN61" s="28">
        <f t="shared" ref="BN61:BN82" si="40">SUM(BJ61:BM61)</f>
        <v>8.741968E-2</v>
      </c>
      <c r="BO61" s="28">
        <v>-4.9216650000000001E-2</v>
      </c>
      <c r="BP61" s="28">
        <v>8.4860699999999983E-3</v>
      </c>
      <c r="BQ61" s="28">
        <v>6.6331599999999991E-3</v>
      </c>
      <c r="BR61" s="28">
        <v>7.3770400000000014E-3</v>
      </c>
      <c r="BS61" s="28">
        <f t="shared" ref="BS61:BS82" si="41">SUM(BO61:BR61)</f>
        <v>-2.6720380000000002E-2</v>
      </c>
      <c r="BT61" s="28">
        <v>5.3782100000000005E-3</v>
      </c>
      <c r="BU61" s="28">
        <v>-6.7976600000000005E-3</v>
      </c>
      <c r="BV61" s="28">
        <v>0.26208697999999997</v>
      </c>
      <c r="BW61" s="28">
        <v>-0.20538518999999997</v>
      </c>
      <c r="BX61" s="28">
        <f t="shared" ref="BX61:BX82" si="42">SUM(BT61:BW61)</f>
        <v>5.5282340000000013E-2</v>
      </c>
      <c r="BY61" s="28">
        <v>0.38866909000000005</v>
      </c>
      <c r="BZ61" s="28">
        <v>4.3934999999999391E-3</v>
      </c>
      <c r="CA61" s="28">
        <v>1.8708149999999979E-2</v>
      </c>
      <c r="CB61" s="28">
        <v>2.3947650000000043E-2</v>
      </c>
      <c r="CC61" s="28">
        <f t="shared" ref="CC61:CC82" si="43">SUM(BY61:CB61)</f>
        <v>0.43571839000000001</v>
      </c>
      <c r="CD61" s="28">
        <v>-1.7722630000000003E-2</v>
      </c>
      <c r="CE61" s="28">
        <v>5.4257930000000003E-2</v>
      </c>
      <c r="CF61" s="28">
        <v>7.1656800000000007E-3</v>
      </c>
      <c r="CG61" s="28">
        <v>0.12627046999999997</v>
      </c>
      <c r="CH61" s="28">
        <f t="shared" ref="CH61:CH82" si="44">SUM(CD61:CG61)</f>
        <v>0.16997144999999997</v>
      </c>
      <c r="CI61" s="28">
        <v>1.1149389999999999E-2</v>
      </c>
      <c r="CJ61" s="28">
        <v>1.544297E-2</v>
      </c>
      <c r="CK61" s="28">
        <v>7.2997940000000011E-2</v>
      </c>
      <c r="CL61" s="28">
        <v>0.10960218000000001</v>
      </c>
      <c r="CM61" s="28">
        <f t="shared" ref="CM61:CM82" si="45">SUM(CI61:CL61)</f>
        <v>0.20919248000000001</v>
      </c>
      <c r="CN61" s="28">
        <v>1.3175590000000001E-2</v>
      </c>
      <c r="CO61" s="28">
        <v>2.1438679999999995E-2</v>
      </c>
      <c r="CP61" s="28">
        <v>1.0621360000000003E-2</v>
      </c>
      <c r="CQ61" s="28">
        <f>0.292-SUM(CN61:CP61)</f>
        <v>0.24676436999999998</v>
      </c>
      <c r="CR61" s="28">
        <f t="shared" ref="CR61:CR82" si="46">SUM(CN61:CQ61)</f>
        <v>0.29199999999999998</v>
      </c>
      <c r="CS61" s="28">
        <v>1.6114280000000002E-2</v>
      </c>
      <c r="CT61" s="28">
        <v>3.8527309999999995E-2</v>
      </c>
      <c r="CU61" s="28">
        <v>2.3068089999999992E-2</v>
      </c>
      <c r="CV61" s="28">
        <v>0.19797615000000005</v>
      </c>
      <c r="CW61" s="28">
        <f t="shared" ref="CW61:CW82" si="47">SUM(CS61:CV61)</f>
        <v>0.27568583000000002</v>
      </c>
      <c r="CX61" s="28">
        <v>6.5000000000000002E-2</v>
      </c>
      <c r="CY61" s="28">
        <v>0.114</v>
      </c>
      <c r="CZ61" s="28">
        <v>0.11700000000000001</v>
      </c>
      <c r="DA61" s="28">
        <v>0.39200000000000002</v>
      </c>
      <c r="DB61" s="28">
        <f t="shared" ref="DB61:DB82" si="48">SUM(CX61:DA61)</f>
        <v>0.68799999999999994</v>
      </c>
      <c r="DC61" s="28">
        <v>4.2999999999999997E-2</v>
      </c>
      <c r="DD61" s="28">
        <v>0.2</v>
      </c>
      <c r="DE61" s="28">
        <v>0.19800000000000001</v>
      </c>
      <c r="DF61" s="28">
        <v>3.4000000000000002E-2</v>
      </c>
      <c r="DG61" s="28">
        <f t="shared" ref="DG61:DG82" si="49">SUM(DC61:DF61)</f>
        <v>0.47499999999999998</v>
      </c>
      <c r="DH61" s="28">
        <v>2.4E-2</v>
      </c>
      <c r="DI61" s="28">
        <v>9.0999999999999998E-2</v>
      </c>
      <c r="DJ61" s="28">
        <v>8.9999999999999993E-3</v>
      </c>
      <c r="DK61" s="28">
        <v>8.6999999999999994E-2</v>
      </c>
      <c r="DL61" s="28">
        <f t="shared" ref="DL61:DL82" si="50">SUM(DH61:DK61)</f>
        <v>0.21099999999999997</v>
      </c>
      <c r="DM61" s="28">
        <v>2.8000000000000001E-2</v>
      </c>
      <c r="DN61" s="28">
        <v>5.5E-2</v>
      </c>
      <c r="DO61" s="28">
        <v>0.05</v>
      </c>
      <c r="DP61" s="28">
        <v>6.2E-2</v>
      </c>
      <c r="DQ61" s="28">
        <f t="shared" ref="DQ61:DQ82" si="51">SUM(DM61:DP61)</f>
        <v>0.19500000000000001</v>
      </c>
      <c r="DR61" s="28">
        <v>3.4000000000000002E-2</v>
      </c>
      <c r="DS61" s="28">
        <v>3.5999999999999997E-2</v>
      </c>
      <c r="DT61" s="28">
        <v>3.5999999999999997E-2</v>
      </c>
      <c r="DU61" s="28">
        <v>1.9E-2</v>
      </c>
      <c r="DV61" s="28">
        <f t="shared" ref="DV61:DV82" si="52">SUM(DR61:DU61)</f>
        <v>0.125</v>
      </c>
      <c r="DW61" s="28">
        <v>1.7999999999999999E-2</v>
      </c>
      <c r="DX61" s="28">
        <v>2.26727E-2</v>
      </c>
      <c r="DY61" s="28">
        <v>0.12531465999999999</v>
      </c>
      <c r="DZ61" s="28">
        <v>2.292170000000001E-2</v>
      </c>
      <c r="EA61" s="28">
        <f t="shared" ref="EA61:EA72" si="53">SUM(DW61:DZ61)</f>
        <v>0.18890906000000002</v>
      </c>
      <c r="EB61" s="28">
        <v>2.8410000000000001E-2</v>
      </c>
      <c r="EC61" s="28">
        <v>1.9956199999999997E-2</v>
      </c>
      <c r="ED61" s="28">
        <v>3.1E-2</v>
      </c>
      <c r="EE61" s="28">
        <v>1.7141309999999996E-2</v>
      </c>
      <c r="EF61" s="28">
        <f t="shared" ref="EF61:EF72" si="54">SUM(EB61:EE61)</f>
        <v>9.6507509999999991E-2</v>
      </c>
      <c r="EG61" s="28">
        <v>3.613454E-2</v>
      </c>
      <c r="EH61" s="28">
        <v>3.7160620000000005E-2</v>
      </c>
      <c r="EI61" s="28">
        <v>5.2205470000000004E-2</v>
      </c>
    </row>
    <row r="62" spans="1:139" ht="15" thickTop="1" x14ac:dyDescent="0.3">
      <c r="A62" s="1" t="s">
        <v>442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27">
        <v>7.5787999999999994E-2</v>
      </c>
      <c r="BK62" s="27">
        <v>1.04810242</v>
      </c>
      <c r="BL62" s="27">
        <v>1.5517892600000001</v>
      </c>
      <c r="BM62" s="27">
        <v>5.3078220000000148E-2</v>
      </c>
      <c r="BN62" s="27">
        <f t="shared" si="40"/>
        <v>2.7287579000000002</v>
      </c>
      <c r="BO62" s="27">
        <v>4.6391540000000002E-2</v>
      </c>
      <c r="BP62" s="27">
        <v>3.7720009999999991E-2</v>
      </c>
      <c r="BQ62" s="27">
        <v>1.0418794100000002</v>
      </c>
      <c r="BR62" s="27">
        <v>-0.96746135000000022</v>
      </c>
      <c r="BS62" s="27">
        <f t="shared" si="41"/>
        <v>0.15852960999999999</v>
      </c>
      <c r="BT62" s="27">
        <v>3.029428E-2</v>
      </c>
      <c r="BU62" s="27">
        <v>0.56308354999999988</v>
      </c>
      <c r="BV62" s="27">
        <v>2.3358094599999997</v>
      </c>
      <c r="BW62" s="27">
        <v>-2.6881616899999998</v>
      </c>
      <c r="BX62" s="27">
        <f t="shared" si="42"/>
        <v>0.24102559999999995</v>
      </c>
      <c r="BY62" s="27">
        <v>1.4809952900000001</v>
      </c>
      <c r="BZ62" s="27">
        <v>-1.3278282400000001</v>
      </c>
      <c r="CA62" s="27">
        <v>2.3337116400000002</v>
      </c>
      <c r="CB62" s="27">
        <v>-7.7765580000000334E-2</v>
      </c>
      <c r="CC62" s="27">
        <f t="shared" si="43"/>
        <v>2.4091131099999998</v>
      </c>
      <c r="CD62" s="27">
        <v>1.0522920000000002E-2</v>
      </c>
      <c r="CE62" s="27">
        <v>6.5074499999999945E-3</v>
      </c>
      <c r="CF62" s="27">
        <v>1.1746260000000005E-2</v>
      </c>
      <c r="CG62" s="27">
        <v>9.3043600000000011E-3</v>
      </c>
      <c r="CH62" s="27">
        <f t="shared" si="44"/>
        <v>3.8080990000000002E-2</v>
      </c>
      <c r="CI62" s="27">
        <v>-9.713610000000001E-3</v>
      </c>
      <c r="CJ62" s="27">
        <v>3.2809140000000001E-2</v>
      </c>
      <c r="CK62" s="27">
        <v>-7.6222999999999916E-4</v>
      </c>
      <c r="CL62" s="27">
        <v>-1.9785199999999999E-2</v>
      </c>
      <c r="CM62" s="27">
        <f t="shared" si="45"/>
        <v>2.5481000000000011E-3</v>
      </c>
      <c r="CN62" s="27">
        <v>4.6779230000000005E-2</v>
      </c>
      <c r="CO62" s="27">
        <v>-5.3447580000000008E-2</v>
      </c>
      <c r="CP62" s="27">
        <v>7.2633200000000037E-3</v>
      </c>
      <c r="CQ62" s="27">
        <f>0.009-SUM(CN62:CP62)</f>
        <v>8.4050299999999991E-3</v>
      </c>
      <c r="CR62" s="27">
        <f t="shared" si="46"/>
        <v>8.9999999999999993E-3</v>
      </c>
      <c r="CS62" s="27">
        <v>8.1449999999999995E-3</v>
      </c>
      <c r="CT62" s="27">
        <v>6.7366500000000003E-3</v>
      </c>
      <c r="CU62" s="27">
        <v>2.0410000000000001E-2</v>
      </c>
      <c r="CV62" s="27">
        <v>4.1615199999999949E-3</v>
      </c>
      <c r="CW62" s="27">
        <f t="shared" si="47"/>
        <v>3.9453169999999996E-2</v>
      </c>
      <c r="CX62" s="27">
        <v>1.4E-2</v>
      </c>
      <c r="CY62" s="27">
        <v>1.6E-2</v>
      </c>
      <c r="CZ62" s="27">
        <v>1.6E-2</v>
      </c>
      <c r="DA62" s="27">
        <v>8.9999999999999993E-3</v>
      </c>
      <c r="DB62" s="27">
        <f t="shared" si="48"/>
        <v>5.5E-2</v>
      </c>
      <c r="DC62" s="27">
        <v>2.1000000000000001E-2</v>
      </c>
      <c r="DD62" s="27">
        <v>1.2E-2</v>
      </c>
      <c r="DE62" s="27">
        <v>0.01</v>
      </c>
      <c r="DF62" s="27">
        <v>3.5000000000000003E-2</v>
      </c>
      <c r="DG62" s="27">
        <f t="shared" si="49"/>
        <v>7.8000000000000014E-2</v>
      </c>
      <c r="DH62" s="27">
        <v>3.2629999999999999</v>
      </c>
      <c r="DI62" s="27">
        <v>2.6019999999999999</v>
      </c>
      <c r="DJ62" s="27">
        <v>3.3759999999999999</v>
      </c>
      <c r="DK62" s="27">
        <v>-8.9529999999999994</v>
      </c>
      <c r="DL62" s="27">
        <f t="shared" si="50"/>
        <v>0.28800000000000026</v>
      </c>
      <c r="DM62" s="27">
        <v>4.5999999999999999E-2</v>
      </c>
      <c r="DN62" s="27">
        <v>0.03</v>
      </c>
      <c r="DO62" s="27">
        <v>3.9E-2</v>
      </c>
      <c r="DP62" s="27">
        <v>4.5999999999999999E-2</v>
      </c>
      <c r="DQ62" s="27">
        <f t="shared" si="51"/>
        <v>0.16099999999999998</v>
      </c>
      <c r="DR62" s="27">
        <v>2.8000000000000001E-2</v>
      </c>
      <c r="DS62" s="27">
        <v>2.5999999999999999E-2</v>
      </c>
      <c r="DT62" s="27">
        <v>-2E-3</v>
      </c>
      <c r="DU62" s="27">
        <v>0.20499999999999999</v>
      </c>
      <c r="DV62" s="27">
        <f t="shared" si="52"/>
        <v>0.25700000000000001</v>
      </c>
      <c r="DW62" s="27">
        <v>0.04</v>
      </c>
      <c r="DX62" s="27">
        <v>2.3606930000000002E-2</v>
      </c>
      <c r="DY62" s="27">
        <v>4.9524479999999996E-2</v>
      </c>
      <c r="DZ62" s="27">
        <v>3.1507780000000013E-2</v>
      </c>
      <c r="EA62" s="27">
        <f t="shared" si="53"/>
        <v>0.14463919000000003</v>
      </c>
      <c r="EB62" s="27">
        <v>2.1752880000000002E-2</v>
      </c>
      <c r="EC62" s="27">
        <v>4.4462129999999989E-2</v>
      </c>
      <c r="ED62" s="27">
        <v>7.6999999999999999E-2</v>
      </c>
      <c r="EE62" s="27">
        <v>0.10712270000000002</v>
      </c>
      <c r="EF62" s="27">
        <f t="shared" si="54"/>
        <v>0.25033770999999999</v>
      </c>
      <c r="EG62" s="27">
        <v>0.30912445</v>
      </c>
      <c r="EH62" s="27">
        <v>0.17331458000000002</v>
      </c>
      <c r="EI62" s="27">
        <v>5.0005899999999671E-3</v>
      </c>
    </row>
    <row r="63" spans="1:139" ht="15" thickBot="1" x14ac:dyDescent="0.35">
      <c r="A63" s="2" t="s">
        <v>3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28">
        <v>6.221119E-2</v>
      </c>
      <c r="BK63" s="28">
        <v>7.3478799999999983E-2</v>
      </c>
      <c r="BL63" s="28">
        <v>7.5412970000000024E-2</v>
      </c>
      <c r="BM63" s="28">
        <v>0.15579077000000002</v>
      </c>
      <c r="BN63" s="28">
        <f t="shared" si="40"/>
        <v>0.36689373000000003</v>
      </c>
      <c r="BO63" s="28">
        <v>0.10480291999999999</v>
      </c>
      <c r="BP63" s="28">
        <v>0.15807806999999999</v>
      </c>
      <c r="BQ63" s="28">
        <v>0.15511130000000009</v>
      </c>
      <c r="BR63" s="28">
        <v>0.79462997999999985</v>
      </c>
      <c r="BS63" s="28">
        <f t="shared" si="41"/>
        <v>1.2126222699999998</v>
      </c>
      <c r="BT63" s="28">
        <v>0</v>
      </c>
      <c r="BU63" s="28">
        <v>0.32666907000000001</v>
      </c>
      <c r="BV63" s="28">
        <v>0.12362888</v>
      </c>
      <c r="BW63" s="28">
        <v>0.39668294000000015</v>
      </c>
      <c r="BX63" s="28">
        <f t="shared" si="42"/>
        <v>0.84698089000000021</v>
      </c>
      <c r="BY63" s="28">
        <v>5.2131089999999991E-2</v>
      </c>
      <c r="BZ63" s="28">
        <v>0.10826264000000002</v>
      </c>
      <c r="CA63" s="28">
        <v>0.10135603000000004</v>
      </c>
      <c r="CB63" s="28">
        <v>0.1584744099999999</v>
      </c>
      <c r="CC63" s="28">
        <f t="shared" si="43"/>
        <v>0.42022416999999995</v>
      </c>
      <c r="CD63" s="28">
        <v>0.57652956000000011</v>
      </c>
      <c r="CE63" s="28">
        <v>3.1855359999999999E-2</v>
      </c>
      <c r="CF63" s="28">
        <v>3.4060129999999966E-2</v>
      </c>
      <c r="CG63" s="28">
        <v>0.23334305999999994</v>
      </c>
      <c r="CH63" s="28">
        <f t="shared" si="44"/>
        <v>0.87578811000000001</v>
      </c>
      <c r="CI63" s="28">
        <v>1.110363E-2</v>
      </c>
      <c r="CJ63" s="28">
        <v>2.1839780000000007E-2</v>
      </c>
      <c r="CK63" s="28">
        <v>5.0308459999999985E-2</v>
      </c>
      <c r="CL63" s="28">
        <v>1.6120160000000008E-2</v>
      </c>
      <c r="CM63" s="28">
        <f t="shared" si="45"/>
        <v>9.937203E-2</v>
      </c>
      <c r="CN63" s="28">
        <v>1.61729E-3</v>
      </c>
      <c r="CO63" s="28">
        <v>7.5298580000000004E-2</v>
      </c>
      <c r="CP63" s="28">
        <v>2.796582999999999E-2</v>
      </c>
      <c r="CQ63" s="28">
        <f>0.127-SUM(CN63:CP63)</f>
        <v>2.2118300000000007E-2</v>
      </c>
      <c r="CR63" s="28">
        <f t="shared" si="46"/>
        <v>0.127</v>
      </c>
      <c r="CS63" s="28">
        <v>1.619427E-2</v>
      </c>
      <c r="CT63" s="28">
        <v>3.3434679999999994E-2</v>
      </c>
      <c r="CU63" s="28">
        <v>6.9656850000000006E-2</v>
      </c>
      <c r="CV63" s="28">
        <v>2.1333719999999997E-2</v>
      </c>
      <c r="CW63" s="28">
        <f t="shared" si="47"/>
        <v>0.14061952</v>
      </c>
      <c r="CX63" s="28">
        <v>0.03</v>
      </c>
      <c r="CY63" s="28">
        <v>2.1000000000000001E-2</v>
      </c>
      <c r="CZ63" s="28">
        <v>2.5999999999999999E-2</v>
      </c>
      <c r="DA63" s="28">
        <v>2.7E-2</v>
      </c>
      <c r="DB63" s="28">
        <f t="shared" si="48"/>
        <v>0.104</v>
      </c>
      <c r="DC63" s="28">
        <v>1.9E-2</v>
      </c>
      <c r="DD63" s="28">
        <v>2.9000000000000001E-2</v>
      </c>
      <c r="DE63" s="28">
        <v>6.7000000000000004E-2</v>
      </c>
      <c r="DF63" s="28">
        <v>3.4000000000000002E-2</v>
      </c>
      <c r="DG63" s="28">
        <f t="shared" si="49"/>
        <v>0.14900000000000002</v>
      </c>
      <c r="DH63" s="28">
        <v>2.5999999999999999E-2</v>
      </c>
      <c r="DI63" s="28">
        <v>5.8999999999999997E-2</v>
      </c>
      <c r="DJ63" s="28">
        <v>5.0999999999999997E-2</v>
      </c>
      <c r="DK63" s="28">
        <v>5.2999999999999999E-2</v>
      </c>
      <c r="DL63" s="28">
        <f t="shared" si="50"/>
        <v>0.18899999999999997</v>
      </c>
      <c r="DM63" s="28">
        <v>0.29299999999999998</v>
      </c>
      <c r="DN63" s="28">
        <v>0.12</v>
      </c>
      <c r="DO63" s="28">
        <v>6.7000000000000004E-2</v>
      </c>
      <c r="DP63" s="28">
        <v>-0.153</v>
      </c>
      <c r="DQ63" s="28">
        <f t="shared" si="51"/>
        <v>0.32699999999999996</v>
      </c>
      <c r="DR63" s="28">
        <v>1.2999999999999999E-2</v>
      </c>
      <c r="DS63" s="28">
        <v>7.0000000000000007E-2</v>
      </c>
      <c r="DT63" s="28">
        <v>-2E-3</v>
      </c>
      <c r="DU63" s="28">
        <v>0.253</v>
      </c>
      <c r="DV63" s="28">
        <f t="shared" si="52"/>
        <v>0.33400000000000002</v>
      </c>
      <c r="DW63" s="28">
        <v>-4.0000000000000001E-3</v>
      </c>
      <c r="DX63" s="28">
        <v>0</v>
      </c>
      <c r="DY63" s="28">
        <v>0</v>
      </c>
      <c r="DZ63" s="28">
        <v>0</v>
      </c>
      <c r="EA63" s="28">
        <f t="shared" si="53"/>
        <v>-4.0000000000000001E-3</v>
      </c>
      <c r="EB63" s="28">
        <v>0</v>
      </c>
      <c r="EC63" s="28">
        <v>1.973571E-2</v>
      </c>
      <c r="ED63" s="28">
        <v>0</v>
      </c>
      <c r="EE63" s="28">
        <v>1.8971430000000001E-2</v>
      </c>
      <c r="EF63" s="28">
        <f t="shared" si="54"/>
        <v>3.8707140000000001E-2</v>
      </c>
      <c r="EG63" s="28">
        <v>0</v>
      </c>
      <c r="EH63" s="28">
        <v>-5.7162700000000007E-3</v>
      </c>
      <c r="EI63" s="28">
        <v>1.4360500000000001E-3</v>
      </c>
    </row>
    <row r="64" spans="1:139" ht="15" thickTop="1" x14ac:dyDescent="0.3">
      <c r="A64" s="1" t="s">
        <v>443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27">
        <v>1.711681E-2</v>
      </c>
      <c r="BK64" s="27">
        <v>0.19752274999999997</v>
      </c>
      <c r="BL64" s="27">
        <v>8.8712420000000056E-2</v>
      </c>
      <c r="BM64" s="27">
        <v>2.3137299999999954E-2</v>
      </c>
      <c r="BN64" s="27">
        <f t="shared" si="40"/>
        <v>0.32648927999999999</v>
      </c>
      <c r="BO64" s="27">
        <v>2.1873999999999998E-2</v>
      </c>
      <c r="BP64" s="27">
        <v>-1.6985999999999737E-4</v>
      </c>
      <c r="BQ64" s="27">
        <v>1.4999999999999979E-3</v>
      </c>
      <c r="BR64" s="27">
        <v>4.515367E-2</v>
      </c>
      <c r="BS64" s="27">
        <f t="shared" si="41"/>
        <v>6.8357809999999991E-2</v>
      </c>
      <c r="BT64" s="27">
        <v>5.4259999999999996E-4</v>
      </c>
      <c r="BU64" s="27">
        <v>5.1982E-2</v>
      </c>
      <c r="BV64" s="27">
        <v>7.8999999999999633E-4</v>
      </c>
      <c r="BW64" s="27">
        <v>8.1488389999999994E-2</v>
      </c>
      <c r="BX64" s="27">
        <f t="shared" si="42"/>
        <v>0.13480298999999998</v>
      </c>
      <c r="BY64" s="27">
        <v>-6.987844E-2</v>
      </c>
      <c r="BZ64" s="27">
        <v>1.799999999999996E-3</v>
      </c>
      <c r="CA64" s="27">
        <v>1.002811E-2</v>
      </c>
      <c r="CB64" s="27">
        <v>8.7599200000000044E-3</v>
      </c>
      <c r="CC64" s="27">
        <f t="shared" si="43"/>
        <v>-4.929041E-2</v>
      </c>
      <c r="CD64" s="27">
        <v>2.26647E-3</v>
      </c>
      <c r="CE64" s="27">
        <v>5.4582399999999996E-3</v>
      </c>
      <c r="CF64" s="27">
        <v>1.7511299999999996E-3</v>
      </c>
      <c r="CG64" s="27">
        <v>0.11489091999999998</v>
      </c>
      <c r="CH64" s="27">
        <f t="shared" si="44"/>
        <v>0.12436675999999998</v>
      </c>
      <c r="CI64" s="27">
        <v>7.1226600000000003E-3</v>
      </c>
      <c r="CJ64" s="27">
        <v>1.3975000000000003E-3</v>
      </c>
      <c r="CK64" s="27">
        <v>2.5647960000000001E-2</v>
      </c>
      <c r="CL64" s="27">
        <v>3.6658699999999973E-3</v>
      </c>
      <c r="CM64" s="27">
        <f t="shared" si="45"/>
        <v>3.7833989999999998E-2</v>
      </c>
      <c r="CN64" s="27">
        <v>7.8058699999999995E-3</v>
      </c>
      <c r="CO64" s="27">
        <v>3.4909399999999997E-3</v>
      </c>
      <c r="CP64" s="27">
        <v>9.7999999999999997E-4</v>
      </c>
      <c r="CQ64" s="27">
        <f>-0.015-SUM(CN64:CP64)</f>
        <v>-2.7276809999999999E-2</v>
      </c>
      <c r="CR64" s="27">
        <f t="shared" si="46"/>
        <v>-1.4999999999999999E-2</v>
      </c>
      <c r="CS64" s="27">
        <v>3.70075E-3</v>
      </c>
      <c r="CT64" s="27">
        <v>4.5107199999999984E-3</v>
      </c>
      <c r="CU64" s="27">
        <v>3.7200000000000011E-3</v>
      </c>
      <c r="CV64" s="27">
        <v>4.045E-3</v>
      </c>
      <c r="CW64" s="27">
        <f t="shared" si="47"/>
        <v>1.597647E-2</v>
      </c>
      <c r="CX64" s="27">
        <v>8.0000000000000002E-3</v>
      </c>
      <c r="CY64" s="27">
        <v>-3.0000000000000001E-3</v>
      </c>
      <c r="CZ64" s="27">
        <v>0.01</v>
      </c>
      <c r="DA64" s="27">
        <v>6.0000000000000001E-3</v>
      </c>
      <c r="DB64" s="27">
        <f t="shared" si="48"/>
        <v>2.0999999999999998E-2</v>
      </c>
      <c r="DC64" s="27">
        <v>1.6E-2</v>
      </c>
      <c r="DD64" s="27">
        <v>-1E-3</v>
      </c>
      <c r="DE64" s="27">
        <v>6.0000000000000001E-3</v>
      </c>
      <c r="DF64" s="27">
        <v>7.0000000000000001E-3</v>
      </c>
      <c r="DG64" s="27">
        <f t="shared" si="49"/>
        <v>2.7999999999999997E-2</v>
      </c>
      <c r="DH64" s="27">
        <v>5.0000000000000001E-3</v>
      </c>
      <c r="DI64" s="27">
        <v>1.7000000000000001E-2</v>
      </c>
      <c r="DJ64" s="27">
        <v>6.0000000000000001E-3</v>
      </c>
      <c r="DK64" s="27">
        <v>2E-3</v>
      </c>
      <c r="DL64" s="27">
        <f t="shared" si="50"/>
        <v>3.0000000000000006E-2</v>
      </c>
      <c r="DM64" s="27">
        <v>8.0000000000000002E-3</v>
      </c>
      <c r="DN64" s="27">
        <v>3.0000000000000001E-3</v>
      </c>
      <c r="DO64" s="27">
        <v>2.5999999999999999E-2</v>
      </c>
      <c r="DP64" s="27">
        <v>0.01</v>
      </c>
      <c r="DQ64" s="27">
        <f t="shared" si="51"/>
        <v>4.7E-2</v>
      </c>
      <c r="DR64" s="27">
        <v>3.0000000000000001E-3</v>
      </c>
      <c r="DS64" s="27">
        <v>0.04</v>
      </c>
      <c r="DT64" s="27">
        <v>-1.9</v>
      </c>
      <c r="DU64" s="27">
        <v>2.3E-2</v>
      </c>
      <c r="DV64" s="27">
        <f t="shared" si="52"/>
        <v>-1.8340000000000001</v>
      </c>
      <c r="DW64" s="27">
        <v>1E-3</v>
      </c>
      <c r="DX64" s="27">
        <v>0</v>
      </c>
      <c r="DY64" s="27">
        <v>3.1800000000000001E-3</v>
      </c>
      <c r="DZ64" s="27">
        <v>6.3121499999999997E-2</v>
      </c>
      <c r="EA64" s="27">
        <f t="shared" si="53"/>
        <v>6.73015E-2</v>
      </c>
      <c r="EB64" s="27">
        <v>3.6614499999999997E-3</v>
      </c>
      <c r="EC64" s="27">
        <v>3.5564000000000004E-3</v>
      </c>
      <c r="ED64" s="27">
        <v>5.0000000000000001E-3</v>
      </c>
      <c r="EE64" s="27">
        <v>1.9627500000000001E-3</v>
      </c>
      <c r="EF64" s="27">
        <f t="shared" si="54"/>
        <v>1.4180599999999998E-2</v>
      </c>
      <c r="EG64" s="27">
        <v>4.4048769999999994E-2</v>
      </c>
      <c r="EH64" s="27">
        <v>7.917326999999999E-2</v>
      </c>
      <c r="EI64" s="27">
        <v>4.1164870000000013E-2</v>
      </c>
    </row>
    <row r="65" spans="1:139" ht="15" thickBot="1" x14ac:dyDescent="0.35">
      <c r="A65" s="2" t="s">
        <v>481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28">
        <v>0</v>
      </c>
      <c r="BK65" s="28">
        <v>0</v>
      </c>
      <c r="BL65" s="28">
        <v>0</v>
      </c>
      <c r="BM65" s="28">
        <v>0</v>
      </c>
      <c r="BN65" s="28">
        <f t="shared" si="40"/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f t="shared" si="41"/>
        <v>0</v>
      </c>
      <c r="BT65" s="28">
        <v>0</v>
      </c>
      <c r="BU65" s="28">
        <v>0</v>
      </c>
      <c r="BV65" s="28">
        <v>2.1296509999999998E-2</v>
      </c>
      <c r="BW65" s="28">
        <v>3.6173549999999999E-2</v>
      </c>
      <c r="BX65" s="28">
        <f t="shared" si="42"/>
        <v>5.7470059999999996E-2</v>
      </c>
      <c r="BY65" s="28">
        <v>5.1833500000000006E-3</v>
      </c>
      <c r="BZ65" s="28">
        <v>0</v>
      </c>
      <c r="CA65" s="28">
        <v>5.0192279999999992E-2</v>
      </c>
      <c r="CB65" s="28">
        <v>0.15024747000000002</v>
      </c>
      <c r="CC65" s="28">
        <f t="shared" si="43"/>
        <v>0.2056231</v>
      </c>
      <c r="CD65" s="28">
        <v>0.12596441999999999</v>
      </c>
      <c r="CE65" s="28">
        <v>0.21699733000000002</v>
      </c>
      <c r="CF65" s="28">
        <v>0.10710824000000002</v>
      </c>
      <c r="CG65" s="28">
        <v>2.9642999999999975E-2</v>
      </c>
      <c r="CH65" s="28">
        <f t="shared" si="44"/>
        <v>0.47971299000000001</v>
      </c>
      <c r="CI65" s="28">
        <v>0.45937409000000001</v>
      </c>
      <c r="CJ65" s="28">
        <v>0.35906990999999994</v>
      </c>
      <c r="CK65" s="28">
        <v>0.5603928600000001</v>
      </c>
      <c r="CL65" s="28">
        <v>0.65289080999999993</v>
      </c>
      <c r="CM65" s="28">
        <f t="shared" si="45"/>
        <v>2.03172767</v>
      </c>
      <c r="CN65" s="28">
        <v>3.7197199999999997E-3</v>
      </c>
      <c r="CO65" s="28">
        <v>1.3266199999999999E-2</v>
      </c>
      <c r="CP65" s="28">
        <v>1.5783950000000001E-2</v>
      </c>
      <c r="CQ65" s="28">
        <f>0.064-SUM(CN65:CP65)</f>
        <v>3.1230130000000002E-2</v>
      </c>
      <c r="CR65" s="28">
        <f t="shared" si="46"/>
        <v>6.4000000000000001E-2</v>
      </c>
      <c r="CS65" s="28">
        <v>1.4959450000000001E-2</v>
      </c>
      <c r="CT65" s="28">
        <v>1.4777969999999996E-2</v>
      </c>
      <c r="CU65" s="28">
        <v>0.20774975000000001</v>
      </c>
      <c r="CV65" s="28">
        <v>0.29921561000000008</v>
      </c>
      <c r="CW65" s="28">
        <f t="shared" si="47"/>
        <v>0.53670278000000005</v>
      </c>
      <c r="CX65" s="28">
        <v>0.02</v>
      </c>
      <c r="CY65" s="28">
        <v>-1E-3</v>
      </c>
      <c r="CZ65" s="28">
        <v>3.0000000000000001E-3</v>
      </c>
      <c r="DA65" s="28">
        <v>2E-3</v>
      </c>
      <c r="DB65" s="28">
        <f t="shared" si="48"/>
        <v>2.4E-2</v>
      </c>
      <c r="DC65" s="28">
        <v>0.44400000000000001</v>
      </c>
      <c r="DD65" s="28">
        <v>1.4119999999999999</v>
      </c>
      <c r="DE65" s="28">
        <v>0.96399999999999997</v>
      </c>
      <c r="DF65" s="28">
        <v>0.94699999999999995</v>
      </c>
      <c r="DG65" s="28">
        <f t="shared" si="49"/>
        <v>3.7669999999999999</v>
      </c>
      <c r="DH65" s="28">
        <v>0.504</v>
      </c>
      <c r="DI65" s="28">
        <v>0.68500000000000005</v>
      </c>
      <c r="DJ65" s="28">
        <v>0.315</v>
      </c>
      <c r="DK65" s="28">
        <v>0.223</v>
      </c>
      <c r="DL65" s="28">
        <f t="shared" si="50"/>
        <v>1.7270000000000001</v>
      </c>
      <c r="DM65" s="28">
        <v>0.39900000000000002</v>
      </c>
      <c r="DN65" s="28">
        <v>0.112</v>
      </c>
      <c r="DO65" s="28">
        <v>0.63500000000000001</v>
      </c>
      <c r="DP65" s="28">
        <v>1.214</v>
      </c>
      <c r="DQ65" s="28">
        <f t="shared" si="51"/>
        <v>2.36</v>
      </c>
      <c r="DR65" s="28">
        <v>0.71499999999999997</v>
      </c>
      <c r="DS65" s="28">
        <v>1.2989999999999999</v>
      </c>
      <c r="DT65" s="28">
        <v>-0.15</v>
      </c>
      <c r="DU65" s="28">
        <v>1.9E-2</v>
      </c>
      <c r="DV65" s="28">
        <f t="shared" si="52"/>
        <v>1.8829999999999998</v>
      </c>
      <c r="DW65" s="28">
        <v>2E-3</v>
      </c>
      <c r="DX65" s="28">
        <v>1.0344049999999999E-2</v>
      </c>
      <c r="DY65" s="28">
        <v>8.7804900000000002E-3</v>
      </c>
      <c r="DZ65" s="28">
        <v>2.4959720000000001E-2</v>
      </c>
      <c r="EA65" s="28">
        <f t="shared" si="53"/>
        <v>4.6084260000000002E-2</v>
      </c>
      <c r="EB65" s="28">
        <v>1.9279910000000001E-2</v>
      </c>
      <c r="EC65" s="28">
        <v>3.6039740000000008E-2</v>
      </c>
      <c r="ED65" s="28">
        <v>0.02</v>
      </c>
      <c r="EE65" s="28">
        <v>7.4701130000000004E-2</v>
      </c>
      <c r="EF65" s="28">
        <f t="shared" si="54"/>
        <v>0.15002078000000002</v>
      </c>
      <c r="EG65" s="28">
        <v>4.3053569999999999E-2</v>
      </c>
      <c r="EH65" s="28">
        <v>0.13520472</v>
      </c>
      <c r="EI65" s="28">
        <v>0.74930946999999992</v>
      </c>
    </row>
    <row r="66" spans="1:139" ht="15" thickTop="1" x14ac:dyDescent="0.3">
      <c r="A66" s="1" t="s">
        <v>445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27">
        <v>0</v>
      </c>
      <c r="BK66" s="27">
        <v>0</v>
      </c>
      <c r="BL66" s="27">
        <v>0</v>
      </c>
      <c r="BM66" s="27">
        <v>0</v>
      </c>
      <c r="BN66" s="27">
        <f t="shared" si="40"/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f t="shared" si="41"/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f t="shared" si="42"/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f t="shared" si="43"/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f t="shared" si="44"/>
        <v>0</v>
      </c>
      <c r="CI66" s="27">
        <v>0</v>
      </c>
      <c r="CJ66" s="27">
        <v>5.1346739999999995E-2</v>
      </c>
      <c r="CK66" s="27">
        <v>5.7135819999999997E-2</v>
      </c>
      <c r="CL66" s="27">
        <v>0.19491383000000001</v>
      </c>
      <c r="CM66" s="27">
        <f t="shared" si="45"/>
        <v>0.30339639000000002</v>
      </c>
      <c r="CN66" s="27">
        <v>-3.585294E-2</v>
      </c>
      <c r="CO66" s="27">
        <v>0.98580658999999993</v>
      </c>
      <c r="CP66" s="27">
        <v>5.6487289999999912E-2</v>
      </c>
      <c r="CQ66" s="27">
        <f>1.095-SUM(CN66:CP66)</f>
        <v>8.8559060000000134E-2</v>
      </c>
      <c r="CR66" s="27">
        <f t="shared" si="46"/>
        <v>1.095</v>
      </c>
      <c r="CS66" s="27">
        <v>8.1799399999999994E-2</v>
      </c>
      <c r="CT66" s="27">
        <v>0.11715976</v>
      </c>
      <c r="CU66" s="27">
        <v>0.13011097000000002</v>
      </c>
      <c r="CV66" s="27">
        <v>0.2889967699999999</v>
      </c>
      <c r="CW66" s="27">
        <f t="shared" si="47"/>
        <v>0.61806689999999986</v>
      </c>
      <c r="CX66" s="27">
        <v>-7.5999999999999998E-2</v>
      </c>
      <c r="CY66" s="27">
        <v>0.13900000000000001</v>
      </c>
      <c r="CZ66" s="27">
        <v>0.14799999999999999</v>
      </c>
      <c r="DA66" s="27">
        <v>0.17899999999999999</v>
      </c>
      <c r="DB66" s="27">
        <f t="shared" si="48"/>
        <v>0.39</v>
      </c>
      <c r="DC66" s="27">
        <v>0.14399999999999999</v>
      </c>
      <c r="DD66" s="27">
        <v>0.14399999999999999</v>
      </c>
      <c r="DE66" s="27">
        <v>0.161</v>
      </c>
      <c r="DF66" s="27">
        <v>0.186</v>
      </c>
      <c r="DG66" s="27">
        <f t="shared" si="49"/>
        <v>0.63500000000000001</v>
      </c>
      <c r="DH66" s="27">
        <v>7.1999999999999995E-2</v>
      </c>
      <c r="DI66" s="27">
        <v>0.109</v>
      </c>
      <c r="DJ66" s="27">
        <v>0.2</v>
      </c>
      <c r="DK66" s="27">
        <v>-8.0000000000000002E-3</v>
      </c>
      <c r="DL66" s="27">
        <f t="shared" si="50"/>
        <v>0.373</v>
      </c>
      <c r="DM66" s="27">
        <v>9.4E-2</v>
      </c>
      <c r="DN66" s="27">
        <v>0.11600000000000001</v>
      </c>
      <c r="DO66" s="27">
        <v>0.14099999999999999</v>
      </c>
      <c r="DP66" s="27">
        <v>0.191</v>
      </c>
      <c r="DQ66" s="27">
        <f t="shared" si="51"/>
        <v>0.54200000000000004</v>
      </c>
      <c r="DR66" s="27">
        <v>0.14699999999999999</v>
      </c>
      <c r="DS66" s="27">
        <v>0.13500000000000001</v>
      </c>
      <c r="DT66" s="27">
        <v>2.7E-2</v>
      </c>
      <c r="DU66" s="27">
        <v>0.03</v>
      </c>
      <c r="DV66" s="27">
        <f t="shared" si="52"/>
        <v>0.33900000000000008</v>
      </c>
      <c r="DW66" s="27">
        <v>2.7E-2</v>
      </c>
      <c r="DX66" s="27">
        <v>3.2564549999999998E-2</v>
      </c>
      <c r="DY66" s="27">
        <v>0.12048956</v>
      </c>
      <c r="DZ66" s="27">
        <v>-2.1214239999999992E-2</v>
      </c>
      <c r="EA66" s="27">
        <f t="shared" si="53"/>
        <v>0.15883986999999999</v>
      </c>
      <c r="EB66" s="27">
        <v>5.3105529999999998E-2</v>
      </c>
      <c r="EC66" s="27">
        <v>4.4283729999999993E-2</v>
      </c>
      <c r="ED66" s="27">
        <v>9.6000000000000002E-2</v>
      </c>
      <c r="EE66" s="27">
        <v>0.22575395000000001</v>
      </c>
      <c r="EF66" s="27">
        <f t="shared" si="54"/>
        <v>0.41914320999999999</v>
      </c>
      <c r="EG66" s="27">
        <v>7.0771360000000005E-2</v>
      </c>
      <c r="EH66" s="27">
        <v>7.5118819999999989E-2</v>
      </c>
      <c r="EI66" s="27">
        <v>0.26283778999999996</v>
      </c>
    </row>
    <row r="67" spans="1:139" ht="15" thickBot="1" x14ac:dyDescent="0.35">
      <c r="A67" s="2" t="s">
        <v>444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28">
        <v>0</v>
      </c>
      <c r="BK67" s="28">
        <v>0</v>
      </c>
      <c r="BL67" s="28">
        <v>0</v>
      </c>
      <c r="BM67" s="28">
        <v>0</v>
      </c>
      <c r="BN67" s="28">
        <f t="shared" si="40"/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f t="shared" si="41"/>
        <v>0</v>
      </c>
      <c r="BT67" s="28">
        <v>0</v>
      </c>
      <c r="BU67" s="28">
        <v>0</v>
      </c>
      <c r="BV67" s="28">
        <v>0</v>
      </c>
      <c r="BW67" s="28">
        <v>0</v>
      </c>
      <c r="BX67" s="28">
        <f t="shared" si="42"/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f t="shared" si="43"/>
        <v>0</v>
      </c>
      <c r="CD67" s="28">
        <v>0</v>
      </c>
      <c r="CE67" s="28">
        <v>0</v>
      </c>
      <c r="CF67" s="28">
        <v>0</v>
      </c>
      <c r="CG67" s="28">
        <v>0</v>
      </c>
      <c r="CH67" s="28">
        <f t="shared" si="44"/>
        <v>0</v>
      </c>
      <c r="CI67" s="28">
        <v>0</v>
      </c>
      <c r="CJ67" s="28">
        <v>0</v>
      </c>
      <c r="CK67" s="28">
        <v>0</v>
      </c>
      <c r="CL67" s="28">
        <v>0</v>
      </c>
      <c r="CM67" s="28">
        <f t="shared" si="45"/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f t="shared" si="46"/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f t="shared" si="47"/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f t="shared" si="48"/>
        <v>0</v>
      </c>
      <c r="DC67" s="28">
        <v>0</v>
      </c>
      <c r="DD67" s="28">
        <v>0</v>
      </c>
      <c r="DE67" s="28">
        <v>-0.98699999999999999</v>
      </c>
      <c r="DF67" s="28">
        <v>1.04</v>
      </c>
      <c r="DG67" s="28">
        <f t="shared" si="49"/>
        <v>5.3000000000000047E-2</v>
      </c>
      <c r="DH67" s="28">
        <v>7.4999999999999997E-2</v>
      </c>
      <c r="DI67" s="28">
        <v>9.8000000000000004E-2</v>
      </c>
      <c r="DJ67" s="28">
        <v>0.19</v>
      </c>
      <c r="DK67" s="28">
        <v>0.158</v>
      </c>
      <c r="DL67" s="28">
        <f t="shared" si="50"/>
        <v>0.52100000000000002</v>
      </c>
      <c r="DM67" s="28">
        <v>1.9E-2</v>
      </c>
      <c r="DN67" s="28">
        <v>6.6000000000000003E-2</v>
      </c>
      <c r="DO67" s="28">
        <v>2.9000000000000001E-2</v>
      </c>
      <c r="DP67" s="28">
        <v>5.8999999999999997E-2</v>
      </c>
      <c r="DQ67" s="28">
        <f t="shared" si="51"/>
        <v>0.17299999999999999</v>
      </c>
      <c r="DR67" s="28">
        <v>0.20599999999999999</v>
      </c>
      <c r="DS67" s="28">
        <v>-7.0999999999999994E-2</v>
      </c>
      <c r="DT67" s="28">
        <v>0.23799999999999999</v>
      </c>
      <c r="DU67" s="28">
        <v>3.7999999999999999E-2</v>
      </c>
      <c r="DV67" s="28">
        <f t="shared" si="52"/>
        <v>0.41099999999999998</v>
      </c>
      <c r="DW67" s="28">
        <v>3.5000000000000003E-2</v>
      </c>
      <c r="DX67" s="28">
        <v>3.4125900000000001E-2</v>
      </c>
      <c r="DY67" s="28">
        <v>0.27392285000000005</v>
      </c>
      <c r="DZ67" s="28">
        <v>-9.5102470000000036E-2</v>
      </c>
      <c r="EA67" s="28">
        <f t="shared" si="53"/>
        <v>0.24794628000000002</v>
      </c>
      <c r="EB67" s="28">
        <v>4.150032E-2</v>
      </c>
      <c r="EC67" s="28">
        <v>4.2623280000000006E-2</v>
      </c>
      <c r="ED67" s="28">
        <v>4.4999999999999998E-2</v>
      </c>
      <c r="EE67" s="28">
        <v>4.8244079999999988E-2</v>
      </c>
      <c r="EF67" s="28">
        <f t="shared" si="54"/>
        <v>0.17736768</v>
      </c>
      <c r="EG67" s="28">
        <v>4.9707370000000001E-2</v>
      </c>
      <c r="EH67" s="28">
        <v>6.2731759999999998E-2</v>
      </c>
      <c r="EI67" s="28">
        <v>9.1111369999999997E-2</v>
      </c>
    </row>
    <row r="68" spans="1:139" ht="15" thickTop="1" x14ac:dyDescent="0.3">
      <c r="A68" s="1" t="s">
        <v>456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27">
        <v>0</v>
      </c>
      <c r="BK68" s="27">
        <v>0</v>
      </c>
      <c r="BL68" s="27">
        <v>0</v>
      </c>
      <c r="BM68" s="27">
        <v>0</v>
      </c>
      <c r="BN68" s="27">
        <f t="shared" si="40"/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f t="shared" si="41"/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f t="shared" si="42"/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f t="shared" si="43"/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f t="shared" si="44"/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f t="shared" si="45"/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f t="shared" si="46"/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f t="shared" si="47"/>
        <v>0</v>
      </c>
      <c r="CX68" s="27">
        <v>0</v>
      </c>
      <c r="CY68" s="27">
        <v>0</v>
      </c>
      <c r="CZ68" s="27">
        <v>0</v>
      </c>
      <c r="DA68" s="27">
        <v>0.129</v>
      </c>
      <c r="DB68" s="27">
        <f t="shared" si="48"/>
        <v>0.129</v>
      </c>
      <c r="DC68" s="27">
        <v>7.0000000000000001E-3</v>
      </c>
      <c r="DD68" s="27">
        <v>5.0000000000000001E-3</v>
      </c>
      <c r="DE68" s="27">
        <v>1.2E-2</v>
      </c>
      <c r="DF68" s="27">
        <v>2E-3</v>
      </c>
      <c r="DG68" s="27">
        <f t="shared" si="49"/>
        <v>2.6000000000000002E-2</v>
      </c>
      <c r="DH68" s="27">
        <v>5.0000000000000001E-3</v>
      </c>
      <c r="DI68" s="27">
        <v>1.2E-2</v>
      </c>
      <c r="DJ68" s="27">
        <v>1.2E-2</v>
      </c>
      <c r="DK68" s="27">
        <v>2.5000000000000001E-2</v>
      </c>
      <c r="DL68" s="27">
        <f t="shared" si="50"/>
        <v>5.4000000000000006E-2</v>
      </c>
      <c r="DM68" s="27">
        <v>0.16200000000000001</v>
      </c>
      <c r="DN68" s="27">
        <v>0.14799999999999999</v>
      </c>
      <c r="DO68" s="27">
        <v>0.27600000000000002</v>
      </c>
      <c r="DP68" s="27">
        <v>0.222</v>
      </c>
      <c r="DQ68" s="27">
        <f t="shared" si="51"/>
        <v>0.80800000000000005</v>
      </c>
      <c r="DR68" s="27">
        <v>0.124</v>
      </c>
      <c r="DS68" s="27">
        <v>0.378</v>
      </c>
      <c r="DT68" s="27">
        <v>3.5999999999999997E-2</v>
      </c>
      <c r="DU68" s="27">
        <v>0.28000000000000003</v>
      </c>
      <c r="DV68" s="27">
        <f t="shared" si="52"/>
        <v>0.81800000000000006</v>
      </c>
      <c r="DW68" s="27">
        <v>0.314</v>
      </c>
      <c r="DX68" s="27">
        <v>0.27188848999999998</v>
      </c>
      <c r="DY68" s="27">
        <v>0.4363823799999999</v>
      </c>
      <c r="DZ68" s="27">
        <v>0.25374813000000013</v>
      </c>
      <c r="EA68" s="27">
        <f t="shared" si="53"/>
        <v>1.276019</v>
      </c>
      <c r="EB68" s="27">
        <v>0.28344185999999999</v>
      </c>
      <c r="EC68" s="27">
        <v>0.19108572000000004</v>
      </c>
      <c r="ED68" s="27">
        <v>0.246</v>
      </c>
      <c r="EE68" s="27">
        <v>0.2887119199999999</v>
      </c>
      <c r="EF68" s="27">
        <f t="shared" si="54"/>
        <v>1.0092395000000001</v>
      </c>
      <c r="EG68" s="27">
        <v>3.5919910000000006E-2</v>
      </c>
      <c r="EH68" s="27">
        <v>7.2450779999999992E-2</v>
      </c>
      <c r="EI68" s="27">
        <v>6.0848690000000004E-2</v>
      </c>
    </row>
    <row r="69" spans="1:139" ht="15" thickBot="1" x14ac:dyDescent="0.35">
      <c r="A69" s="2" t="s">
        <v>446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28">
        <v>0</v>
      </c>
      <c r="BK69" s="28">
        <v>0</v>
      </c>
      <c r="BL69" s="28">
        <v>0</v>
      </c>
      <c r="BM69" s="28">
        <v>0</v>
      </c>
      <c r="BN69" s="28">
        <f t="shared" si="40"/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f t="shared" si="41"/>
        <v>0</v>
      </c>
      <c r="BT69" s="28">
        <v>0</v>
      </c>
      <c r="BU69" s="28">
        <v>0</v>
      </c>
      <c r="BV69" s="28">
        <v>0</v>
      </c>
      <c r="BW69" s="28">
        <v>0</v>
      </c>
      <c r="BX69" s="28">
        <f t="shared" si="42"/>
        <v>0</v>
      </c>
      <c r="BY69" s="28">
        <v>0</v>
      </c>
      <c r="BZ69" s="28">
        <v>0</v>
      </c>
      <c r="CA69" s="28">
        <v>0</v>
      </c>
      <c r="CB69" s="28">
        <v>0</v>
      </c>
      <c r="CC69" s="28">
        <f t="shared" si="43"/>
        <v>0</v>
      </c>
      <c r="CD69" s="28">
        <v>0</v>
      </c>
      <c r="CE69" s="28">
        <v>0</v>
      </c>
      <c r="CF69" s="28">
        <v>0</v>
      </c>
      <c r="CG69" s="28">
        <v>0</v>
      </c>
      <c r="CH69" s="28">
        <f t="shared" si="44"/>
        <v>0</v>
      </c>
      <c r="CI69" s="28">
        <v>0</v>
      </c>
      <c r="CJ69" s="28">
        <v>0</v>
      </c>
      <c r="CK69" s="28">
        <v>0</v>
      </c>
      <c r="CL69" s="28">
        <v>0</v>
      </c>
      <c r="CM69" s="28">
        <f t="shared" si="45"/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f t="shared" si="46"/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f t="shared" si="47"/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f t="shared" si="48"/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f t="shared" si="49"/>
        <v>0</v>
      </c>
      <c r="DH69" s="28">
        <v>4.2999999999999997E-2</v>
      </c>
      <c r="DI69" s="28">
        <v>0.78100000000000003</v>
      </c>
      <c r="DJ69" s="28">
        <v>-0.67100000000000004</v>
      </c>
      <c r="DK69" s="28">
        <v>2.3E-2</v>
      </c>
      <c r="DL69" s="28">
        <f t="shared" si="50"/>
        <v>0.17600000000000002</v>
      </c>
      <c r="DM69" s="28">
        <v>3.0000000000000001E-3</v>
      </c>
      <c r="DN69" s="28">
        <v>1.4999999999999999E-2</v>
      </c>
      <c r="DO69" s="28">
        <v>1.4E-2</v>
      </c>
      <c r="DP69" s="28">
        <v>2.4E-2</v>
      </c>
      <c r="DQ69" s="28">
        <f t="shared" si="51"/>
        <v>5.6000000000000001E-2</v>
      </c>
      <c r="DR69" s="28">
        <v>2.3E-2</v>
      </c>
      <c r="DS69" s="28">
        <v>2.7E-2</v>
      </c>
      <c r="DT69" s="28">
        <v>0.01</v>
      </c>
      <c r="DU69" s="28">
        <v>4.8000000000000001E-2</v>
      </c>
      <c r="DV69" s="28">
        <f t="shared" si="52"/>
        <v>0.10800000000000001</v>
      </c>
      <c r="DW69" s="28">
        <v>2.1000000000000001E-2</v>
      </c>
      <c r="DX69" s="28">
        <v>2.2943580000000002E-2</v>
      </c>
      <c r="DY69" s="28">
        <v>6.8651069999999995E-2</v>
      </c>
      <c r="DZ69" s="28">
        <v>3.0542899999999994E-2</v>
      </c>
      <c r="EA69" s="28">
        <f t="shared" si="53"/>
        <v>0.14313754999999997</v>
      </c>
      <c r="EB69" s="28">
        <v>2.6096189999999998E-2</v>
      </c>
      <c r="EC69" s="28">
        <v>2.4206920000000003E-2</v>
      </c>
      <c r="ED69" s="28">
        <v>3.6999999999999998E-2</v>
      </c>
      <c r="EE69" s="28">
        <v>3.617542E-2</v>
      </c>
      <c r="EF69" s="28">
        <f t="shared" si="54"/>
        <v>0.12347852999999999</v>
      </c>
      <c r="EG69" s="28">
        <v>2.6093270000000002E-2</v>
      </c>
      <c r="EH69" s="28">
        <v>7.2551190000000002E-2</v>
      </c>
      <c r="EI69" s="28">
        <v>5.4013529999999983E-2</v>
      </c>
    </row>
    <row r="70" spans="1:139" ht="15" thickTop="1" x14ac:dyDescent="0.3">
      <c r="A70" s="1" t="s">
        <v>447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27">
        <v>0</v>
      </c>
      <c r="BK70" s="27">
        <v>0</v>
      </c>
      <c r="BL70" s="27">
        <v>0</v>
      </c>
      <c r="BM70" s="27">
        <v>0</v>
      </c>
      <c r="BN70" s="27">
        <f t="shared" si="40"/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f t="shared" si="41"/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f t="shared" si="42"/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f t="shared" si="43"/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f t="shared" si="44"/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f t="shared" si="45"/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f t="shared" si="46"/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f t="shared" si="47"/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f t="shared" si="48"/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f t="shared" si="49"/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f t="shared" si="50"/>
        <v>0</v>
      </c>
      <c r="DM70" s="27">
        <v>0</v>
      </c>
      <c r="DN70" s="27">
        <v>0</v>
      </c>
      <c r="DO70" s="27">
        <v>1E-3</v>
      </c>
      <c r="DP70" s="27">
        <v>1.4999999999999999E-2</v>
      </c>
      <c r="DQ70" s="27">
        <f t="shared" si="51"/>
        <v>1.6E-2</v>
      </c>
      <c r="DR70" s="27">
        <v>5.6000000000000001E-2</v>
      </c>
      <c r="DS70" s="27">
        <v>7.0000000000000001E-3</v>
      </c>
      <c r="DT70" s="27">
        <v>0</v>
      </c>
      <c r="DU70" s="27">
        <v>0.13600000000000001</v>
      </c>
      <c r="DV70" s="27">
        <f t="shared" si="52"/>
        <v>0.19900000000000001</v>
      </c>
      <c r="DW70" s="27">
        <v>3.4000000000000002E-2</v>
      </c>
      <c r="DX70" s="27">
        <v>5.321729E-2</v>
      </c>
      <c r="DY70" s="27">
        <v>8.3891950000000007E-2</v>
      </c>
      <c r="DZ70" s="27">
        <v>0.18539839000000002</v>
      </c>
      <c r="EA70" s="27">
        <f t="shared" si="53"/>
        <v>0.35650763000000002</v>
      </c>
      <c r="EB70" s="27">
        <v>7.6395980000000002E-2</v>
      </c>
      <c r="EC70" s="27">
        <v>7.8354400000000005E-2</v>
      </c>
      <c r="ED70" s="27">
        <v>-6.4000000000000001E-2</v>
      </c>
      <c r="EE70" s="27">
        <v>0.11003207999999999</v>
      </c>
      <c r="EF70" s="27">
        <f t="shared" si="54"/>
        <v>0.20078246</v>
      </c>
      <c r="EG70" s="27">
        <v>7.5076929999999986E-2</v>
      </c>
      <c r="EH70" s="27">
        <v>0.22030916000000003</v>
      </c>
      <c r="EI70" s="27">
        <v>0.16018036999999999</v>
      </c>
    </row>
    <row r="71" spans="1:139" ht="15" thickBot="1" x14ac:dyDescent="0.35">
      <c r="A71" s="2" t="s">
        <v>448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28">
        <v>0</v>
      </c>
      <c r="BK71" s="28">
        <v>0</v>
      </c>
      <c r="BL71" s="28">
        <v>0</v>
      </c>
      <c r="BM71" s="28">
        <v>0</v>
      </c>
      <c r="BN71" s="28">
        <f t="shared" si="40"/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f t="shared" si="41"/>
        <v>0</v>
      </c>
      <c r="BT71" s="28">
        <v>0</v>
      </c>
      <c r="BU71" s="28">
        <v>0</v>
      </c>
      <c r="BV71" s="28">
        <v>0</v>
      </c>
      <c r="BW71" s="28">
        <v>0</v>
      </c>
      <c r="BX71" s="28">
        <f t="shared" si="42"/>
        <v>0</v>
      </c>
      <c r="BY71" s="28">
        <v>0</v>
      </c>
      <c r="BZ71" s="28">
        <v>0</v>
      </c>
      <c r="CA71" s="28">
        <v>0</v>
      </c>
      <c r="CB71" s="28">
        <v>0</v>
      </c>
      <c r="CC71" s="28">
        <f t="shared" si="43"/>
        <v>0</v>
      </c>
      <c r="CD71" s="28">
        <v>0</v>
      </c>
      <c r="CE71" s="28">
        <v>0</v>
      </c>
      <c r="CF71" s="28">
        <v>0</v>
      </c>
      <c r="CG71" s="28">
        <v>0</v>
      </c>
      <c r="CH71" s="28">
        <f t="shared" si="44"/>
        <v>0</v>
      </c>
      <c r="CI71" s="28">
        <v>0</v>
      </c>
      <c r="CJ71" s="28">
        <v>0</v>
      </c>
      <c r="CK71" s="28">
        <v>0</v>
      </c>
      <c r="CL71" s="28">
        <v>0</v>
      </c>
      <c r="CM71" s="28">
        <f t="shared" si="45"/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f t="shared" si="46"/>
        <v>0</v>
      </c>
      <c r="CS71" s="28">
        <v>0</v>
      </c>
      <c r="CT71" s="28">
        <v>0</v>
      </c>
      <c r="CU71" s="28">
        <v>0</v>
      </c>
      <c r="CV71" s="28">
        <v>0</v>
      </c>
      <c r="CW71" s="28">
        <f t="shared" si="47"/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f t="shared" si="48"/>
        <v>0</v>
      </c>
      <c r="DC71" s="28">
        <v>0</v>
      </c>
      <c r="DD71" s="28">
        <v>0</v>
      </c>
      <c r="DE71" s="28">
        <v>0</v>
      </c>
      <c r="DF71" s="28">
        <v>0</v>
      </c>
      <c r="DG71" s="28">
        <f t="shared" si="49"/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f t="shared" si="50"/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f t="shared" si="51"/>
        <v>0</v>
      </c>
      <c r="DR71" s="28">
        <v>0</v>
      </c>
      <c r="DS71" s="28">
        <v>0</v>
      </c>
      <c r="DT71" s="28">
        <v>0</v>
      </c>
      <c r="DU71" s="28">
        <v>0.08</v>
      </c>
      <c r="DV71" s="28">
        <f t="shared" si="52"/>
        <v>0.08</v>
      </c>
      <c r="DW71" s="28">
        <v>3.7999999999999999E-2</v>
      </c>
      <c r="DX71" s="28">
        <v>6.3719399999999995E-2</v>
      </c>
      <c r="DY71" s="28">
        <v>0.17072395000000001</v>
      </c>
      <c r="DZ71" s="28">
        <v>-3.0455859999999987E-2</v>
      </c>
      <c r="EA71" s="28">
        <f t="shared" si="53"/>
        <v>0.24198748999999997</v>
      </c>
      <c r="EB71" s="28">
        <v>8.2805000000000004E-2</v>
      </c>
      <c r="EC71" s="28">
        <v>0.15204995999999998</v>
      </c>
      <c r="ED71" s="28">
        <v>0.11700000000000001</v>
      </c>
      <c r="EE71" s="28">
        <v>0.16764875000000001</v>
      </c>
      <c r="EF71" s="28">
        <f t="shared" si="54"/>
        <v>0.51950370999999995</v>
      </c>
      <c r="EG71" s="28">
        <v>0.10398684</v>
      </c>
      <c r="EH71" s="28">
        <v>0.19162357999999999</v>
      </c>
      <c r="EI71" s="28">
        <v>0.25219092999999998</v>
      </c>
    </row>
    <row r="72" spans="1:139" ht="15" thickTop="1" x14ac:dyDescent="0.3">
      <c r="A72" s="1" t="s">
        <v>449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  <c r="DA72" s="27">
        <v>0</v>
      </c>
      <c r="DB72" s="27">
        <v>0</v>
      </c>
      <c r="DC72" s="27">
        <v>0</v>
      </c>
      <c r="DD72" s="27">
        <v>0</v>
      </c>
      <c r="DE72" s="27">
        <v>0</v>
      </c>
      <c r="DF72" s="27">
        <v>0</v>
      </c>
      <c r="DG72" s="27">
        <v>0</v>
      </c>
      <c r="DH72" s="27">
        <v>0</v>
      </c>
      <c r="DI72" s="27">
        <v>0</v>
      </c>
      <c r="DJ72" s="27">
        <v>0</v>
      </c>
      <c r="DK72" s="27">
        <v>0</v>
      </c>
      <c r="DL72" s="27">
        <v>0</v>
      </c>
      <c r="DM72" s="27">
        <v>0</v>
      </c>
      <c r="DN72" s="27">
        <v>0</v>
      </c>
      <c r="DO72" s="27">
        <v>0</v>
      </c>
      <c r="DP72" s="27">
        <v>0</v>
      </c>
      <c r="DQ72" s="27">
        <v>0</v>
      </c>
      <c r="DR72" s="27">
        <v>0</v>
      </c>
      <c r="DS72" s="27">
        <v>0</v>
      </c>
      <c r="DT72" s="27">
        <v>0</v>
      </c>
      <c r="DU72" s="27">
        <v>0</v>
      </c>
      <c r="DV72" s="27">
        <v>0</v>
      </c>
      <c r="DW72" s="27">
        <v>0</v>
      </c>
      <c r="DX72" s="27">
        <v>2.5658499999999997E-3</v>
      </c>
      <c r="DY72" s="27">
        <v>1.6767810000000001E-2</v>
      </c>
      <c r="DZ72" s="27">
        <v>8.1800199999999997E-3</v>
      </c>
      <c r="EA72" s="27">
        <f t="shared" si="53"/>
        <v>2.7513680000000002E-2</v>
      </c>
      <c r="EB72" s="27">
        <v>6.3985840000000002E-2</v>
      </c>
      <c r="EC72" s="27">
        <v>4.6452070000000005E-2</v>
      </c>
      <c r="ED72" s="27">
        <v>4.7E-2</v>
      </c>
      <c r="EE72" s="27">
        <v>7.8523860000000015E-2</v>
      </c>
      <c r="EF72" s="27">
        <f t="shared" si="54"/>
        <v>0.23596177000000002</v>
      </c>
      <c r="EG72" s="27">
        <v>0.12003461999999999</v>
      </c>
      <c r="EH72" s="27">
        <v>0.27448836999999998</v>
      </c>
      <c r="EI72" s="27">
        <v>-0.16941028</v>
      </c>
    </row>
    <row r="73" spans="1:139" ht="15" thickBot="1" x14ac:dyDescent="0.35">
      <c r="A73" s="2" t="s">
        <v>460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>
        <v>0</v>
      </c>
      <c r="EH73" s="28">
        <v>0</v>
      </c>
      <c r="EI73" s="28">
        <v>1.6536540000000002E-2</v>
      </c>
    </row>
    <row r="74" spans="1:139" ht="15" thickTop="1" x14ac:dyDescent="0.3">
      <c r="A74" s="1" t="s">
        <v>304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27">
        <v>0</v>
      </c>
      <c r="BK74" s="27">
        <v>0</v>
      </c>
      <c r="BL74" s="27">
        <v>0</v>
      </c>
      <c r="BM74" s="27">
        <v>0</v>
      </c>
      <c r="BN74" s="27">
        <f t="shared" si="40"/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f t="shared" si="41"/>
        <v>0</v>
      </c>
      <c r="BT74" s="27">
        <v>0</v>
      </c>
      <c r="BU74" s="27">
        <v>0</v>
      </c>
      <c r="BV74" s="27">
        <v>0</v>
      </c>
      <c r="BW74" s="27">
        <v>0.72909552499999997</v>
      </c>
      <c r="BX74" s="27">
        <f t="shared" si="42"/>
        <v>0.72909552499999997</v>
      </c>
      <c r="BY74" s="27">
        <v>2.6012779999999996E-2</v>
      </c>
      <c r="BZ74" s="27">
        <v>0.53948108000000006</v>
      </c>
      <c r="CA74" s="27">
        <v>-1.1689586600000001</v>
      </c>
      <c r="CB74" s="27">
        <v>1.7841434700000001</v>
      </c>
      <c r="CC74" s="27">
        <f t="shared" si="43"/>
        <v>1.1806786699999998</v>
      </c>
      <c r="CD74" s="27">
        <v>0.28807853999999999</v>
      </c>
      <c r="CE74" s="27">
        <v>-0.72103688999999993</v>
      </c>
      <c r="CF74" s="27">
        <v>-1.7018497300000002</v>
      </c>
      <c r="CG74" s="27">
        <v>3.3404479800000004</v>
      </c>
      <c r="CH74" s="27">
        <f t="shared" si="44"/>
        <v>1.2056399000000004</v>
      </c>
      <c r="CI74" s="27">
        <v>0.40993965999999998</v>
      </c>
      <c r="CJ74" s="27">
        <v>0.32201821000000003</v>
      </c>
      <c r="CK74" s="27">
        <v>0.99997254999999985</v>
      </c>
      <c r="CL74" s="27">
        <v>0.53535570000000021</v>
      </c>
      <c r="CM74" s="27">
        <f t="shared" si="45"/>
        <v>2.2672861200000001</v>
      </c>
      <c r="CN74" s="27">
        <v>0.74834798000000002</v>
      </c>
      <c r="CO74" s="27">
        <v>0.78023247999999989</v>
      </c>
      <c r="CP74" s="27">
        <v>0.44592651000000016</v>
      </c>
      <c r="CQ74" s="27">
        <f>2.358-SUM(CN74:CP74)</f>
        <v>0.3834930299999999</v>
      </c>
      <c r="CR74" s="27">
        <f t="shared" si="46"/>
        <v>2.3580000000000001</v>
      </c>
      <c r="CS74" s="27">
        <v>0.36699999999999999</v>
      </c>
      <c r="CT74" s="27">
        <f>0.727-CS74</f>
        <v>0.36</v>
      </c>
      <c r="CU74" s="27">
        <f>1.327-SUM(CS74:CT74)</f>
        <v>0.6</v>
      </c>
      <c r="CV74" s="27">
        <f>1.49-SUM(CS74:CU74)</f>
        <v>0.16300000000000003</v>
      </c>
      <c r="CW74" s="27">
        <f t="shared" si="47"/>
        <v>1.49</v>
      </c>
      <c r="CX74" s="27">
        <v>0.23200000000000001</v>
      </c>
      <c r="CY74" s="27">
        <v>0.23200000000000001</v>
      </c>
      <c r="CZ74" s="27">
        <v>0.24299999999999999</v>
      </c>
      <c r="DA74" s="27">
        <v>0.22500000000000001</v>
      </c>
      <c r="DB74" s="27">
        <f t="shared" si="48"/>
        <v>0.93200000000000005</v>
      </c>
      <c r="DC74" s="27">
        <v>0.23400000000000001</v>
      </c>
      <c r="DD74" s="27">
        <v>0.188</v>
      </c>
      <c r="DE74" s="27">
        <v>0.16800000000000001</v>
      </c>
      <c r="DF74" s="27">
        <v>0.28599999999999998</v>
      </c>
      <c r="DG74" s="27">
        <f t="shared" si="49"/>
        <v>0.87600000000000011</v>
      </c>
      <c r="DH74" s="27">
        <v>0.26900000000000002</v>
      </c>
      <c r="DI74" s="27">
        <v>0.16700000000000001</v>
      </c>
      <c r="DJ74" s="27">
        <v>0.44600000000000001</v>
      </c>
      <c r="DK74" s="27">
        <v>0.46600000000000003</v>
      </c>
      <c r="DL74" s="27">
        <f t="shared" si="50"/>
        <v>1.3480000000000001</v>
      </c>
      <c r="DM74" s="27">
        <v>0.47099999999999997</v>
      </c>
      <c r="DN74" s="27">
        <v>0.309</v>
      </c>
      <c r="DO74" s="27">
        <v>0.33900000000000002</v>
      </c>
      <c r="DP74" s="27">
        <v>0.34899999999999998</v>
      </c>
      <c r="DQ74" s="27">
        <f t="shared" si="51"/>
        <v>1.468</v>
      </c>
      <c r="DR74" s="27">
        <v>0.25700000000000001</v>
      </c>
      <c r="DS74" s="27">
        <v>0.55200000000000005</v>
      </c>
      <c r="DT74" s="27">
        <v>0.69799999999999995</v>
      </c>
      <c r="DU74" s="27">
        <v>1.744</v>
      </c>
      <c r="DV74" s="27">
        <f t="shared" si="52"/>
        <v>3.2510000000000003</v>
      </c>
      <c r="DW74" s="27">
        <v>0.39100000000000001</v>
      </c>
      <c r="DX74" s="27">
        <v>0.41376818999999998</v>
      </c>
      <c r="DY74" s="27">
        <f>(426722.31+65185.16)/1000000</f>
        <v>0.49190746999999996</v>
      </c>
      <c r="DZ74" s="27">
        <v>0.39285029999999987</v>
      </c>
      <c r="EA74" s="27">
        <f t="shared" ref="EA74:EA82" si="55">SUM(DW74:DZ74)</f>
        <v>1.6895259599999999</v>
      </c>
      <c r="EB74" s="27">
        <f>(296582.02+101970.09)/1000000</f>
        <v>0.39855210999999996</v>
      </c>
      <c r="EC74" s="27">
        <v>0.6985128100000001</v>
      </c>
      <c r="ED74" s="27">
        <v>0.35299999999999998</v>
      </c>
      <c r="EE74" s="27">
        <v>0.50664401000000003</v>
      </c>
      <c r="EF74" s="27">
        <f t="shared" ref="EF74:EF82" si="56">SUM(EB74:EE74)</f>
        <v>1.95670893</v>
      </c>
      <c r="EG74" s="27">
        <v>0.56286312000000005</v>
      </c>
      <c r="EH74" s="27">
        <v>0.53298672999999996</v>
      </c>
      <c r="EI74" s="27">
        <v>0.39340987000000011</v>
      </c>
    </row>
    <row r="75" spans="1:139" ht="15" thickBot="1" x14ac:dyDescent="0.35">
      <c r="A75" s="2" t="s">
        <v>305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0</v>
      </c>
      <c r="CB75" s="28">
        <v>0</v>
      </c>
      <c r="CC75" s="28">
        <v>0</v>
      </c>
      <c r="CD75" s="28">
        <v>0</v>
      </c>
      <c r="CE75" s="28">
        <v>0</v>
      </c>
      <c r="CF75" s="28">
        <v>0</v>
      </c>
      <c r="CG75" s="28">
        <v>0</v>
      </c>
      <c r="CH75" s="28">
        <v>0</v>
      </c>
      <c r="CI75" s="28">
        <v>0</v>
      </c>
      <c r="CJ75" s="28">
        <v>0</v>
      </c>
      <c r="CK75" s="28">
        <v>0</v>
      </c>
      <c r="CL75" s="28">
        <v>0</v>
      </c>
      <c r="CM75" s="28">
        <v>0</v>
      </c>
      <c r="CN75" s="28">
        <v>0</v>
      </c>
      <c r="CO75" s="28">
        <v>0</v>
      </c>
      <c r="CP75" s="28">
        <v>0</v>
      </c>
      <c r="CQ75" s="28">
        <v>0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f t="shared" si="47"/>
        <v>0</v>
      </c>
      <c r="CX75" s="28">
        <v>0</v>
      </c>
      <c r="CY75" s="28">
        <v>0</v>
      </c>
      <c r="CZ75" s="28">
        <v>0</v>
      </c>
      <c r="DA75" s="28">
        <v>0</v>
      </c>
      <c r="DB75" s="28">
        <f t="shared" si="48"/>
        <v>0</v>
      </c>
      <c r="DC75" s="28">
        <v>5.3999999999999999E-2</v>
      </c>
      <c r="DD75" s="28">
        <v>4.4999999999999998E-2</v>
      </c>
      <c r="DE75" s="28">
        <v>4.3999999999999997E-2</v>
      </c>
      <c r="DF75" s="28">
        <v>2.1000000000000001E-2</v>
      </c>
      <c r="DG75" s="28">
        <f t="shared" si="49"/>
        <v>0.16400000000000001</v>
      </c>
      <c r="DH75" s="28">
        <v>4.5999999999999999E-2</v>
      </c>
      <c r="DI75" s="28">
        <v>6.3E-2</v>
      </c>
      <c r="DJ75" s="28">
        <v>0.14099999999999999</v>
      </c>
      <c r="DK75" s="28">
        <v>6.0999999999999999E-2</v>
      </c>
      <c r="DL75" s="28">
        <f t="shared" si="50"/>
        <v>0.311</v>
      </c>
      <c r="DM75" s="28">
        <v>4.3999999999999997E-2</v>
      </c>
      <c r="DN75" s="28">
        <v>0.121</v>
      </c>
      <c r="DO75" s="28">
        <v>1.2999999999999999E-2</v>
      </c>
      <c r="DP75" s="28">
        <v>9.0999999999999998E-2</v>
      </c>
      <c r="DQ75" s="28">
        <f t="shared" si="51"/>
        <v>0.26900000000000002</v>
      </c>
      <c r="DR75" s="28">
        <v>5.7000000000000002E-2</v>
      </c>
      <c r="DS75" s="28">
        <v>0.01</v>
      </c>
      <c r="DT75" s="28">
        <v>4.2000000000000003E-2</v>
      </c>
      <c r="DU75" s="28">
        <v>0.114</v>
      </c>
      <c r="DV75" s="28">
        <f t="shared" si="52"/>
        <v>0.22300000000000003</v>
      </c>
      <c r="DW75" s="28">
        <v>0.22</v>
      </c>
      <c r="DX75" s="28">
        <v>0.14594560999999998</v>
      </c>
      <c r="DY75" s="28">
        <v>0.21563254000000004</v>
      </c>
      <c r="DZ75" s="28">
        <v>-3.9374300000000516E-3</v>
      </c>
      <c r="EA75" s="28">
        <f t="shared" si="55"/>
        <v>0.57764072</v>
      </c>
      <c r="EB75" s="28">
        <v>8.304911999999999E-2</v>
      </c>
      <c r="EC75" s="28">
        <v>0.20807695000000001</v>
      </c>
      <c r="ED75" s="28">
        <v>0.255</v>
      </c>
      <c r="EE75" s="28">
        <v>0.22335537</v>
      </c>
      <c r="EF75" s="28">
        <f t="shared" si="56"/>
        <v>0.76948144000000007</v>
      </c>
      <c r="EG75" s="28">
        <v>5.1532679999999997E-2</v>
      </c>
      <c r="EH75" s="28">
        <v>0.19038996000000002</v>
      </c>
      <c r="EI75" s="28">
        <v>0.14443741999999998</v>
      </c>
    </row>
    <row r="76" spans="1:139" ht="15" thickTop="1" x14ac:dyDescent="0.3">
      <c r="A76" s="1" t="s">
        <v>306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27">
        <v>0</v>
      </c>
      <c r="BK76" s="27">
        <v>0</v>
      </c>
      <c r="BL76" s="27">
        <v>0</v>
      </c>
      <c r="BM76" s="27">
        <v>0</v>
      </c>
      <c r="BN76" s="27">
        <f t="shared" si="40"/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f t="shared" si="41"/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f t="shared" si="42"/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f t="shared" si="43"/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f t="shared" si="44"/>
        <v>0</v>
      </c>
      <c r="CI76" s="27">
        <v>0</v>
      </c>
      <c r="CJ76" s="27">
        <v>3.9927379999999998E-2</v>
      </c>
      <c r="CK76" s="27">
        <v>2.1522530000000005E-2</v>
      </c>
      <c r="CL76" s="27">
        <v>3.3554529999999985E-2</v>
      </c>
      <c r="CM76" s="27">
        <f t="shared" si="45"/>
        <v>9.5004439999999996E-2</v>
      </c>
      <c r="CN76" s="27">
        <v>7.9809550000000007E-2</v>
      </c>
      <c r="CO76" s="27">
        <v>0.10101712000000002</v>
      </c>
      <c r="CP76" s="27">
        <v>5.6908849999999955E-2</v>
      </c>
      <c r="CQ76" s="27">
        <f>0.309-SUM(CN76:CP76)</f>
        <v>7.1264480000000019E-2</v>
      </c>
      <c r="CR76" s="27">
        <f t="shared" si="46"/>
        <v>0.309</v>
      </c>
      <c r="CS76" s="27">
        <v>6.6672460000000003E-2</v>
      </c>
      <c r="CT76" s="27">
        <v>8.9387019999999998E-2</v>
      </c>
      <c r="CU76" s="27">
        <v>6.3807639999999985E-2</v>
      </c>
      <c r="CV76" s="27">
        <v>7.7413560000000034E-2</v>
      </c>
      <c r="CW76" s="27">
        <f t="shared" si="47"/>
        <v>0.29728068000000002</v>
      </c>
      <c r="CX76" s="27">
        <v>8.1000000000000003E-2</v>
      </c>
      <c r="CY76" s="27">
        <v>8.4000000000000005E-2</v>
      </c>
      <c r="CZ76" s="27">
        <v>7.9000000000000001E-2</v>
      </c>
      <c r="DA76" s="27">
        <v>0.114</v>
      </c>
      <c r="DB76" s="27">
        <f t="shared" si="48"/>
        <v>0.35799999999999998</v>
      </c>
      <c r="DC76" s="27">
        <v>0.08</v>
      </c>
      <c r="DD76" s="27">
        <v>9.1999999999999998E-2</v>
      </c>
      <c r="DE76" s="27">
        <v>0.04</v>
      </c>
      <c r="DF76" s="27">
        <v>7.3999999999999996E-2</v>
      </c>
      <c r="DG76" s="27">
        <f t="shared" si="49"/>
        <v>0.28599999999999998</v>
      </c>
      <c r="DH76" s="27">
        <v>9.9000000000000005E-2</v>
      </c>
      <c r="DI76" s="27">
        <v>7.3999999999999996E-2</v>
      </c>
      <c r="DJ76" s="27">
        <v>9.9000000000000005E-2</v>
      </c>
      <c r="DK76" s="27">
        <v>0.22700000000000001</v>
      </c>
      <c r="DL76" s="27">
        <f t="shared" si="50"/>
        <v>0.499</v>
      </c>
      <c r="DM76" s="27">
        <v>8.8999999999999996E-2</v>
      </c>
      <c r="DN76" s="27">
        <v>0.121</v>
      </c>
      <c r="DO76" s="27">
        <v>0.08</v>
      </c>
      <c r="DP76" s="27">
        <v>0.06</v>
      </c>
      <c r="DQ76" s="27">
        <f t="shared" si="51"/>
        <v>0.35</v>
      </c>
      <c r="DR76" s="27">
        <v>7.3999999999999996E-2</v>
      </c>
      <c r="DS76" s="27">
        <v>0.11700000000000001</v>
      </c>
      <c r="DT76" s="27">
        <v>6.2E-2</v>
      </c>
      <c r="DU76" s="27">
        <v>0.112</v>
      </c>
      <c r="DV76" s="27">
        <f t="shared" si="52"/>
        <v>0.36499999999999999</v>
      </c>
      <c r="DW76" s="27">
        <v>0.46200000000000002</v>
      </c>
      <c r="DX76" s="27">
        <v>4.4441830000000002E-2</v>
      </c>
      <c r="DY76" s="27">
        <v>0.20793016000000003</v>
      </c>
      <c r="DZ76" s="27">
        <v>0.34840897999999998</v>
      </c>
      <c r="EA76" s="27">
        <f t="shared" si="55"/>
        <v>1.0627809699999999</v>
      </c>
      <c r="EB76" s="27">
        <v>4.4954419999999995E-2</v>
      </c>
      <c r="EC76" s="27">
        <v>0.54761884999999999</v>
      </c>
      <c r="ED76" s="27">
        <v>7.0000000000000007E-2</v>
      </c>
      <c r="EE76" s="27">
        <v>0.25885820000000009</v>
      </c>
      <c r="EF76" s="27">
        <f t="shared" si="56"/>
        <v>0.92143147000000014</v>
      </c>
      <c r="EG76" s="27">
        <v>0.21203548999999999</v>
      </c>
      <c r="EH76" s="27">
        <v>-1.7244299999999929E-3</v>
      </c>
      <c r="EI76" s="27">
        <v>3.2313299999999989E-2</v>
      </c>
    </row>
    <row r="77" spans="1:139" ht="15" thickBot="1" x14ac:dyDescent="0.35">
      <c r="A77" s="2" t="s">
        <v>323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28">
        <v>0</v>
      </c>
      <c r="BK77" s="28">
        <v>0</v>
      </c>
      <c r="BL77" s="28">
        <v>0</v>
      </c>
      <c r="BM77" s="28">
        <v>0</v>
      </c>
      <c r="BN77" s="28">
        <f t="shared" si="40"/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f t="shared" si="41"/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f t="shared" si="42"/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f t="shared" si="43"/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f t="shared" si="44"/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f t="shared" si="45"/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f t="shared" si="46"/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f t="shared" si="47"/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f t="shared" si="48"/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f t="shared" si="49"/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f t="shared" si="50"/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f t="shared" si="51"/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f t="shared" si="52"/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f t="shared" si="55"/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f t="shared" si="56"/>
        <v>0</v>
      </c>
      <c r="EG77" s="28">
        <v>0</v>
      </c>
      <c r="EH77" s="28">
        <v>0</v>
      </c>
      <c r="EI77" s="28">
        <v>0</v>
      </c>
    </row>
    <row r="78" spans="1:139" ht="15" thickTop="1" x14ac:dyDescent="0.3">
      <c r="A78" s="1" t="s">
        <v>322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27">
        <v>0</v>
      </c>
      <c r="BK78" s="27">
        <v>0</v>
      </c>
      <c r="BL78" s="27">
        <v>0</v>
      </c>
      <c r="BM78" s="27">
        <v>0</v>
      </c>
      <c r="BN78" s="27">
        <f t="shared" si="40"/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f t="shared" si="41"/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f t="shared" si="42"/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f t="shared" si="43"/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f t="shared" si="44"/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f t="shared" si="45"/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f t="shared" si="46"/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f t="shared" si="47"/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f t="shared" si="48"/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f t="shared" si="49"/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f t="shared" si="50"/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f t="shared" si="51"/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f t="shared" si="52"/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f t="shared" si="55"/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f t="shared" si="56"/>
        <v>0</v>
      </c>
      <c r="EG78" s="27">
        <v>0</v>
      </c>
      <c r="EH78" s="27">
        <v>0</v>
      </c>
      <c r="EI78" s="27">
        <v>0</v>
      </c>
    </row>
    <row r="79" spans="1:139" ht="15" thickBot="1" x14ac:dyDescent="0.35">
      <c r="A79" s="2" t="s">
        <v>375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28">
        <v>-0.18374087</v>
      </c>
      <c r="BK79" s="28">
        <v>-9.831576000000003E-2</v>
      </c>
      <c r="BL79" s="28">
        <v>-0.24289803999999993</v>
      </c>
      <c r="BM79" s="28">
        <v>-0.21164102000000007</v>
      </c>
      <c r="BN79" s="28">
        <f t="shared" si="40"/>
        <v>-0.73659569000000003</v>
      </c>
      <c r="BO79" s="28">
        <v>-0.22762572</v>
      </c>
      <c r="BP79" s="28">
        <v>0.32591750000000003</v>
      </c>
      <c r="BQ79" s="28">
        <v>-3.7829499999999933E-2</v>
      </c>
      <c r="BR79" s="28">
        <v>0.97181964999999981</v>
      </c>
      <c r="BS79" s="28">
        <f t="shared" si="41"/>
        <v>1.0322819299999999</v>
      </c>
      <c r="BT79" s="28">
        <v>0</v>
      </c>
      <c r="BU79" s="28">
        <v>0</v>
      </c>
      <c r="BV79" s="28">
        <v>0</v>
      </c>
      <c r="BW79" s="28">
        <v>0</v>
      </c>
      <c r="BX79" s="28">
        <f t="shared" si="42"/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f t="shared" si="43"/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f t="shared" si="44"/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f t="shared" si="45"/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f t="shared" si="46"/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f t="shared" si="47"/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f t="shared" si="48"/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f t="shared" si="49"/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f t="shared" si="50"/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f t="shared" si="51"/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f t="shared" si="52"/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f t="shared" si="55"/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f t="shared" si="56"/>
        <v>0</v>
      </c>
      <c r="EG79" s="28">
        <v>0</v>
      </c>
      <c r="EH79" s="28">
        <v>0</v>
      </c>
      <c r="EI79" s="28">
        <v>0</v>
      </c>
    </row>
    <row r="80" spans="1:139" ht="15" thickTop="1" x14ac:dyDescent="0.3">
      <c r="A80" s="1" t="s">
        <v>338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27">
        <v>5.722853E-2</v>
      </c>
      <c r="BK80" s="27">
        <v>6.3660320000000006E-2</v>
      </c>
      <c r="BL80" s="27">
        <v>4.3382739999999989E-2</v>
      </c>
      <c r="BM80" s="27">
        <v>4.3067010000000003E-2</v>
      </c>
      <c r="BN80" s="27">
        <f t="shared" si="40"/>
        <v>0.20733859999999998</v>
      </c>
      <c r="BO80" s="27">
        <v>4.2822789999999999E-2</v>
      </c>
      <c r="BP80" s="27">
        <v>5.8048299999999997E-2</v>
      </c>
      <c r="BQ80" s="27">
        <v>8.5267739999999981E-2</v>
      </c>
      <c r="BR80" s="27">
        <v>6.1843698904000044E-2</v>
      </c>
      <c r="BS80" s="27">
        <f t="shared" si="41"/>
        <v>0.24798252890400002</v>
      </c>
      <c r="BT80" s="27">
        <v>0</v>
      </c>
      <c r="BU80" s="27">
        <v>0</v>
      </c>
      <c r="BV80" s="27">
        <v>0</v>
      </c>
      <c r="BW80" s="27">
        <v>0</v>
      </c>
      <c r="BX80" s="27">
        <f t="shared" si="42"/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f t="shared" si="43"/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f t="shared" si="44"/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f t="shared" si="45"/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f t="shared" si="46"/>
        <v>0</v>
      </c>
      <c r="CS80" s="27">
        <v>0</v>
      </c>
      <c r="CT80" s="27">
        <f>0.016</f>
        <v>1.6E-2</v>
      </c>
      <c r="CU80" s="27">
        <f>0.016-CT80</f>
        <v>0</v>
      </c>
      <c r="CV80" s="27">
        <f>0.022-CU80-CT80</f>
        <v>5.9999999999999984E-3</v>
      </c>
      <c r="CW80" s="27">
        <f t="shared" si="47"/>
        <v>2.1999999999999999E-2</v>
      </c>
      <c r="CX80" s="27">
        <v>0</v>
      </c>
      <c r="CY80" s="27">
        <v>0</v>
      </c>
      <c r="CZ80" s="27">
        <v>0</v>
      </c>
      <c r="DA80" s="27">
        <v>1.2999999999999999E-2</v>
      </c>
      <c r="DB80" s="27">
        <f t="shared" si="48"/>
        <v>1.2999999999999999E-2</v>
      </c>
      <c r="DC80" s="27">
        <v>0</v>
      </c>
      <c r="DD80" s="27">
        <v>0</v>
      </c>
      <c r="DE80" s="27">
        <v>0</v>
      </c>
      <c r="DF80" s="27">
        <v>0</v>
      </c>
      <c r="DG80" s="27">
        <f t="shared" si="49"/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f t="shared" si="50"/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f t="shared" si="51"/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f t="shared" si="52"/>
        <v>0</v>
      </c>
      <c r="DW80" s="27">
        <v>0</v>
      </c>
      <c r="DX80" s="27">
        <v>0</v>
      </c>
      <c r="DY80" s="27">
        <v>0</v>
      </c>
      <c r="DZ80" s="27">
        <v>2.3461030000000001E-2</v>
      </c>
      <c r="EA80" s="27">
        <f t="shared" si="55"/>
        <v>2.3461030000000001E-2</v>
      </c>
      <c r="EB80" s="27">
        <v>0</v>
      </c>
      <c r="EC80" s="27">
        <v>0</v>
      </c>
      <c r="ED80" s="27">
        <v>0</v>
      </c>
      <c r="EE80" s="27">
        <v>0</v>
      </c>
      <c r="EF80" s="27">
        <f t="shared" si="56"/>
        <v>0</v>
      </c>
      <c r="EG80" s="27">
        <v>5.2999999999999999E-2</v>
      </c>
      <c r="EH80" s="27">
        <v>5.2999999999999999E-2</v>
      </c>
      <c r="EI80" s="27">
        <v>1.3818279999999999E-2</v>
      </c>
    </row>
    <row r="81" spans="1:139" ht="15" thickBot="1" x14ac:dyDescent="0.35">
      <c r="A81" s="2" t="s">
        <v>331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28">
        <v>9.5924170000000003E-2</v>
      </c>
      <c r="BK81" s="28">
        <v>0.11472057999999999</v>
      </c>
      <c r="BL81" s="28">
        <v>0.11233179999999998</v>
      </c>
      <c r="BM81" s="28">
        <v>0.15461133000000002</v>
      </c>
      <c r="BN81" s="28">
        <f t="shared" si="40"/>
        <v>0.47758787999999996</v>
      </c>
      <c r="BO81" s="28">
        <v>0.11902217</v>
      </c>
      <c r="BP81" s="28">
        <v>5.0972500000000018E-2</v>
      </c>
      <c r="BQ81" s="28">
        <v>0.19060313000000001</v>
      </c>
      <c r="BR81" s="28">
        <v>0.18743996000000002</v>
      </c>
      <c r="BS81" s="28">
        <f t="shared" si="41"/>
        <v>0.54803776000000004</v>
      </c>
      <c r="BT81" s="28">
        <v>0.30328105</v>
      </c>
      <c r="BU81" s="28">
        <v>0.15196775000000001</v>
      </c>
      <c r="BV81" s="28">
        <v>0.10283852999999998</v>
      </c>
      <c r="BW81" s="28">
        <v>0.20209546000000006</v>
      </c>
      <c r="BX81" s="28">
        <f t="shared" si="42"/>
        <v>0.76018279</v>
      </c>
      <c r="BY81" s="28">
        <v>0.13623706000000002</v>
      </c>
      <c r="BZ81" s="28">
        <v>0.10915882999999998</v>
      </c>
      <c r="CA81" s="28">
        <v>0.11097355999999997</v>
      </c>
      <c r="CB81" s="28">
        <v>0.14374642999999998</v>
      </c>
      <c r="CC81" s="28">
        <f t="shared" si="43"/>
        <v>0.50011587999999996</v>
      </c>
      <c r="CD81" s="28">
        <v>8.5032700000000003E-2</v>
      </c>
      <c r="CE81" s="28">
        <v>0.13870684</v>
      </c>
      <c r="CF81" s="28">
        <v>0.11108447</v>
      </c>
      <c r="CG81" s="28">
        <v>0.48060120000000001</v>
      </c>
      <c r="CH81" s="28">
        <f t="shared" si="44"/>
        <v>0.81542521000000001</v>
      </c>
      <c r="CI81" s="28">
        <v>0.13884382000000001</v>
      </c>
      <c r="CJ81" s="28">
        <v>0.49441293999999997</v>
      </c>
      <c r="CK81" s="28">
        <v>0.1536398000000001</v>
      </c>
      <c r="CL81" s="28">
        <v>-0.37136561000000007</v>
      </c>
      <c r="CM81" s="28">
        <f t="shared" si="45"/>
        <v>0.41553095000000001</v>
      </c>
      <c r="CN81" s="28">
        <v>4.6188799999999997E-3</v>
      </c>
      <c r="CO81" s="28">
        <v>0.20987735000000002</v>
      </c>
      <c r="CP81" s="28">
        <v>8.6932899999999855E-3</v>
      </c>
      <c r="CQ81" s="28">
        <f>0.223-SUM(CN81:CP81)</f>
        <v>-1.8951999999999858E-4</v>
      </c>
      <c r="CR81" s="28">
        <f t="shared" si="46"/>
        <v>0.223</v>
      </c>
      <c r="CS81" s="28">
        <v>0</v>
      </c>
      <c r="CT81" s="28">
        <v>0.20120270000000001</v>
      </c>
      <c r="CU81" s="28">
        <v>7.304527999999999E-2</v>
      </c>
      <c r="CV81" s="28">
        <v>1.0294700000000323E-3</v>
      </c>
      <c r="CW81" s="28">
        <f t="shared" si="47"/>
        <v>0.27527745000000003</v>
      </c>
      <c r="CX81" s="28">
        <v>0</v>
      </c>
      <c r="CY81" s="28">
        <v>0.27700000000000002</v>
      </c>
      <c r="CZ81" s="28">
        <v>5.0000000000000001E-3</v>
      </c>
      <c r="DA81" s="28">
        <v>0.01</v>
      </c>
      <c r="DB81" s="28">
        <f t="shared" si="48"/>
        <v>0.29200000000000004</v>
      </c>
      <c r="DC81" s="28">
        <v>0</v>
      </c>
      <c r="DD81" s="28">
        <v>0</v>
      </c>
      <c r="DE81" s="28">
        <v>0.57499999999999996</v>
      </c>
      <c r="DF81" s="28">
        <v>-0.14899999999999999</v>
      </c>
      <c r="DG81" s="28">
        <f t="shared" si="49"/>
        <v>0.42599999999999993</v>
      </c>
      <c r="DH81" s="28">
        <v>0</v>
      </c>
      <c r="DI81" s="28">
        <v>0.40799999999999997</v>
      </c>
      <c r="DJ81" s="28">
        <v>0</v>
      </c>
      <c r="DK81" s="28">
        <v>0</v>
      </c>
      <c r="DL81" s="28">
        <f t="shared" si="50"/>
        <v>0.40799999999999997</v>
      </c>
      <c r="DM81" s="28">
        <v>6.0000000000000001E-3</v>
      </c>
      <c r="DN81" s="28">
        <v>0.379</v>
      </c>
      <c r="DO81" s="28">
        <v>4.0000000000000001E-3</v>
      </c>
      <c r="DP81" s="28">
        <v>3.0000000000000001E-3</v>
      </c>
      <c r="DQ81" s="28">
        <f t="shared" si="51"/>
        <v>0.39200000000000002</v>
      </c>
      <c r="DR81" s="28">
        <v>4.0000000000000001E-3</v>
      </c>
      <c r="DS81" s="28">
        <v>1.4999999999999999E-2</v>
      </c>
      <c r="DT81" s="28">
        <v>3.0000000000000001E-3</v>
      </c>
      <c r="DU81" s="28">
        <v>0.377</v>
      </c>
      <c r="DV81" s="28">
        <f t="shared" si="52"/>
        <v>0.39900000000000002</v>
      </c>
      <c r="DW81" s="28">
        <v>2.9000000000000001E-2</v>
      </c>
      <c r="DX81" s="28">
        <v>0.36278916</v>
      </c>
      <c r="DY81" s="28">
        <v>-0.23469071999999996</v>
      </c>
      <c r="DZ81" s="28">
        <v>-1.776102000000002E-2</v>
      </c>
      <c r="EA81" s="28">
        <f t="shared" si="55"/>
        <v>0.13933742000000005</v>
      </c>
      <c r="EB81" s="28">
        <v>1.8853999999999999E-2</v>
      </c>
      <c r="EC81" s="28">
        <v>0.31040621999999995</v>
      </c>
      <c r="ED81" s="28">
        <v>0.38400000000000001</v>
      </c>
      <c r="EE81" s="28">
        <v>1.1027E-2</v>
      </c>
      <c r="EF81" s="28">
        <f t="shared" si="56"/>
        <v>0.72428722000000001</v>
      </c>
      <c r="EG81" s="28">
        <v>3.8416269999999995E-2</v>
      </c>
      <c r="EH81" s="28">
        <v>0.23588736000000002</v>
      </c>
      <c r="EI81" s="28">
        <v>-0.21126838000000001</v>
      </c>
    </row>
    <row r="82" spans="1:139" ht="15" thickTop="1" x14ac:dyDescent="0.3">
      <c r="A82" s="1" t="s">
        <v>308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27">
        <v>0</v>
      </c>
      <c r="BK82" s="27">
        <v>0</v>
      </c>
      <c r="BL82" s="27">
        <v>0</v>
      </c>
      <c r="BM82" s="27">
        <v>0</v>
      </c>
      <c r="BN82" s="27">
        <f t="shared" si="40"/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f t="shared" si="41"/>
        <v>0</v>
      </c>
      <c r="BT82" s="27">
        <v>0</v>
      </c>
      <c r="BU82" s="27">
        <v>0</v>
      </c>
      <c r="BV82" s="27">
        <v>-0.1</v>
      </c>
      <c r="BW82" s="27">
        <v>-0.1</v>
      </c>
      <c r="BX82" s="27">
        <f t="shared" si="42"/>
        <v>-0.2</v>
      </c>
      <c r="BY82" s="27">
        <v>0</v>
      </c>
      <c r="BZ82" s="27">
        <v>0</v>
      </c>
      <c r="CA82" s="27">
        <v>0</v>
      </c>
      <c r="CB82" s="27">
        <v>0.1</v>
      </c>
      <c r="CC82" s="27">
        <f t="shared" si="43"/>
        <v>0.1</v>
      </c>
      <c r="CD82" s="27">
        <v>0</v>
      </c>
      <c r="CE82" s="27">
        <v>0.1</v>
      </c>
      <c r="CF82" s="27">
        <v>0</v>
      </c>
      <c r="CG82" s="27">
        <v>0.2</v>
      </c>
      <c r="CH82" s="27">
        <f t="shared" si="44"/>
        <v>0.30000000000000004</v>
      </c>
      <c r="CI82" s="27">
        <v>0</v>
      </c>
      <c r="CJ82" s="27">
        <v>0</v>
      </c>
      <c r="CK82" s="27">
        <v>0</v>
      </c>
      <c r="CL82" s="27">
        <v>0</v>
      </c>
      <c r="CM82" s="27">
        <f t="shared" si="45"/>
        <v>0</v>
      </c>
      <c r="CN82" s="27">
        <v>0</v>
      </c>
      <c r="CO82" s="27">
        <v>0</v>
      </c>
      <c r="CP82" s="27">
        <v>-0.3</v>
      </c>
      <c r="CQ82" s="27">
        <v>0.30099999999999999</v>
      </c>
      <c r="CR82" s="27">
        <f t="shared" si="46"/>
        <v>1.0000000000000009E-3</v>
      </c>
      <c r="CS82" s="27">
        <v>0</v>
      </c>
      <c r="CT82" s="27">
        <v>0</v>
      </c>
      <c r="CU82" s="27">
        <v>0</v>
      </c>
      <c r="CV82" s="27">
        <v>0</v>
      </c>
      <c r="CW82" s="27">
        <f t="shared" si="47"/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f t="shared" si="48"/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f t="shared" si="49"/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f t="shared" si="50"/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f t="shared" si="51"/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f t="shared" si="52"/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f t="shared" si="55"/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f t="shared" si="56"/>
        <v>0</v>
      </c>
      <c r="EG82" s="27">
        <v>0</v>
      </c>
      <c r="EH82" s="27">
        <v>0</v>
      </c>
      <c r="EI82" s="27">
        <v>0</v>
      </c>
    </row>
    <row r="83" spans="1:139" x14ac:dyDescent="0.3">
      <c r="A83" s="5" t="s">
        <v>311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29">
        <f t="shared" ref="BJ83:CW83" si="57">SUM(BJ60:BJ82)</f>
        <v>0.22619352000000001</v>
      </c>
      <c r="BK83" s="29">
        <f t="shared" si="57"/>
        <v>1.458464</v>
      </c>
      <c r="BL83" s="29">
        <f t="shared" si="57"/>
        <v>1.6486345500000001</v>
      </c>
      <c r="BM83" s="29">
        <f t="shared" si="57"/>
        <v>0.28054322000000009</v>
      </c>
      <c r="BN83" s="29">
        <f t="shared" si="57"/>
        <v>3.6138352899999999</v>
      </c>
      <c r="BO83" s="29">
        <f t="shared" si="57"/>
        <v>7.4750589999999992E-2</v>
      </c>
      <c r="BP83" s="29">
        <f t="shared" si="57"/>
        <v>0.65911858000000001</v>
      </c>
      <c r="BQ83" s="29">
        <f t="shared" si="57"/>
        <v>1.4775482600000003</v>
      </c>
      <c r="BR83" s="29">
        <f t="shared" si="57"/>
        <v>1.1389742589039995</v>
      </c>
      <c r="BS83" s="29">
        <f t="shared" si="57"/>
        <v>3.3503916889040002</v>
      </c>
      <c r="BT83" s="29">
        <f t="shared" si="57"/>
        <v>0.41601102000000001</v>
      </c>
      <c r="BU83" s="29">
        <f t="shared" si="57"/>
        <v>1.1094912499999998</v>
      </c>
      <c r="BV83" s="29">
        <f t="shared" si="57"/>
        <v>3.2672112999999996</v>
      </c>
      <c r="BW83" s="29">
        <f t="shared" si="57"/>
        <v>-2.1187142449999992</v>
      </c>
      <c r="BX83" s="29">
        <f t="shared" si="57"/>
        <v>2.673999325</v>
      </c>
      <c r="BY83" s="29">
        <f t="shared" si="57"/>
        <v>2.0349431400000002</v>
      </c>
      <c r="BZ83" s="29">
        <f t="shared" si="57"/>
        <v>-0.56544252000000017</v>
      </c>
      <c r="CA83" s="29">
        <f t="shared" si="57"/>
        <v>1.4597397699999997</v>
      </c>
      <c r="CB83" s="29">
        <f t="shared" si="57"/>
        <v>2.3064853499999995</v>
      </c>
      <c r="CC83" s="29">
        <f t="shared" si="57"/>
        <v>5.2357257399999995</v>
      </c>
      <c r="CD83" s="29">
        <f t="shared" si="57"/>
        <v>1.0746967200000002</v>
      </c>
      <c r="CE83" s="29">
        <f t="shared" si="57"/>
        <v>-0.1641666299999999</v>
      </c>
      <c r="CF83" s="29">
        <f t="shared" si="57"/>
        <v>-1.4036571900000001</v>
      </c>
      <c r="CG83" s="29">
        <f t="shared" si="57"/>
        <v>4.5375470500000006</v>
      </c>
      <c r="CH83" s="29">
        <f t="shared" si="57"/>
        <v>4.04441995</v>
      </c>
      <c r="CI83" s="29">
        <f t="shared" si="57"/>
        <v>1.02824117</v>
      </c>
      <c r="CJ83" s="29">
        <f t="shared" si="57"/>
        <v>1.3378430399999999</v>
      </c>
      <c r="CK83" s="29">
        <f t="shared" si="57"/>
        <v>1.9488089999999998</v>
      </c>
      <c r="CL83" s="29">
        <f t="shared" si="57"/>
        <v>1.1583822700000002</v>
      </c>
      <c r="CM83" s="29">
        <f t="shared" si="57"/>
        <v>5.4732754800000007</v>
      </c>
      <c r="CN83" s="29">
        <f t="shared" si="57"/>
        <v>0.92731983000000007</v>
      </c>
      <c r="CO83" s="29">
        <f t="shared" si="57"/>
        <v>2.0818843199999999</v>
      </c>
      <c r="CP83" s="29">
        <f t="shared" si="57"/>
        <v>0.33336851000000006</v>
      </c>
      <c r="CQ83" s="29">
        <f t="shared" si="57"/>
        <v>1.1354273400000001</v>
      </c>
      <c r="CR83" s="29">
        <f t="shared" si="57"/>
        <v>4.4780000000000006</v>
      </c>
      <c r="CS83" s="29">
        <f t="shared" si="57"/>
        <v>0.58588537000000007</v>
      </c>
      <c r="CT83" s="29">
        <f t="shared" si="57"/>
        <v>0.90516839000000004</v>
      </c>
      <c r="CU83" s="29">
        <f t="shared" si="57"/>
        <v>1.2109239700000001</v>
      </c>
      <c r="CV83" s="29">
        <f t="shared" si="57"/>
        <v>1.0943941800000001</v>
      </c>
      <c r="CW83" s="29">
        <f t="shared" si="57"/>
        <v>3.7963719099999995</v>
      </c>
      <c r="CX83" s="29">
        <f>SUM(CX60:CX82)</f>
        <v>0.38200000000000001</v>
      </c>
      <c r="CY83" s="29">
        <f>SUM(CY60:CY82)</f>
        <v>0.88600000000000001</v>
      </c>
      <c r="CZ83" s="29">
        <f>SUM(CZ60:CZ82)</f>
        <v>0.66200000000000003</v>
      </c>
      <c r="DA83" s="29">
        <f t="shared" ref="DA83:DT83" si="58">SUM(DA60:DA82)</f>
        <v>1.125</v>
      </c>
      <c r="DB83" s="29">
        <f t="shared" si="58"/>
        <v>3.0549999999999997</v>
      </c>
      <c r="DC83" s="29">
        <f t="shared" si="58"/>
        <v>1.07</v>
      </c>
      <c r="DD83" s="29">
        <f t="shared" si="58"/>
        <v>2.1239999999999997</v>
      </c>
      <c r="DE83" s="29">
        <f t="shared" si="58"/>
        <v>1.2710000000000001</v>
      </c>
      <c r="DF83" s="29">
        <f t="shared" si="58"/>
        <v>2.5389999999999993</v>
      </c>
      <c r="DG83" s="29">
        <f t="shared" si="58"/>
        <v>7.0039999999999996</v>
      </c>
      <c r="DH83" s="29">
        <f t="shared" si="58"/>
        <v>4.4600000000000009</v>
      </c>
      <c r="DI83" s="29">
        <f t="shared" si="58"/>
        <v>5.1889999999999992</v>
      </c>
      <c r="DJ83" s="29">
        <f t="shared" si="58"/>
        <v>4.1869999999999994</v>
      </c>
      <c r="DK83" s="29">
        <f t="shared" si="58"/>
        <v>-7.604999999999996</v>
      </c>
      <c r="DL83" s="29">
        <f t="shared" si="58"/>
        <v>6.2310000000000008</v>
      </c>
      <c r="DM83" s="29">
        <f t="shared" si="58"/>
        <v>1.6879999999999999</v>
      </c>
      <c r="DN83" s="29">
        <f t="shared" si="58"/>
        <v>1.6159999999999999</v>
      </c>
      <c r="DO83" s="29">
        <f t="shared" si="58"/>
        <v>1.7329999999999999</v>
      </c>
      <c r="DP83" s="29">
        <f t="shared" si="58"/>
        <v>2.2090000000000001</v>
      </c>
      <c r="DQ83" s="29">
        <f t="shared" si="58"/>
        <v>7.2459999999999996</v>
      </c>
      <c r="DR83" s="29">
        <f t="shared" si="58"/>
        <v>1.7419999999999998</v>
      </c>
      <c r="DS83" s="29">
        <f t="shared" si="58"/>
        <v>2.6409999999999996</v>
      </c>
      <c r="DT83" s="29">
        <f t="shared" si="58"/>
        <v>-0.86099999999999988</v>
      </c>
      <c r="DU83" s="29">
        <f t="shared" ref="DU83:EA83" si="59">SUM(DU60:DU82)</f>
        <v>4.5549999999999997</v>
      </c>
      <c r="DV83" s="29">
        <f t="shared" si="59"/>
        <v>8.077</v>
      </c>
      <c r="DW83" s="29">
        <f t="shared" si="59"/>
        <v>1.778</v>
      </c>
      <c r="DX83" s="29">
        <f t="shared" si="59"/>
        <v>1.50459353</v>
      </c>
      <c r="DY83" s="29">
        <f t="shared" si="59"/>
        <v>2.0384086499999996</v>
      </c>
      <c r="DZ83" s="29">
        <f t="shared" si="59"/>
        <v>1.33758943</v>
      </c>
      <c r="EA83" s="29">
        <f t="shared" si="59"/>
        <v>6.6585916100000002</v>
      </c>
      <c r="EB83" s="29">
        <f>SUM(EB60:EB82)</f>
        <v>1.2611446099999999</v>
      </c>
      <c r="EC83" s="29">
        <f>SUM(EC60:EC82)</f>
        <v>2.46962109</v>
      </c>
      <c r="ED83" s="29">
        <f>SUM(ED60:ED82)</f>
        <v>1.7190000000000003</v>
      </c>
      <c r="EE83" s="29">
        <f>SUM(EE60:EE82)</f>
        <v>2.1748739599999998</v>
      </c>
      <c r="EF83" s="29">
        <f t="shared" ref="EF83" si="60">SUM(EF60:EF82)</f>
        <v>7.6246396599999988</v>
      </c>
      <c r="EG83" s="29">
        <f>SUM(EG60:EG82)</f>
        <v>1.8317991899999999</v>
      </c>
      <c r="EH83" s="29">
        <f>SUM(EH60:EH82)</f>
        <v>2.3916916399999999</v>
      </c>
      <c r="EI83" s="29">
        <f>SUM(EI60:EI82)</f>
        <v>1.9453048399999999</v>
      </c>
    </row>
    <row r="84" spans="1:139" x14ac:dyDescent="0.3">
      <c r="A84" s="20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42"/>
      <c r="CS84" s="42"/>
      <c r="CT84" s="21"/>
      <c r="CU84" s="21"/>
      <c r="CV84" s="21"/>
      <c r="CW84" s="21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</row>
    <row r="85" spans="1:139" x14ac:dyDescent="0.3">
      <c r="A85" s="20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</row>
    <row r="86" spans="1:139" x14ac:dyDescent="0.3">
      <c r="A86" s="3" t="s">
        <v>326</v>
      </c>
      <c r="B86" s="6" t="s">
        <v>4</v>
      </c>
      <c r="C86" s="6" t="s">
        <v>5</v>
      </c>
      <c r="D86" s="6" t="s">
        <v>6</v>
      </c>
      <c r="E86" s="6" t="s">
        <v>7</v>
      </c>
      <c r="F86" s="6">
        <v>2018</v>
      </c>
      <c r="G86" s="6" t="s">
        <v>8</v>
      </c>
      <c r="H86" s="6" t="s">
        <v>9</v>
      </c>
      <c r="I86" s="6" t="s">
        <v>10</v>
      </c>
      <c r="J86" s="6" t="s">
        <v>11</v>
      </c>
      <c r="K86" s="6">
        <v>2019</v>
      </c>
      <c r="L86" s="6" t="s">
        <v>12</v>
      </c>
      <c r="M86" s="6" t="s">
        <v>13</v>
      </c>
      <c r="N86" s="6" t="s">
        <v>14</v>
      </c>
      <c r="O86" s="6" t="s">
        <v>15</v>
      </c>
      <c r="P86" s="6">
        <v>2000</v>
      </c>
      <c r="Q86" s="6" t="s">
        <v>16</v>
      </c>
      <c r="R86" s="6" t="s">
        <v>17</v>
      </c>
      <c r="S86" s="6" t="s">
        <v>18</v>
      </c>
      <c r="T86" s="6" t="s">
        <v>19</v>
      </c>
      <c r="U86" s="6">
        <v>2001</v>
      </c>
      <c r="V86" s="6" t="s">
        <v>20</v>
      </c>
      <c r="W86" s="6" t="s">
        <v>21</v>
      </c>
      <c r="X86" s="6" t="s">
        <v>22</v>
      </c>
      <c r="Y86" s="6" t="s">
        <v>23</v>
      </c>
      <c r="Z86" s="6">
        <v>2002</v>
      </c>
      <c r="AA86" s="6" t="s">
        <v>24</v>
      </c>
      <c r="AB86" s="6" t="s">
        <v>25</v>
      </c>
      <c r="AC86" s="6" t="s">
        <v>26</v>
      </c>
      <c r="AD86" s="6" t="s">
        <v>27</v>
      </c>
      <c r="AE86" s="6">
        <v>2003</v>
      </c>
      <c r="AF86" s="6" t="s">
        <v>28</v>
      </c>
      <c r="AG86" s="6" t="s">
        <v>29</v>
      </c>
      <c r="AH86" s="6" t="s">
        <v>30</v>
      </c>
      <c r="AI86" s="6" t="s">
        <v>31</v>
      </c>
      <c r="AJ86" s="6">
        <v>2004</v>
      </c>
      <c r="AK86" s="6" t="s">
        <v>32</v>
      </c>
      <c r="AL86" s="6" t="s">
        <v>33</v>
      </c>
      <c r="AM86" s="6" t="s">
        <v>34</v>
      </c>
      <c r="AN86" s="6" t="s">
        <v>35</v>
      </c>
      <c r="AO86" s="6">
        <v>2005</v>
      </c>
      <c r="AP86" s="6" t="s">
        <v>36</v>
      </c>
      <c r="AQ86" s="6" t="s">
        <v>37</v>
      </c>
      <c r="AR86" s="6" t="s">
        <v>38</v>
      </c>
      <c r="AS86" s="6" t="s">
        <v>39</v>
      </c>
      <c r="AT86" s="6">
        <v>2006</v>
      </c>
      <c r="AU86" s="6" t="s">
        <v>40</v>
      </c>
      <c r="AV86" s="6" t="s">
        <v>41</v>
      </c>
      <c r="AW86" s="6" t="s">
        <v>42</v>
      </c>
      <c r="AX86" s="6" t="s">
        <v>43</v>
      </c>
      <c r="AY86" s="6">
        <v>2007</v>
      </c>
      <c r="AZ86" s="6" t="s">
        <v>44</v>
      </c>
      <c r="BA86" s="6" t="s">
        <v>45</v>
      </c>
      <c r="BB86" s="6" t="s">
        <v>46</v>
      </c>
      <c r="BC86" s="6" t="s">
        <v>47</v>
      </c>
      <c r="BD86" s="6">
        <v>2008</v>
      </c>
      <c r="BE86" s="6" t="s">
        <v>48</v>
      </c>
      <c r="BF86" s="6" t="s">
        <v>49</v>
      </c>
      <c r="BG86" s="6" t="s">
        <v>50</v>
      </c>
      <c r="BH86" s="6" t="s">
        <v>51</v>
      </c>
      <c r="BI86" s="6">
        <v>2009</v>
      </c>
      <c r="BJ86" s="6" t="s">
        <v>52</v>
      </c>
      <c r="BK86" s="6" t="s">
        <v>53</v>
      </c>
      <c r="BL86" s="6" t="s">
        <v>54</v>
      </c>
      <c r="BM86" s="6" t="s">
        <v>55</v>
      </c>
      <c r="BN86" s="6">
        <v>2010</v>
      </c>
      <c r="BO86" s="6" t="s">
        <v>56</v>
      </c>
      <c r="BP86" s="6" t="s">
        <v>57</v>
      </c>
      <c r="BQ86" s="6" t="s">
        <v>58</v>
      </c>
      <c r="BR86" s="6" t="s">
        <v>59</v>
      </c>
      <c r="BS86" s="6">
        <v>2011</v>
      </c>
      <c r="BT86" s="6" t="s">
        <v>60</v>
      </c>
      <c r="BU86" s="6" t="s">
        <v>61</v>
      </c>
      <c r="BV86" s="6" t="s">
        <v>62</v>
      </c>
      <c r="BW86" s="6" t="s">
        <v>63</v>
      </c>
      <c r="BX86" s="6">
        <v>2012</v>
      </c>
      <c r="BY86" s="6" t="s">
        <v>64</v>
      </c>
      <c r="BZ86" s="6" t="s">
        <v>65</v>
      </c>
      <c r="CA86" s="6" t="s">
        <v>66</v>
      </c>
      <c r="CB86" s="6" t="s">
        <v>67</v>
      </c>
      <c r="CC86" s="6">
        <v>2013</v>
      </c>
      <c r="CD86" s="6" t="s">
        <v>68</v>
      </c>
      <c r="CE86" s="6" t="s">
        <v>69</v>
      </c>
      <c r="CF86" s="6" t="s">
        <v>70</v>
      </c>
      <c r="CG86" s="6" t="s">
        <v>71</v>
      </c>
      <c r="CH86" s="6">
        <v>2014</v>
      </c>
      <c r="CI86" s="6" t="s">
        <v>72</v>
      </c>
      <c r="CJ86" s="6" t="s">
        <v>73</v>
      </c>
      <c r="CK86" s="6" t="s">
        <v>74</v>
      </c>
      <c r="CL86" s="6" t="s">
        <v>75</v>
      </c>
      <c r="CM86" s="6">
        <v>2015</v>
      </c>
      <c r="CN86" s="6" t="s">
        <v>76</v>
      </c>
      <c r="CO86" s="6" t="s">
        <v>77</v>
      </c>
      <c r="CP86" s="6" t="s">
        <v>78</v>
      </c>
      <c r="CQ86" s="6" t="s">
        <v>79</v>
      </c>
      <c r="CR86" s="6">
        <v>2016</v>
      </c>
      <c r="CS86" s="6" t="s">
        <v>80</v>
      </c>
      <c r="CT86" s="6" t="s">
        <v>81</v>
      </c>
      <c r="CU86" s="6" t="s">
        <v>82</v>
      </c>
      <c r="CV86" s="6" t="s">
        <v>83</v>
      </c>
      <c r="CW86" s="6">
        <v>2017</v>
      </c>
      <c r="CX86" s="6" t="s">
        <v>84</v>
      </c>
      <c r="CY86" s="6" t="s">
        <v>85</v>
      </c>
      <c r="CZ86" s="6" t="s">
        <v>86</v>
      </c>
      <c r="DA86" s="6" t="s">
        <v>87</v>
      </c>
      <c r="DB86" s="6">
        <v>2018</v>
      </c>
      <c r="DC86" s="6" t="s">
        <v>88</v>
      </c>
      <c r="DD86" s="6" t="s">
        <v>89</v>
      </c>
      <c r="DE86" s="6" t="s">
        <v>90</v>
      </c>
      <c r="DF86" s="6" t="s">
        <v>91</v>
      </c>
      <c r="DG86" s="6">
        <v>2019</v>
      </c>
      <c r="DH86" s="6" t="s">
        <v>92</v>
      </c>
      <c r="DI86" s="6" t="s">
        <v>93</v>
      </c>
      <c r="DJ86" s="6" t="s">
        <v>94</v>
      </c>
      <c r="DK86" s="6" t="s">
        <v>95</v>
      </c>
      <c r="DL86" s="6">
        <v>2020</v>
      </c>
      <c r="DM86" s="6" t="s">
        <v>96</v>
      </c>
      <c r="DN86" s="6" t="s">
        <v>97</v>
      </c>
      <c r="DO86" s="6" t="s">
        <v>98</v>
      </c>
      <c r="DP86" s="6" t="s">
        <v>99</v>
      </c>
      <c r="DQ86" s="6">
        <v>2021</v>
      </c>
      <c r="DR86" s="6" t="s">
        <v>100</v>
      </c>
      <c r="DS86" s="6" t="s">
        <v>101</v>
      </c>
      <c r="DT86" s="6" t="s">
        <v>200</v>
      </c>
      <c r="DU86" s="6" t="s">
        <v>380</v>
      </c>
      <c r="DV86" s="6">
        <v>2022</v>
      </c>
      <c r="DW86" s="6" t="s">
        <v>379</v>
      </c>
      <c r="DX86" s="6" t="s">
        <v>402</v>
      </c>
      <c r="DY86" s="6" t="s">
        <v>414</v>
      </c>
      <c r="DZ86" s="6" t="s">
        <v>419</v>
      </c>
      <c r="EA86" s="6">
        <v>2023</v>
      </c>
      <c r="EB86" s="6" t="s">
        <v>424</v>
      </c>
      <c r="EC86" s="6" t="s">
        <v>429</v>
      </c>
      <c r="ED86" s="6" t="str">
        <f>$ED$1</f>
        <v>3T24</v>
      </c>
      <c r="EE86" s="6" t="str">
        <f>$EE$1</f>
        <v>4T24</v>
      </c>
      <c r="EF86" s="6">
        <f>$EF$1</f>
        <v>2024</v>
      </c>
      <c r="EG86" s="6" t="str">
        <f>EG$1</f>
        <v>1T25</v>
      </c>
      <c r="EH86" s="6" t="str">
        <f>EH$1</f>
        <v>2T25</v>
      </c>
      <c r="EI86" s="6" t="str">
        <f>EI$1</f>
        <v>3T25</v>
      </c>
    </row>
    <row r="87" spans="1:139" ht="15" thickBot="1" x14ac:dyDescent="0.35">
      <c r="A87" s="4" t="s">
        <v>327</v>
      </c>
      <c r="B87" s="7" t="s">
        <v>102</v>
      </c>
      <c r="C87" s="7" t="s">
        <v>103</v>
      </c>
      <c r="D87" s="7" t="s">
        <v>104</v>
      </c>
      <c r="E87" s="7" t="s">
        <v>105</v>
      </c>
      <c r="F87" s="7">
        <v>2018</v>
      </c>
      <c r="G87" s="7" t="s">
        <v>106</v>
      </c>
      <c r="H87" s="7" t="s">
        <v>107</v>
      </c>
      <c r="I87" s="7" t="s">
        <v>108</v>
      </c>
      <c r="J87" s="7" t="s">
        <v>109</v>
      </c>
      <c r="K87" s="7">
        <v>2019</v>
      </c>
      <c r="L87" s="7" t="s">
        <v>110</v>
      </c>
      <c r="M87" s="7" t="s">
        <v>111</v>
      </c>
      <c r="N87" s="7" t="s">
        <v>112</v>
      </c>
      <c r="O87" s="7" t="s">
        <v>113</v>
      </c>
      <c r="P87" s="7">
        <v>2000</v>
      </c>
      <c r="Q87" s="7" t="s">
        <v>114</v>
      </c>
      <c r="R87" s="7" t="s">
        <v>115</v>
      </c>
      <c r="S87" s="7" t="s">
        <v>116</v>
      </c>
      <c r="T87" s="7" t="s">
        <v>117</v>
      </c>
      <c r="U87" s="7">
        <v>2001</v>
      </c>
      <c r="V87" s="7" t="s">
        <v>118</v>
      </c>
      <c r="W87" s="7" t="s">
        <v>119</v>
      </c>
      <c r="X87" s="7" t="s">
        <v>120</v>
      </c>
      <c r="Y87" s="7" t="s">
        <v>121</v>
      </c>
      <c r="Z87" s="7">
        <v>2002</v>
      </c>
      <c r="AA87" s="7" t="s">
        <v>122</v>
      </c>
      <c r="AB87" s="7" t="s">
        <v>123</v>
      </c>
      <c r="AC87" s="7" t="s">
        <v>124</v>
      </c>
      <c r="AD87" s="7" t="s">
        <v>125</v>
      </c>
      <c r="AE87" s="7">
        <v>2003</v>
      </c>
      <c r="AF87" s="7" t="s">
        <v>126</v>
      </c>
      <c r="AG87" s="7" t="s">
        <v>127</v>
      </c>
      <c r="AH87" s="7" t="s">
        <v>128</v>
      </c>
      <c r="AI87" s="7" t="s">
        <v>129</v>
      </c>
      <c r="AJ87" s="7">
        <v>2004</v>
      </c>
      <c r="AK87" s="7" t="s">
        <v>130</v>
      </c>
      <c r="AL87" s="7" t="s">
        <v>131</v>
      </c>
      <c r="AM87" s="7" t="s">
        <v>132</v>
      </c>
      <c r="AN87" s="7" t="s">
        <v>133</v>
      </c>
      <c r="AO87" s="7">
        <v>2005</v>
      </c>
      <c r="AP87" s="7" t="s">
        <v>134</v>
      </c>
      <c r="AQ87" s="7" t="s">
        <v>135</v>
      </c>
      <c r="AR87" s="7" t="s">
        <v>136</v>
      </c>
      <c r="AS87" s="7" t="s">
        <v>137</v>
      </c>
      <c r="AT87" s="7">
        <v>2006</v>
      </c>
      <c r="AU87" s="7" t="s">
        <v>138</v>
      </c>
      <c r="AV87" s="7" t="s">
        <v>139</v>
      </c>
      <c r="AW87" s="7" t="s">
        <v>140</v>
      </c>
      <c r="AX87" s="7" t="s">
        <v>141</v>
      </c>
      <c r="AY87" s="7">
        <v>2007</v>
      </c>
      <c r="AZ87" s="7" t="s">
        <v>142</v>
      </c>
      <c r="BA87" s="7" t="s">
        <v>143</v>
      </c>
      <c r="BB87" s="7" t="s">
        <v>144</v>
      </c>
      <c r="BC87" s="7" t="s">
        <v>145</v>
      </c>
      <c r="BD87" s="7">
        <v>2008</v>
      </c>
      <c r="BE87" s="7" t="s">
        <v>146</v>
      </c>
      <c r="BF87" s="7" t="s">
        <v>147</v>
      </c>
      <c r="BG87" s="7" t="s">
        <v>148</v>
      </c>
      <c r="BH87" s="7" t="s">
        <v>149</v>
      </c>
      <c r="BI87" s="7">
        <v>2009</v>
      </c>
      <c r="BJ87" s="7" t="s">
        <v>150</v>
      </c>
      <c r="BK87" s="7" t="s">
        <v>151</v>
      </c>
      <c r="BL87" s="7" t="s">
        <v>152</v>
      </c>
      <c r="BM87" s="7" t="s">
        <v>153</v>
      </c>
      <c r="BN87" s="7">
        <v>2010</v>
      </c>
      <c r="BO87" s="7" t="s">
        <v>154</v>
      </c>
      <c r="BP87" s="7" t="s">
        <v>155</v>
      </c>
      <c r="BQ87" s="7" t="s">
        <v>156</v>
      </c>
      <c r="BR87" s="7" t="s">
        <v>157</v>
      </c>
      <c r="BS87" s="7">
        <v>2011</v>
      </c>
      <c r="BT87" s="7" t="s">
        <v>158</v>
      </c>
      <c r="BU87" s="7" t="s">
        <v>159</v>
      </c>
      <c r="BV87" s="7" t="s">
        <v>160</v>
      </c>
      <c r="BW87" s="7" t="s">
        <v>161</v>
      </c>
      <c r="BX87" s="7">
        <v>2012</v>
      </c>
      <c r="BY87" s="7" t="s">
        <v>162</v>
      </c>
      <c r="BZ87" s="7" t="s">
        <v>163</v>
      </c>
      <c r="CA87" s="7" t="s">
        <v>164</v>
      </c>
      <c r="CB87" s="7" t="s">
        <v>165</v>
      </c>
      <c r="CC87" s="7">
        <v>2013</v>
      </c>
      <c r="CD87" s="7" t="s">
        <v>166</v>
      </c>
      <c r="CE87" s="7" t="s">
        <v>167</v>
      </c>
      <c r="CF87" s="7" t="s">
        <v>168</v>
      </c>
      <c r="CG87" s="7" t="s">
        <v>169</v>
      </c>
      <c r="CH87" s="7">
        <v>2014</v>
      </c>
      <c r="CI87" s="7" t="s">
        <v>170</v>
      </c>
      <c r="CJ87" s="7" t="s">
        <v>171</v>
      </c>
      <c r="CK87" s="7" t="s">
        <v>172</v>
      </c>
      <c r="CL87" s="7" t="s">
        <v>173</v>
      </c>
      <c r="CM87" s="7">
        <v>2015</v>
      </c>
      <c r="CN87" s="7" t="s">
        <v>174</v>
      </c>
      <c r="CO87" s="7" t="s">
        <v>175</v>
      </c>
      <c r="CP87" s="7" t="s">
        <v>176</v>
      </c>
      <c r="CQ87" s="7" t="s">
        <v>177</v>
      </c>
      <c r="CR87" s="7">
        <v>2016</v>
      </c>
      <c r="CS87" s="7" t="s">
        <v>178</v>
      </c>
      <c r="CT87" s="7" t="s">
        <v>179</v>
      </c>
      <c r="CU87" s="7" t="s">
        <v>180</v>
      </c>
      <c r="CV87" s="7" t="s">
        <v>181</v>
      </c>
      <c r="CW87" s="7">
        <v>2017</v>
      </c>
      <c r="CX87" s="7" t="s">
        <v>182</v>
      </c>
      <c r="CY87" s="7" t="s">
        <v>183</v>
      </c>
      <c r="CZ87" s="7" t="s">
        <v>184</v>
      </c>
      <c r="DA87" s="7" t="s">
        <v>185</v>
      </c>
      <c r="DB87" s="7">
        <v>2018</v>
      </c>
      <c r="DC87" s="7" t="s">
        <v>186</v>
      </c>
      <c r="DD87" s="7" t="s">
        <v>187</v>
      </c>
      <c r="DE87" s="7" t="s">
        <v>188</v>
      </c>
      <c r="DF87" s="7" t="s">
        <v>189</v>
      </c>
      <c r="DG87" s="7">
        <v>2019</v>
      </c>
      <c r="DH87" s="7" t="s">
        <v>190</v>
      </c>
      <c r="DI87" s="7" t="s">
        <v>191</v>
      </c>
      <c r="DJ87" s="7" t="s">
        <v>192</v>
      </c>
      <c r="DK87" s="7" t="s">
        <v>193</v>
      </c>
      <c r="DL87" s="7">
        <v>2020</v>
      </c>
      <c r="DM87" s="7" t="s">
        <v>194</v>
      </c>
      <c r="DN87" s="7" t="s">
        <v>195</v>
      </c>
      <c r="DO87" s="7" t="s">
        <v>196</v>
      </c>
      <c r="DP87" s="7" t="s">
        <v>197</v>
      </c>
      <c r="DQ87" s="7">
        <v>2021</v>
      </c>
      <c r="DR87" s="7" t="s">
        <v>198</v>
      </c>
      <c r="DS87" s="7" t="s">
        <v>199</v>
      </c>
      <c r="DT87" s="7" t="s">
        <v>201</v>
      </c>
      <c r="DU87" s="7" t="s">
        <v>381</v>
      </c>
      <c r="DV87" s="7">
        <v>2022</v>
      </c>
      <c r="DW87" s="7" t="s">
        <v>382</v>
      </c>
      <c r="DX87" s="7" t="s">
        <v>403</v>
      </c>
      <c r="DY87" s="7" t="s">
        <v>415</v>
      </c>
      <c r="DZ87" s="7" t="s">
        <v>420</v>
      </c>
      <c r="EA87" s="7">
        <v>2023</v>
      </c>
      <c r="EB87" s="7" t="s">
        <v>425</v>
      </c>
      <c r="EC87" s="7" t="s">
        <v>430</v>
      </c>
      <c r="ED87" s="7" t="str">
        <f>$ED$2</f>
        <v>3Q24</v>
      </c>
      <c r="EE87" s="6" t="str">
        <f>$EE$2</f>
        <v>4Q24</v>
      </c>
      <c r="EF87" s="56">
        <f>$EF$2</f>
        <v>2024</v>
      </c>
      <c r="EG87" s="6" t="str">
        <f>EG$2</f>
        <v>1Q25</v>
      </c>
      <c r="EH87" s="6" t="str">
        <f>EH$2</f>
        <v>2Q25</v>
      </c>
      <c r="EI87" s="6" t="str">
        <f>EI$2</f>
        <v>3Q25</v>
      </c>
    </row>
    <row r="88" spans="1:139" ht="15" thickTop="1" x14ac:dyDescent="0.3">
      <c r="A88" s="1" t="s">
        <v>2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27">
        <v>2.2969216800000001</v>
      </c>
      <c r="BK88" s="27">
        <v>2.2744275300000001</v>
      </c>
      <c r="BL88" s="27">
        <v>2.2217634699999995</v>
      </c>
      <c r="BM88" s="27">
        <v>2.8488471299999998</v>
      </c>
      <c r="BN88" s="27">
        <f>SUM(BJ88:BM88)</f>
        <v>9.6419598099999995</v>
      </c>
      <c r="BO88" s="27">
        <v>2.29636415</v>
      </c>
      <c r="BP88" s="27">
        <v>2.3076952499999996</v>
      </c>
      <c r="BQ88" s="27">
        <v>2.4788857799999993</v>
      </c>
      <c r="BR88" s="27">
        <v>2.9136492900000008</v>
      </c>
      <c r="BS88" s="27">
        <f>SUM(BO88:BR88)</f>
        <v>9.9965944699999998</v>
      </c>
      <c r="BT88" s="27">
        <v>2.3451150300000001</v>
      </c>
      <c r="BU88" s="27">
        <v>2.5472883400000002</v>
      </c>
      <c r="BV88" s="27">
        <v>3.1159217800000012</v>
      </c>
      <c r="BW88" s="27">
        <v>2.5447726999999998</v>
      </c>
      <c r="BX88" s="27">
        <f>SUM(BT88:BW88)</f>
        <v>10.55309785</v>
      </c>
      <c r="BY88" s="27">
        <v>2.45246925</v>
      </c>
      <c r="BZ88" s="27">
        <v>2.6129654000000002</v>
      </c>
      <c r="CA88" s="27">
        <v>2.4887753199999993</v>
      </c>
      <c r="CB88" s="27">
        <v>3.1892610800000014</v>
      </c>
      <c r="CC88" s="27">
        <f>SUM(BY88:CB88)</f>
        <v>10.74347105</v>
      </c>
      <c r="CD88" s="27">
        <v>2.4292067799999999</v>
      </c>
      <c r="CE88" s="27">
        <v>2.7031365800000002</v>
      </c>
      <c r="CF88" s="27">
        <v>2.58504946</v>
      </c>
      <c r="CG88" s="27">
        <v>2.8059053299999994</v>
      </c>
      <c r="CH88" s="27">
        <f>SUM(CD88:CG88)</f>
        <v>10.52329815</v>
      </c>
      <c r="CI88" s="27">
        <v>2.5556444599999999</v>
      </c>
      <c r="CJ88" s="27">
        <v>2.6923689600000005</v>
      </c>
      <c r="CK88" s="27">
        <v>2.5136955499999987</v>
      </c>
      <c r="CL88" s="27">
        <v>2.4722629000000005</v>
      </c>
      <c r="CM88" s="27">
        <f>SUM(CI88:CL88)</f>
        <v>10.23397187</v>
      </c>
      <c r="CN88" s="27">
        <v>3.83001178</v>
      </c>
      <c r="CO88" s="27">
        <v>2.5111762600000005</v>
      </c>
      <c r="CP88" s="27">
        <v>2.3869474999999976</v>
      </c>
      <c r="CQ88" s="27">
        <f>10.56-SUM(CN88:CP88)</f>
        <v>1.831864460000002</v>
      </c>
      <c r="CR88" s="27">
        <f>SUM(CN88:CQ88)</f>
        <v>10.56</v>
      </c>
      <c r="CS88" s="27">
        <v>2.30046617</v>
      </c>
      <c r="CT88" s="27">
        <v>2.2656699000000002</v>
      </c>
      <c r="CU88" s="27">
        <v>2.3024065300000007</v>
      </c>
      <c r="CV88" s="27">
        <v>3.0474596099999989</v>
      </c>
      <c r="CW88" s="27">
        <f>SUM(CS88:CV88)</f>
        <v>9.9160022100000003</v>
      </c>
      <c r="CX88" s="27">
        <v>2.1789999999999998</v>
      </c>
      <c r="CY88" s="27">
        <v>2.2690000000000001</v>
      </c>
      <c r="CZ88" s="27">
        <v>2.1059999999999999</v>
      </c>
      <c r="DA88" s="27">
        <v>2.19</v>
      </c>
      <c r="DB88" s="27">
        <f>SUM(CX88:DA88)</f>
        <v>8.7439999999999998</v>
      </c>
      <c r="DC88" s="27">
        <v>2.1960000000000002</v>
      </c>
      <c r="DD88" s="27">
        <v>2.177</v>
      </c>
      <c r="DE88" s="27">
        <v>2.2890000000000001</v>
      </c>
      <c r="DF88" s="27">
        <v>2.3820000000000001</v>
      </c>
      <c r="DG88" s="27">
        <f>SUM(DC88:DF88)</f>
        <v>9.0440000000000005</v>
      </c>
      <c r="DH88" s="27">
        <v>2.3730000000000002</v>
      </c>
      <c r="DI88" s="27">
        <v>2.8210000000000002</v>
      </c>
      <c r="DJ88" s="27">
        <v>2.7509999999999999</v>
      </c>
      <c r="DK88" s="27">
        <v>3.6230000000000002</v>
      </c>
      <c r="DL88" s="27">
        <f>SUM(DH88:DK88)</f>
        <v>11.568000000000001</v>
      </c>
      <c r="DM88" s="27">
        <v>2.9929999999999999</v>
      </c>
      <c r="DN88" s="27">
        <v>3.24</v>
      </c>
      <c r="DO88" s="27">
        <v>3.65</v>
      </c>
      <c r="DP88" s="27">
        <v>2.0409999999999999</v>
      </c>
      <c r="DQ88" s="27">
        <f>SUM(DM88:DP88)</f>
        <v>11.924000000000001</v>
      </c>
      <c r="DR88" s="27">
        <v>0.41</v>
      </c>
      <c r="DS88" s="27">
        <v>0.47899999999999998</v>
      </c>
      <c r="DT88" s="27">
        <v>0.64800000000000002</v>
      </c>
      <c r="DU88" s="27">
        <v>7.6230000000000002</v>
      </c>
      <c r="DV88" s="27">
        <f>SUM(DR88:DU88)</f>
        <v>9.16</v>
      </c>
      <c r="DW88" s="27">
        <v>0.128</v>
      </c>
      <c r="DX88" s="27">
        <v>7.0129050000000012E-2</v>
      </c>
      <c r="DY88" s="27">
        <v>0.19474035999999997</v>
      </c>
      <c r="DZ88" s="27">
        <v>0.10688468</v>
      </c>
      <c r="EA88" s="27">
        <f>SUM(DW88:DZ88)</f>
        <v>0.49975408999999998</v>
      </c>
      <c r="EB88" s="27">
        <v>4.732919E-2</v>
      </c>
      <c r="EC88" s="27">
        <v>3.9426830000000003E-2</v>
      </c>
      <c r="ED88" s="27">
        <v>3.6999999999999998E-2</v>
      </c>
      <c r="EE88" s="27">
        <v>0.12607197000000001</v>
      </c>
      <c r="EF88" s="27">
        <f>SUM(EB88:EE88)</f>
        <v>0.24982799</v>
      </c>
      <c r="EG88" s="27">
        <v>4.2926610000000004E-2</v>
      </c>
      <c r="EH88" s="27">
        <v>8.1351350000000003E-2</v>
      </c>
      <c r="EI88" s="27">
        <v>4.7681270000000005E-2</v>
      </c>
    </row>
    <row r="89" spans="1:139" ht="15" thickBot="1" x14ac:dyDescent="0.35">
      <c r="A89" s="2" t="s">
        <v>454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28">
        <v>0.88827775999999992</v>
      </c>
      <c r="BK89" s="28">
        <v>0.8609496000000002</v>
      </c>
      <c r="BL89" s="28">
        <v>0.72665831999999975</v>
      </c>
      <c r="BM89" s="28">
        <v>0.9417023000000001</v>
      </c>
      <c r="BN89" s="28">
        <f t="shared" ref="BN89:BN110" si="61">SUM(BJ89:BM89)</f>
        <v>3.41758798</v>
      </c>
      <c r="BO89" s="28">
        <v>1.01916385</v>
      </c>
      <c r="BP89" s="28">
        <v>1.0050202599999998</v>
      </c>
      <c r="BQ89" s="28">
        <v>0.88191333000000016</v>
      </c>
      <c r="BR89" s="28">
        <v>1.0735524300000003</v>
      </c>
      <c r="BS89" s="28">
        <f t="shared" ref="BS89:BS110" si="62">SUM(BO89:BR89)</f>
        <v>3.9796498700000003</v>
      </c>
      <c r="BT89" s="28">
        <v>1.1247568000000001</v>
      </c>
      <c r="BU89" s="28">
        <v>0.92478885000000011</v>
      </c>
      <c r="BV89" s="28">
        <v>0.79202492999999974</v>
      </c>
      <c r="BW89" s="28">
        <v>1.0356131900000003</v>
      </c>
      <c r="BX89" s="28">
        <f t="shared" ref="BX89:BX110" si="63">SUM(BT89:BW89)</f>
        <v>3.8771837700000003</v>
      </c>
      <c r="BY89" s="28">
        <v>0.96355884999999997</v>
      </c>
      <c r="BZ89" s="28">
        <v>1.0020065799999998</v>
      </c>
      <c r="CA89" s="28">
        <v>1.1584528100000004</v>
      </c>
      <c r="CB89" s="28">
        <v>1.2217331599999999</v>
      </c>
      <c r="CC89" s="28">
        <f t="shared" ref="CC89:CC110" si="64">SUM(BY89:CB89)</f>
        <v>4.3457514000000002</v>
      </c>
      <c r="CD89" s="28">
        <v>1.1556511499999997</v>
      </c>
      <c r="CE89" s="28">
        <v>1.4776021800000003</v>
      </c>
      <c r="CF89" s="28">
        <v>1.13220586</v>
      </c>
      <c r="CG89" s="28">
        <v>1.1393213699999989</v>
      </c>
      <c r="CH89" s="28">
        <f t="shared" ref="CH89:CH110" si="65">SUM(CD89:CG89)</f>
        <v>4.904780559999999</v>
      </c>
      <c r="CI89" s="28">
        <v>2.3481047500000001</v>
      </c>
      <c r="CJ89" s="28">
        <v>2.3904106199999999</v>
      </c>
      <c r="CK89" s="28">
        <v>3.6375716699999998</v>
      </c>
      <c r="CL89" s="28">
        <v>3.1791447700000006</v>
      </c>
      <c r="CM89" s="28">
        <f t="shared" ref="CM89:CM110" si="66">SUM(CI89:CL89)</f>
        <v>11.55523181</v>
      </c>
      <c r="CN89" s="28">
        <v>2.6297997899999999</v>
      </c>
      <c r="CO89" s="28">
        <v>2.1130832699999997</v>
      </c>
      <c r="CP89" s="28">
        <v>2.1235277600000009</v>
      </c>
      <c r="CQ89" s="28">
        <f>8.258-SUM(CN89:CP89)</f>
        <v>1.3915891799999986</v>
      </c>
      <c r="CR89" s="28">
        <f t="shared" ref="CR89:CR110" si="67">SUM(CN89:CQ89)</f>
        <v>8.2579999999999991</v>
      </c>
      <c r="CS89" s="28">
        <v>2.0649203900000002</v>
      </c>
      <c r="CT89" s="28">
        <v>2.1644798000000001</v>
      </c>
      <c r="CU89" s="28">
        <v>1.9761216299999997</v>
      </c>
      <c r="CV89" s="28">
        <v>2.2499086099999999</v>
      </c>
      <c r="CW89" s="28">
        <f t="shared" ref="CW89:CW110" si="68">SUM(CS89:CV89)</f>
        <v>8.4554304299999998</v>
      </c>
      <c r="CX89" s="28">
        <v>2.1110000000000002</v>
      </c>
      <c r="CY89" s="28">
        <v>2.0139999999999998</v>
      </c>
      <c r="CZ89" s="28">
        <v>1.9870000000000001</v>
      </c>
      <c r="DA89" s="28">
        <v>1.954</v>
      </c>
      <c r="DB89" s="28">
        <f t="shared" ref="DB89:DB110" si="69">SUM(CX89:DA89)</f>
        <v>8.0660000000000007</v>
      </c>
      <c r="DC89" s="28">
        <v>1.956</v>
      </c>
      <c r="DD89" s="28">
        <v>2.0350000000000001</v>
      </c>
      <c r="DE89" s="28">
        <v>1.964</v>
      </c>
      <c r="DF89" s="28">
        <v>2.0790000000000002</v>
      </c>
      <c r="DG89" s="28">
        <f t="shared" ref="DG89:DG110" si="70">SUM(DC89:DF89)</f>
        <v>8.0340000000000007</v>
      </c>
      <c r="DH89" s="28">
        <v>2.3180000000000001</v>
      </c>
      <c r="DI89" s="28">
        <v>2.2320000000000002</v>
      </c>
      <c r="DJ89" s="28">
        <v>2.2890000000000001</v>
      </c>
      <c r="DK89" s="28">
        <v>2.6709999999999998</v>
      </c>
      <c r="DL89" s="28">
        <f t="shared" ref="DL89:DL110" si="71">SUM(DH89:DK89)</f>
        <v>9.51</v>
      </c>
      <c r="DM89" s="28">
        <v>2.637</v>
      </c>
      <c r="DN89" s="28">
        <v>3.0859999999999999</v>
      </c>
      <c r="DO89" s="28">
        <v>2.7589999999999999</v>
      </c>
      <c r="DP89" s="28">
        <v>2.8660000000000001</v>
      </c>
      <c r="DQ89" s="28">
        <f t="shared" ref="DQ89:DQ110" si="72">SUM(DM89:DP89)</f>
        <v>11.347999999999999</v>
      </c>
      <c r="DR89" s="28">
        <v>2.883</v>
      </c>
      <c r="DS89" s="28">
        <v>2.1269999999999998</v>
      </c>
      <c r="DT89" s="28">
        <v>2.85</v>
      </c>
      <c r="DU89" s="28">
        <v>3.21</v>
      </c>
      <c r="DV89" s="28">
        <f t="shared" ref="DV89:DV110" si="73">SUM(DR89:DU89)</f>
        <v>11.07</v>
      </c>
      <c r="DW89" s="28">
        <v>3.25</v>
      </c>
      <c r="DX89" s="28">
        <v>3.32447823</v>
      </c>
      <c r="DY89" s="28">
        <v>1.3812075500000003</v>
      </c>
      <c r="DZ89" s="28">
        <v>5.2264530299999992</v>
      </c>
      <c r="EA89" s="28">
        <f t="shared" ref="EA89:EA100" si="74">SUM(DW89:DZ89)</f>
        <v>13.18213881</v>
      </c>
      <c r="EB89" s="28">
        <v>1.5967556699999998</v>
      </c>
      <c r="EC89" s="28">
        <v>3.5548649700000001</v>
      </c>
      <c r="ED89" s="28">
        <v>7.665</v>
      </c>
      <c r="EE89" s="28">
        <v>8.4646422800000014</v>
      </c>
      <c r="EF89" s="28">
        <f t="shared" ref="EF89:EF100" si="75">SUM(EB89:EE89)</f>
        <v>21.281262920000003</v>
      </c>
      <c r="EG89" s="28">
        <v>6.07761219</v>
      </c>
      <c r="EH89" s="28">
        <v>5.9338221200000003</v>
      </c>
      <c r="EI89" s="28">
        <v>5.6636952099999984</v>
      </c>
    </row>
    <row r="90" spans="1:139" ht="15" thickTop="1" x14ac:dyDescent="0.3">
      <c r="A90" s="1" t="s">
        <v>442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27">
        <v>6.14614584</v>
      </c>
      <c r="BK90" s="27">
        <v>6.1305478200000012</v>
      </c>
      <c r="BL90" s="27">
        <v>6.6418745499999998</v>
      </c>
      <c r="BM90" s="27">
        <v>6.8621040099999986</v>
      </c>
      <c r="BN90" s="27">
        <f t="shared" si="61"/>
        <v>25.78067222</v>
      </c>
      <c r="BO90" s="27">
        <v>6.8073052900000004</v>
      </c>
      <c r="BP90" s="27">
        <v>7.270990209999999</v>
      </c>
      <c r="BQ90" s="27">
        <v>6.9198832199999956</v>
      </c>
      <c r="BR90" s="27">
        <v>7.4503888500000031</v>
      </c>
      <c r="BS90" s="27">
        <f t="shared" si="62"/>
        <v>28.448567569999998</v>
      </c>
      <c r="BT90" s="27">
        <v>6.95429049</v>
      </c>
      <c r="BU90" s="27">
        <v>11.590759190000002</v>
      </c>
      <c r="BV90" s="27">
        <v>11.183857049999999</v>
      </c>
      <c r="BW90" s="27">
        <v>8.0883672299999994</v>
      </c>
      <c r="BX90" s="27">
        <f t="shared" si="63"/>
        <v>37.817273959999994</v>
      </c>
      <c r="BY90" s="27">
        <v>7.2574441600000004</v>
      </c>
      <c r="BZ90" s="27">
        <v>7.0501105600000002</v>
      </c>
      <c r="CA90" s="27">
        <v>7.7854581300000039</v>
      </c>
      <c r="CB90" s="27">
        <v>9.4172294799999943</v>
      </c>
      <c r="CC90" s="27">
        <f t="shared" si="64"/>
        <v>31.510242329999997</v>
      </c>
      <c r="CD90" s="27">
        <v>9.165625630000001</v>
      </c>
      <c r="CE90" s="27">
        <v>9.5350354700000004</v>
      </c>
      <c r="CF90" s="27">
        <v>12.267816310000001</v>
      </c>
      <c r="CG90" s="27">
        <v>9.6664644799999984</v>
      </c>
      <c r="CH90" s="27">
        <f t="shared" si="65"/>
        <v>40.63494189</v>
      </c>
      <c r="CI90" s="27">
        <v>8.8241086200000005</v>
      </c>
      <c r="CJ90" s="27">
        <v>9.46047072</v>
      </c>
      <c r="CK90" s="27">
        <v>8.8858405599999983</v>
      </c>
      <c r="CL90" s="27">
        <v>8.9769325000000038</v>
      </c>
      <c r="CM90" s="27">
        <f t="shared" si="66"/>
        <v>36.147352400000003</v>
      </c>
      <c r="CN90" s="27">
        <v>12.769185980000001</v>
      </c>
      <c r="CO90" s="27">
        <v>8.4863905899999974</v>
      </c>
      <c r="CP90" s="27">
        <v>8.6200012800000057</v>
      </c>
      <c r="CQ90" s="27">
        <f>35.491-SUM(CN90:CP90)</f>
        <v>5.6154221499999935</v>
      </c>
      <c r="CR90" s="27">
        <f t="shared" si="67"/>
        <v>35.491</v>
      </c>
      <c r="CS90" s="27">
        <v>8.0324859199999992</v>
      </c>
      <c r="CT90" s="27">
        <v>7.8238619799999993</v>
      </c>
      <c r="CU90" s="27">
        <v>7.8347414600000018</v>
      </c>
      <c r="CV90" s="27">
        <v>8.4386589099999973</v>
      </c>
      <c r="CW90" s="27">
        <f t="shared" si="68"/>
        <v>32.129748269999993</v>
      </c>
      <c r="CX90" s="27">
        <v>9.1859999999999999</v>
      </c>
      <c r="CY90" s="27">
        <v>7.923</v>
      </c>
      <c r="CZ90" s="27">
        <v>7.4749999999999996</v>
      </c>
      <c r="DA90" s="27">
        <v>7.8390000000000004</v>
      </c>
      <c r="DB90" s="27">
        <f t="shared" si="69"/>
        <v>32.423000000000002</v>
      </c>
      <c r="DC90" s="27">
        <v>5.8849999999999998</v>
      </c>
      <c r="DD90" s="27">
        <v>9.3780000000000001</v>
      </c>
      <c r="DE90" s="27">
        <v>7.1710000000000003</v>
      </c>
      <c r="DF90" s="27">
        <v>7.5149999999999997</v>
      </c>
      <c r="DG90" s="27">
        <f t="shared" si="70"/>
        <v>29.949000000000002</v>
      </c>
      <c r="DH90" s="27">
        <v>11.045</v>
      </c>
      <c r="DI90" s="27">
        <v>9.4459999999999997</v>
      </c>
      <c r="DJ90" s="27">
        <v>9.6010000000000009</v>
      </c>
      <c r="DK90" s="27">
        <v>10.53</v>
      </c>
      <c r="DL90" s="27">
        <f t="shared" si="71"/>
        <v>40.622</v>
      </c>
      <c r="DM90" s="27">
        <v>13.94</v>
      </c>
      <c r="DN90" s="27">
        <v>13.198</v>
      </c>
      <c r="DO90" s="27">
        <v>13.417999999999999</v>
      </c>
      <c r="DP90" s="27">
        <v>14.885999999999999</v>
      </c>
      <c r="DQ90" s="27">
        <f t="shared" si="72"/>
        <v>55.441999999999993</v>
      </c>
      <c r="DR90" s="27">
        <v>15.907</v>
      </c>
      <c r="DS90" s="27">
        <v>12.242000000000001</v>
      </c>
      <c r="DT90" s="27">
        <v>15.662000000000001</v>
      </c>
      <c r="DU90" s="27">
        <v>16.239999999999998</v>
      </c>
      <c r="DV90" s="27">
        <f t="shared" si="73"/>
        <v>60.051000000000002</v>
      </c>
      <c r="DW90" s="27">
        <v>17.702000000000002</v>
      </c>
      <c r="DX90" s="27">
        <v>16.756842130000003</v>
      </c>
      <c r="DY90" s="27">
        <v>16.691683919999999</v>
      </c>
      <c r="DZ90" s="27">
        <v>17.790237279999999</v>
      </c>
      <c r="EA90" s="27">
        <f t="shared" si="74"/>
        <v>68.94076333000001</v>
      </c>
      <c r="EB90" s="27">
        <f>(2081190.71+12100276.11)/1000000</f>
        <v>14.181466820000001</v>
      </c>
      <c r="EC90" s="27">
        <v>14.02670326</v>
      </c>
      <c r="ED90" s="27">
        <v>14.023999999999999</v>
      </c>
      <c r="EE90" s="27">
        <v>15.130530349999997</v>
      </c>
      <c r="EF90" s="27">
        <f t="shared" si="75"/>
        <v>57.362700430000004</v>
      </c>
      <c r="EG90" s="27">
        <v>29.542910790000001</v>
      </c>
      <c r="EH90" s="27">
        <v>23.257994480000004</v>
      </c>
      <c r="EI90" s="27">
        <v>22.178722679999993</v>
      </c>
    </row>
    <row r="91" spans="1:139" ht="15" thickBot="1" x14ac:dyDescent="0.35">
      <c r="A91" s="2" t="s">
        <v>3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28">
        <v>2.0884894899999997</v>
      </c>
      <c r="BK91" s="28">
        <v>3.3134696700000008</v>
      </c>
      <c r="BL91" s="28">
        <v>3.3976266400000004</v>
      </c>
      <c r="BM91" s="28">
        <v>3.0407824599999991</v>
      </c>
      <c r="BN91" s="28">
        <f t="shared" si="61"/>
        <v>11.84036826</v>
      </c>
      <c r="BO91" s="28">
        <v>2.3394722499999996</v>
      </c>
      <c r="BP91" s="28">
        <v>2.7678824800000004</v>
      </c>
      <c r="BQ91" s="28">
        <v>2.5794518599999994</v>
      </c>
      <c r="BR91" s="28">
        <v>2.9454259000000005</v>
      </c>
      <c r="BS91" s="28">
        <f t="shared" si="62"/>
        <v>10.63223249</v>
      </c>
      <c r="BT91" s="28">
        <v>0</v>
      </c>
      <c r="BU91" s="28">
        <v>5.05186607</v>
      </c>
      <c r="BV91" s="28">
        <v>3.497888490000002</v>
      </c>
      <c r="BW91" s="28">
        <v>2.2639039899999975</v>
      </c>
      <c r="BX91" s="28">
        <f t="shared" si="63"/>
        <v>10.81365855</v>
      </c>
      <c r="BY91" s="28">
        <v>2.5062543500000003</v>
      </c>
      <c r="BZ91" s="28">
        <v>2.7667189399999992</v>
      </c>
      <c r="CA91" s="28">
        <v>2.7720929600000006</v>
      </c>
      <c r="CB91" s="28">
        <v>2.9696181700000008</v>
      </c>
      <c r="CC91" s="28">
        <f t="shared" si="64"/>
        <v>11.01468442</v>
      </c>
      <c r="CD91" s="28">
        <v>2.61566052</v>
      </c>
      <c r="CE91" s="28">
        <v>2.9685299099999995</v>
      </c>
      <c r="CF91" s="28">
        <v>3.0235314000000018</v>
      </c>
      <c r="CG91" s="28">
        <v>3.7338198599999992</v>
      </c>
      <c r="CH91" s="28">
        <f t="shared" si="65"/>
        <v>12.34154169</v>
      </c>
      <c r="CI91" s="28">
        <v>3.0588209800000001</v>
      </c>
      <c r="CJ91" s="28">
        <v>2.8538137399999997</v>
      </c>
      <c r="CK91" s="28">
        <v>2.8983929600000007</v>
      </c>
      <c r="CL91" s="28">
        <v>4.0268991300000003</v>
      </c>
      <c r="CM91" s="28">
        <f t="shared" si="66"/>
        <v>12.837926810000001</v>
      </c>
      <c r="CN91" s="28">
        <v>4.4656271900000002</v>
      </c>
      <c r="CO91" s="28">
        <v>2.5782933999999997</v>
      </c>
      <c r="CP91" s="28">
        <v>2.6921550600000002</v>
      </c>
      <c r="CQ91" s="28">
        <f>11.438-SUM(CN91:CP91)</f>
        <v>1.7019243500000005</v>
      </c>
      <c r="CR91" s="28">
        <f t="shared" si="67"/>
        <v>11.438000000000001</v>
      </c>
      <c r="CS91" s="28">
        <v>2.44232665</v>
      </c>
      <c r="CT91" s="28">
        <v>2.4399716200000001</v>
      </c>
      <c r="CU91" s="28">
        <v>2.6071931999999993</v>
      </c>
      <c r="CV91" s="28">
        <v>2.8536077800000008</v>
      </c>
      <c r="CW91" s="28">
        <f t="shared" si="68"/>
        <v>10.34309925</v>
      </c>
      <c r="CX91" s="28">
        <v>2.4660000000000002</v>
      </c>
      <c r="CY91" s="28">
        <v>2.5640000000000001</v>
      </c>
      <c r="CZ91" s="28">
        <v>2.4689999999999999</v>
      </c>
      <c r="DA91" s="28">
        <v>2.6509999999999998</v>
      </c>
      <c r="DB91" s="28">
        <f t="shared" si="69"/>
        <v>10.15</v>
      </c>
      <c r="DC91" s="28">
        <v>2.4660000000000002</v>
      </c>
      <c r="DD91" s="28">
        <v>2.3679999999999999</v>
      </c>
      <c r="DE91" s="28">
        <v>2.44</v>
      </c>
      <c r="DF91" s="28">
        <v>2.6920000000000002</v>
      </c>
      <c r="DG91" s="28">
        <f t="shared" si="70"/>
        <v>9.9659999999999993</v>
      </c>
      <c r="DH91" s="28">
        <v>2.6349999999999998</v>
      </c>
      <c r="DI91" s="28">
        <v>3.16</v>
      </c>
      <c r="DJ91" s="28">
        <v>3.0609999999999999</v>
      </c>
      <c r="DK91" s="28">
        <v>3.6259999999999999</v>
      </c>
      <c r="DL91" s="28">
        <f t="shared" si="71"/>
        <v>12.481999999999999</v>
      </c>
      <c r="DM91" s="28">
        <v>3.4209999999999998</v>
      </c>
      <c r="DN91" s="28">
        <v>3.5830000000000002</v>
      </c>
      <c r="DO91" s="28">
        <v>4.867</v>
      </c>
      <c r="DP91" s="28">
        <v>2.6019999999999999</v>
      </c>
      <c r="DQ91" s="28">
        <f t="shared" si="72"/>
        <v>14.472999999999999</v>
      </c>
      <c r="DR91" s="28">
        <v>0.56599999999999995</v>
      </c>
      <c r="DS91" s="28">
        <v>0.47</v>
      </c>
      <c r="DT91" s="28">
        <v>0.29799999999999999</v>
      </c>
      <c r="DU91" s="28">
        <v>0.80500000000000005</v>
      </c>
      <c r="DV91" s="28">
        <f t="shared" si="73"/>
        <v>2.1390000000000002</v>
      </c>
      <c r="DW91" s="28">
        <v>0.10299999999999999</v>
      </c>
      <c r="DX91" s="28">
        <v>2.7079181499999998</v>
      </c>
      <c r="DY91" s="28">
        <v>6.9656130000000357E-2</v>
      </c>
      <c r="DZ91" s="28">
        <v>6.1725739999999758E-2</v>
      </c>
      <c r="EA91" s="28">
        <f t="shared" si="74"/>
        <v>2.9423000200000002</v>
      </c>
      <c r="EB91" s="28">
        <v>3.9188730000000005E-2</v>
      </c>
      <c r="EC91" s="28">
        <v>4.6483370000000003E-2</v>
      </c>
      <c r="ED91" s="28">
        <v>2.5000000000000001E-2</v>
      </c>
      <c r="EE91" s="28">
        <v>0.12802378</v>
      </c>
      <c r="EF91" s="28">
        <f t="shared" si="75"/>
        <v>0.23869588</v>
      </c>
      <c r="EG91" s="28">
        <v>4.5260460000000002E-2</v>
      </c>
      <c r="EH91" s="28">
        <v>6.6121049999999987E-2</v>
      </c>
      <c r="EI91" s="28">
        <v>8.1019130000000023E-2</v>
      </c>
    </row>
    <row r="92" spans="1:139" ht="15" thickTop="1" x14ac:dyDescent="0.3">
      <c r="A92" s="1" t="s">
        <v>443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27">
        <v>1.9576013800000001</v>
      </c>
      <c r="BK92" s="27">
        <v>1.7326030900000002</v>
      </c>
      <c r="BL92" s="27">
        <v>1.5911725199999995</v>
      </c>
      <c r="BM92" s="27">
        <v>2.0798403900000002</v>
      </c>
      <c r="BN92" s="27">
        <f t="shared" si="61"/>
        <v>7.3612173800000003</v>
      </c>
      <c r="BO92" s="27">
        <v>1.23989412</v>
      </c>
      <c r="BP92" s="27">
        <v>1.4111723999999997</v>
      </c>
      <c r="BQ92" s="27">
        <v>1.3214951000000006</v>
      </c>
      <c r="BR92" s="27">
        <v>1.4175958600000003</v>
      </c>
      <c r="BS92" s="27">
        <f t="shared" si="62"/>
        <v>5.3901574800000009</v>
      </c>
      <c r="BT92" s="27">
        <v>1.28758002</v>
      </c>
      <c r="BU92" s="27">
        <v>1.2709403400000001</v>
      </c>
      <c r="BV92" s="27">
        <v>1.1142449700000001</v>
      </c>
      <c r="BW92" s="27">
        <v>1.1321960899999994</v>
      </c>
      <c r="BX92" s="27">
        <f t="shared" si="63"/>
        <v>4.8049614199999997</v>
      </c>
      <c r="BY92" s="27">
        <v>1.2965237999999999</v>
      </c>
      <c r="BZ92" s="27">
        <v>1.1977705199999999</v>
      </c>
      <c r="CA92" s="27">
        <v>1.1232008300000003</v>
      </c>
      <c r="CB92" s="27">
        <v>1.4182138500000001</v>
      </c>
      <c r="CC92" s="27">
        <f t="shared" si="64"/>
        <v>5.0357089999999998</v>
      </c>
      <c r="CD92" s="27">
        <v>2.1234760399999999</v>
      </c>
      <c r="CE92" s="27">
        <v>5.9770779699999999</v>
      </c>
      <c r="CF92" s="27">
        <v>2.8554853100000006</v>
      </c>
      <c r="CG92" s="27">
        <v>4.3488707899999994</v>
      </c>
      <c r="CH92" s="27">
        <f t="shared" si="65"/>
        <v>15.30491011</v>
      </c>
      <c r="CI92" s="27">
        <v>6.4654952199999993</v>
      </c>
      <c r="CJ92" s="27">
        <v>1.3949130600000004</v>
      </c>
      <c r="CK92" s="27">
        <v>4.0671126500000003</v>
      </c>
      <c r="CL92" s="27">
        <v>3.8816446399999993</v>
      </c>
      <c r="CM92" s="27">
        <f t="shared" si="66"/>
        <v>15.809165569999999</v>
      </c>
      <c r="CN92" s="27">
        <v>5.0449238699999999</v>
      </c>
      <c r="CO92" s="27">
        <v>3.0072650900000006</v>
      </c>
      <c r="CP92" s="27">
        <v>3.0959897299999994</v>
      </c>
      <c r="CQ92" s="27">
        <f>12.923-SUM(CN92:CP92)</f>
        <v>1.7748213100000001</v>
      </c>
      <c r="CR92" s="27">
        <f t="shared" si="67"/>
        <v>12.923</v>
      </c>
      <c r="CS92" s="27">
        <v>3.06606727</v>
      </c>
      <c r="CT92" s="27">
        <v>2.9885462299999999</v>
      </c>
      <c r="CU92" s="27">
        <v>3.0373493800000007</v>
      </c>
      <c r="CV92" s="27">
        <v>3.2991592199999991</v>
      </c>
      <c r="CW92" s="27">
        <f t="shared" si="68"/>
        <v>12.3911221</v>
      </c>
      <c r="CX92" s="27">
        <v>3.07</v>
      </c>
      <c r="CY92" s="27">
        <v>3.0209999999999999</v>
      </c>
      <c r="CZ92" s="27">
        <v>2.9390000000000001</v>
      </c>
      <c r="DA92" s="27">
        <v>3.05</v>
      </c>
      <c r="DB92" s="27">
        <f t="shared" si="69"/>
        <v>12.079999999999998</v>
      </c>
      <c r="DC92" s="27">
        <v>3.17</v>
      </c>
      <c r="DD92" s="27">
        <v>2.7290000000000001</v>
      </c>
      <c r="DE92" s="27">
        <v>3.1819999999999999</v>
      </c>
      <c r="DF92" s="27">
        <v>2.3519999999999999</v>
      </c>
      <c r="DG92" s="27">
        <f t="shared" si="70"/>
        <v>11.433</v>
      </c>
      <c r="DH92" s="27">
        <v>3.383</v>
      </c>
      <c r="DI92" s="27">
        <v>3.2349999999999999</v>
      </c>
      <c r="DJ92" s="27">
        <v>3.242</v>
      </c>
      <c r="DK92" s="27">
        <v>3.4940000000000002</v>
      </c>
      <c r="DL92" s="27">
        <f t="shared" si="71"/>
        <v>13.353999999999999</v>
      </c>
      <c r="DM92" s="27">
        <v>3.944</v>
      </c>
      <c r="DN92" s="27">
        <v>3.7570000000000001</v>
      </c>
      <c r="DO92" s="27">
        <v>3.9830000000000001</v>
      </c>
      <c r="DP92" s="27">
        <v>3.9380000000000002</v>
      </c>
      <c r="DQ92" s="27">
        <f t="shared" si="72"/>
        <v>15.622000000000002</v>
      </c>
      <c r="DR92" s="27">
        <v>4.74</v>
      </c>
      <c r="DS92" s="27">
        <v>4.7160000000000002</v>
      </c>
      <c r="DT92" s="27">
        <v>4.6719999999999997</v>
      </c>
      <c r="DU92" s="27">
        <v>4.5510000000000002</v>
      </c>
      <c r="DV92" s="27">
        <f t="shared" si="73"/>
        <v>18.679000000000002</v>
      </c>
      <c r="DW92" s="27">
        <v>4.875</v>
      </c>
      <c r="DX92" s="27">
        <v>4.85031781</v>
      </c>
      <c r="DY92" s="27">
        <v>2.1156818699999995</v>
      </c>
      <c r="DZ92" s="27">
        <v>7.7613184200000003</v>
      </c>
      <c r="EA92" s="27">
        <f t="shared" si="74"/>
        <v>19.602318099999998</v>
      </c>
      <c r="EB92" s="27">
        <f>(952038.12+1553349.64)/1000000</f>
        <v>2.5053877599999996</v>
      </c>
      <c r="EC92" s="27">
        <v>4.0339496100000005</v>
      </c>
      <c r="ED92" s="27">
        <v>2.5390000000000001</v>
      </c>
      <c r="EE92" s="27">
        <v>13.813029250000003</v>
      </c>
      <c r="EF92" s="27">
        <f t="shared" si="75"/>
        <v>22.891366620000003</v>
      </c>
      <c r="EG92" s="27">
        <v>6.0997228800000007</v>
      </c>
      <c r="EH92" s="27">
        <v>8.8772785299999999</v>
      </c>
      <c r="EI92" s="27">
        <v>8.5729738599999994</v>
      </c>
    </row>
    <row r="93" spans="1:139" ht="15" thickBot="1" x14ac:dyDescent="0.35">
      <c r="A93" s="2" t="s">
        <v>481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28">
        <v>0</v>
      </c>
      <c r="BK93" s="28">
        <v>0</v>
      </c>
      <c r="BL93" s="28">
        <v>0</v>
      </c>
      <c r="BM93" s="28">
        <v>0</v>
      </c>
      <c r="BN93" s="28">
        <f t="shared" si="61"/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f t="shared" si="62"/>
        <v>0</v>
      </c>
      <c r="BT93" s="28">
        <v>0</v>
      </c>
      <c r="BU93" s="28">
        <v>0.30143990000000004</v>
      </c>
      <c r="BV93" s="28">
        <v>0.12281225000000001</v>
      </c>
      <c r="BW93" s="28">
        <v>0.42634529999999998</v>
      </c>
      <c r="BX93" s="28">
        <f t="shared" si="63"/>
        <v>0.85059744999999998</v>
      </c>
      <c r="BY93" s="28">
        <v>1.24912723</v>
      </c>
      <c r="BZ93" s="28">
        <v>0</v>
      </c>
      <c r="CA93" s="28">
        <v>5.2853663400000004</v>
      </c>
      <c r="CB93" s="28">
        <v>3.8310965199999991</v>
      </c>
      <c r="CC93" s="28">
        <f t="shared" si="64"/>
        <v>10.36559009</v>
      </c>
      <c r="CD93" s="28">
        <v>1.8420888</v>
      </c>
      <c r="CE93" s="28">
        <v>3.287932249999999</v>
      </c>
      <c r="CF93" s="28">
        <v>3.168481540000001</v>
      </c>
      <c r="CG93" s="28">
        <v>2.0497446500000009</v>
      </c>
      <c r="CH93" s="28">
        <f t="shared" si="65"/>
        <v>10.348247240000001</v>
      </c>
      <c r="CI93" s="28">
        <v>2.6672307800000006</v>
      </c>
      <c r="CJ93" s="28">
        <v>-1.0383653700000006</v>
      </c>
      <c r="CK93" s="28">
        <v>0.72182065000000017</v>
      </c>
      <c r="CL93" s="28">
        <v>0.56093057999999996</v>
      </c>
      <c r="CM93" s="28">
        <f t="shared" si="66"/>
        <v>2.9116166400000001</v>
      </c>
      <c r="CN93" s="28">
        <v>0.57556253000000002</v>
      </c>
      <c r="CO93" s="28">
        <v>0.78740125999999999</v>
      </c>
      <c r="CP93" s="28">
        <v>0.75166354000000024</v>
      </c>
      <c r="CQ93" s="28">
        <f>2.844-SUM(CN93:CP93)</f>
        <v>0.72937266999999961</v>
      </c>
      <c r="CR93" s="28">
        <f t="shared" si="67"/>
        <v>2.8439999999999999</v>
      </c>
      <c r="CS93" s="28">
        <v>0.70895359000000002</v>
      </c>
      <c r="CT93" s="28">
        <v>0.72355570000000013</v>
      </c>
      <c r="CU93" s="28">
        <v>0.74679573999999982</v>
      </c>
      <c r="CV93" s="28">
        <v>0.60172901000000056</v>
      </c>
      <c r="CW93" s="28">
        <f t="shared" si="68"/>
        <v>2.7810340400000007</v>
      </c>
      <c r="CX93" s="28">
        <v>0.879</v>
      </c>
      <c r="CY93" s="28">
        <v>0.55200000000000005</v>
      </c>
      <c r="CZ93" s="28">
        <v>0.53100000000000003</v>
      </c>
      <c r="DA93" s="28">
        <v>0.61199999999999999</v>
      </c>
      <c r="DB93" s="28">
        <f t="shared" si="69"/>
        <v>2.5740000000000003</v>
      </c>
      <c r="DC93" s="28">
        <v>0.92300000000000004</v>
      </c>
      <c r="DD93" s="28">
        <v>0.83699999999999997</v>
      </c>
      <c r="DE93" s="28">
        <v>0.77100000000000002</v>
      </c>
      <c r="DF93" s="28">
        <v>0.88900000000000001</v>
      </c>
      <c r="DG93" s="28">
        <f t="shared" si="70"/>
        <v>3.42</v>
      </c>
      <c r="DH93" s="28">
        <v>1.1240000000000001</v>
      </c>
      <c r="DI93" s="28">
        <v>1.038</v>
      </c>
      <c r="DJ93" s="28">
        <v>1.038</v>
      </c>
      <c r="DK93" s="28">
        <v>1.1399999999999999</v>
      </c>
      <c r="DL93" s="28">
        <f t="shared" si="71"/>
        <v>4.34</v>
      </c>
      <c r="DM93" s="28">
        <v>1.38</v>
      </c>
      <c r="DN93" s="28">
        <v>1.6160000000000001</v>
      </c>
      <c r="DO93" s="28">
        <v>1.071</v>
      </c>
      <c r="DP93" s="28">
        <v>1.1379999999999999</v>
      </c>
      <c r="DQ93" s="28">
        <f t="shared" si="72"/>
        <v>5.2050000000000001</v>
      </c>
      <c r="DR93" s="28">
        <v>1.2889999999999999</v>
      </c>
      <c r="DS93" s="28">
        <v>1.196</v>
      </c>
      <c r="DT93" s="28">
        <v>4.9509999999999996</v>
      </c>
      <c r="DU93" s="28">
        <v>3.5859999999999999</v>
      </c>
      <c r="DV93" s="28">
        <f t="shared" si="73"/>
        <v>11.022</v>
      </c>
      <c r="DW93" s="28">
        <v>2.3889999999999998</v>
      </c>
      <c r="DX93" s="28">
        <v>2.06003851</v>
      </c>
      <c r="DY93" s="28">
        <v>2.7306918800000002</v>
      </c>
      <c r="DZ93" s="28">
        <v>5.3166670900000002</v>
      </c>
      <c r="EA93" s="28">
        <f t="shared" si="74"/>
        <v>12.496397479999999</v>
      </c>
      <c r="EB93" s="28">
        <f>(2904531.97+243361.84)/1000000</f>
        <v>3.1478938100000002</v>
      </c>
      <c r="EC93" s="28">
        <v>2.6165926900000001</v>
      </c>
      <c r="ED93" s="28">
        <v>2.073</v>
      </c>
      <c r="EE93" s="28">
        <v>3.343113900000001</v>
      </c>
      <c r="EF93" s="28">
        <f t="shared" si="75"/>
        <v>11.180600400000001</v>
      </c>
      <c r="EG93" s="28">
        <v>2.2900732000000001</v>
      </c>
      <c r="EH93" s="28">
        <v>2.75094013</v>
      </c>
      <c r="EI93" s="28">
        <v>2.9847823300000003</v>
      </c>
    </row>
    <row r="94" spans="1:139" ht="15" thickTop="1" x14ac:dyDescent="0.3">
      <c r="A94" s="1" t="s">
        <v>445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27">
        <v>0</v>
      </c>
      <c r="BK94" s="27">
        <v>0</v>
      </c>
      <c r="BL94" s="27">
        <v>0</v>
      </c>
      <c r="BM94" s="27">
        <v>0</v>
      </c>
      <c r="BN94" s="27">
        <f t="shared" si="61"/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f t="shared" si="62"/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f t="shared" si="63"/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f t="shared" si="64"/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f t="shared" si="65"/>
        <v>0</v>
      </c>
      <c r="CI94" s="27">
        <v>0</v>
      </c>
      <c r="CJ94" s="27">
        <v>0.93194168999999993</v>
      </c>
      <c r="CK94" s="27">
        <v>1.2282651900000001</v>
      </c>
      <c r="CL94" s="27">
        <v>1.8561568400000001</v>
      </c>
      <c r="CM94" s="27">
        <f t="shared" si="66"/>
        <v>4.0163637200000002</v>
      </c>
      <c r="CN94" s="27">
        <v>1.6570263499999998</v>
      </c>
      <c r="CO94" s="27">
        <v>0.60374343000000019</v>
      </c>
      <c r="CP94" s="27">
        <v>0.70219925999999999</v>
      </c>
      <c r="CQ94" s="27">
        <f>3.543-SUM(CN94:CP94)</f>
        <v>0.58003096000000021</v>
      </c>
      <c r="CR94" s="27">
        <f t="shared" si="67"/>
        <v>3.5430000000000001</v>
      </c>
      <c r="CS94" s="27">
        <v>0.71430081000000001</v>
      </c>
      <c r="CT94" s="27">
        <v>0.71189039999999992</v>
      </c>
      <c r="CU94" s="27">
        <v>0.6720756</v>
      </c>
      <c r="CV94" s="27">
        <v>0.77344446</v>
      </c>
      <c r="CW94" s="27">
        <f t="shared" si="68"/>
        <v>2.8717112699999996</v>
      </c>
      <c r="CX94" s="27">
        <v>0.77800000000000002</v>
      </c>
      <c r="CY94" s="27">
        <v>0.96699999999999997</v>
      </c>
      <c r="CZ94" s="27">
        <v>0.69199999999999995</v>
      </c>
      <c r="DA94" s="27">
        <v>0.70899999999999996</v>
      </c>
      <c r="DB94" s="27">
        <f t="shared" si="69"/>
        <v>3.1460000000000004</v>
      </c>
      <c r="DC94" s="27">
        <v>0.90900000000000003</v>
      </c>
      <c r="DD94" s="27">
        <v>0.77300000000000002</v>
      </c>
      <c r="DE94" s="27">
        <v>0.70199999999999996</v>
      </c>
      <c r="DF94" s="27">
        <v>0.86099999999999999</v>
      </c>
      <c r="DG94" s="27">
        <f t="shared" si="70"/>
        <v>3.2450000000000001</v>
      </c>
      <c r="DH94" s="27">
        <v>1.218</v>
      </c>
      <c r="DI94" s="27">
        <v>1.044</v>
      </c>
      <c r="DJ94" s="27">
        <v>1.0740000000000001</v>
      </c>
      <c r="DK94" s="27">
        <v>1.208</v>
      </c>
      <c r="DL94" s="27">
        <f t="shared" si="71"/>
        <v>4.5440000000000005</v>
      </c>
      <c r="DM94" s="27">
        <v>1.33</v>
      </c>
      <c r="DN94" s="27">
        <v>1.258</v>
      </c>
      <c r="DO94" s="27">
        <v>1.163</v>
      </c>
      <c r="DP94" s="27">
        <v>1.2589999999999999</v>
      </c>
      <c r="DQ94" s="27">
        <f t="shared" si="72"/>
        <v>5.01</v>
      </c>
      <c r="DR94" s="27">
        <v>1.4379999999999999</v>
      </c>
      <c r="DS94" s="27">
        <v>1.2589999999999999</v>
      </c>
      <c r="DT94" s="27">
        <v>1.389</v>
      </c>
      <c r="DU94" s="27">
        <v>1.468</v>
      </c>
      <c r="DV94" s="27">
        <f t="shared" si="73"/>
        <v>5.5540000000000003</v>
      </c>
      <c r="DW94" s="27">
        <v>1.57</v>
      </c>
      <c r="DX94" s="27">
        <v>1.3564416299999997</v>
      </c>
      <c r="DY94" s="27">
        <v>0.83397244999999975</v>
      </c>
      <c r="DZ94" s="27">
        <v>2.31470004</v>
      </c>
      <c r="EA94" s="27">
        <f t="shared" si="74"/>
        <v>6.0751141199999994</v>
      </c>
      <c r="EB94" s="27">
        <v>2.1066943899999999</v>
      </c>
      <c r="EC94" s="27">
        <v>1.5010556599999998</v>
      </c>
      <c r="ED94" s="27">
        <v>1.663</v>
      </c>
      <c r="EE94" s="27">
        <v>3.0259508699999995</v>
      </c>
      <c r="EF94" s="27">
        <f t="shared" si="75"/>
        <v>8.2967009199999993</v>
      </c>
      <c r="EG94" s="27">
        <v>2.6708509699999996</v>
      </c>
      <c r="EH94" s="27">
        <v>2.3082178100000004</v>
      </c>
      <c r="EI94" s="27">
        <v>2.0624006799999997</v>
      </c>
    </row>
    <row r="95" spans="1:139" ht="15" thickBot="1" x14ac:dyDescent="0.35">
      <c r="A95" s="2" t="s">
        <v>444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28">
        <v>0</v>
      </c>
      <c r="BK95" s="28">
        <v>0</v>
      </c>
      <c r="BL95" s="28">
        <v>0</v>
      </c>
      <c r="BM95" s="28">
        <v>0</v>
      </c>
      <c r="BN95" s="28">
        <f t="shared" si="61"/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f t="shared" si="62"/>
        <v>0</v>
      </c>
      <c r="BT95" s="28">
        <v>0</v>
      </c>
      <c r="BU95" s="28">
        <v>0</v>
      </c>
      <c r="BV95" s="28">
        <v>0</v>
      </c>
      <c r="BW95" s="28">
        <v>0</v>
      </c>
      <c r="BX95" s="28">
        <f t="shared" si="63"/>
        <v>0</v>
      </c>
      <c r="BY95" s="28">
        <v>0</v>
      </c>
      <c r="BZ95" s="28">
        <v>0</v>
      </c>
      <c r="CA95" s="28">
        <v>0</v>
      </c>
      <c r="CB95" s="28">
        <v>0</v>
      </c>
      <c r="CC95" s="28">
        <f t="shared" si="64"/>
        <v>0</v>
      </c>
      <c r="CD95" s="28">
        <v>0</v>
      </c>
      <c r="CE95" s="28">
        <v>0</v>
      </c>
      <c r="CF95" s="28">
        <v>0</v>
      </c>
      <c r="CG95" s="28">
        <v>0</v>
      </c>
      <c r="CH95" s="28">
        <f t="shared" si="65"/>
        <v>0</v>
      </c>
      <c r="CI95" s="28">
        <v>0</v>
      </c>
      <c r="CJ95" s="28">
        <v>0</v>
      </c>
      <c r="CK95" s="28">
        <v>0</v>
      </c>
      <c r="CL95" s="28">
        <v>0</v>
      </c>
      <c r="CM95" s="28">
        <f t="shared" si="66"/>
        <v>0</v>
      </c>
      <c r="CN95" s="28">
        <v>0</v>
      </c>
      <c r="CO95" s="28">
        <v>0</v>
      </c>
      <c r="CP95" s="28">
        <v>0</v>
      </c>
      <c r="CQ95" s="28">
        <v>0</v>
      </c>
      <c r="CR95" s="28">
        <f t="shared" si="67"/>
        <v>0</v>
      </c>
      <c r="CS95" s="28">
        <v>0</v>
      </c>
      <c r="CT95" s="28">
        <v>0</v>
      </c>
      <c r="CU95" s="28">
        <v>0</v>
      </c>
      <c r="CV95" s="28">
        <v>0</v>
      </c>
      <c r="CW95" s="28">
        <f t="shared" si="68"/>
        <v>0</v>
      </c>
      <c r="CX95" s="28">
        <v>0</v>
      </c>
      <c r="CY95" s="28">
        <v>0</v>
      </c>
      <c r="CZ95" s="28">
        <v>0</v>
      </c>
      <c r="DA95" s="28">
        <v>0</v>
      </c>
      <c r="DB95" s="28">
        <f t="shared" si="69"/>
        <v>0</v>
      </c>
      <c r="DC95" s="28">
        <v>0</v>
      </c>
      <c r="DD95" s="28">
        <v>0</v>
      </c>
      <c r="DE95" s="28">
        <v>1.242</v>
      </c>
      <c r="DF95" s="28">
        <v>1.8939999999999999</v>
      </c>
      <c r="DG95" s="28">
        <f t="shared" si="70"/>
        <v>3.1360000000000001</v>
      </c>
      <c r="DH95" s="28">
        <v>1.8140000000000001</v>
      </c>
      <c r="DI95" s="28">
        <v>2.2450000000000001</v>
      </c>
      <c r="DJ95" s="28">
        <v>2.0579999999999998</v>
      </c>
      <c r="DK95" s="28">
        <v>2.1739999999999999</v>
      </c>
      <c r="DL95" s="28">
        <f t="shared" si="71"/>
        <v>8.2910000000000004</v>
      </c>
      <c r="DM95" s="28">
        <v>2.5070000000000001</v>
      </c>
      <c r="DN95" s="28">
        <v>2.1720000000000002</v>
      </c>
      <c r="DO95" s="28">
        <v>2.137</v>
      </c>
      <c r="DP95" s="28">
        <v>2.29</v>
      </c>
      <c r="DQ95" s="28">
        <f t="shared" si="72"/>
        <v>9.1060000000000016</v>
      </c>
      <c r="DR95" s="28">
        <v>2.7160000000000002</v>
      </c>
      <c r="DS95" s="28">
        <v>2.903</v>
      </c>
      <c r="DT95" s="28">
        <v>2.69</v>
      </c>
      <c r="DU95" s="28">
        <v>2.835</v>
      </c>
      <c r="DV95" s="28">
        <f t="shared" si="73"/>
        <v>11.143999999999998</v>
      </c>
      <c r="DW95" s="28">
        <v>2.9279999999999999</v>
      </c>
      <c r="DX95" s="28">
        <v>2.9807000600000002</v>
      </c>
      <c r="DY95" s="28">
        <v>1.1485669500000004</v>
      </c>
      <c r="DZ95" s="28">
        <v>5.1974009499999996</v>
      </c>
      <c r="EA95" s="28">
        <f t="shared" si="74"/>
        <v>12.254667959999999</v>
      </c>
      <c r="EB95" s="28">
        <v>0.61060155000000005</v>
      </c>
      <c r="EC95" s="28">
        <v>2.63310932</v>
      </c>
      <c r="ED95" s="28">
        <v>3.2320000000000002</v>
      </c>
      <c r="EE95" s="28">
        <v>5.4739127199999995</v>
      </c>
      <c r="EF95" s="28">
        <f t="shared" si="75"/>
        <v>11.94962359</v>
      </c>
      <c r="EG95" s="28">
        <v>5.9197722599999993</v>
      </c>
      <c r="EH95" s="28">
        <v>5.4091938900000009</v>
      </c>
      <c r="EI95" s="28">
        <v>3.6134000199999994</v>
      </c>
    </row>
    <row r="96" spans="1:139" ht="15" thickTop="1" x14ac:dyDescent="0.3">
      <c r="A96" s="1" t="s">
        <v>456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27">
        <v>0</v>
      </c>
      <c r="BK96" s="27">
        <v>0</v>
      </c>
      <c r="BL96" s="27">
        <v>0</v>
      </c>
      <c r="BM96" s="27">
        <v>0</v>
      </c>
      <c r="BN96" s="27">
        <f t="shared" si="61"/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f t="shared" si="62"/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f t="shared" si="63"/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f t="shared" si="64"/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f t="shared" si="65"/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f t="shared" si="66"/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f t="shared" si="67"/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f t="shared" si="68"/>
        <v>0</v>
      </c>
      <c r="CX96" s="27">
        <v>0</v>
      </c>
      <c r="CY96" s="27">
        <v>0</v>
      </c>
      <c r="CZ96" s="27">
        <v>1.9E-2</v>
      </c>
      <c r="DA96" s="27">
        <v>1.5680000000000001</v>
      </c>
      <c r="DB96" s="27">
        <f t="shared" si="69"/>
        <v>1.587</v>
      </c>
      <c r="DC96" s="27">
        <v>1.034</v>
      </c>
      <c r="DD96" s="27">
        <v>1.175</v>
      </c>
      <c r="DE96" s="27">
        <v>1.1519999999999999</v>
      </c>
      <c r="DF96" s="27">
        <v>1.1859999999999999</v>
      </c>
      <c r="DG96" s="27">
        <f t="shared" si="70"/>
        <v>4.5469999999999997</v>
      </c>
      <c r="DH96" s="27">
        <v>1.335</v>
      </c>
      <c r="DI96" s="27">
        <v>1.468</v>
      </c>
      <c r="DJ96" s="27">
        <v>1.3580000000000001</v>
      </c>
      <c r="DK96" s="27">
        <v>1.4370000000000001</v>
      </c>
      <c r="DL96" s="27">
        <f t="shared" si="71"/>
        <v>5.5979999999999999</v>
      </c>
      <c r="DM96" s="27">
        <v>1.6659999999999999</v>
      </c>
      <c r="DN96" s="27">
        <v>1.7589999999999999</v>
      </c>
      <c r="DO96" s="27">
        <v>1.657</v>
      </c>
      <c r="DP96" s="27">
        <v>1.931</v>
      </c>
      <c r="DQ96" s="27">
        <f t="shared" si="72"/>
        <v>7.0129999999999999</v>
      </c>
      <c r="DR96" s="27">
        <v>1.976</v>
      </c>
      <c r="DS96" s="27">
        <v>2.129</v>
      </c>
      <c r="DT96" s="27">
        <v>2.0329999999999999</v>
      </c>
      <c r="DU96" s="27">
        <v>1.9019999999999999</v>
      </c>
      <c r="DV96" s="27">
        <f t="shared" si="73"/>
        <v>8.0399999999999991</v>
      </c>
      <c r="DW96" s="27">
        <v>2.4</v>
      </c>
      <c r="DX96" s="27">
        <v>1.8734104999999999</v>
      </c>
      <c r="DY96" s="27">
        <v>2.1777599599999999</v>
      </c>
      <c r="DZ96" s="27">
        <v>2.4487079999999994</v>
      </c>
      <c r="EA96" s="27">
        <f t="shared" si="74"/>
        <v>8.89987846</v>
      </c>
      <c r="EB96" s="27">
        <f>(909293.92+674836.86)/1000000</f>
        <v>1.58413078</v>
      </c>
      <c r="EC96" s="27">
        <v>1.5402754699999999</v>
      </c>
      <c r="ED96" s="27">
        <v>3.508</v>
      </c>
      <c r="EE96" s="27">
        <v>5.9360198900000007</v>
      </c>
      <c r="EF96" s="27">
        <f t="shared" si="75"/>
        <v>12.56842614</v>
      </c>
      <c r="EG96" s="27">
        <v>2.9623289399999999</v>
      </c>
      <c r="EH96" s="27">
        <v>3.9168555499999997</v>
      </c>
      <c r="EI96" s="27">
        <v>3.6243514500000003</v>
      </c>
    </row>
    <row r="97" spans="1:139" ht="15" thickBot="1" x14ac:dyDescent="0.35">
      <c r="A97" s="2" t="s">
        <v>446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28">
        <v>0</v>
      </c>
      <c r="BK97" s="28">
        <v>0</v>
      </c>
      <c r="BL97" s="28">
        <v>0</v>
      </c>
      <c r="BM97" s="28">
        <v>0</v>
      </c>
      <c r="BN97" s="28">
        <f t="shared" si="61"/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f t="shared" si="62"/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f t="shared" si="63"/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f t="shared" si="64"/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f t="shared" si="65"/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f t="shared" si="66"/>
        <v>0</v>
      </c>
      <c r="CN97" s="28">
        <v>0</v>
      </c>
      <c r="CO97" s="28">
        <v>0</v>
      </c>
      <c r="CP97" s="28">
        <v>0</v>
      </c>
      <c r="CQ97" s="28">
        <v>0</v>
      </c>
      <c r="CR97" s="28">
        <f t="shared" si="67"/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f t="shared" si="68"/>
        <v>0</v>
      </c>
      <c r="CX97" s="28">
        <v>0</v>
      </c>
      <c r="CY97" s="28">
        <v>0</v>
      </c>
      <c r="CZ97" s="28">
        <v>0</v>
      </c>
      <c r="DA97" s="28">
        <v>0</v>
      </c>
      <c r="DB97" s="28">
        <f t="shared" si="69"/>
        <v>0</v>
      </c>
      <c r="DC97" s="28">
        <v>0</v>
      </c>
      <c r="DD97" s="28">
        <v>0</v>
      </c>
      <c r="DE97" s="28">
        <v>0</v>
      </c>
      <c r="DF97" s="28">
        <v>0</v>
      </c>
      <c r="DG97" s="28">
        <f t="shared" si="70"/>
        <v>0</v>
      </c>
      <c r="DH97" s="28">
        <v>1.47</v>
      </c>
      <c r="DI97" s="28">
        <v>1.0660000000000001</v>
      </c>
      <c r="DJ97" s="28">
        <v>1.6839999999999999</v>
      </c>
      <c r="DK97" s="28">
        <v>1.837</v>
      </c>
      <c r="DL97" s="28">
        <f t="shared" si="71"/>
        <v>6.0569999999999995</v>
      </c>
      <c r="DM97" s="28">
        <v>2.137</v>
      </c>
      <c r="DN97" s="28">
        <v>2.9750000000000001</v>
      </c>
      <c r="DO97" s="28">
        <v>1.2849999999999999</v>
      </c>
      <c r="DP97" s="28">
        <v>2.2610000000000001</v>
      </c>
      <c r="DQ97" s="28">
        <f t="shared" si="72"/>
        <v>8.6580000000000013</v>
      </c>
      <c r="DR97" s="28">
        <v>2.488</v>
      </c>
      <c r="DS97" s="28">
        <v>2.383</v>
      </c>
      <c r="DT97" s="28">
        <v>2.601</v>
      </c>
      <c r="DU97" s="28">
        <v>2.6659999999999999</v>
      </c>
      <c r="DV97" s="28">
        <f t="shared" si="73"/>
        <v>10.138</v>
      </c>
      <c r="DW97" s="28">
        <v>2.7440000000000002</v>
      </c>
      <c r="DX97" s="28">
        <v>2.6503001400000001</v>
      </c>
      <c r="DY97" s="28">
        <v>3.1190062899999997</v>
      </c>
      <c r="DZ97" s="28">
        <v>2.5277221900000009</v>
      </c>
      <c r="EA97" s="28">
        <f t="shared" si="74"/>
        <v>11.041028620000001</v>
      </c>
      <c r="EB97" s="28">
        <f>(675847.12+371226.15)/1000000</f>
        <v>1.0470732700000001</v>
      </c>
      <c r="EC97" s="28">
        <v>1.2703967300000001</v>
      </c>
      <c r="ED97" s="28">
        <v>1.77</v>
      </c>
      <c r="EE97" s="28">
        <v>3.0023156099999997</v>
      </c>
      <c r="EF97" s="28">
        <f t="shared" si="75"/>
        <v>7.0897856099999998</v>
      </c>
      <c r="EG97" s="28">
        <v>2.9137344000000005</v>
      </c>
      <c r="EH97" s="28">
        <v>2.8253371399999998</v>
      </c>
      <c r="EI97" s="28">
        <v>2.7056900200000005</v>
      </c>
    </row>
    <row r="98" spans="1:139" ht="15" thickTop="1" x14ac:dyDescent="0.3">
      <c r="A98" s="1" t="s">
        <v>447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27">
        <v>0</v>
      </c>
      <c r="BK98" s="27">
        <v>0</v>
      </c>
      <c r="BL98" s="27">
        <v>0</v>
      </c>
      <c r="BM98" s="27">
        <v>0</v>
      </c>
      <c r="BN98" s="27">
        <f t="shared" si="61"/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f t="shared" si="62"/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f t="shared" si="63"/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f t="shared" si="64"/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f t="shared" si="65"/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f t="shared" si="66"/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f t="shared" si="67"/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f t="shared" si="68"/>
        <v>0</v>
      </c>
      <c r="CX98" s="27">
        <v>0</v>
      </c>
      <c r="CY98" s="27">
        <v>0</v>
      </c>
      <c r="CZ98" s="27">
        <v>0</v>
      </c>
      <c r="DA98" s="27">
        <v>0</v>
      </c>
      <c r="DB98" s="27">
        <f t="shared" si="69"/>
        <v>0</v>
      </c>
      <c r="DC98" s="27">
        <v>0</v>
      </c>
      <c r="DD98" s="27">
        <v>0</v>
      </c>
      <c r="DE98" s="27">
        <v>0</v>
      </c>
      <c r="DF98" s="27">
        <v>0</v>
      </c>
      <c r="DG98" s="27">
        <f t="shared" si="70"/>
        <v>0</v>
      </c>
      <c r="DH98" s="27">
        <v>0</v>
      </c>
      <c r="DI98" s="27">
        <v>0</v>
      </c>
      <c r="DJ98" s="27">
        <v>0</v>
      </c>
      <c r="DK98" s="27">
        <v>0</v>
      </c>
      <c r="DL98" s="27">
        <f t="shared" si="71"/>
        <v>0</v>
      </c>
      <c r="DM98" s="27">
        <v>0</v>
      </c>
      <c r="DN98" s="27">
        <v>0</v>
      </c>
      <c r="DO98" s="27">
        <v>0.20300000000000001</v>
      </c>
      <c r="DP98" s="27">
        <v>3.363</v>
      </c>
      <c r="DQ98" s="27">
        <f t="shared" si="72"/>
        <v>3.5659999999999998</v>
      </c>
      <c r="DR98" s="27">
        <v>3.1349999999999998</v>
      </c>
      <c r="DS98" s="27">
        <v>2.7210000000000001</v>
      </c>
      <c r="DT98" s="27">
        <v>2.944</v>
      </c>
      <c r="DU98" s="27">
        <v>4.55</v>
      </c>
      <c r="DV98" s="27">
        <f t="shared" si="73"/>
        <v>13.350000000000001</v>
      </c>
      <c r="DW98" s="27">
        <v>3.8620000000000001</v>
      </c>
      <c r="DX98" s="27">
        <v>3.9833054400000001</v>
      </c>
      <c r="DY98" s="27">
        <v>4.1119574499999993</v>
      </c>
      <c r="DZ98" s="27">
        <v>2.9406672100000009</v>
      </c>
      <c r="EA98" s="27">
        <f t="shared" si="74"/>
        <v>14.8979301</v>
      </c>
      <c r="EB98" s="27">
        <f>(1357330.66+4117908.89)/1000000</f>
        <v>5.4752395499999995</v>
      </c>
      <c r="EC98" s="27">
        <v>-2.2516974199999997</v>
      </c>
      <c r="ED98" s="27">
        <v>4.1760000000000002</v>
      </c>
      <c r="EE98" s="27">
        <v>3.4407656600000007</v>
      </c>
      <c r="EF98" s="27">
        <f t="shared" si="75"/>
        <v>10.840307790000001</v>
      </c>
      <c r="EG98" s="27">
        <v>2.3750378700000003</v>
      </c>
      <c r="EH98" s="27">
        <v>2.4891334799999996</v>
      </c>
      <c r="EI98" s="27">
        <v>2.1022703100000006</v>
      </c>
    </row>
    <row r="99" spans="1:139" ht="15" thickBot="1" x14ac:dyDescent="0.35">
      <c r="A99" s="2" t="s">
        <v>448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28">
        <v>0</v>
      </c>
      <c r="BK99" s="28">
        <v>0</v>
      </c>
      <c r="BL99" s="28">
        <v>0</v>
      </c>
      <c r="BM99" s="28">
        <v>0</v>
      </c>
      <c r="BN99" s="28">
        <f t="shared" si="61"/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f t="shared" si="62"/>
        <v>0</v>
      </c>
      <c r="BT99" s="28">
        <v>0</v>
      </c>
      <c r="BU99" s="28">
        <v>0</v>
      </c>
      <c r="BV99" s="28">
        <v>0</v>
      </c>
      <c r="BW99" s="28">
        <v>0</v>
      </c>
      <c r="BX99" s="28">
        <f t="shared" si="63"/>
        <v>0</v>
      </c>
      <c r="BY99" s="28">
        <v>0</v>
      </c>
      <c r="BZ99" s="28">
        <v>0</v>
      </c>
      <c r="CA99" s="28">
        <v>0</v>
      </c>
      <c r="CB99" s="28">
        <v>0</v>
      </c>
      <c r="CC99" s="28">
        <f t="shared" si="64"/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f t="shared" si="65"/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f t="shared" si="66"/>
        <v>0</v>
      </c>
      <c r="CN99" s="28">
        <v>0</v>
      </c>
      <c r="CO99" s="28">
        <v>0</v>
      </c>
      <c r="CP99" s="28">
        <v>0</v>
      </c>
      <c r="CQ99" s="28">
        <v>0</v>
      </c>
      <c r="CR99" s="28">
        <f t="shared" si="67"/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f t="shared" si="68"/>
        <v>0</v>
      </c>
      <c r="CX99" s="28">
        <v>0</v>
      </c>
      <c r="CY99" s="28">
        <v>0</v>
      </c>
      <c r="CZ99" s="28">
        <v>0</v>
      </c>
      <c r="DA99" s="28">
        <v>0</v>
      </c>
      <c r="DB99" s="28">
        <f t="shared" si="69"/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f t="shared" si="70"/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f t="shared" si="71"/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f t="shared" si="72"/>
        <v>0</v>
      </c>
      <c r="DR99" s="28">
        <v>0</v>
      </c>
      <c r="DS99" s="28">
        <v>0</v>
      </c>
      <c r="DT99" s="28">
        <v>6.4000000000000001E-2</v>
      </c>
      <c r="DU99" s="28">
        <v>6.7089999999999996</v>
      </c>
      <c r="DV99" s="28">
        <f t="shared" si="73"/>
        <v>6.7729999999999997</v>
      </c>
      <c r="DW99" s="28">
        <v>6.5220000000000002</v>
      </c>
      <c r="DX99" s="28">
        <v>6.9473265599999996</v>
      </c>
      <c r="DY99" s="28">
        <v>8.1395713700000005</v>
      </c>
      <c r="DZ99" s="28">
        <v>6.8544153999999997</v>
      </c>
      <c r="EA99" s="28">
        <f t="shared" si="74"/>
        <v>28.463313329999998</v>
      </c>
      <c r="EB99" s="28">
        <v>1.7843809199999998</v>
      </c>
      <c r="EC99" s="28">
        <v>3.7071452699999998</v>
      </c>
      <c r="ED99" s="28">
        <v>11.054</v>
      </c>
      <c r="EE99" s="28">
        <v>11.740143590000001</v>
      </c>
      <c r="EF99" s="28">
        <f t="shared" si="75"/>
        <v>28.285669779999999</v>
      </c>
      <c r="EG99" s="28">
        <v>7.6696180800000002</v>
      </c>
      <c r="EH99" s="28">
        <v>5.9119190299999991</v>
      </c>
      <c r="EI99" s="28">
        <v>5.1883774499999999</v>
      </c>
    </row>
    <row r="100" spans="1:139" ht="15" thickTop="1" x14ac:dyDescent="0.3">
      <c r="A100" s="1" t="s">
        <v>449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0</v>
      </c>
      <c r="CK100" s="27">
        <v>0</v>
      </c>
      <c r="CL100" s="27">
        <v>0</v>
      </c>
      <c r="CM100" s="27">
        <v>0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7">
        <v>0</v>
      </c>
      <c r="DB100" s="27">
        <v>0</v>
      </c>
      <c r="DC100" s="27">
        <v>0</v>
      </c>
      <c r="DD100" s="27">
        <v>0</v>
      </c>
      <c r="DE100" s="27">
        <v>0</v>
      </c>
      <c r="DF100" s="27">
        <v>0</v>
      </c>
      <c r="DG100" s="27">
        <v>0</v>
      </c>
      <c r="DH100" s="27">
        <v>0</v>
      </c>
      <c r="DI100" s="27">
        <v>0</v>
      </c>
      <c r="DJ100" s="27">
        <v>0</v>
      </c>
      <c r="DK100" s="27">
        <v>0</v>
      </c>
      <c r="DL100" s="27">
        <v>0</v>
      </c>
      <c r="DM100" s="27">
        <v>0</v>
      </c>
      <c r="DN100" s="27">
        <v>0</v>
      </c>
      <c r="DO100" s="27">
        <v>0</v>
      </c>
      <c r="DP100" s="27">
        <v>0</v>
      </c>
      <c r="DQ100" s="27">
        <v>0</v>
      </c>
      <c r="DR100" s="27">
        <v>0</v>
      </c>
      <c r="DS100" s="27">
        <v>0</v>
      </c>
      <c r="DT100" s="27">
        <v>0</v>
      </c>
      <c r="DU100" s="27">
        <v>0</v>
      </c>
      <c r="DV100" s="27">
        <v>0</v>
      </c>
      <c r="DW100" s="27">
        <v>0</v>
      </c>
      <c r="DX100" s="27">
        <v>0.43485566999999997</v>
      </c>
      <c r="DY100" s="27">
        <v>5.3381031500000002</v>
      </c>
      <c r="DZ100" s="27">
        <v>6.1202660299999989</v>
      </c>
      <c r="EA100" s="27">
        <f t="shared" si="74"/>
        <v>11.893224849999999</v>
      </c>
      <c r="EB100" s="27">
        <f>(1056512.74+1357343.46)/1000000</f>
        <v>2.4138562000000001</v>
      </c>
      <c r="EC100" s="27">
        <v>3.8619637099999999</v>
      </c>
      <c r="ED100" s="27">
        <v>6.4</v>
      </c>
      <c r="EE100" s="27">
        <v>6.4642310599999986</v>
      </c>
      <c r="EF100" s="27">
        <f t="shared" si="75"/>
        <v>19.140050970000001</v>
      </c>
      <c r="EG100" s="27">
        <v>3.9657491600000001</v>
      </c>
      <c r="EH100" s="27">
        <v>3.9228807400000001</v>
      </c>
      <c r="EI100" s="27">
        <v>4.7693723399999994</v>
      </c>
    </row>
    <row r="101" spans="1:139" ht="15" thickBot="1" x14ac:dyDescent="0.35">
      <c r="A101" s="2" t="s">
        <v>460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>
        <v>0</v>
      </c>
      <c r="EH101" s="28">
        <v>2.90231131</v>
      </c>
      <c r="EI101" s="28">
        <v>3.1429142300000006</v>
      </c>
    </row>
    <row r="102" spans="1:139" ht="15" thickTop="1" x14ac:dyDescent="0.3">
      <c r="A102" s="1" t="s">
        <v>304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27">
        <v>0</v>
      </c>
      <c r="BK102" s="27">
        <v>0</v>
      </c>
      <c r="BL102" s="27">
        <v>0</v>
      </c>
      <c r="BM102" s="27">
        <v>0</v>
      </c>
      <c r="BN102" s="27">
        <f t="shared" si="61"/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f t="shared" si="62"/>
        <v>0</v>
      </c>
      <c r="BT102" s="27">
        <v>0</v>
      </c>
      <c r="BU102" s="27">
        <v>0</v>
      </c>
      <c r="BV102" s="27">
        <v>0</v>
      </c>
      <c r="BW102" s="27">
        <v>45.925277205000008</v>
      </c>
      <c r="BX102" s="27">
        <f t="shared" si="63"/>
        <v>45.925277205000008</v>
      </c>
      <c r="BY102" s="27">
        <v>24.523821679999998</v>
      </c>
      <c r="BZ102" s="27">
        <v>25.0178765</v>
      </c>
      <c r="CA102" s="27">
        <v>35.065890979999992</v>
      </c>
      <c r="CB102" s="27">
        <v>29.685696489999998</v>
      </c>
      <c r="CC102" s="27">
        <f t="shared" si="64"/>
        <v>114.29328564999999</v>
      </c>
      <c r="CD102" s="27">
        <v>25.303954250000004</v>
      </c>
      <c r="CE102" s="27">
        <v>28.605893039999998</v>
      </c>
      <c r="CF102" s="27">
        <v>30.705670679999997</v>
      </c>
      <c r="CG102" s="27">
        <v>23.278388270000008</v>
      </c>
      <c r="CH102" s="27">
        <f t="shared" si="65"/>
        <v>107.89390624000001</v>
      </c>
      <c r="CI102" s="27">
        <v>26.69687995</v>
      </c>
      <c r="CJ102" s="27">
        <v>24.221959160000001</v>
      </c>
      <c r="CK102" s="27">
        <v>26.637709499999996</v>
      </c>
      <c r="CL102" s="27">
        <v>26.478508959999996</v>
      </c>
      <c r="CM102" s="27">
        <f t="shared" si="66"/>
        <v>104.03505756999999</v>
      </c>
      <c r="CN102" s="27">
        <v>24.804693090000001</v>
      </c>
      <c r="CO102" s="27">
        <v>32.1770158</v>
      </c>
      <c r="CP102" s="27">
        <v>35.153480510000001</v>
      </c>
      <c r="CQ102" s="27">
        <f>13.117-SUM(CN102:CP102)</f>
        <v>-79.018189399999997</v>
      </c>
      <c r="CR102" s="27">
        <f t="shared" si="67"/>
        <v>13.117000000000004</v>
      </c>
      <c r="CS102" s="27">
        <v>2.2839999999999998</v>
      </c>
      <c r="CT102" s="27">
        <f>5.087-CS102</f>
        <v>2.8029999999999999</v>
      </c>
      <c r="CU102" s="27">
        <f>7.143-SUM(CS102:CT102)</f>
        <v>2.056</v>
      </c>
      <c r="CV102" s="27">
        <f>9.534-CU102-CT102-CS102</f>
        <v>2.3910000000000009</v>
      </c>
      <c r="CW102" s="27">
        <f t="shared" si="68"/>
        <v>9.5340000000000007</v>
      </c>
      <c r="CX102" s="27">
        <v>2.2909999999999999</v>
      </c>
      <c r="CY102" s="27">
        <v>1.8879999999999999</v>
      </c>
      <c r="CZ102" s="27">
        <v>2.0019999999999998</v>
      </c>
      <c r="DA102" s="27">
        <v>2.4609999999999999</v>
      </c>
      <c r="DB102" s="27">
        <f t="shared" si="69"/>
        <v>8.6419999999999995</v>
      </c>
      <c r="DC102" s="27">
        <v>2.1680000000000001</v>
      </c>
      <c r="DD102" s="27">
        <v>2.528</v>
      </c>
      <c r="DE102" s="27">
        <v>2.1070000000000002</v>
      </c>
      <c r="DF102" s="27">
        <v>5.0839999999999996</v>
      </c>
      <c r="DG102" s="27">
        <f t="shared" si="70"/>
        <v>11.887</v>
      </c>
      <c r="DH102" s="27">
        <v>3.0779999999999998</v>
      </c>
      <c r="DI102" s="27">
        <v>2.742</v>
      </c>
      <c r="DJ102" s="27">
        <v>3.0089999999999999</v>
      </c>
      <c r="DK102" s="27">
        <v>3.649</v>
      </c>
      <c r="DL102" s="27">
        <f t="shared" si="71"/>
        <v>12.478000000000002</v>
      </c>
      <c r="DM102" s="27">
        <v>2.7229999999999999</v>
      </c>
      <c r="DN102" s="27">
        <v>3.794</v>
      </c>
      <c r="DO102" s="27">
        <v>4.0209999999999999</v>
      </c>
      <c r="DP102" s="27">
        <v>3.427</v>
      </c>
      <c r="DQ102" s="27">
        <f t="shared" si="72"/>
        <v>13.965</v>
      </c>
      <c r="DR102" s="27">
        <v>3.327</v>
      </c>
      <c r="DS102" s="27">
        <v>2.9740000000000002</v>
      </c>
      <c r="DT102" s="27">
        <v>2.9</v>
      </c>
      <c r="DU102" s="27">
        <v>4.069</v>
      </c>
      <c r="DV102" s="27">
        <f t="shared" si="73"/>
        <v>13.27</v>
      </c>
      <c r="DW102" s="27">
        <v>3.3740000000000001</v>
      </c>
      <c r="DX102" s="27">
        <v>3.72713195</v>
      </c>
      <c r="DY102" s="27">
        <f>(3510743.13+588615.12)/1000000</f>
        <v>4.0993582499999999</v>
      </c>
      <c r="DZ102" s="27">
        <v>4.0784358100000002</v>
      </c>
      <c r="EA102" s="27">
        <f t="shared" ref="EA102:EA110" si="76">SUM(DW102:DZ102)</f>
        <v>15.278926010000001</v>
      </c>
      <c r="EB102" s="27">
        <f>(3219370.94+430228.18+50199.84+25301.31)/1000000</f>
        <v>3.72510027</v>
      </c>
      <c r="EC102" s="27">
        <v>5.2907972800000005</v>
      </c>
      <c r="ED102" s="27">
        <v>4.1589999999999998</v>
      </c>
      <c r="EE102" s="27">
        <v>5.1163392000000005</v>
      </c>
      <c r="EF102" s="27">
        <f t="shared" ref="EF102:EF110" si="77">SUM(EB102:EE102)</f>
        <v>18.291236750000003</v>
      </c>
      <c r="EG102" s="27">
        <v>4.7618632400000003</v>
      </c>
      <c r="EH102" s="27">
        <v>5.10602438</v>
      </c>
      <c r="EI102" s="27">
        <v>4.5803649999999996</v>
      </c>
    </row>
    <row r="103" spans="1:139" ht="15" thickBot="1" x14ac:dyDescent="0.35">
      <c r="A103" s="2" t="s">
        <v>305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28">
        <v>0</v>
      </c>
      <c r="BK103" s="28">
        <v>0</v>
      </c>
      <c r="BL103" s="28">
        <v>0</v>
      </c>
      <c r="BM103" s="28">
        <v>0</v>
      </c>
      <c r="BN103" s="28">
        <f t="shared" si="61"/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f t="shared" si="62"/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f t="shared" si="63"/>
        <v>0</v>
      </c>
      <c r="BY103" s="28">
        <v>0</v>
      </c>
      <c r="BZ103" s="28">
        <v>0</v>
      </c>
      <c r="CA103" s="28">
        <v>0</v>
      </c>
      <c r="CB103" s="28">
        <v>0</v>
      </c>
      <c r="CC103" s="28">
        <f t="shared" si="64"/>
        <v>0</v>
      </c>
      <c r="CD103" s="28">
        <v>0</v>
      </c>
      <c r="CE103" s="28">
        <v>0</v>
      </c>
      <c r="CF103" s="28">
        <v>0</v>
      </c>
      <c r="CG103" s="28">
        <v>0</v>
      </c>
      <c r="CH103" s="28">
        <f t="shared" si="65"/>
        <v>0</v>
      </c>
      <c r="CI103" s="28">
        <v>0</v>
      </c>
      <c r="CJ103" s="28">
        <v>0</v>
      </c>
      <c r="CK103" s="28">
        <v>0</v>
      </c>
      <c r="CL103" s="28">
        <v>0</v>
      </c>
      <c r="CM103" s="28">
        <f t="shared" si="66"/>
        <v>0</v>
      </c>
      <c r="CN103" s="28">
        <v>0</v>
      </c>
      <c r="CO103" s="28">
        <v>0</v>
      </c>
      <c r="CP103" s="28">
        <v>0</v>
      </c>
      <c r="CQ103" s="28">
        <v>0</v>
      </c>
      <c r="CR103" s="28">
        <f t="shared" si="67"/>
        <v>0</v>
      </c>
      <c r="CS103" s="28">
        <v>0</v>
      </c>
      <c r="CT103" s="28">
        <v>0</v>
      </c>
      <c r="CU103" s="28">
        <v>0</v>
      </c>
      <c r="CV103" s="28">
        <v>0</v>
      </c>
      <c r="CW103" s="28">
        <f t="shared" si="68"/>
        <v>0</v>
      </c>
      <c r="CX103" s="28">
        <v>0</v>
      </c>
      <c r="CY103" s="28">
        <v>0</v>
      </c>
      <c r="CZ103" s="28">
        <v>0</v>
      </c>
      <c r="DA103" s="28">
        <v>0</v>
      </c>
      <c r="DB103" s="28">
        <f t="shared" si="69"/>
        <v>0</v>
      </c>
      <c r="DC103" s="28">
        <v>0.254</v>
      </c>
      <c r="DD103" s="28">
        <v>0.13500000000000001</v>
      </c>
      <c r="DE103" s="28">
        <v>0.153</v>
      </c>
      <c r="DF103" s="28">
        <v>0.25</v>
      </c>
      <c r="DG103" s="28">
        <f t="shared" si="70"/>
        <v>0.79200000000000004</v>
      </c>
      <c r="DH103" s="28">
        <v>0.17599999999999999</v>
      </c>
      <c r="DI103" s="28">
        <v>0.65100000000000002</v>
      </c>
      <c r="DJ103" s="28">
        <v>0.46899999999999997</v>
      </c>
      <c r="DK103" s="28">
        <v>0.28299999999999997</v>
      </c>
      <c r="DL103" s="28">
        <f t="shared" si="71"/>
        <v>1.5789999999999997</v>
      </c>
      <c r="DM103" s="28">
        <v>0.24299999999999999</v>
      </c>
      <c r="DN103" s="28">
        <v>0.248</v>
      </c>
      <c r="DO103" s="28">
        <v>0.215</v>
      </c>
      <c r="DP103" s="28">
        <v>0.26600000000000001</v>
      </c>
      <c r="DQ103" s="28">
        <f t="shared" si="72"/>
        <v>0.97199999999999998</v>
      </c>
      <c r="DR103" s="28">
        <v>0.16500000000000001</v>
      </c>
      <c r="DS103" s="28">
        <v>0.248</v>
      </c>
      <c r="DT103" s="28">
        <v>0.23799999999999999</v>
      </c>
      <c r="DU103" s="28">
        <v>0.40799999999999997</v>
      </c>
      <c r="DV103" s="28">
        <f t="shared" si="73"/>
        <v>1.0589999999999999</v>
      </c>
      <c r="DW103" s="28">
        <v>0.19900000000000001</v>
      </c>
      <c r="DX103" s="28">
        <v>0.17698582000000002</v>
      </c>
      <c r="DY103" s="28">
        <v>0.16694715999999998</v>
      </c>
      <c r="DZ103" s="28">
        <v>0.30334667000000004</v>
      </c>
      <c r="EA103" s="28">
        <f t="shared" si="76"/>
        <v>0.84627965000000005</v>
      </c>
      <c r="EB103" s="28">
        <f>(170963.18+44206.26)/1000000</f>
        <v>0.21516943999999999</v>
      </c>
      <c r="EC103" s="28">
        <v>0.33871240000000002</v>
      </c>
      <c r="ED103" s="28">
        <v>0.29199999999999998</v>
      </c>
      <c r="EE103" s="28">
        <v>0.41792520999999994</v>
      </c>
      <c r="EF103" s="28">
        <f t="shared" si="77"/>
        <v>1.26380705</v>
      </c>
      <c r="EG103" s="28">
        <v>0.52612908999999997</v>
      </c>
      <c r="EH103" s="28">
        <v>0.38408863999999998</v>
      </c>
      <c r="EI103" s="28">
        <v>0.30050639000000012</v>
      </c>
    </row>
    <row r="104" spans="1:139" ht="15" thickTop="1" x14ac:dyDescent="0.3">
      <c r="A104" s="1" t="s">
        <v>306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27">
        <v>0</v>
      </c>
      <c r="BK104" s="27">
        <v>0</v>
      </c>
      <c r="BL104" s="27">
        <v>0</v>
      </c>
      <c r="BM104" s="27">
        <v>0</v>
      </c>
      <c r="BN104" s="27">
        <f t="shared" si="61"/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f t="shared" si="62"/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f t="shared" si="63"/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f t="shared" si="64"/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f t="shared" si="65"/>
        <v>0</v>
      </c>
      <c r="CI104" s="27">
        <v>0</v>
      </c>
      <c r="CJ104" s="27">
        <v>1.5501630100000001</v>
      </c>
      <c r="CK104" s="27">
        <v>1.0815092300000002</v>
      </c>
      <c r="CL104" s="27">
        <v>1.2048415299999997</v>
      </c>
      <c r="CM104" s="27">
        <f t="shared" si="66"/>
        <v>3.8365137699999998</v>
      </c>
      <c r="CN104" s="27">
        <v>0.46735783000000003</v>
      </c>
      <c r="CO104" s="27">
        <v>1.8249615699999997</v>
      </c>
      <c r="CP104" s="27">
        <v>2.2106143300000007</v>
      </c>
      <c r="CQ104" s="27">
        <f>10.345-SUM(CN104:CP104)</f>
        <v>5.8420662700000001</v>
      </c>
      <c r="CR104" s="27">
        <f t="shared" si="67"/>
        <v>10.345000000000001</v>
      </c>
      <c r="CS104" s="27">
        <v>8.468648589999999</v>
      </c>
      <c r="CT104" s="27">
        <f>13.306-CS104</f>
        <v>4.8373514100000001</v>
      </c>
      <c r="CU104" s="27">
        <v>9.188576620000001</v>
      </c>
      <c r="CV104" s="27">
        <v>7.0709287799999956</v>
      </c>
      <c r="CW104" s="27">
        <f t="shared" si="68"/>
        <v>29.565505399999996</v>
      </c>
      <c r="CX104" s="27">
        <v>2.4590000000000001</v>
      </c>
      <c r="CY104" s="27">
        <v>1.552</v>
      </c>
      <c r="CZ104" s="27">
        <v>1.3089999999999999</v>
      </c>
      <c r="DA104" s="27">
        <v>9.8559999999999999</v>
      </c>
      <c r="DB104" s="27">
        <f t="shared" si="69"/>
        <v>15.176</v>
      </c>
      <c r="DC104" s="27">
        <v>3.3820000000000001</v>
      </c>
      <c r="DD104" s="27">
        <v>6.6239999999999997</v>
      </c>
      <c r="DE104" s="27">
        <v>5.8639999999999999</v>
      </c>
      <c r="DF104" s="27">
        <v>6.431</v>
      </c>
      <c r="DG104" s="27">
        <f t="shared" si="70"/>
        <v>22.301000000000002</v>
      </c>
      <c r="DH104" s="27">
        <v>6.649</v>
      </c>
      <c r="DI104" s="27">
        <v>6.8250000000000002</v>
      </c>
      <c r="DJ104" s="27">
        <v>9.2219999999999995</v>
      </c>
      <c r="DK104" s="27">
        <v>11.545</v>
      </c>
      <c r="DL104" s="27">
        <f t="shared" si="71"/>
        <v>34.241</v>
      </c>
      <c r="DM104" s="27">
        <v>4.9009999999999998</v>
      </c>
      <c r="DN104" s="27">
        <v>-0.48899999999999999</v>
      </c>
      <c r="DO104" s="27">
        <v>7.6239999999999997</v>
      </c>
      <c r="DP104" s="27">
        <v>27.831</v>
      </c>
      <c r="DQ104" s="27">
        <f t="shared" si="72"/>
        <v>39.866999999999997</v>
      </c>
      <c r="DR104" s="27">
        <v>6.0170000000000003</v>
      </c>
      <c r="DS104" s="27">
        <v>11.182</v>
      </c>
      <c r="DT104" s="27">
        <v>6.2960000000000003</v>
      </c>
      <c r="DU104" s="27">
        <v>16.841000000000001</v>
      </c>
      <c r="DV104" s="27">
        <f t="shared" si="73"/>
        <v>40.335999999999999</v>
      </c>
      <c r="DW104" s="27">
        <v>4.2839999999999998</v>
      </c>
      <c r="DX104" s="27">
        <v>1.6640820000000001</v>
      </c>
      <c r="DY104" s="27">
        <v>6.4655436799999997</v>
      </c>
      <c r="DZ104" s="27">
        <v>4.6297064499999996</v>
      </c>
      <c r="EA104" s="27">
        <f t="shared" si="76"/>
        <v>17.04333213</v>
      </c>
      <c r="EB104" s="27">
        <v>3.7424895899999999</v>
      </c>
      <c r="EC104" s="27">
        <v>5.5087130400000008</v>
      </c>
      <c r="ED104" s="27">
        <v>6.6859999999999999</v>
      </c>
      <c r="EE104" s="27">
        <v>12.920371479999998</v>
      </c>
      <c r="EF104" s="27">
        <f t="shared" si="77"/>
        <v>28.857574110000002</v>
      </c>
      <c r="EG104" s="27">
        <v>5.6210192999999995</v>
      </c>
      <c r="EH104" s="27">
        <v>3.4477800800000011</v>
      </c>
      <c r="EI104" s="27">
        <v>4.8551716599999981</v>
      </c>
    </row>
    <row r="105" spans="1:139" ht="15" thickBot="1" x14ac:dyDescent="0.35">
      <c r="A105" s="2" t="s">
        <v>323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28">
        <v>0</v>
      </c>
      <c r="BK105" s="28">
        <v>0</v>
      </c>
      <c r="BL105" s="28">
        <v>0</v>
      </c>
      <c r="BM105" s="28">
        <v>0</v>
      </c>
      <c r="BN105" s="28">
        <f t="shared" si="61"/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f t="shared" si="62"/>
        <v>0</v>
      </c>
      <c r="BT105" s="28">
        <v>0</v>
      </c>
      <c r="BU105" s="28">
        <v>0</v>
      </c>
      <c r="BV105" s="28">
        <v>0</v>
      </c>
      <c r="BW105" s="28">
        <v>0</v>
      </c>
      <c r="BX105" s="28">
        <f t="shared" si="63"/>
        <v>0</v>
      </c>
      <c r="BY105" s="28">
        <v>0</v>
      </c>
      <c r="BZ105" s="28">
        <v>0</v>
      </c>
      <c r="CA105" s="28">
        <v>0</v>
      </c>
      <c r="CB105" s="28">
        <v>0</v>
      </c>
      <c r="CC105" s="28">
        <f t="shared" si="64"/>
        <v>0</v>
      </c>
      <c r="CD105" s="28">
        <v>0</v>
      </c>
      <c r="CE105" s="28">
        <v>0</v>
      </c>
      <c r="CF105" s="28">
        <v>0</v>
      </c>
      <c r="CG105" s="28">
        <v>0</v>
      </c>
      <c r="CH105" s="28">
        <f t="shared" si="65"/>
        <v>0</v>
      </c>
      <c r="CI105" s="28">
        <v>0</v>
      </c>
      <c r="CJ105" s="28">
        <v>0</v>
      </c>
      <c r="CK105" s="28">
        <v>0</v>
      </c>
      <c r="CL105" s="28">
        <v>0</v>
      </c>
      <c r="CM105" s="28">
        <f t="shared" si="66"/>
        <v>0</v>
      </c>
      <c r="CN105" s="28">
        <v>0</v>
      </c>
      <c r="CO105" s="28">
        <v>0</v>
      </c>
      <c r="CP105" s="28">
        <v>0</v>
      </c>
      <c r="CQ105" s="28">
        <v>0</v>
      </c>
      <c r="CR105" s="28">
        <f t="shared" si="67"/>
        <v>0</v>
      </c>
      <c r="CS105" s="28">
        <v>0</v>
      </c>
      <c r="CT105" s="28">
        <v>0</v>
      </c>
      <c r="CU105" s="28">
        <v>0</v>
      </c>
      <c r="CV105" s="28">
        <v>0</v>
      </c>
      <c r="CW105" s="28">
        <f t="shared" si="68"/>
        <v>0</v>
      </c>
      <c r="CX105" s="28">
        <v>0</v>
      </c>
      <c r="CY105" s="28">
        <v>0</v>
      </c>
      <c r="CZ105" s="28">
        <v>0</v>
      </c>
      <c r="DA105" s="28"/>
      <c r="DB105" s="28">
        <f t="shared" si="69"/>
        <v>0</v>
      </c>
      <c r="DC105" s="28">
        <v>0</v>
      </c>
      <c r="DD105" s="28">
        <v>0</v>
      </c>
      <c r="DE105" s="28">
        <v>0</v>
      </c>
      <c r="DF105" s="28">
        <v>0</v>
      </c>
      <c r="DG105" s="28">
        <f t="shared" si="70"/>
        <v>0</v>
      </c>
      <c r="DH105" s="28">
        <v>0</v>
      </c>
      <c r="DI105" s="28">
        <v>1.7999999999999999E-2</v>
      </c>
      <c r="DJ105" s="28">
        <v>0</v>
      </c>
      <c r="DK105" s="28">
        <v>0</v>
      </c>
      <c r="DL105" s="28">
        <f t="shared" si="71"/>
        <v>1.7999999999999999E-2</v>
      </c>
      <c r="DM105" s="28">
        <v>1.4E-2</v>
      </c>
      <c r="DN105" s="28">
        <v>3.0000000000000001E-3</v>
      </c>
      <c r="DO105" s="28">
        <v>1E-3</v>
      </c>
      <c r="DP105" s="28">
        <v>7.0000000000000001E-3</v>
      </c>
      <c r="DQ105" s="28">
        <f t="shared" si="72"/>
        <v>2.5000000000000001E-2</v>
      </c>
      <c r="DR105" s="28">
        <v>8.0000000000000002E-3</v>
      </c>
      <c r="DS105" s="28">
        <v>1E-3</v>
      </c>
      <c r="DT105" s="28">
        <v>3.0000000000000001E-3</v>
      </c>
      <c r="DU105" s="28">
        <v>0</v>
      </c>
      <c r="DV105" s="28">
        <f t="shared" si="73"/>
        <v>1.2E-2</v>
      </c>
      <c r="DW105" s="28">
        <v>0</v>
      </c>
      <c r="DX105" s="28">
        <v>2.2400000000000002E-3</v>
      </c>
      <c r="DY105" s="28">
        <v>0</v>
      </c>
      <c r="DZ105" s="28">
        <v>2.0999999999999999E-3</v>
      </c>
      <c r="EA105" s="28">
        <f t="shared" si="76"/>
        <v>4.3400000000000001E-3</v>
      </c>
      <c r="EB105" s="28">
        <v>1.0777999999999999E-2</v>
      </c>
      <c r="EC105" s="28">
        <v>0</v>
      </c>
      <c r="ED105" s="28">
        <v>0</v>
      </c>
      <c r="EE105" s="28">
        <v>1.14E-3</v>
      </c>
      <c r="EF105" s="28">
        <f t="shared" si="77"/>
        <v>1.1918E-2</v>
      </c>
      <c r="EG105" s="28">
        <v>1.0723999999999999E-2</v>
      </c>
      <c r="EH105" s="28">
        <v>8.9326300000000004E-3</v>
      </c>
      <c r="EI105" s="28">
        <v>0</v>
      </c>
    </row>
    <row r="106" spans="1:139" ht="15" thickTop="1" x14ac:dyDescent="0.3">
      <c r="A106" s="1" t="s">
        <v>322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27">
        <v>0</v>
      </c>
      <c r="BK106" s="27">
        <v>0</v>
      </c>
      <c r="BL106" s="27">
        <v>0</v>
      </c>
      <c r="BM106" s="27">
        <v>0</v>
      </c>
      <c r="BN106" s="27">
        <f t="shared" si="61"/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f t="shared" si="62"/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f t="shared" si="63"/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f t="shared" si="64"/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f t="shared" si="65"/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f t="shared" si="66"/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f t="shared" si="67"/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f t="shared" si="68"/>
        <v>0</v>
      </c>
      <c r="CX106" s="27">
        <v>0</v>
      </c>
      <c r="CY106" s="27">
        <v>0</v>
      </c>
      <c r="CZ106" s="27">
        <v>0</v>
      </c>
      <c r="DA106" s="27"/>
      <c r="DB106" s="27">
        <f t="shared" si="69"/>
        <v>0</v>
      </c>
      <c r="DC106" s="27">
        <v>0</v>
      </c>
      <c r="DD106" s="27">
        <v>0</v>
      </c>
      <c r="DE106" s="27">
        <v>0</v>
      </c>
      <c r="DF106" s="27">
        <v>0</v>
      </c>
      <c r="DG106" s="27">
        <f t="shared" si="70"/>
        <v>0</v>
      </c>
      <c r="DH106" s="27">
        <v>0</v>
      </c>
      <c r="DI106" s="27">
        <v>0</v>
      </c>
      <c r="DJ106" s="27">
        <v>0</v>
      </c>
      <c r="DK106" s="27">
        <v>0</v>
      </c>
      <c r="DL106" s="27">
        <f t="shared" si="71"/>
        <v>0</v>
      </c>
      <c r="DM106" s="27">
        <v>0</v>
      </c>
      <c r="DN106" s="27">
        <v>0</v>
      </c>
      <c r="DO106" s="27">
        <v>0.28199999999999997</v>
      </c>
      <c r="DP106" s="27">
        <v>0.44700000000000001</v>
      </c>
      <c r="DQ106" s="27">
        <f t="shared" si="72"/>
        <v>0.72899999999999998</v>
      </c>
      <c r="DR106" s="27">
        <v>0.30099999999999999</v>
      </c>
      <c r="DS106" s="27">
        <v>0.27600000000000002</v>
      </c>
      <c r="DT106" s="27">
        <v>0.16300000000000001</v>
      </c>
      <c r="DU106" s="27">
        <v>0.17699999999999999</v>
      </c>
      <c r="DV106" s="27">
        <f t="shared" si="73"/>
        <v>0.91700000000000004</v>
      </c>
      <c r="DW106" s="27">
        <v>0.21099999999999999</v>
      </c>
      <c r="DX106" s="27">
        <v>0.17581173999999999</v>
      </c>
      <c r="DY106" s="27">
        <v>0.18207128</v>
      </c>
      <c r="DZ106" s="27">
        <v>0.18123678000000004</v>
      </c>
      <c r="EA106" s="27">
        <f t="shared" si="76"/>
        <v>0.7501198</v>
      </c>
      <c r="EB106" s="27">
        <f>(211202.81+12152.04)/1000000</f>
        <v>0.22335484999999999</v>
      </c>
      <c r="EC106" s="27">
        <v>0.19467026000000004</v>
      </c>
      <c r="ED106" s="27">
        <v>0.19700000000000001</v>
      </c>
      <c r="EE106" s="27">
        <v>0.20718875999999997</v>
      </c>
      <c r="EF106" s="27">
        <f t="shared" si="77"/>
        <v>0.82221387000000001</v>
      </c>
      <c r="EG106" s="27">
        <v>0.21658326</v>
      </c>
      <c r="EH106" s="27">
        <v>0.18983132</v>
      </c>
      <c r="EI106" s="27">
        <v>-0.17548362000000001</v>
      </c>
    </row>
    <row r="107" spans="1:139" ht="15" thickBot="1" x14ac:dyDescent="0.35">
      <c r="A107" s="2" t="s">
        <v>370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28">
        <v>0.91217234000000003</v>
      </c>
      <c r="BK107" s="28">
        <v>0.73339990999999982</v>
      </c>
      <c r="BL107" s="28">
        <v>5.138400840000001</v>
      </c>
      <c r="BM107" s="28">
        <v>2.7179544299999998</v>
      </c>
      <c r="BN107" s="28">
        <f t="shared" si="61"/>
        <v>9.5019275200000006</v>
      </c>
      <c r="BO107" s="28">
        <v>2.04454483</v>
      </c>
      <c r="BP107" s="28">
        <v>4.1165256299999999</v>
      </c>
      <c r="BQ107" s="28">
        <v>7.0030438200000003</v>
      </c>
      <c r="BR107" s="28">
        <v>6.5405035400000031</v>
      </c>
      <c r="BS107" s="28">
        <f t="shared" si="62"/>
        <v>19.704617820000003</v>
      </c>
      <c r="BT107" s="28">
        <v>0</v>
      </c>
      <c r="BU107" s="28">
        <v>0</v>
      </c>
      <c r="BV107" s="28">
        <v>0</v>
      </c>
      <c r="BW107" s="28">
        <v>0</v>
      </c>
      <c r="BX107" s="28">
        <f t="shared" si="63"/>
        <v>0</v>
      </c>
      <c r="BY107" s="28">
        <v>0</v>
      </c>
      <c r="BZ107" s="28">
        <v>0</v>
      </c>
      <c r="CA107" s="28">
        <v>0</v>
      </c>
      <c r="CB107" s="28">
        <v>0</v>
      </c>
      <c r="CC107" s="28">
        <f t="shared" si="64"/>
        <v>0</v>
      </c>
      <c r="CD107" s="28">
        <v>0</v>
      </c>
      <c r="CE107" s="28">
        <v>0</v>
      </c>
      <c r="CF107" s="28">
        <v>0</v>
      </c>
      <c r="CG107" s="28">
        <v>0</v>
      </c>
      <c r="CH107" s="28">
        <f t="shared" si="65"/>
        <v>0</v>
      </c>
      <c r="CI107" s="28">
        <v>0</v>
      </c>
      <c r="CJ107" s="28">
        <v>0</v>
      </c>
      <c r="CK107" s="28">
        <v>0</v>
      </c>
      <c r="CL107" s="28">
        <v>0</v>
      </c>
      <c r="CM107" s="28">
        <f t="shared" si="66"/>
        <v>0</v>
      </c>
      <c r="CN107" s="28">
        <v>0</v>
      </c>
      <c r="CO107" s="28">
        <v>0</v>
      </c>
      <c r="CP107" s="28">
        <v>0</v>
      </c>
      <c r="CQ107" s="28">
        <v>0</v>
      </c>
      <c r="CR107" s="28">
        <f t="shared" si="67"/>
        <v>0</v>
      </c>
      <c r="CS107" s="28">
        <v>0</v>
      </c>
      <c r="CT107" s="28">
        <v>0</v>
      </c>
      <c r="CU107" s="28">
        <v>0</v>
      </c>
      <c r="CV107" s="28">
        <v>0</v>
      </c>
      <c r="CW107" s="28">
        <f t="shared" si="68"/>
        <v>0</v>
      </c>
      <c r="CX107" s="28">
        <v>0</v>
      </c>
      <c r="CY107" s="28">
        <v>0</v>
      </c>
      <c r="CZ107" s="28">
        <v>0</v>
      </c>
      <c r="DA107" s="28"/>
      <c r="DB107" s="28">
        <f t="shared" si="69"/>
        <v>0</v>
      </c>
      <c r="DC107" s="28">
        <v>0</v>
      </c>
      <c r="DD107" s="28">
        <v>0</v>
      </c>
      <c r="DE107" s="28">
        <v>0</v>
      </c>
      <c r="DF107" s="28">
        <v>0</v>
      </c>
      <c r="DG107" s="28">
        <f t="shared" si="70"/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f t="shared" si="71"/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f t="shared" si="72"/>
        <v>0</v>
      </c>
      <c r="DR107" s="28">
        <v>0</v>
      </c>
      <c r="DS107" s="28">
        <v>0</v>
      </c>
      <c r="DT107" s="28">
        <v>0</v>
      </c>
      <c r="DU107" s="28">
        <v>0</v>
      </c>
      <c r="DV107" s="28">
        <f t="shared" si="73"/>
        <v>0</v>
      </c>
      <c r="DW107" s="28">
        <v>0</v>
      </c>
      <c r="DX107" s="28">
        <v>0</v>
      </c>
      <c r="DY107" s="28">
        <v>0</v>
      </c>
      <c r="DZ107" s="28">
        <v>0</v>
      </c>
      <c r="EA107" s="28">
        <f t="shared" si="76"/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f t="shared" si="77"/>
        <v>0</v>
      </c>
      <c r="EG107" s="28">
        <v>0</v>
      </c>
      <c r="EH107" s="28">
        <v>0</v>
      </c>
      <c r="EI107" s="28">
        <v>0</v>
      </c>
    </row>
    <row r="108" spans="1:139" ht="15" thickTop="1" x14ac:dyDescent="0.3">
      <c r="A108" s="1" t="s">
        <v>338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27">
        <v>0.44162376000000003</v>
      </c>
      <c r="BK108" s="27">
        <v>0.41124676999999998</v>
      </c>
      <c r="BL108" s="27">
        <v>0.44801795999999994</v>
      </c>
      <c r="BM108" s="27">
        <v>0.50150133000000008</v>
      </c>
      <c r="BN108" s="27">
        <f t="shared" si="61"/>
        <v>1.8023898200000001</v>
      </c>
      <c r="BO108" s="27">
        <v>0.44709009</v>
      </c>
      <c r="BP108" s="27">
        <v>0.49468544999999997</v>
      </c>
      <c r="BQ108" s="27">
        <v>0.62579955000000009</v>
      </c>
      <c r="BR108" s="27">
        <v>0.62522530136400001</v>
      </c>
      <c r="BS108" s="27">
        <f t="shared" si="62"/>
        <v>2.192800391364</v>
      </c>
      <c r="BT108" s="27">
        <v>0</v>
      </c>
      <c r="BU108" s="27">
        <v>0</v>
      </c>
      <c r="BV108" s="27">
        <v>0</v>
      </c>
      <c r="BW108" s="27">
        <v>0</v>
      </c>
      <c r="BX108" s="27">
        <f t="shared" si="63"/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f t="shared" si="64"/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f t="shared" si="65"/>
        <v>0</v>
      </c>
      <c r="CI108" s="27">
        <v>0</v>
      </c>
      <c r="CJ108" s="27">
        <v>0</v>
      </c>
      <c r="CK108" s="27">
        <v>0</v>
      </c>
      <c r="CL108" s="27">
        <v>0</v>
      </c>
      <c r="CM108" s="27">
        <f t="shared" si="66"/>
        <v>0</v>
      </c>
      <c r="CN108" s="27">
        <v>0</v>
      </c>
      <c r="CO108" s="27">
        <v>0</v>
      </c>
      <c r="CP108" s="27">
        <v>0</v>
      </c>
      <c r="CQ108" s="27">
        <f>1.291</f>
        <v>1.2909999999999999</v>
      </c>
      <c r="CR108" s="27">
        <f t="shared" si="67"/>
        <v>1.2909999999999999</v>
      </c>
      <c r="CS108" s="27">
        <v>0.25800000000000001</v>
      </c>
      <c r="CT108" s="27">
        <f>0.577-CS108</f>
        <v>0.31899999999999995</v>
      </c>
      <c r="CU108" s="27">
        <f>0.912-SUM(CS108:CT108)</f>
        <v>0.33500000000000008</v>
      </c>
      <c r="CV108" s="27">
        <f>1.47-SUM(CS108:CU108)</f>
        <v>0.55799999999999994</v>
      </c>
      <c r="CW108" s="27">
        <f t="shared" si="68"/>
        <v>1.47</v>
      </c>
      <c r="CX108" s="27">
        <v>0.37</v>
      </c>
      <c r="CY108" s="27">
        <v>0.32800000000000001</v>
      </c>
      <c r="CZ108" s="27">
        <v>0.29799999999999999</v>
      </c>
      <c r="DA108" s="27">
        <f>0.36</f>
        <v>0.36</v>
      </c>
      <c r="DB108" s="27">
        <f t="shared" si="69"/>
        <v>1.3559999999999999</v>
      </c>
      <c r="DC108" s="27">
        <v>0.41399999999999998</v>
      </c>
      <c r="DD108" s="27">
        <v>0.42300000000000004</v>
      </c>
      <c r="DE108" s="27">
        <v>0.54300000000000004</v>
      </c>
      <c r="DF108" s="27">
        <v>0.62000000000000011</v>
      </c>
      <c r="DG108" s="27">
        <f t="shared" si="70"/>
        <v>2</v>
      </c>
      <c r="DH108" s="27">
        <v>0.55500000000000005</v>
      </c>
      <c r="DI108" s="27">
        <v>0.34899999999999998</v>
      </c>
      <c r="DJ108" s="27">
        <v>0.36899999999999999</v>
      </c>
      <c r="DK108" s="27">
        <v>0.44999999999999996</v>
      </c>
      <c r="DL108" s="27">
        <f t="shared" si="71"/>
        <v>1.7230000000000001</v>
      </c>
      <c r="DM108" s="27">
        <v>0.35</v>
      </c>
      <c r="DN108" s="27">
        <v>0.60699999999999998</v>
      </c>
      <c r="DO108" s="27">
        <v>0.378</v>
      </c>
      <c r="DP108" s="27">
        <v>0.42199999999999999</v>
      </c>
      <c r="DQ108" s="27">
        <f t="shared" si="72"/>
        <v>1.7569999999999999</v>
      </c>
      <c r="DR108" s="27">
        <v>0.46300000000000002</v>
      </c>
      <c r="DS108" s="27">
        <v>0.41499999999999998</v>
      </c>
      <c r="DT108" s="27">
        <v>0.378</v>
      </c>
      <c r="DU108" s="27">
        <v>0.46500000000000002</v>
      </c>
      <c r="DV108" s="27">
        <f t="shared" si="73"/>
        <v>1.7210000000000001</v>
      </c>
      <c r="DW108" s="27">
        <v>0.43</v>
      </c>
      <c r="DX108" s="27">
        <v>0.17416415000000002</v>
      </c>
      <c r="DY108" s="27">
        <v>0.51159147999999999</v>
      </c>
      <c r="DZ108" s="27">
        <v>0.44801536999999986</v>
      </c>
      <c r="EA108" s="27">
        <f t="shared" si="76"/>
        <v>1.5637709999999998</v>
      </c>
      <c r="EB108" s="27">
        <v>0.30311188</v>
      </c>
      <c r="EC108" s="27">
        <v>0.15436800000000001</v>
      </c>
      <c r="ED108" s="27">
        <v>0.151</v>
      </c>
      <c r="EE108" s="27">
        <v>7.6255000000000003E-2</v>
      </c>
      <c r="EF108" s="27">
        <f t="shared" si="77"/>
        <v>0.68473487999999993</v>
      </c>
      <c r="EG108" s="27">
        <v>3.930782E-2</v>
      </c>
      <c r="EH108" s="27">
        <v>5.9144230000000006E-2</v>
      </c>
      <c r="EI108" s="27">
        <v>0.13780203000000002</v>
      </c>
    </row>
    <row r="109" spans="1:139" ht="15" thickBot="1" x14ac:dyDescent="0.35">
      <c r="A109" s="2" t="s">
        <v>331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28">
        <v>2.65895707</v>
      </c>
      <c r="BK109" s="28">
        <v>2.8005388999999998</v>
      </c>
      <c r="BL109" s="28">
        <v>4.2965860200000012</v>
      </c>
      <c r="BM109" s="28">
        <v>3.1322647399999979</v>
      </c>
      <c r="BN109" s="28">
        <f t="shared" si="61"/>
        <v>12.88834673</v>
      </c>
      <c r="BO109" s="28">
        <v>2.6143959999999997</v>
      </c>
      <c r="BP109" s="28">
        <v>2.5590111700000011</v>
      </c>
      <c r="BQ109" s="28">
        <v>3.1492566999999982</v>
      </c>
      <c r="BR109" s="28">
        <v>6.2730119900000005</v>
      </c>
      <c r="BS109" s="28">
        <f t="shared" si="62"/>
        <v>14.59567586</v>
      </c>
      <c r="BT109" s="28">
        <v>5.8297536000000001</v>
      </c>
      <c r="BU109" s="28">
        <v>6.3636196999999992</v>
      </c>
      <c r="BV109" s="28">
        <v>7.773705050000002</v>
      </c>
      <c r="BW109" s="28">
        <v>3.9048545899999976</v>
      </c>
      <c r="BX109" s="28">
        <f t="shared" si="63"/>
        <v>23.871932940000001</v>
      </c>
      <c r="BY109" s="28">
        <v>7.6183745299999996</v>
      </c>
      <c r="BZ109" s="28">
        <v>11.740844379999999</v>
      </c>
      <c r="CA109" s="28">
        <v>11.749708040000002</v>
      </c>
      <c r="CB109" s="28">
        <v>14.124180979999995</v>
      </c>
      <c r="CC109" s="28">
        <f t="shared" si="64"/>
        <v>45.233107929999996</v>
      </c>
      <c r="CD109" s="28">
        <v>6.1799199600000003</v>
      </c>
      <c r="CE109" s="28">
        <v>6.5622831499999998</v>
      </c>
      <c r="CF109" s="28">
        <v>15.545593200000003</v>
      </c>
      <c r="CG109" s="28">
        <v>20.994187810000007</v>
      </c>
      <c r="CH109" s="28">
        <f t="shared" si="65"/>
        <v>49.281984120000011</v>
      </c>
      <c r="CI109" s="28">
        <v>6.13711012</v>
      </c>
      <c r="CJ109" s="28">
        <v>2.579666389999999</v>
      </c>
      <c r="CK109" s="28">
        <v>2.2573926599999998</v>
      </c>
      <c r="CL109" s="28">
        <v>3.9239418900000009</v>
      </c>
      <c r="CM109" s="28">
        <f t="shared" si="66"/>
        <v>14.898111060000002</v>
      </c>
      <c r="CN109" s="28">
        <v>2.1822830400000002</v>
      </c>
      <c r="CO109" s="28">
        <v>1.6781807899999999</v>
      </c>
      <c r="CP109" s="28">
        <v>1.5022565000000001</v>
      </c>
      <c r="CQ109" s="28">
        <f>7.47-SUM(CN109:CP109)</f>
        <v>2.1072796699999996</v>
      </c>
      <c r="CR109" s="28">
        <f t="shared" si="67"/>
        <v>7.47</v>
      </c>
      <c r="CS109" s="28">
        <v>1.5469094399999999</v>
      </c>
      <c r="CT109" s="28">
        <v>0.68469310999999999</v>
      </c>
      <c r="CU109" s="28">
        <v>0.9645324000000004</v>
      </c>
      <c r="CV109" s="28">
        <v>1.4521405599999992</v>
      </c>
      <c r="CW109" s="28">
        <f t="shared" si="68"/>
        <v>4.6482755099999995</v>
      </c>
      <c r="CX109" s="28">
        <v>2.9159999999999999</v>
      </c>
      <c r="CY109" s="28">
        <v>1.39</v>
      </c>
      <c r="CZ109" s="28">
        <v>0.42599999999999999</v>
      </c>
      <c r="DA109" s="28">
        <v>9.5850000000000009</v>
      </c>
      <c r="DB109" s="28">
        <f t="shared" si="69"/>
        <v>14.317</v>
      </c>
      <c r="DC109" s="28">
        <v>3.16</v>
      </c>
      <c r="DD109" s="28">
        <v>7.194</v>
      </c>
      <c r="DE109" s="28">
        <v>5.97</v>
      </c>
      <c r="DF109" s="28">
        <v>15.179</v>
      </c>
      <c r="DG109" s="28">
        <f t="shared" si="70"/>
        <v>31.503</v>
      </c>
      <c r="DH109" s="28">
        <v>5.8360000000000003</v>
      </c>
      <c r="DI109" s="28">
        <v>2.7869999999999999</v>
      </c>
      <c r="DJ109" s="28">
        <v>3.5449999999999999</v>
      </c>
      <c r="DK109" s="28">
        <v>2.278</v>
      </c>
      <c r="DL109" s="28">
        <f t="shared" si="71"/>
        <v>14.446000000000002</v>
      </c>
      <c r="DM109" s="28">
        <v>1.8069999999999999</v>
      </c>
      <c r="DN109" s="28">
        <v>1.18</v>
      </c>
      <c r="DO109" s="28">
        <v>0.48699999999999999</v>
      </c>
      <c r="DP109" s="28">
        <v>7.9320000000000004</v>
      </c>
      <c r="DQ109" s="28">
        <f t="shared" si="72"/>
        <v>11.406000000000001</v>
      </c>
      <c r="DR109" s="28">
        <v>1.512</v>
      </c>
      <c r="DS109" s="28">
        <v>1.1539999999999999</v>
      </c>
      <c r="DT109" s="28">
        <v>1.4750000000000001</v>
      </c>
      <c r="DU109" s="28">
        <v>2.9529999999999998</v>
      </c>
      <c r="DV109" s="28">
        <f t="shared" si="73"/>
        <v>7.0939999999999994</v>
      </c>
      <c r="DW109" s="28">
        <v>2.6840000000000002</v>
      </c>
      <c r="DX109" s="28">
        <v>1.2022727799999999</v>
      </c>
      <c r="DY109" s="28">
        <v>1.1413814700000002</v>
      </c>
      <c r="DZ109" s="28">
        <v>1.1131482299999995</v>
      </c>
      <c r="EA109" s="28">
        <f t="shared" si="76"/>
        <v>6.1408024799999996</v>
      </c>
      <c r="EB109" s="28">
        <v>1.43688982</v>
      </c>
      <c r="EC109" s="28">
        <v>1.3199724000000002</v>
      </c>
      <c r="ED109" s="28">
        <v>2.097</v>
      </c>
      <c r="EE109" s="28">
        <v>0.28119864000000061</v>
      </c>
      <c r="EF109" s="28">
        <f t="shared" si="77"/>
        <v>5.1350608600000003</v>
      </c>
      <c r="EG109" s="28">
        <v>2.0700397399999999</v>
      </c>
      <c r="EH109" s="28">
        <v>1.4671638200000001</v>
      </c>
      <c r="EI109" s="28">
        <v>1.9307654499999998</v>
      </c>
    </row>
    <row r="110" spans="1:139" ht="15" thickTop="1" x14ac:dyDescent="0.3">
      <c r="A110" s="1" t="s">
        <v>308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27">
        <v>-8.8230000000000004</v>
      </c>
      <c r="BK110" s="27">
        <v>-8.8230000000000004</v>
      </c>
      <c r="BL110" s="27">
        <v>0</v>
      </c>
      <c r="BM110" s="27">
        <v>-18.860279999999996</v>
      </c>
      <c r="BN110" s="27">
        <f t="shared" si="61"/>
        <v>-36.506279999999997</v>
      </c>
      <c r="BO110" s="27">
        <v>-10.34094</v>
      </c>
      <c r="BP110" s="27">
        <v>-9.6087440000000015</v>
      </c>
      <c r="BQ110" s="27">
        <v>-13.357897343999998</v>
      </c>
      <c r="BR110" s="27">
        <v>33.307581343999999</v>
      </c>
      <c r="BS110" s="27">
        <f t="shared" si="62"/>
        <v>0</v>
      </c>
      <c r="BT110" s="27">
        <v>-14.4</v>
      </c>
      <c r="BU110" s="27">
        <v>-7.7</v>
      </c>
      <c r="BV110" s="27">
        <v>-6.1</v>
      </c>
      <c r="BW110" s="27">
        <v>-12.5</v>
      </c>
      <c r="BX110" s="27">
        <f t="shared" si="63"/>
        <v>-40.700000000000003</v>
      </c>
      <c r="BY110" s="27">
        <v>-16.399999999999999</v>
      </c>
      <c r="BZ110" s="27">
        <v>-3.6</v>
      </c>
      <c r="CA110" s="27">
        <v>-20.399999999999999</v>
      </c>
      <c r="CB110" s="27">
        <v>0.6</v>
      </c>
      <c r="CC110" s="27">
        <f t="shared" si="64"/>
        <v>-39.799999999999997</v>
      </c>
      <c r="CD110" s="27">
        <v>-12.5</v>
      </c>
      <c r="CE110" s="27">
        <v>-26.8</v>
      </c>
      <c r="CF110" s="27">
        <v>-12.4</v>
      </c>
      <c r="CG110" s="27">
        <v>-18.7</v>
      </c>
      <c r="CH110" s="27">
        <f t="shared" si="65"/>
        <v>-70.399999999999991</v>
      </c>
      <c r="CI110" s="27">
        <v>-19.699935780000001</v>
      </c>
      <c r="CJ110" s="27">
        <v>-20.039172109999999</v>
      </c>
      <c r="CK110" s="27">
        <v>-21.523802020000002</v>
      </c>
      <c r="CL110" s="27">
        <v>-20.988170069999995</v>
      </c>
      <c r="CM110" s="27">
        <f t="shared" si="66"/>
        <v>-82.25107998</v>
      </c>
      <c r="CN110" s="27">
        <v>-26.270245749999997</v>
      </c>
      <c r="CO110" s="27">
        <v>-16.842684460000001</v>
      </c>
      <c r="CP110" s="27">
        <v>-17.916924470000001</v>
      </c>
      <c r="CQ110" s="27">
        <f>-70.492-SUM(CN110:CP110)</f>
        <v>-9.4621453200000047</v>
      </c>
      <c r="CR110" s="27">
        <f t="shared" si="67"/>
        <v>-70.492000000000004</v>
      </c>
      <c r="CS110" s="27">
        <v>-16.283999999999999</v>
      </c>
      <c r="CT110" s="27">
        <v>-16.269206579999999</v>
      </c>
      <c r="CU110" s="27">
        <v>-15.593947340000007</v>
      </c>
      <c r="CV110" s="27">
        <v>-15.260608649999995</v>
      </c>
      <c r="CW110" s="27">
        <f t="shared" si="68"/>
        <v>-63.407762569999996</v>
      </c>
      <c r="CX110" s="27">
        <v>-15.161</v>
      </c>
      <c r="CY110" s="27">
        <v>-15.161</v>
      </c>
      <c r="CZ110" s="27">
        <v>-14.72</v>
      </c>
      <c r="DA110" s="27">
        <v>-14.467000000000001</v>
      </c>
      <c r="DB110" s="27">
        <f t="shared" si="69"/>
        <v>-59.509</v>
      </c>
      <c r="DC110" s="27">
        <v>-13.404999999999999</v>
      </c>
      <c r="DD110" s="27">
        <v>-17.343</v>
      </c>
      <c r="DE110" s="27">
        <v>-16.079999999999998</v>
      </c>
      <c r="DF110" s="27">
        <v>-16.433</v>
      </c>
      <c r="DG110" s="27">
        <f t="shared" si="70"/>
        <v>-63.260999999999996</v>
      </c>
      <c r="DH110" s="27">
        <v>-21.7</v>
      </c>
      <c r="DI110" s="27">
        <v>-22.065999999999999</v>
      </c>
      <c r="DJ110" s="27">
        <v>-22.184999999999999</v>
      </c>
      <c r="DK110" s="27">
        <v>-22.423999999999999</v>
      </c>
      <c r="DL110" s="27">
        <f t="shared" si="71"/>
        <v>-88.375</v>
      </c>
      <c r="DM110" s="27">
        <v>-27.605</v>
      </c>
      <c r="DN110" s="27">
        <v>-28.469000000000001</v>
      </c>
      <c r="DO110" s="27">
        <f>-26.689-0.3</f>
        <v>-26.989000000000001</v>
      </c>
      <c r="DP110" s="27">
        <v>-28.462</v>
      </c>
      <c r="DQ110" s="27">
        <f t="shared" si="72"/>
        <v>-111.52500000000001</v>
      </c>
      <c r="DR110" s="27">
        <v>-30.253</v>
      </c>
      <c r="DS110" s="27">
        <v>-24.792999999999999</v>
      </c>
      <c r="DT110" s="27">
        <v>-30.253</v>
      </c>
      <c r="DU110" s="27">
        <v>-36.012</v>
      </c>
      <c r="DV110" s="27">
        <f t="shared" si="73"/>
        <v>-121.31100000000001</v>
      </c>
      <c r="DW110" s="27">
        <v>-38.53</v>
      </c>
      <c r="DX110" s="27">
        <v>-38.216715539999996</v>
      </c>
      <c r="DY110" s="27">
        <v>-36.549756770000009</v>
      </c>
      <c r="DZ110" s="27">
        <v>-47.103522479999988</v>
      </c>
      <c r="EA110" s="27">
        <f t="shared" si="76"/>
        <v>-160.39999478999999</v>
      </c>
      <c r="EB110" s="27">
        <v>-20.550162399999998</v>
      </c>
      <c r="EC110" s="27">
        <v>-23.433675520000005</v>
      </c>
      <c r="ED110" s="27">
        <v>-45.58</v>
      </c>
      <c r="EE110" s="27">
        <v>-62.374134549999994</v>
      </c>
      <c r="EF110" s="27">
        <f t="shared" si="77"/>
        <v>-151.93797246999998</v>
      </c>
      <c r="EG110" s="27">
        <v>-57.717811609999998</v>
      </c>
      <c r="EH110" s="27">
        <v>-54.135495519999999</v>
      </c>
      <c r="EI110" s="27">
        <v>-55.942488249999997</v>
      </c>
    </row>
    <row r="111" spans="1:139" x14ac:dyDescent="0.3">
      <c r="A111" s="5" t="s">
        <v>311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29">
        <f t="shared" ref="BJ111:CW111" si="78">SUM(BJ88:BJ110)</f>
        <v>8.5671893200000007</v>
      </c>
      <c r="BK111" s="29">
        <f t="shared" si="78"/>
        <v>9.43418329</v>
      </c>
      <c r="BL111" s="29">
        <f t="shared" si="78"/>
        <v>24.462100319999998</v>
      </c>
      <c r="BM111" s="29">
        <f t="shared" si="78"/>
        <v>3.2647167899999978</v>
      </c>
      <c r="BN111" s="29">
        <f t="shared" si="78"/>
        <v>45.728189719999996</v>
      </c>
      <c r="BO111" s="29">
        <f t="shared" si="78"/>
        <v>8.4672905800000002</v>
      </c>
      <c r="BP111" s="29">
        <f t="shared" si="78"/>
        <v>12.324238849999997</v>
      </c>
      <c r="BQ111" s="29">
        <f t="shared" si="78"/>
        <v>11.601832015999992</v>
      </c>
      <c r="BR111" s="29">
        <f t="shared" si="78"/>
        <v>62.546934505364007</v>
      </c>
      <c r="BS111" s="29">
        <f t="shared" si="78"/>
        <v>94.940295951364007</v>
      </c>
      <c r="BT111" s="29">
        <f t="shared" si="78"/>
        <v>3.1414959400000004</v>
      </c>
      <c r="BU111" s="29">
        <f t="shared" si="78"/>
        <v>20.350702389999999</v>
      </c>
      <c r="BV111" s="29">
        <f t="shared" si="78"/>
        <v>21.500454520000005</v>
      </c>
      <c r="BW111" s="29">
        <f t="shared" si="78"/>
        <v>52.821330294999996</v>
      </c>
      <c r="BX111" s="29">
        <f t="shared" si="78"/>
        <v>97.813983144999995</v>
      </c>
      <c r="BY111" s="29">
        <f t="shared" si="78"/>
        <v>31.467573850000001</v>
      </c>
      <c r="BZ111" s="29">
        <f t="shared" si="78"/>
        <v>47.788292879999993</v>
      </c>
      <c r="CA111" s="29">
        <f t="shared" si="78"/>
        <v>47.028945409999999</v>
      </c>
      <c r="CB111" s="29">
        <f t="shared" si="78"/>
        <v>66.457029729999988</v>
      </c>
      <c r="CC111" s="29">
        <f t="shared" si="78"/>
        <v>192.74184186999997</v>
      </c>
      <c r="CD111" s="29">
        <f t="shared" si="78"/>
        <v>38.31558313</v>
      </c>
      <c r="CE111" s="29">
        <f t="shared" si="78"/>
        <v>34.317490550000002</v>
      </c>
      <c r="CF111" s="29">
        <f t="shared" si="78"/>
        <v>58.883833760000009</v>
      </c>
      <c r="CG111" s="29">
        <f t="shared" si="78"/>
        <v>49.31670256000001</v>
      </c>
      <c r="CH111" s="29">
        <f t="shared" si="78"/>
        <v>180.83361000000002</v>
      </c>
      <c r="CI111" s="29">
        <f t="shared" si="78"/>
        <v>39.053459099999998</v>
      </c>
      <c r="CJ111" s="29">
        <f t="shared" si="78"/>
        <v>26.998169870000002</v>
      </c>
      <c r="CK111" s="29">
        <f t="shared" si="78"/>
        <v>32.40550859999999</v>
      </c>
      <c r="CL111" s="29">
        <f t="shared" si="78"/>
        <v>35.573093670000006</v>
      </c>
      <c r="CM111" s="29">
        <f t="shared" si="78"/>
        <v>134.03023123999998</v>
      </c>
      <c r="CN111" s="29">
        <f t="shared" si="78"/>
        <v>32.156225699999993</v>
      </c>
      <c r="CO111" s="29">
        <f t="shared" si="78"/>
        <v>38.924826999999993</v>
      </c>
      <c r="CP111" s="29">
        <f t="shared" si="78"/>
        <v>41.321911</v>
      </c>
      <c r="CQ111" s="29">
        <f t="shared" si="78"/>
        <v>-65.614963700000004</v>
      </c>
      <c r="CR111" s="29">
        <f t="shared" si="78"/>
        <v>46.787999999999997</v>
      </c>
      <c r="CS111" s="29">
        <f t="shared" si="78"/>
        <v>15.603078829999998</v>
      </c>
      <c r="CT111" s="29">
        <f t="shared" si="78"/>
        <v>11.492813570000003</v>
      </c>
      <c r="CU111" s="29">
        <f t="shared" si="78"/>
        <v>16.126845219999996</v>
      </c>
      <c r="CV111" s="29">
        <f t="shared" si="78"/>
        <v>17.475428289999996</v>
      </c>
      <c r="CW111" s="29">
        <f t="shared" si="78"/>
        <v>60.698165910000007</v>
      </c>
      <c r="CX111" s="29">
        <f>SUM(CX88:CX110)</f>
        <v>13.544000000000002</v>
      </c>
      <c r="CY111" s="29">
        <f>SUM(CY88:CY110)</f>
        <v>9.3070000000000004</v>
      </c>
      <c r="CZ111" s="29">
        <f>SUM(CZ88:CZ110)</f>
        <v>7.5329999999999924</v>
      </c>
      <c r="DA111" s="29">
        <f t="shared" ref="DA111:DT111" si="79">SUM(DA88:DA110)</f>
        <v>28.368000000000002</v>
      </c>
      <c r="DB111" s="29">
        <f t="shared" si="79"/>
        <v>58.751999999999995</v>
      </c>
      <c r="DC111" s="29">
        <f t="shared" si="79"/>
        <v>14.512000000000002</v>
      </c>
      <c r="DD111" s="29">
        <f t="shared" si="79"/>
        <v>21.033000000000005</v>
      </c>
      <c r="DE111" s="29">
        <f t="shared" si="79"/>
        <v>19.47</v>
      </c>
      <c r="DF111" s="29">
        <f t="shared" si="79"/>
        <v>32.980999999999995</v>
      </c>
      <c r="DG111" s="29">
        <f t="shared" si="79"/>
        <v>87.996000000000009</v>
      </c>
      <c r="DH111" s="29">
        <f t="shared" si="79"/>
        <v>23.308999999999994</v>
      </c>
      <c r="DI111" s="29">
        <f t="shared" si="79"/>
        <v>19.060999999999996</v>
      </c>
      <c r="DJ111" s="29">
        <f t="shared" si="79"/>
        <v>22.585000000000012</v>
      </c>
      <c r="DK111" s="29">
        <f t="shared" si="79"/>
        <v>27.521000000000001</v>
      </c>
      <c r="DL111" s="29">
        <f t="shared" si="79"/>
        <v>92.475999999999999</v>
      </c>
      <c r="DM111" s="29">
        <f t="shared" si="79"/>
        <v>18.387999999999995</v>
      </c>
      <c r="DN111" s="29">
        <f t="shared" si="79"/>
        <v>13.517999999999994</v>
      </c>
      <c r="DO111" s="29">
        <f t="shared" si="79"/>
        <v>22.212</v>
      </c>
      <c r="DP111" s="29">
        <f t="shared" si="79"/>
        <v>50.444999999999993</v>
      </c>
      <c r="DQ111" s="29">
        <f t="shared" si="79"/>
        <v>104.56300000000002</v>
      </c>
      <c r="DR111" s="29">
        <f t="shared" si="79"/>
        <v>19.088000000000008</v>
      </c>
      <c r="DS111" s="29">
        <f t="shared" si="79"/>
        <v>24.082000000000001</v>
      </c>
      <c r="DT111" s="29">
        <f t="shared" si="79"/>
        <v>22.001999999999995</v>
      </c>
      <c r="DU111" s="29">
        <f t="shared" ref="DU111:EA111" si="80">SUM(DU88:DU110)</f>
        <v>45.046000000000006</v>
      </c>
      <c r="DV111" s="29">
        <f t="shared" si="80"/>
        <v>110.21800000000002</v>
      </c>
      <c r="DW111" s="29">
        <f t="shared" si="80"/>
        <v>21.124999999999993</v>
      </c>
      <c r="DX111" s="29">
        <f t="shared" si="80"/>
        <v>18.902036780000003</v>
      </c>
      <c r="DY111" s="29">
        <f t="shared" si="80"/>
        <v>24.069735879999996</v>
      </c>
      <c r="DZ111" s="29">
        <f t="shared" si="80"/>
        <v>28.319632890000001</v>
      </c>
      <c r="EA111" s="29">
        <f t="shared" si="80"/>
        <v>92.416405550000007</v>
      </c>
      <c r="EB111" s="29">
        <f>SUM(EB88:EB110)</f>
        <v>25.646730089999991</v>
      </c>
      <c r="EC111" s="29">
        <f>SUM(EC88:EC110)</f>
        <v>25.953827329999992</v>
      </c>
      <c r="ED111" s="29">
        <f>SUM(ED88:ED110)</f>
        <v>26.167999999999992</v>
      </c>
      <c r="EE111" s="29">
        <f>SUM(EE88:EE110)</f>
        <v>36.735034670000005</v>
      </c>
      <c r="EF111" s="29">
        <f t="shared" ref="EF111" si="81">SUM(EF88:EF110)</f>
        <v>114.50359208999998</v>
      </c>
      <c r="EG111" s="29">
        <f>SUM(EG88:EG110)</f>
        <v>28.103452649999994</v>
      </c>
      <c r="EH111" s="29">
        <f>SUM(EH88:EH110)</f>
        <v>27.180826190000012</v>
      </c>
      <c r="EI111" s="29">
        <f>SUM(EI88:EI110)</f>
        <v>22.424289639999984</v>
      </c>
    </row>
    <row r="112" spans="1:139" x14ac:dyDescent="0.3">
      <c r="BY112" s="33"/>
      <c r="CD112" s="33"/>
      <c r="CH112" s="33"/>
      <c r="CR112" s="42"/>
      <c r="CS112" s="4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</row>
    <row r="113" spans="1:139" x14ac:dyDescent="0.3"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</row>
    <row r="114" spans="1:139" x14ac:dyDescent="0.3">
      <c r="A114" s="3" t="s">
        <v>324</v>
      </c>
      <c r="B114" s="6" t="s">
        <v>4</v>
      </c>
      <c r="C114" s="6" t="s">
        <v>5</v>
      </c>
      <c r="D114" s="6" t="s">
        <v>6</v>
      </c>
      <c r="E114" s="6" t="s">
        <v>7</v>
      </c>
      <c r="F114" s="6">
        <v>2018</v>
      </c>
      <c r="G114" s="6" t="s">
        <v>8</v>
      </c>
      <c r="H114" s="6" t="s">
        <v>9</v>
      </c>
      <c r="I114" s="6" t="s">
        <v>10</v>
      </c>
      <c r="J114" s="6" t="s">
        <v>11</v>
      </c>
      <c r="K114" s="6">
        <v>2019</v>
      </c>
      <c r="L114" s="6" t="s">
        <v>12</v>
      </c>
      <c r="M114" s="6" t="s">
        <v>13</v>
      </c>
      <c r="N114" s="6" t="s">
        <v>14</v>
      </c>
      <c r="O114" s="6" t="s">
        <v>15</v>
      </c>
      <c r="P114" s="6">
        <v>2000</v>
      </c>
      <c r="Q114" s="6" t="s">
        <v>16</v>
      </c>
      <c r="R114" s="6" t="s">
        <v>17</v>
      </c>
      <c r="S114" s="6" t="s">
        <v>18</v>
      </c>
      <c r="T114" s="6" t="s">
        <v>19</v>
      </c>
      <c r="U114" s="6">
        <v>2001</v>
      </c>
      <c r="V114" s="6" t="s">
        <v>20</v>
      </c>
      <c r="W114" s="6" t="s">
        <v>21</v>
      </c>
      <c r="X114" s="6" t="s">
        <v>22</v>
      </c>
      <c r="Y114" s="6" t="s">
        <v>23</v>
      </c>
      <c r="Z114" s="6">
        <v>2002</v>
      </c>
      <c r="AA114" s="6" t="s">
        <v>24</v>
      </c>
      <c r="AB114" s="6" t="s">
        <v>25</v>
      </c>
      <c r="AC114" s="6" t="s">
        <v>26</v>
      </c>
      <c r="AD114" s="6" t="s">
        <v>27</v>
      </c>
      <c r="AE114" s="6">
        <v>2003</v>
      </c>
      <c r="AF114" s="6" t="s">
        <v>28</v>
      </c>
      <c r="AG114" s="6" t="s">
        <v>29</v>
      </c>
      <c r="AH114" s="6" t="s">
        <v>30</v>
      </c>
      <c r="AI114" s="6" t="s">
        <v>31</v>
      </c>
      <c r="AJ114" s="6">
        <v>2004</v>
      </c>
      <c r="AK114" s="6" t="s">
        <v>32</v>
      </c>
      <c r="AL114" s="6" t="s">
        <v>33</v>
      </c>
      <c r="AM114" s="6" t="s">
        <v>34</v>
      </c>
      <c r="AN114" s="6" t="s">
        <v>35</v>
      </c>
      <c r="AO114" s="6">
        <v>2005</v>
      </c>
      <c r="AP114" s="6" t="s">
        <v>36</v>
      </c>
      <c r="AQ114" s="6" t="s">
        <v>37</v>
      </c>
      <c r="AR114" s="6" t="s">
        <v>38</v>
      </c>
      <c r="AS114" s="6" t="s">
        <v>39</v>
      </c>
      <c r="AT114" s="6">
        <v>2006</v>
      </c>
      <c r="AU114" s="6" t="s">
        <v>40</v>
      </c>
      <c r="AV114" s="6" t="s">
        <v>41</v>
      </c>
      <c r="AW114" s="6" t="s">
        <v>42</v>
      </c>
      <c r="AX114" s="6" t="s">
        <v>43</v>
      </c>
      <c r="AY114" s="6">
        <v>2007</v>
      </c>
      <c r="AZ114" s="6" t="s">
        <v>44</v>
      </c>
      <c r="BA114" s="6" t="s">
        <v>45</v>
      </c>
      <c r="BB114" s="6" t="s">
        <v>46</v>
      </c>
      <c r="BC114" s="6" t="s">
        <v>47</v>
      </c>
      <c r="BD114" s="6">
        <v>2008</v>
      </c>
      <c r="BE114" s="6" t="s">
        <v>48</v>
      </c>
      <c r="BF114" s="6" t="s">
        <v>49</v>
      </c>
      <c r="BG114" s="6" t="s">
        <v>50</v>
      </c>
      <c r="BH114" s="6" t="s">
        <v>51</v>
      </c>
      <c r="BI114" s="6">
        <v>2009</v>
      </c>
      <c r="BJ114" s="6" t="s">
        <v>52</v>
      </c>
      <c r="BK114" s="6" t="s">
        <v>53</v>
      </c>
      <c r="BL114" s="6" t="s">
        <v>54</v>
      </c>
      <c r="BM114" s="6" t="s">
        <v>55</v>
      </c>
      <c r="BN114" s="6">
        <v>2010</v>
      </c>
      <c r="BO114" s="6" t="s">
        <v>56</v>
      </c>
      <c r="BP114" s="6" t="s">
        <v>57</v>
      </c>
      <c r="BQ114" s="6" t="s">
        <v>58</v>
      </c>
      <c r="BR114" s="6" t="s">
        <v>59</v>
      </c>
      <c r="BS114" s="6">
        <v>2011</v>
      </c>
      <c r="BT114" s="6" t="s">
        <v>60</v>
      </c>
      <c r="BU114" s="6" t="s">
        <v>61</v>
      </c>
      <c r="BV114" s="6" t="s">
        <v>62</v>
      </c>
      <c r="BW114" s="6" t="s">
        <v>63</v>
      </c>
      <c r="BX114" s="6">
        <v>2012</v>
      </c>
      <c r="BY114" s="6" t="s">
        <v>64</v>
      </c>
      <c r="BZ114" s="6" t="s">
        <v>65</v>
      </c>
      <c r="CA114" s="6" t="s">
        <v>66</v>
      </c>
      <c r="CB114" s="6" t="s">
        <v>67</v>
      </c>
      <c r="CC114" s="6">
        <v>2013</v>
      </c>
      <c r="CD114" s="6" t="s">
        <v>68</v>
      </c>
      <c r="CE114" s="6" t="s">
        <v>69</v>
      </c>
      <c r="CF114" s="6" t="s">
        <v>70</v>
      </c>
      <c r="CG114" s="6" t="s">
        <v>71</v>
      </c>
      <c r="CH114" s="6">
        <v>2014</v>
      </c>
      <c r="CI114" s="6" t="s">
        <v>72</v>
      </c>
      <c r="CJ114" s="6" t="s">
        <v>73</v>
      </c>
      <c r="CK114" s="6" t="s">
        <v>74</v>
      </c>
      <c r="CL114" s="6" t="s">
        <v>75</v>
      </c>
      <c r="CM114" s="6">
        <v>2015</v>
      </c>
      <c r="CN114" s="6" t="s">
        <v>76</v>
      </c>
      <c r="CO114" s="6" t="s">
        <v>77</v>
      </c>
      <c r="CP114" s="6" t="s">
        <v>78</v>
      </c>
      <c r="CQ114" s="6" t="s">
        <v>79</v>
      </c>
      <c r="CR114" s="6">
        <v>2016</v>
      </c>
      <c r="CS114" s="6" t="s">
        <v>80</v>
      </c>
      <c r="CT114" s="6" t="s">
        <v>81</v>
      </c>
      <c r="CU114" s="6" t="s">
        <v>82</v>
      </c>
      <c r="CV114" s="6" t="s">
        <v>83</v>
      </c>
      <c r="CW114" s="6">
        <v>2017</v>
      </c>
      <c r="CX114" s="6" t="s">
        <v>84</v>
      </c>
      <c r="CY114" s="6" t="s">
        <v>85</v>
      </c>
      <c r="CZ114" s="6" t="s">
        <v>86</v>
      </c>
      <c r="DA114" s="6" t="s">
        <v>87</v>
      </c>
      <c r="DB114" s="6">
        <v>2018</v>
      </c>
      <c r="DC114" s="6" t="s">
        <v>88</v>
      </c>
      <c r="DD114" s="6" t="s">
        <v>89</v>
      </c>
      <c r="DE114" s="6" t="s">
        <v>90</v>
      </c>
      <c r="DF114" s="6" t="s">
        <v>91</v>
      </c>
      <c r="DG114" s="6">
        <v>2019</v>
      </c>
      <c r="DH114" s="6" t="s">
        <v>92</v>
      </c>
      <c r="DI114" s="6" t="s">
        <v>93</v>
      </c>
      <c r="DJ114" s="6" t="s">
        <v>94</v>
      </c>
      <c r="DK114" s="6" t="s">
        <v>95</v>
      </c>
      <c r="DL114" s="6">
        <v>2020</v>
      </c>
      <c r="DM114" s="6" t="s">
        <v>96</v>
      </c>
      <c r="DN114" s="6" t="s">
        <v>97</v>
      </c>
      <c r="DO114" s="6" t="s">
        <v>98</v>
      </c>
      <c r="DP114" s="6" t="s">
        <v>99</v>
      </c>
      <c r="DQ114" s="6">
        <v>2021</v>
      </c>
      <c r="DR114" s="6" t="s">
        <v>100</v>
      </c>
      <c r="DS114" s="6" t="s">
        <v>101</v>
      </c>
      <c r="DT114" s="6" t="s">
        <v>200</v>
      </c>
      <c r="DU114" s="6" t="s">
        <v>380</v>
      </c>
      <c r="DV114" s="6">
        <v>2022</v>
      </c>
      <c r="DW114" s="6" t="s">
        <v>379</v>
      </c>
      <c r="DX114" s="6" t="s">
        <v>402</v>
      </c>
      <c r="DY114" s="6" t="s">
        <v>414</v>
      </c>
      <c r="DZ114" s="6" t="s">
        <v>419</v>
      </c>
      <c r="EA114" s="6">
        <v>2023</v>
      </c>
      <c r="EB114" s="6" t="s">
        <v>424</v>
      </c>
      <c r="EC114" s="6" t="s">
        <v>429</v>
      </c>
      <c r="ED114" s="6" t="str">
        <f>$ED$1</f>
        <v>3T24</v>
      </c>
      <c r="EE114" s="6" t="str">
        <f>$EE$1</f>
        <v>4T24</v>
      </c>
      <c r="EF114" s="6">
        <f>$EF$1</f>
        <v>2024</v>
      </c>
      <c r="EG114" s="6" t="str">
        <f>EG$1</f>
        <v>1T25</v>
      </c>
      <c r="EH114" s="6" t="str">
        <f>EH$1</f>
        <v>2T25</v>
      </c>
      <c r="EI114" s="6" t="str">
        <f>EI$1</f>
        <v>3T25</v>
      </c>
    </row>
    <row r="115" spans="1:139" ht="15" thickBot="1" x14ac:dyDescent="0.35">
      <c r="A115" s="4" t="s">
        <v>325</v>
      </c>
      <c r="B115" s="7" t="s">
        <v>102</v>
      </c>
      <c r="C115" s="7" t="s">
        <v>103</v>
      </c>
      <c r="D115" s="7" t="s">
        <v>104</v>
      </c>
      <c r="E115" s="7" t="s">
        <v>105</v>
      </c>
      <c r="F115" s="7">
        <v>2018</v>
      </c>
      <c r="G115" s="7" t="s">
        <v>106</v>
      </c>
      <c r="H115" s="7" t="s">
        <v>107</v>
      </c>
      <c r="I115" s="7" t="s">
        <v>108</v>
      </c>
      <c r="J115" s="7" t="s">
        <v>109</v>
      </c>
      <c r="K115" s="7">
        <v>2019</v>
      </c>
      <c r="L115" s="7" t="s">
        <v>110</v>
      </c>
      <c r="M115" s="7" t="s">
        <v>111</v>
      </c>
      <c r="N115" s="7" t="s">
        <v>112</v>
      </c>
      <c r="O115" s="7" t="s">
        <v>113</v>
      </c>
      <c r="P115" s="7">
        <v>2000</v>
      </c>
      <c r="Q115" s="7" t="s">
        <v>114</v>
      </c>
      <c r="R115" s="7" t="s">
        <v>115</v>
      </c>
      <c r="S115" s="7" t="s">
        <v>116</v>
      </c>
      <c r="T115" s="7" t="s">
        <v>117</v>
      </c>
      <c r="U115" s="7">
        <v>2001</v>
      </c>
      <c r="V115" s="7" t="s">
        <v>118</v>
      </c>
      <c r="W115" s="7" t="s">
        <v>119</v>
      </c>
      <c r="X115" s="7" t="s">
        <v>120</v>
      </c>
      <c r="Y115" s="7" t="s">
        <v>121</v>
      </c>
      <c r="Z115" s="7">
        <v>2002</v>
      </c>
      <c r="AA115" s="7" t="s">
        <v>122</v>
      </c>
      <c r="AB115" s="7" t="s">
        <v>123</v>
      </c>
      <c r="AC115" s="7" t="s">
        <v>124</v>
      </c>
      <c r="AD115" s="7" t="s">
        <v>125</v>
      </c>
      <c r="AE115" s="7">
        <v>2003</v>
      </c>
      <c r="AF115" s="7" t="s">
        <v>126</v>
      </c>
      <c r="AG115" s="7" t="s">
        <v>127</v>
      </c>
      <c r="AH115" s="7" t="s">
        <v>128</v>
      </c>
      <c r="AI115" s="7" t="s">
        <v>129</v>
      </c>
      <c r="AJ115" s="7">
        <v>2004</v>
      </c>
      <c r="AK115" s="7" t="s">
        <v>130</v>
      </c>
      <c r="AL115" s="7" t="s">
        <v>131</v>
      </c>
      <c r="AM115" s="7" t="s">
        <v>132</v>
      </c>
      <c r="AN115" s="7" t="s">
        <v>133</v>
      </c>
      <c r="AO115" s="7">
        <v>2005</v>
      </c>
      <c r="AP115" s="7" t="s">
        <v>134</v>
      </c>
      <c r="AQ115" s="7" t="s">
        <v>135</v>
      </c>
      <c r="AR115" s="7" t="s">
        <v>136</v>
      </c>
      <c r="AS115" s="7" t="s">
        <v>137</v>
      </c>
      <c r="AT115" s="7">
        <v>2006</v>
      </c>
      <c r="AU115" s="7" t="s">
        <v>138</v>
      </c>
      <c r="AV115" s="7" t="s">
        <v>139</v>
      </c>
      <c r="AW115" s="7" t="s">
        <v>140</v>
      </c>
      <c r="AX115" s="7" t="s">
        <v>141</v>
      </c>
      <c r="AY115" s="7">
        <v>2007</v>
      </c>
      <c r="AZ115" s="7" t="s">
        <v>142</v>
      </c>
      <c r="BA115" s="7" t="s">
        <v>143</v>
      </c>
      <c r="BB115" s="7" t="s">
        <v>144</v>
      </c>
      <c r="BC115" s="7" t="s">
        <v>145</v>
      </c>
      <c r="BD115" s="7">
        <v>2008</v>
      </c>
      <c r="BE115" s="7" t="s">
        <v>146</v>
      </c>
      <c r="BF115" s="7" t="s">
        <v>147</v>
      </c>
      <c r="BG115" s="7" t="s">
        <v>148</v>
      </c>
      <c r="BH115" s="7" t="s">
        <v>149</v>
      </c>
      <c r="BI115" s="7">
        <v>2009</v>
      </c>
      <c r="BJ115" s="7" t="s">
        <v>150</v>
      </c>
      <c r="BK115" s="7" t="s">
        <v>151</v>
      </c>
      <c r="BL115" s="7" t="s">
        <v>152</v>
      </c>
      <c r="BM115" s="7" t="s">
        <v>153</v>
      </c>
      <c r="BN115" s="7">
        <v>2010</v>
      </c>
      <c r="BO115" s="7" t="s">
        <v>154</v>
      </c>
      <c r="BP115" s="7" t="s">
        <v>155</v>
      </c>
      <c r="BQ115" s="7" t="s">
        <v>156</v>
      </c>
      <c r="BR115" s="7" t="s">
        <v>157</v>
      </c>
      <c r="BS115" s="7">
        <v>2011</v>
      </c>
      <c r="BT115" s="7" t="s">
        <v>158</v>
      </c>
      <c r="BU115" s="7" t="s">
        <v>159</v>
      </c>
      <c r="BV115" s="7" t="s">
        <v>160</v>
      </c>
      <c r="BW115" s="7" t="s">
        <v>161</v>
      </c>
      <c r="BX115" s="7">
        <v>2012</v>
      </c>
      <c r="BY115" s="7" t="s">
        <v>162</v>
      </c>
      <c r="BZ115" s="7" t="s">
        <v>163</v>
      </c>
      <c r="CA115" s="7" t="s">
        <v>164</v>
      </c>
      <c r="CB115" s="7" t="s">
        <v>165</v>
      </c>
      <c r="CC115" s="7">
        <v>2013</v>
      </c>
      <c r="CD115" s="7" t="s">
        <v>166</v>
      </c>
      <c r="CE115" s="7" t="s">
        <v>167</v>
      </c>
      <c r="CF115" s="7" t="s">
        <v>168</v>
      </c>
      <c r="CG115" s="7" t="s">
        <v>169</v>
      </c>
      <c r="CH115" s="7">
        <v>2014</v>
      </c>
      <c r="CI115" s="7" t="s">
        <v>170</v>
      </c>
      <c r="CJ115" s="7" t="s">
        <v>171</v>
      </c>
      <c r="CK115" s="7" t="s">
        <v>172</v>
      </c>
      <c r="CL115" s="7" t="s">
        <v>173</v>
      </c>
      <c r="CM115" s="7">
        <v>2015</v>
      </c>
      <c r="CN115" s="7" t="s">
        <v>174</v>
      </c>
      <c r="CO115" s="7" t="s">
        <v>175</v>
      </c>
      <c r="CP115" s="7" t="s">
        <v>176</v>
      </c>
      <c r="CQ115" s="7" t="s">
        <v>177</v>
      </c>
      <c r="CR115" s="7">
        <v>2016</v>
      </c>
      <c r="CS115" s="7" t="s">
        <v>178</v>
      </c>
      <c r="CT115" s="7" t="s">
        <v>179</v>
      </c>
      <c r="CU115" s="7" t="s">
        <v>180</v>
      </c>
      <c r="CV115" s="7" t="s">
        <v>181</v>
      </c>
      <c r="CW115" s="7">
        <v>2017</v>
      </c>
      <c r="CX115" s="7" t="s">
        <v>182</v>
      </c>
      <c r="CY115" s="7" t="s">
        <v>183</v>
      </c>
      <c r="CZ115" s="7" t="s">
        <v>184</v>
      </c>
      <c r="DA115" s="7" t="s">
        <v>185</v>
      </c>
      <c r="DB115" s="7">
        <v>2018</v>
      </c>
      <c r="DC115" s="7" t="s">
        <v>186</v>
      </c>
      <c r="DD115" s="7" t="s">
        <v>187</v>
      </c>
      <c r="DE115" s="7" t="s">
        <v>188</v>
      </c>
      <c r="DF115" s="7" t="s">
        <v>189</v>
      </c>
      <c r="DG115" s="7">
        <v>2019</v>
      </c>
      <c r="DH115" s="7" t="s">
        <v>190</v>
      </c>
      <c r="DI115" s="7" t="s">
        <v>191</v>
      </c>
      <c r="DJ115" s="7" t="s">
        <v>192</v>
      </c>
      <c r="DK115" s="7" t="s">
        <v>193</v>
      </c>
      <c r="DL115" s="7">
        <v>2020</v>
      </c>
      <c r="DM115" s="7" t="s">
        <v>194</v>
      </c>
      <c r="DN115" s="7" t="s">
        <v>195</v>
      </c>
      <c r="DO115" s="7" t="s">
        <v>196</v>
      </c>
      <c r="DP115" s="7" t="s">
        <v>197</v>
      </c>
      <c r="DQ115" s="7">
        <v>2021</v>
      </c>
      <c r="DR115" s="7" t="s">
        <v>198</v>
      </c>
      <c r="DS115" s="7" t="s">
        <v>199</v>
      </c>
      <c r="DT115" s="7" t="s">
        <v>201</v>
      </c>
      <c r="DU115" s="7" t="s">
        <v>381</v>
      </c>
      <c r="DV115" s="7">
        <v>2022</v>
      </c>
      <c r="DW115" s="7" t="s">
        <v>382</v>
      </c>
      <c r="DX115" s="7" t="s">
        <v>403</v>
      </c>
      <c r="DY115" s="7" t="s">
        <v>415</v>
      </c>
      <c r="DZ115" s="7" t="s">
        <v>420</v>
      </c>
      <c r="EA115" s="7">
        <v>2023</v>
      </c>
      <c r="EB115" s="7" t="s">
        <v>425</v>
      </c>
      <c r="EC115" s="7" t="s">
        <v>430</v>
      </c>
      <c r="ED115" s="7" t="str">
        <f>$ED$2</f>
        <v>3Q24</v>
      </c>
      <c r="EE115" s="6" t="str">
        <f>$EE$2</f>
        <v>4Q24</v>
      </c>
      <c r="EF115" s="56">
        <f>$EF$2</f>
        <v>2024</v>
      </c>
      <c r="EG115" s="6" t="str">
        <f>EG$2</f>
        <v>1Q25</v>
      </c>
      <c r="EH115" s="6" t="str">
        <f>EH$2</f>
        <v>2Q25</v>
      </c>
      <c r="EI115" s="6" t="str">
        <f>EI$2</f>
        <v>3Q25</v>
      </c>
    </row>
    <row r="116" spans="1:139" ht="15" thickTop="1" x14ac:dyDescent="0.3">
      <c r="A116" s="1" t="s">
        <v>2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27">
        <v>0</v>
      </c>
      <c r="BK116" s="27">
        <v>0</v>
      </c>
      <c r="BL116" s="27">
        <v>0</v>
      </c>
      <c r="BM116" s="27">
        <v>0</v>
      </c>
      <c r="BN116" s="27">
        <f>SUM(BJ116:BM116)</f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f>SUM(BO116:BR116)</f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f>SUM(BT116:BW116)</f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f>SUM(BY116:CB116)</f>
        <v>0</v>
      </c>
      <c r="CD116" s="27">
        <v>0</v>
      </c>
      <c r="CE116" s="27">
        <v>-5.677E-5</v>
      </c>
      <c r="CF116" s="27">
        <v>0</v>
      </c>
      <c r="CG116" s="27">
        <v>5.677E-5</v>
      </c>
      <c r="CH116" s="27">
        <f>SUM(CD116:CG116)</f>
        <v>0</v>
      </c>
      <c r="CI116" s="27">
        <v>0</v>
      </c>
      <c r="CJ116" s="27">
        <v>0</v>
      </c>
      <c r="CK116" s="27">
        <v>0</v>
      </c>
      <c r="CL116" s="27">
        <v>0</v>
      </c>
      <c r="CM116" s="27">
        <f>SUM(CI116:CL116)</f>
        <v>0</v>
      </c>
      <c r="CN116" s="27">
        <v>7.2722100000000003E-3</v>
      </c>
      <c r="CO116" s="27">
        <v>2.8235049999999998E-2</v>
      </c>
      <c r="CP116" s="27">
        <v>5.4027350000000002E-2</v>
      </c>
      <c r="CQ116" s="27">
        <f t="shared" ref="CQ116:CQ121" si="82">-SUM(CN116:CP116)</f>
        <v>-8.9534610000000001E-2</v>
      </c>
      <c r="CR116" s="27">
        <f>SUM(CN116:CQ116)</f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f>SUM(CS116:CV116)</f>
        <v>0</v>
      </c>
      <c r="CX116" s="27">
        <v>0</v>
      </c>
      <c r="CY116" s="27">
        <v>0</v>
      </c>
      <c r="CZ116" s="27">
        <v>0</v>
      </c>
      <c r="DA116" s="27">
        <v>0</v>
      </c>
      <c r="DB116" s="27">
        <f>SUM(CX116:DA116)</f>
        <v>0</v>
      </c>
      <c r="DC116" s="27">
        <f>SUM(CY116:DB116)</f>
        <v>0</v>
      </c>
      <c r="DD116" s="27">
        <v>6.8000000000000005E-2</v>
      </c>
      <c r="DE116" s="27">
        <v>-6.8000000000000005E-2</v>
      </c>
      <c r="DF116" s="27">
        <v>0</v>
      </c>
      <c r="DG116" s="27">
        <f t="shared" ref="DG116:DG127" si="83">SUM(DC116:DF116)</f>
        <v>0</v>
      </c>
      <c r="DH116" s="27">
        <v>0</v>
      </c>
      <c r="DI116" s="27">
        <v>0</v>
      </c>
      <c r="DJ116" s="27">
        <v>0</v>
      </c>
      <c r="DK116" s="27">
        <v>0</v>
      </c>
      <c r="DL116" s="27">
        <f t="shared" ref="DL116:DL127" si="84">SUM(DH116:DK116)</f>
        <v>0</v>
      </c>
      <c r="DM116" s="27">
        <v>0</v>
      </c>
      <c r="DN116" s="27">
        <v>0</v>
      </c>
      <c r="DO116" s="27">
        <v>0</v>
      </c>
      <c r="DP116" s="27">
        <v>0</v>
      </c>
      <c r="DQ116" s="27">
        <f>SUM(DM116:DP116)</f>
        <v>0</v>
      </c>
      <c r="DR116" s="27">
        <v>0</v>
      </c>
      <c r="DS116" s="27">
        <v>0</v>
      </c>
      <c r="DT116" s="27">
        <v>0</v>
      </c>
      <c r="DU116" s="27">
        <v>0.27100000000000002</v>
      </c>
      <c r="DV116" s="27">
        <f>SUM(DR116:DU116)</f>
        <v>0.27100000000000002</v>
      </c>
      <c r="DW116" s="27">
        <v>0</v>
      </c>
      <c r="DX116" s="27">
        <v>0</v>
      </c>
      <c r="DY116" s="27">
        <v>0</v>
      </c>
      <c r="DZ116" s="27">
        <v>0</v>
      </c>
      <c r="EA116" s="27">
        <f>SUM(DW116:DZ116)</f>
        <v>0</v>
      </c>
      <c r="EB116" s="27">
        <v>0</v>
      </c>
      <c r="EC116" s="27">
        <v>0</v>
      </c>
      <c r="ED116" s="27">
        <v>0</v>
      </c>
      <c r="EE116" s="27">
        <v>0</v>
      </c>
      <c r="EF116" s="27">
        <f>SUM(EB116:EE116)</f>
        <v>0</v>
      </c>
      <c r="EG116" s="27">
        <v>0</v>
      </c>
      <c r="EH116" s="27">
        <v>0</v>
      </c>
      <c r="EI116" s="27">
        <v>0</v>
      </c>
    </row>
    <row r="117" spans="1:139" ht="15" thickBot="1" x14ac:dyDescent="0.35">
      <c r="A117" s="2" t="s">
        <v>454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28">
        <v>0</v>
      </c>
      <c r="BK117" s="28">
        <v>0</v>
      </c>
      <c r="BL117" s="28">
        <v>0</v>
      </c>
      <c r="BM117" s="28">
        <v>-1.9831000000000002E-3</v>
      </c>
      <c r="BN117" s="28">
        <f t="shared" ref="BN117:BN138" si="85">SUM(BJ117:BM117)</f>
        <v>-1.9831000000000002E-3</v>
      </c>
      <c r="BO117" s="28">
        <v>0</v>
      </c>
      <c r="BP117" s="28">
        <v>0</v>
      </c>
      <c r="BQ117" s="28">
        <v>0</v>
      </c>
      <c r="BR117" s="28">
        <v>0</v>
      </c>
      <c r="BS117" s="28">
        <f t="shared" ref="BS117:BS138" si="86">SUM(BO117:BR117)</f>
        <v>0</v>
      </c>
      <c r="BT117" s="28">
        <v>0</v>
      </c>
      <c r="BU117" s="28">
        <v>0</v>
      </c>
      <c r="BV117" s="28">
        <v>0</v>
      </c>
      <c r="BW117" s="28">
        <v>0</v>
      </c>
      <c r="BX117" s="28">
        <f t="shared" ref="BX117:BX138" si="87">SUM(BT117:BW117)</f>
        <v>0</v>
      </c>
      <c r="BY117" s="28">
        <v>0</v>
      </c>
      <c r="BZ117" s="28">
        <v>0</v>
      </c>
      <c r="CA117" s="28">
        <v>0</v>
      </c>
      <c r="CB117" s="28">
        <v>0</v>
      </c>
      <c r="CC117" s="28">
        <f t="shared" ref="CC117:CC138" si="88">SUM(BY117:CB117)</f>
        <v>0</v>
      </c>
      <c r="CD117" s="28">
        <v>0</v>
      </c>
      <c r="CE117" s="28">
        <v>0</v>
      </c>
      <c r="CF117" s="28">
        <v>0</v>
      </c>
      <c r="CG117" s="28">
        <v>0</v>
      </c>
      <c r="CH117" s="28">
        <f t="shared" ref="CH117:CH138" si="89">SUM(CD117:CG117)</f>
        <v>0</v>
      </c>
      <c r="CI117" s="28">
        <v>0</v>
      </c>
      <c r="CJ117" s="28">
        <v>0</v>
      </c>
      <c r="CK117" s="28">
        <v>0</v>
      </c>
      <c r="CL117" s="28">
        <v>0</v>
      </c>
      <c r="CM117" s="28">
        <f t="shared" ref="CM117:CM138" si="90">SUM(CI117:CL117)</f>
        <v>0</v>
      </c>
      <c r="CN117" s="28">
        <v>7.8573E-4</v>
      </c>
      <c r="CO117" s="28">
        <v>2.35783E-3</v>
      </c>
      <c r="CP117" s="28">
        <v>2.8036200000000006E-3</v>
      </c>
      <c r="CQ117" s="28">
        <f t="shared" si="82"/>
        <v>-5.9471800000000007E-3</v>
      </c>
      <c r="CR117" s="28">
        <f t="shared" ref="CR117:CR138" si="91">SUM(CN117:CQ117)</f>
        <v>0</v>
      </c>
      <c r="CS117" s="28">
        <v>0</v>
      </c>
      <c r="CT117" s="28">
        <v>0</v>
      </c>
      <c r="CU117" s="28">
        <v>0</v>
      </c>
      <c r="CV117" s="28">
        <v>0</v>
      </c>
      <c r="CW117" s="28">
        <f t="shared" ref="CW117:CW138" si="92">SUM(CS117:CV117)</f>
        <v>0</v>
      </c>
      <c r="CX117" s="28">
        <v>0</v>
      </c>
      <c r="CY117" s="28">
        <v>0</v>
      </c>
      <c r="CZ117" s="28">
        <v>0</v>
      </c>
      <c r="DA117" s="28">
        <v>0</v>
      </c>
      <c r="DB117" s="28">
        <f t="shared" ref="DB117:DC138" si="93">SUM(CX117:DA117)</f>
        <v>0</v>
      </c>
      <c r="DC117" s="28">
        <f t="shared" si="93"/>
        <v>0</v>
      </c>
      <c r="DD117" s="28">
        <f t="shared" ref="DD117:DD127" si="94">SUM(CZ117:DC117)</f>
        <v>0</v>
      </c>
      <c r="DE117" s="28">
        <v>0</v>
      </c>
      <c r="DF117" s="28">
        <v>0</v>
      </c>
      <c r="DG117" s="28">
        <f t="shared" si="83"/>
        <v>0</v>
      </c>
      <c r="DH117" s="28">
        <v>0</v>
      </c>
      <c r="DI117" s="28">
        <v>0</v>
      </c>
      <c r="DJ117" s="28">
        <v>0</v>
      </c>
      <c r="DK117" s="28">
        <v>0</v>
      </c>
      <c r="DL117" s="28">
        <f t="shared" si="84"/>
        <v>0</v>
      </c>
      <c r="DM117" s="28">
        <v>0</v>
      </c>
      <c r="DN117" s="28">
        <v>0</v>
      </c>
      <c r="DO117" s="28">
        <v>0</v>
      </c>
      <c r="DP117" s="28">
        <v>0</v>
      </c>
      <c r="DQ117" s="28">
        <f t="shared" ref="DQ117:DQ138" si="95">SUM(DM117:DP117)</f>
        <v>0</v>
      </c>
      <c r="DR117" s="28">
        <v>0</v>
      </c>
      <c r="DS117" s="28">
        <v>0</v>
      </c>
      <c r="DT117" s="28">
        <v>0</v>
      </c>
      <c r="DU117" s="28">
        <v>0</v>
      </c>
      <c r="DV117" s="28">
        <f t="shared" ref="DV117:DV138" si="96">SUM(DR117:DU117)</f>
        <v>0</v>
      </c>
      <c r="DW117" s="28">
        <v>0</v>
      </c>
      <c r="DX117" s="28">
        <v>0</v>
      </c>
      <c r="DY117" s="28">
        <v>0</v>
      </c>
      <c r="DZ117" s="28">
        <v>0</v>
      </c>
      <c r="EA117" s="28">
        <f t="shared" ref="EA117:EA127" si="97">SUM(DW117:DZ117)</f>
        <v>0</v>
      </c>
      <c r="EB117" s="28">
        <v>0</v>
      </c>
      <c r="EC117" s="28">
        <v>0</v>
      </c>
      <c r="ED117" s="28">
        <v>0</v>
      </c>
      <c r="EE117" s="28">
        <v>0</v>
      </c>
      <c r="EF117" s="28">
        <f t="shared" ref="EF117:EF138" si="98">SUM(EB117:EE117)</f>
        <v>0</v>
      </c>
      <c r="EG117" s="28">
        <v>0</v>
      </c>
      <c r="EH117" s="28">
        <v>0</v>
      </c>
      <c r="EI117" s="28">
        <v>0</v>
      </c>
    </row>
    <row r="118" spans="1:139" ht="15" thickTop="1" x14ac:dyDescent="0.3">
      <c r="A118" s="1" t="s">
        <v>442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27">
        <v>0</v>
      </c>
      <c r="BK118" s="27">
        <v>0</v>
      </c>
      <c r="BL118" s="27">
        <v>0</v>
      </c>
      <c r="BM118" s="27">
        <v>0</v>
      </c>
      <c r="BN118" s="27">
        <f t="shared" si="85"/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f t="shared" si="86"/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f t="shared" si="87"/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f t="shared" si="88"/>
        <v>0</v>
      </c>
      <c r="CD118" s="27">
        <v>0</v>
      </c>
      <c r="CE118" s="27">
        <v>0</v>
      </c>
      <c r="CF118" s="27">
        <v>-1.9785200000000001E-3</v>
      </c>
      <c r="CG118" s="27">
        <v>0</v>
      </c>
      <c r="CH118" s="27">
        <f t="shared" si="89"/>
        <v>-1.9785200000000001E-3</v>
      </c>
      <c r="CI118" s="27">
        <v>0</v>
      </c>
      <c r="CJ118" s="27">
        <v>-2.8274000000000002E-4</v>
      </c>
      <c r="CK118" s="27">
        <v>2.8274000000000002E-4</v>
      </c>
      <c r="CL118" s="27">
        <v>-2.8274000000000002E-4</v>
      </c>
      <c r="CM118" s="27">
        <f t="shared" si="90"/>
        <v>-2.8274000000000002E-4</v>
      </c>
      <c r="CN118" s="27">
        <v>-0.58329391000000008</v>
      </c>
      <c r="CO118" s="27">
        <v>1.0438020300000002</v>
      </c>
      <c r="CP118" s="27">
        <v>0.57498185999999984</v>
      </c>
      <c r="CQ118" s="27">
        <f t="shared" si="82"/>
        <v>-1.0354899799999999</v>
      </c>
      <c r="CR118" s="27">
        <f t="shared" si="91"/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f t="shared" si="92"/>
        <v>0</v>
      </c>
      <c r="CX118" s="27">
        <v>0</v>
      </c>
      <c r="CY118" s="27">
        <v>0</v>
      </c>
      <c r="CZ118" s="27">
        <v>0</v>
      </c>
      <c r="DA118" s="27">
        <v>0</v>
      </c>
      <c r="DB118" s="27">
        <f t="shared" si="93"/>
        <v>0</v>
      </c>
      <c r="DC118" s="27">
        <f t="shared" si="93"/>
        <v>0</v>
      </c>
      <c r="DD118" s="27">
        <v>0.182</v>
      </c>
      <c r="DE118" s="27">
        <v>-0.182</v>
      </c>
      <c r="DF118" s="27">
        <v>0</v>
      </c>
      <c r="DG118" s="27">
        <f t="shared" si="83"/>
        <v>0</v>
      </c>
      <c r="DH118" s="27">
        <v>0</v>
      </c>
      <c r="DI118" s="27">
        <v>0</v>
      </c>
      <c r="DJ118" s="27">
        <v>0</v>
      </c>
      <c r="DK118" s="27">
        <v>0</v>
      </c>
      <c r="DL118" s="27">
        <f t="shared" si="84"/>
        <v>0</v>
      </c>
      <c r="DM118" s="27">
        <v>0</v>
      </c>
      <c r="DN118" s="27">
        <v>0</v>
      </c>
      <c r="DO118" s="27">
        <v>0</v>
      </c>
      <c r="DP118" s="27">
        <v>0</v>
      </c>
      <c r="DQ118" s="27">
        <f t="shared" si="95"/>
        <v>0</v>
      </c>
      <c r="DR118" s="27">
        <v>0</v>
      </c>
      <c r="DS118" s="27">
        <v>0</v>
      </c>
      <c r="DT118" s="27">
        <v>0</v>
      </c>
      <c r="DU118" s="27">
        <v>0</v>
      </c>
      <c r="DV118" s="27">
        <f t="shared" si="96"/>
        <v>0</v>
      </c>
      <c r="DW118" s="27">
        <v>0</v>
      </c>
      <c r="DX118" s="27">
        <v>0</v>
      </c>
      <c r="DY118" s="27">
        <v>0</v>
      </c>
      <c r="DZ118" s="27">
        <v>0</v>
      </c>
      <c r="EA118" s="27">
        <f t="shared" si="97"/>
        <v>0</v>
      </c>
      <c r="EB118" s="27">
        <v>0</v>
      </c>
      <c r="EC118" s="27">
        <v>0</v>
      </c>
      <c r="ED118" s="27">
        <v>0</v>
      </c>
      <c r="EE118" s="27">
        <v>0</v>
      </c>
      <c r="EF118" s="27">
        <f t="shared" si="98"/>
        <v>0</v>
      </c>
      <c r="EG118" s="27">
        <v>0</v>
      </c>
      <c r="EH118" s="27">
        <v>0</v>
      </c>
      <c r="EI118" s="27">
        <v>0</v>
      </c>
    </row>
    <row r="119" spans="1:139" ht="15" thickBot="1" x14ac:dyDescent="0.35">
      <c r="A119" s="2" t="s">
        <v>3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28">
        <v>0</v>
      </c>
      <c r="BK119" s="28">
        <v>0</v>
      </c>
      <c r="BL119" s="28">
        <v>0</v>
      </c>
      <c r="BM119" s="28">
        <v>0</v>
      </c>
      <c r="BN119" s="28">
        <f t="shared" si="85"/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f t="shared" si="86"/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f t="shared" si="87"/>
        <v>0</v>
      </c>
      <c r="BY119" s="28">
        <v>0</v>
      </c>
      <c r="BZ119" s="28">
        <v>0</v>
      </c>
      <c r="CA119" s="28">
        <v>0</v>
      </c>
      <c r="CB119" s="28">
        <v>0</v>
      </c>
      <c r="CC119" s="28">
        <f t="shared" si="88"/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f t="shared" si="89"/>
        <v>0</v>
      </c>
      <c r="CI119" s="28">
        <v>0</v>
      </c>
      <c r="CJ119" s="28">
        <v>0</v>
      </c>
      <c r="CK119" s="28">
        <v>0</v>
      </c>
      <c r="CL119" s="28">
        <v>0</v>
      </c>
      <c r="CM119" s="28">
        <f t="shared" si="90"/>
        <v>0</v>
      </c>
      <c r="CN119" s="28">
        <v>1.0376219999999999E-2</v>
      </c>
      <c r="CO119" s="28">
        <v>5.671803999999999E-2</v>
      </c>
      <c r="CP119" s="28">
        <v>0.20269390000000001</v>
      </c>
      <c r="CQ119" s="28">
        <f t="shared" si="82"/>
        <v>-0.26978816</v>
      </c>
      <c r="CR119" s="28">
        <f t="shared" si="91"/>
        <v>0</v>
      </c>
      <c r="CS119" s="28">
        <v>0</v>
      </c>
      <c r="CT119" s="28">
        <v>0</v>
      </c>
      <c r="CU119" s="28">
        <v>0</v>
      </c>
      <c r="CV119" s="28">
        <v>0</v>
      </c>
      <c r="CW119" s="28">
        <f t="shared" si="92"/>
        <v>0</v>
      </c>
      <c r="CX119" s="28">
        <v>0</v>
      </c>
      <c r="CY119" s="28">
        <v>0</v>
      </c>
      <c r="CZ119" s="28">
        <v>0</v>
      </c>
      <c r="DA119" s="28">
        <v>0</v>
      </c>
      <c r="DB119" s="28">
        <f t="shared" si="93"/>
        <v>0</v>
      </c>
      <c r="DC119" s="28">
        <f t="shared" si="93"/>
        <v>0</v>
      </c>
      <c r="DD119" s="28">
        <v>1E-3</v>
      </c>
      <c r="DE119" s="28">
        <v>-1E-3</v>
      </c>
      <c r="DF119" s="28">
        <v>0</v>
      </c>
      <c r="DG119" s="28">
        <f t="shared" si="83"/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f t="shared" si="84"/>
        <v>0</v>
      </c>
      <c r="DM119" s="28">
        <v>0</v>
      </c>
      <c r="DN119" s="28">
        <v>0</v>
      </c>
      <c r="DO119" s="28">
        <v>0</v>
      </c>
      <c r="DP119" s="28">
        <v>0</v>
      </c>
      <c r="DQ119" s="28">
        <f t="shared" si="95"/>
        <v>0</v>
      </c>
      <c r="DR119" s="28">
        <v>0</v>
      </c>
      <c r="DS119" s="28">
        <v>0</v>
      </c>
      <c r="DT119" s="28">
        <v>0</v>
      </c>
      <c r="DU119" s="28">
        <v>-0.23699999999999999</v>
      </c>
      <c r="DV119" s="28">
        <f t="shared" si="96"/>
        <v>-0.23699999999999999</v>
      </c>
      <c r="DW119" s="28">
        <v>2E-3</v>
      </c>
      <c r="DX119" s="28">
        <v>1.5443099999999999E-3</v>
      </c>
      <c r="DY119" s="28">
        <v>1.2713500000000003E-3</v>
      </c>
      <c r="DZ119" s="28">
        <v>1.2713899999999994E-3</v>
      </c>
      <c r="EA119" s="28">
        <f t="shared" si="97"/>
        <v>6.0870500000000001E-3</v>
      </c>
      <c r="EB119" s="28">
        <v>1.2714100000000002E-3</v>
      </c>
      <c r="EC119" s="28">
        <v>1.1278900000000001E-3</v>
      </c>
      <c r="ED119" s="28">
        <v>-2E-3</v>
      </c>
      <c r="EE119" s="28">
        <v>4.1278399999999998E-3</v>
      </c>
      <c r="EF119" s="28">
        <f t="shared" si="98"/>
        <v>4.5271399999999998E-3</v>
      </c>
      <c r="EG119" s="28">
        <v>0</v>
      </c>
      <c r="EH119" s="28">
        <v>0</v>
      </c>
      <c r="EI119" s="28">
        <v>0</v>
      </c>
    </row>
    <row r="120" spans="1:139" ht="15" thickTop="1" x14ac:dyDescent="0.3">
      <c r="A120" s="1" t="s">
        <v>443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27">
        <v>0</v>
      </c>
      <c r="BK120" s="27">
        <v>0</v>
      </c>
      <c r="BL120" s="27">
        <v>0</v>
      </c>
      <c r="BM120" s="27">
        <v>0</v>
      </c>
      <c r="BN120" s="27">
        <f t="shared" si="85"/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f t="shared" si="86"/>
        <v>0</v>
      </c>
      <c r="BT120" s="27">
        <v>0.22599354999999999</v>
      </c>
      <c r="BU120" s="27">
        <v>0</v>
      </c>
      <c r="BV120" s="27">
        <v>0</v>
      </c>
      <c r="BW120" s="27">
        <v>-0.22599354999999999</v>
      </c>
      <c r="BX120" s="27">
        <f t="shared" si="87"/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f t="shared" si="88"/>
        <v>0</v>
      </c>
      <c r="CD120" s="27">
        <v>0</v>
      </c>
      <c r="CE120" s="27">
        <v>0</v>
      </c>
      <c r="CF120" s="27">
        <v>0</v>
      </c>
      <c r="CG120" s="27">
        <v>0</v>
      </c>
      <c r="CH120" s="27">
        <f t="shared" si="89"/>
        <v>0</v>
      </c>
      <c r="CI120" s="27">
        <v>0</v>
      </c>
      <c r="CJ120" s="27">
        <v>0</v>
      </c>
      <c r="CK120" s="27">
        <v>0</v>
      </c>
      <c r="CL120" s="27">
        <v>0</v>
      </c>
      <c r="CM120" s="27">
        <f t="shared" si="90"/>
        <v>0</v>
      </c>
      <c r="CN120" s="27">
        <v>1.0376219999999999E-2</v>
      </c>
      <c r="CO120" s="27">
        <v>-1.0376219999999999E-2</v>
      </c>
      <c r="CP120" s="27">
        <v>3.7779999999999411E-5</v>
      </c>
      <c r="CQ120" s="27">
        <f t="shared" si="82"/>
        <v>-3.7779999999999411E-5</v>
      </c>
      <c r="CR120" s="27">
        <f t="shared" si="91"/>
        <v>0</v>
      </c>
      <c r="CS120" s="27">
        <v>0</v>
      </c>
      <c r="CT120" s="27">
        <v>0</v>
      </c>
      <c r="CU120" s="27">
        <v>0</v>
      </c>
      <c r="CV120" s="27">
        <v>0</v>
      </c>
      <c r="CW120" s="27">
        <f t="shared" si="92"/>
        <v>0</v>
      </c>
      <c r="CX120" s="27">
        <v>0</v>
      </c>
      <c r="CY120" s="27">
        <v>0</v>
      </c>
      <c r="CZ120" s="27">
        <v>0</v>
      </c>
      <c r="DA120" s="27">
        <v>0</v>
      </c>
      <c r="DB120" s="27">
        <f t="shared" si="93"/>
        <v>0</v>
      </c>
      <c r="DC120" s="27">
        <f t="shared" si="93"/>
        <v>0</v>
      </c>
      <c r="DD120" s="27">
        <v>6.0000000000000001E-3</v>
      </c>
      <c r="DE120" s="27">
        <v>-6.0000000000000001E-3</v>
      </c>
      <c r="DF120" s="27">
        <v>0</v>
      </c>
      <c r="DG120" s="27">
        <f t="shared" si="83"/>
        <v>0</v>
      </c>
      <c r="DH120" s="27">
        <v>0</v>
      </c>
      <c r="DI120" s="27">
        <v>0</v>
      </c>
      <c r="DJ120" s="27">
        <v>0</v>
      </c>
      <c r="DK120" s="27">
        <v>0</v>
      </c>
      <c r="DL120" s="27">
        <f t="shared" si="84"/>
        <v>0</v>
      </c>
      <c r="DM120" s="27">
        <v>0</v>
      </c>
      <c r="DN120" s="27">
        <v>0</v>
      </c>
      <c r="DO120" s="27">
        <v>0</v>
      </c>
      <c r="DP120" s="27">
        <v>0</v>
      </c>
      <c r="DQ120" s="27">
        <f t="shared" si="95"/>
        <v>0</v>
      </c>
      <c r="DR120" s="27">
        <v>0</v>
      </c>
      <c r="DS120" s="27">
        <v>0</v>
      </c>
      <c r="DT120" s="27">
        <v>0</v>
      </c>
      <c r="DU120" s="27">
        <v>0</v>
      </c>
      <c r="DV120" s="27">
        <f t="shared" si="96"/>
        <v>0</v>
      </c>
      <c r="DW120" s="27">
        <v>0</v>
      </c>
      <c r="DX120" s="27">
        <v>0</v>
      </c>
      <c r="DY120" s="27">
        <v>0</v>
      </c>
      <c r="DZ120" s="27">
        <v>0</v>
      </c>
      <c r="EA120" s="27">
        <f t="shared" si="97"/>
        <v>0</v>
      </c>
      <c r="EB120" s="27">
        <v>0</v>
      </c>
      <c r="EC120" s="27">
        <v>0</v>
      </c>
      <c r="ED120" s="27">
        <v>0</v>
      </c>
      <c r="EE120" s="27">
        <v>0</v>
      </c>
      <c r="EF120" s="27">
        <f t="shared" si="98"/>
        <v>0</v>
      </c>
      <c r="EG120" s="27">
        <v>0</v>
      </c>
      <c r="EH120" s="27">
        <v>0</v>
      </c>
      <c r="EI120" s="27">
        <v>0</v>
      </c>
    </row>
    <row r="121" spans="1:139" ht="15" thickBot="1" x14ac:dyDescent="0.35">
      <c r="A121" s="2" t="s">
        <v>481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28">
        <v>0</v>
      </c>
      <c r="BK121" s="28">
        <v>0</v>
      </c>
      <c r="BL121" s="28">
        <v>0</v>
      </c>
      <c r="BM121" s="28">
        <v>0</v>
      </c>
      <c r="BN121" s="28">
        <f t="shared" si="85"/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f t="shared" si="86"/>
        <v>0</v>
      </c>
      <c r="BT121" s="28">
        <v>0</v>
      </c>
      <c r="BU121" s="28">
        <v>4.9910100000000006E-3</v>
      </c>
      <c r="BV121" s="28">
        <v>5.819539999999998E-3</v>
      </c>
      <c r="BW121" s="28">
        <v>4.6295210000000003E-2</v>
      </c>
      <c r="BX121" s="28">
        <f t="shared" si="87"/>
        <v>5.7105760000000005E-2</v>
      </c>
      <c r="BY121" s="28">
        <v>5.9760959999999995E-2</v>
      </c>
      <c r="BZ121" s="28">
        <v>0</v>
      </c>
      <c r="CA121" s="28">
        <v>0.23338313000000002</v>
      </c>
      <c r="CB121" s="28">
        <v>0.63929911999999989</v>
      </c>
      <c r="CC121" s="28">
        <f t="shared" si="88"/>
        <v>0.93244320999999997</v>
      </c>
      <c r="CD121" s="28">
        <v>2.0754361599999998</v>
      </c>
      <c r="CE121" s="28">
        <v>-2.0754361599999998</v>
      </c>
      <c r="CF121" s="28">
        <v>1.2301573999999995</v>
      </c>
      <c r="CG121" s="28">
        <v>0</v>
      </c>
      <c r="CH121" s="28">
        <f t="shared" si="89"/>
        <v>1.2301573999999995</v>
      </c>
      <c r="CI121" s="28">
        <v>0</v>
      </c>
      <c r="CJ121" s="28">
        <v>0</v>
      </c>
      <c r="CK121" s="28">
        <v>0</v>
      </c>
      <c r="CL121" s="28">
        <v>0</v>
      </c>
      <c r="CM121" s="28">
        <f t="shared" si="90"/>
        <v>0</v>
      </c>
      <c r="CN121" s="28">
        <v>1.5746900000000001E-2</v>
      </c>
      <c r="CO121" s="28">
        <v>4.5226580000000002E-2</v>
      </c>
      <c r="CP121" s="28">
        <v>0.15728040999999998</v>
      </c>
      <c r="CQ121" s="28">
        <f t="shared" si="82"/>
        <v>-0.21825388999999998</v>
      </c>
      <c r="CR121" s="28">
        <f t="shared" si="91"/>
        <v>0</v>
      </c>
      <c r="CS121" s="28">
        <v>0</v>
      </c>
      <c r="CT121" s="28">
        <v>0</v>
      </c>
      <c r="CU121" s="28">
        <v>0</v>
      </c>
      <c r="CV121" s="28">
        <v>0</v>
      </c>
      <c r="CW121" s="28">
        <f t="shared" si="92"/>
        <v>0</v>
      </c>
      <c r="CX121" s="28">
        <v>0</v>
      </c>
      <c r="CY121" s="28">
        <v>0</v>
      </c>
      <c r="CZ121" s="28">
        <v>0</v>
      </c>
      <c r="DA121" s="28">
        <v>0</v>
      </c>
      <c r="DB121" s="28">
        <f t="shared" si="93"/>
        <v>0</v>
      </c>
      <c r="DC121" s="28">
        <f t="shared" si="93"/>
        <v>0</v>
      </c>
      <c r="DD121" s="28">
        <v>8.9999999999999993E-3</v>
      </c>
      <c r="DE121" s="28">
        <v>-8.9999999999999993E-3</v>
      </c>
      <c r="DF121" s="28">
        <v>0</v>
      </c>
      <c r="DG121" s="28">
        <f t="shared" si="83"/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f t="shared" si="84"/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f t="shared" si="95"/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f t="shared" si="96"/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f t="shared" si="97"/>
        <v>0</v>
      </c>
      <c r="EB121" s="28">
        <v>0</v>
      </c>
      <c r="EC121" s="28">
        <v>0</v>
      </c>
      <c r="ED121" s="28">
        <v>0</v>
      </c>
      <c r="EE121" s="28">
        <v>0</v>
      </c>
      <c r="EF121" s="28">
        <f t="shared" si="98"/>
        <v>0</v>
      </c>
      <c r="EG121" s="28">
        <v>0</v>
      </c>
      <c r="EH121" s="28">
        <v>0</v>
      </c>
      <c r="EI121" s="28">
        <v>0</v>
      </c>
    </row>
    <row r="122" spans="1:139" ht="15" thickTop="1" x14ac:dyDescent="0.3">
      <c r="A122" s="1" t="s">
        <v>445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27">
        <v>0</v>
      </c>
      <c r="BK122" s="27">
        <v>0</v>
      </c>
      <c r="BL122" s="27">
        <v>0</v>
      </c>
      <c r="BM122" s="27">
        <v>0</v>
      </c>
      <c r="BN122" s="27">
        <f t="shared" si="85"/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f t="shared" si="86"/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f t="shared" si="87"/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f t="shared" si="88"/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f t="shared" si="89"/>
        <v>0</v>
      </c>
      <c r="CI122" s="27">
        <v>0</v>
      </c>
      <c r="CJ122" s="27">
        <v>0</v>
      </c>
      <c r="CK122" s="27">
        <v>0</v>
      </c>
      <c r="CL122" s="27">
        <v>0</v>
      </c>
      <c r="CM122" s="27">
        <f t="shared" si="90"/>
        <v>0</v>
      </c>
      <c r="CN122" s="27">
        <v>0</v>
      </c>
      <c r="CO122" s="27">
        <v>0</v>
      </c>
      <c r="CP122" s="27">
        <v>0</v>
      </c>
      <c r="CQ122" s="27">
        <v>0</v>
      </c>
      <c r="CR122" s="27">
        <f t="shared" si="91"/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f t="shared" si="92"/>
        <v>0</v>
      </c>
      <c r="CX122" s="27">
        <v>0</v>
      </c>
      <c r="CY122" s="27">
        <v>0</v>
      </c>
      <c r="CZ122" s="27">
        <v>0</v>
      </c>
      <c r="DA122" s="27">
        <v>0</v>
      </c>
      <c r="DB122" s="27">
        <f t="shared" si="93"/>
        <v>0</v>
      </c>
      <c r="DC122" s="27">
        <f t="shared" si="93"/>
        <v>0</v>
      </c>
      <c r="DD122" s="27">
        <f t="shared" si="94"/>
        <v>0</v>
      </c>
      <c r="DE122" s="27">
        <v>0</v>
      </c>
      <c r="DF122" s="27">
        <v>0</v>
      </c>
      <c r="DG122" s="27">
        <f t="shared" si="83"/>
        <v>0</v>
      </c>
      <c r="DH122" s="27">
        <v>0</v>
      </c>
      <c r="DI122" s="27">
        <v>0</v>
      </c>
      <c r="DJ122" s="27">
        <v>0</v>
      </c>
      <c r="DK122" s="27">
        <v>0</v>
      </c>
      <c r="DL122" s="27">
        <f t="shared" si="84"/>
        <v>0</v>
      </c>
      <c r="DM122" s="27">
        <v>0</v>
      </c>
      <c r="DN122" s="27">
        <v>0</v>
      </c>
      <c r="DO122" s="27">
        <v>0</v>
      </c>
      <c r="DP122" s="27">
        <v>0</v>
      </c>
      <c r="DQ122" s="27">
        <f t="shared" si="95"/>
        <v>0</v>
      </c>
      <c r="DR122" s="27">
        <v>0</v>
      </c>
      <c r="DS122" s="27">
        <v>0</v>
      </c>
      <c r="DT122" s="27">
        <v>0</v>
      </c>
      <c r="DU122" s="27">
        <v>0</v>
      </c>
      <c r="DV122" s="27">
        <f t="shared" si="96"/>
        <v>0</v>
      </c>
      <c r="DW122" s="27">
        <v>0</v>
      </c>
      <c r="DX122" s="27">
        <v>0</v>
      </c>
      <c r="DY122" s="27">
        <v>0</v>
      </c>
      <c r="DZ122" s="27">
        <v>0</v>
      </c>
      <c r="EA122" s="27">
        <f t="shared" si="97"/>
        <v>0</v>
      </c>
      <c r="EB122" s="27">
        <v>0</v>
      </c>
      <c r="EC122" s="27">
        <v>0</v>
      </c>
      <c r="ED122" s="27">
        <v>0</v>
      </c>
      <c r="EE122" s="27">
        <v>0</v>
      </c>
      <c r="EF122" s="27">
        <f t="shared" si="98"/>
        <v>0</v>
      </c>
      <c r="EG122" s="27">
        <v>0</v>
      </c>
      <c r="EH122" s="27">
        <v>0</v>
      </c>
      <c r="EI122" s="27">
        <v>0</v>
      </c>
    </row>
    <row r="123" spans="1:139" ht="15" thickBot="1" x14ac:dyDescent="0.35">
      <c r="A123" s="2" t="s">
        <v>444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28">
        <v>0</v>
      </c>
      <c r="BK123" s="28">
        <v>0</v>
      </c>
      <c r="BL123" s="28">
        <v>0</v>
      </c>
      <c r="BM123" s="28">
        <v>0</v>
      </c>
      <c r="BN123" s="28">
        <f t="shared" si="85"/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f t="shared" si="86"/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f t="shared" si="87"/>
        <v>0</v>
      </c>
      <c r="BY123" s="28">
        <v>0</v>
      </c>
      <c r="BZ123" s="28">
        <v>0</v>
      </c>
      <c r="CA123" s="28">
        <v>0</v>
      </c>
      <c r="CB123" s="28">
        <v>0</v>
      </c>
      <c r="CC123" s="28">
        <f t="shared" si="88"/>
        <v>0</v>
      </c>
      <c r="CD123" s="28">
        <v>0</v>
      </c>
      <c r="CE123" s="28">
        <v>0</v>
      </c>
      <c r="CF123" s="28">
        <v>0</v>
      </c>
      <c r="CG123" s="28">
        <v>0</v>
      </c>
      <c r="CH123" s="28">
        <f t="shared" si="89"/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f t="shared" si="90"/>
        <v>0</v>
      </c>
      <c r="CN123" s="28">
        <v>0</v>
      </c>
      <c r="CO123" s="28">
        <v>0</v>
      </c>
      <c r="CP123" s="28">
        <v>0</v>
      </c>
      <c r="CQ123" s="28">
        <v>0</v>
      </c>
      <c r="CR123" s="28">
        <f t="shared" si="91"/>
        <v>0</v>
      </c>
      <c r="CS123" s="28">
        <v>0</v>
      </c>
      <c r="CT123" s="28">
        <v>0</v>
      </c>
      <c r="CU123" s="28">
        <v>0</v>
      </c>
      <c r="CV123" s="28">
        <v>0</v>
      </c>
      <c r="CW123" s="28">
        <f t="shared" si="92"/>
        <v>0</v>
      </c>
      <c r="CX123" s="28">
        <v>0</v>
      </c>
      <c r="CY123" s="28">
        <v>0</v>
      </c>
      <c r="CZ123" s="28">
        <v>0</v>
      </c>
      <c r="DA123" s="28">
        <v>0</v>
      </c>
      <c r="DB123" s="28">
        <f t="shared" si="93"/>
        <v>0</v>
      </c>
      <c r="DC123" s="28">
        <f t="shared" si="93"/>
        <v>0</v>
      </c>
      <c r="DD123" s="28">
        <f t="shared" si="94"/>
        <v>0</v>
      </c>
      <c r="DE123" s="28">
        <v>0</v>
      </c>
      <c r="DF123" s="28">
        <v>0</v>
      </c>
      <c r="DG123" s="28">
        <f t="shared" si="83"/>
        <v>0</v>
      </c>
      <c r="DH123" s="28">
        <v>0</v>
      </c>
      <c r="DI123" s="28">
        <v>0</v>
      </c>
      <c r="DJ123" s="28">
        <v>0</v>
      </c>
      <c r="DK123" s="28">
        <v>0</v>
      </c>
      <c r="DL123" s="28">
        <f t="shared" si="84"/>
        <v>0</v>
      </c>
      <c r="DM123" s="28">
        <v>0</v>
      </c>
      <c r="DN123" s="28">
        <v>0</v>
      </c>
      <c r="DO123" s="28">
        <v>0</v>
      </c>
      <c r="DP123" s="28">
        <v>0</v>
      </c>
      <c r="DQ123" s="28">
        <f t="shared" si="95"/>
        <v>0</v>
      </c>
      <c r="DR123" s="28">
        <v>0</v>
      </c>
      <c r="DS123" s="28">
        <v>0</v>
      </c>
      <c r="DT123" s="28">
        <v>0</v>
      </c>
      <c r="DU123" s="28">
        <v>0</v>
      </c>
      <c r="DV123" s="28">
        <f t="shared" si="96"/>
        <v>0</v>
      </c>
      <c r="DW123" s="28">
        <v>0</v>
      </c>
      <c r="DX123" s="28">
        <v>0</v>
      </c>
      <c r="DY123" s="28">
        <v>0</v>
      </c>
      <c r="DZ123" s="28">
        <v>0</v>
      </c>
      <c r="EA123" s="28">
        <f t="shared" si="97"/>
        <v>0</v>
      </c>
      <c r="EB123" s="28">
        <v>0</v>
      </c>
      <c r="EC123" s="28">
        <v>0</v>
      </c>
      <c r="ED123" s="28">
        <v>0</v>
      </c>
      <c r="EE123" s="28">
        <v>0</v>
      </c>
      <c r="EF123" s="28">
        <f t="shared" si="98"/>
        <v>0</v>
      </c>
      <c r="EG123" s="28">
        <v>0</v>
      </c>
      <c r="EH123" s="28">
        <v>0</v>
      </c>
      <c r="EI123" s="28">
        <v>0</v>
      </c>
    </row>
    <row r="124" spans="1:139" ht="15" thickTop="1" x14ac:dyDescent="0.3">
      <c r="A124" s="1" t="s">
        <v>456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27">
        <v>0</v>
      </c>
      <c r="BK124" s="27">
        <v>0</v>
      </c>
      <c r="BL124" s="27">
        <v>0</v>
      </c>
      <c r="BM124" s="27">
        <v>0</v>
      </c>
      <c r="BN124" s="27">
        <f t="shared" si="85"/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f t="shared" si="86"/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f t="shared" si="87"/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f t="shared" si="88"/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f t="shared" si="89"/>
        <v>0</v>
      </c>
      <c r="CI124" s="27">
        <v>0</v>
      </c>
      <c r="CJ124" s="27">
        <v>0</v>
      </c>
      <c r="CK124" s="27">
        <v>0</v>
      </c>
      <c r="CL124" s="27">
        <v>0</v>
      </c>
      <c r="CM124" s="27">
        <f t="shared" si="90"/>
        <v>0</v>
      </c>
      <c r="CN124" s="27">
        <v>0</v>
      </c>
      <c r="CO124" s="27">
        <v>0</v>
      </c>
      <c r="CP124" s="27">
        <v>0</v>
      </c>
      <c r="CQ124" s="27">
        <v>0</v>
      </c>
      <c r="CR124" s="27">
        <f t="shared" si="91"/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f t="shared" si="92"/>
        <v>0</v>
      </c>
      <c r="CX124" s="27">
        <v>0</v>
      </c>
      <c r="CY124" s="27">
        <v>0</v>
      </c>
      <c r="CZ124" s="27">
        <v>0</v>
      </c>
      <c r="DA124" s="27">
        <v>0</v>
      </c>
      <c r="DB124" s="27">
        <f t="shared" si="93"/>
        <v>0</v>
      </c>
      <c r="DC124" s="27">
        <f t="shared" si="93"/>
        <v>0</v>
      </c>
      <c r="DD124" s="27">
        <f t="shared" si="94"/>
        <v>0</v>
      </c>
      <c r="DE124" s="27">
        <v>0</v>
      </c>
      <c r="DF124" s="27">
        <v>0</v>
      </c>
      <c r="DG124" s="27">
        <f t="shared" si="83"/>
        <v>0</v>
      </c>
      <c r="DH124" s="27">
        <v>0</v>
      </c>
      <c r="DI124" s="27">
        <v>0</v>
      </c>
      <c r="DJ124" s="27">
        <v>0</v>
      </c>
      <c r="DK124" s="27">
        <v>0</v>
      </c>
      <c r="DL124" s="27">
        <f t="shared" si="84"/>
        <v>0</v>
      </c>
      <c r="DM124" s="27">
        <v>0</v>
      </c>
      <c r="DN124" s="27">
        <v>0</v>
      </c>
      <c r="DO124" s="27">
        <v>0</v>
      </c>
      <c r="DP124" s="27">
        <v>0</v>
      </c>
      <c r="DQ124" s="27">
        <f t="shared" si="95"/>
        <v>0</v>
      </c>
      <c r="DR124" s="27">
        <v>0</v>
      </c>
      <c r="DS124" s="27">
        <v>0</v>
      </c>
      <c r="DT124" s="27">
        <v>0</v>
      </c>
      <c r="DU124" s="27">
        <v>0</v>
      </c>
      <c r="DV124" s="27">
        <f t="shared" si="96"/>
        <v>0</v>
      </c>
      <c r="DW124" s="27">
        <v>0</v>
      </c>
      <c r="DX124" s="27">
        <v>0</v>
      </c>
      <c r="DY124" s="27">
        <v>0</v>
      </c>
      <c r="DZ124" s="27">
        <v>0</v>
      </c>
      <c r="EA124" s="27">
        <f t="shared" si="97"/>
        <v>0</v>
      </c>
      <c r="EB124" s="27">
        <v>0</v>
      </c>
      <c r="EC124" s="27">
        <v>0</v>
      </c>
      <c r="ED124" s="27">
        <v>0</v>
      </c>
      <c r="EE124" s="27">
        <v>0</v>
      </c>
      <c r="EF124" s="27">
        <f t="shared" si="98"/>
        <v>0</v>
      </c>
      <c r="EG124" s="27">
        <v>0</v>
      </c>
      <c r="EH124" s="27">
        <v>0</v>
      </c>
      <c r="EI124" s="27">
        <v>0</v>
      </c>
    </row>
    <row r="125" spans="1:139" ht="15" thickBot="1" x14ac:dyDescent="0.35">
      <c r="A125" s="2" t="s">
        <v>446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28">
        <v>0</v>
      </c>
      <c r="BK125" s="28">
        <v>0</v>
      </c>
      <c r="BL125" s="28">
        <v>0</v>
      </c>
      <c r="BM125" s="28">
        <v>0</v>
      </c>
      <c r="BN125" s="28">
        <f t="shared" si="85"/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f t="shared" si="86"/>
        <v>0</v>
      </c>
      <c r="BT125" s="28">
        <v>0</v>
      </c>
      <c r="BU125" s="28">
        <v>0</v>
      </c>
      <c r="BV125" s="28">
        <v>0</v>
      </c>
      <c r="BW125" s="28">
        <v>0</v>
      </c>
      <c r="BX125" s="28">
        <f t="shared" si="87"/>
        <v>0</v>
      </c>
      <c r="BY125" s="28">
        <v>0</v>
      </c>
      <c r="BZ125" s="28">
        <v>0</v>
      </c>
      <c r="CA125" s="28">
        <v>0</v>
      </c>
      <c r="CB125" s="28">
        <v>0</v>
      </c>
      <c r="CC125" s="28">
        <f t="shared" si="88"/>
        <v>0</v>
      </c>
      <c r="CD125" s="28">
        <v>0</v>
      </c>
      <c r="CE125" s="28">
        <v>0</v>
      </c>
      <c r="CF125" s="28">
        <v>0</v>
      </c>
      <c r="CG125" s="28">
        <v>0</v>
      </c>
      <c r="CH125" s="28">
        <f t="shared" si="89"/>
        <v>0</v>
      </c>
      <c r="CI125" s="28">
        <v>0</v>
      </c>
      <c r="CJ125" s="28">
        <v>0</v>
      </c>
      <c r="CK125" s="28">
        <v>0</v>
      </c>
      <c r="CL125" s="28">
        <v>0</v>
      </c>
      <c r="CM125" s="28">
        <f t="shared" si="90"/>
        <v>0</v>
      </c>
      <c r="CN125" s="28">
        <v>0</v>
      </c>
      <c r="CO125" s="28">
        <v>0</v>
      </c>
      <c r="CP125" s="28">
        <v>0</v>
      </c>
      <c r="CQ125" s="28">
        <v>0</v>
      </c>
      <c r="CR125" s="28">
        <f t="shared" si="91"/>
        <v>0</v>
      </c>
      <c r="CS125" s="28">
        <v>0</v>
      </c>
      <c r="CT125" s="28">
        <v>0</v>
      </c>
      <c r="CU125" s="28">
        <v>0</v>
      </c>
      <c r="CV125" s="28">
        <v>0</v>
      </c>
      <c r="CW125" s="28">
        <f t="shared" si="92"/>
        <v>0</v>
      </c>
      <c r="CX125" s="28">
        <v>0</v>
      </c>
      <c r="CY125" s="28">
        <v>0</v>
      </c>
      <c r="CZ125" s="28">
        <v>0</v>
      </c>
      <c r="DA125" s="28">
        <v>0</v>
      </c>
      <c r="DB125" s="28">
        <f t="shared" si="93"/>
        <v>0</v>
      </c>
      <c r="DC125" s="28">
        <f t="shared" si="93"/>
        <v>0</v>
      </c>
      <c r="DD125" s="28">
        <f t="shared" si="94"/>
        <v>0</v>
      </c>
      <c r="DE125" s="28">
        <v>0</v>
      </c>
      <c r="DF125" s="28">
        <v>0</v>
      </c>
      <c r="DG125" s="28">
        <f t="shared" si="83"/>
        <v>0</v>
      </c>
      <c r="DH125" s="28">
        <v>0</v>
      </c>
      <c r="DI125" s="28">
        <v>0</v>
      </c>
      <c r="DJ125" s="28">
        <v>0</v>
      </c>
      <c r="DK125" s="28">
        <v>0</v>
      </c>
      <c r="DL125" s="28">
        <f t="shared" si="84"/>
        <v>0</v>
      </c>
      <c r="DM125" s="28">
        <v>0</v>
      </c>
      <c r="DN125" s="28">
        <v>0</v>
      </c>
      <c r="DO125" s="28">
        <v>0</v>
      </c>
      <c r="DP125" s="28">
        <v>0</v>
      </c>
      <c r="DQ125" s="28">
        <f t="shared" si="95"/>
        <v>0</v>
      </c>
      <c r="DR125" s="28">
        <v>0</v>
      </c>
      <c r="DS125" s="28">
        <v>0</v>
      </c>
      <c r="DT125" s="28">
        <v>0</v>
      </c>
      <c r="DU125" s="28">
        <v>0</v>
      </c>
      <c r="DV125" s="28">
        <f t="shared" si="96"/>
        <v>0</v>
      </c>
      <c r="DW125" s="28">
        <v>0</v>
      </c>
      <c r="DX125" s="28">
        <v>0</v>
      </c>
      <c r="DY125" s="28">
        <v>0</v>
      </c>
      <c r="DZ125" s="28">
        <v>0</v>
      </c>
      <c r="EA125" s="28">
        <f t="shared" si="97"/>
        <v>0</v>
      </c>
      <c r="EB125" s="28">
        <v>0</v>
      </c>
      <c r="EC125" s="28">
        <v>0</v>
      </c>
      <c r="ED125" s="28">
        <v>0</v>
      </c>
      <c r="EE125" s="28">
        <v>0</v>
      </c>
      <c r="EF125" s="28">
        <f t="shared" si="98"/>
        <v>0</v>
      </c>
      <c r="EG125" s="28">
        <v>0</v>
      </c>
      <c r="EH125" s="28">
        <v>0</v>
      </c>
      <c r="EI125" s="28">
        <v>0</v>
      </c>
    </row>
    <row r="126" spans="1:139" ht="15" thickTop="1" x14ac:dyDescent="0.3">
      <c r="A126" s="1" t="s">
        <v>447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27">
        <v>0</v>
      </c>
      <c r="BK126" s="27">
        <v>0</v>
      </c>
      <c r="BL126" s="27">
        <v>0</v>
      </c>
      <c r="BM126" s="27">
        <v>0</v>
      </c>
      <c r="BN126" s="27">
        <f t="shared" si="85"/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f t="shared" si="86"/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f t="shared" si="87"/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f t="shared" si="88"/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f t="shared" si="89"/>
        <v>0</v>
      </c>
      <c r="CI126" s="27">
        <v>0</v>
      </c>
      <c r="CJ126" s="27">
        <v>0</v>
      </c>
      <c r="CK126" s="27">
        <v>0</v>
      </c>
      <c r="CL126" s="27">
        <v>0</v>
      </c>
      <c r="CM126" s="27">
        <f t="shared" si="90"/>
        <v>0</v>
      </c>
      <c r="CN126" s="27">
        <v>0</v>
      </c>
      <c r="CO126" s="27">
        <v>0</v>
      </c>
      <c r="CP126" s="27">
        <v>0</v>
      </c>
      <c r="CQ126" s="27">
        <v>0</v>
      </c>
      <c r="CR126" s="27">
        <f t="shared" si="91"/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f t="shared" si="92"/>
        <v>0</v>
      </c>
      <c r="CX126" s="27">
        <v>0</v>
      </c>
      <c r="CY126" s="27">
        <v>0</v>
      </c>
      <c r="CZ126" s="27">
        <v>0</v>
      </c>
      <c r="DA126" s="27">
        <v>0</v>
      </c>
      <c r="DB126" s="27">
        <f t="shared" si="93"/>
        <v>0</v>
      </c>
      <c r="DC126" s="27">
        <f t="shared" si="93"/>
        <v>0</v>
      </c>
      <c r="DD126" s="27">
        <f t="shared" si="94"/>
        <v>0</v>
      </c>
      <c r="DE126" s="27">
        <v>0</v>
      </c>
      <c r="DF126" s="27">
        <v>0</v>
      </c>
      <c r="DG126" s="27">
        <f t="shared" si="83"/>
        <v>0</v>
      </c>
      <c r="DH126" s="27">
        <v>0</v>
      </c>
      <c r="DI126" s="27">
        <v>0</v>
      </c>
      <c r="DJ126" s="27">
        <v>0</v>
      </c>
      <c r="DK126" s="27">
        <v>0</v>
      </c>
      <c r="DL126" s="27">
        <f t="shared" si="84"/>
        <v>0</v>
      </c>
      <c r="DM126" s="27">
        <v>0</v>
      </c>
      <c r="DN126" s="27">
        <v>0</v>
      </c>
      <c r="DO126" s="27">
        <v>0</v>
      </c>
      <c r="DP126" s="27">
        <v>0</v>
      </c>
      <c r="DQ126" s="27">
        <f t="shared" si="95"/>
        <v>0</v>
      </c>
      <c r="DR126" s="27">
        <v>0</v>
      </c>
      <c r="DS126" s="27">
        <v>0</v>
      </c>
      <c r="DT126" s="27">
        <v>0</v>
      </c>
      <c r="DU126" s="27">
        <v>0</v>
      </c>
      <c r="DV126" s="27">
        <f t="shared" si="96"/>
        <v>0</v>
      </c>
      <c r="DW126" s="27">
        <v>0</v>
      </c>
      <c r="DX126" s="27">
        <v>0</v>
      </c>
      <c r="DY126" s="27">
        <v>0</v>
      </c>
      <c r="DZ126" s="27">
        <v>0</v>
      </c>
      <c r="EA126" s="27">
        <f t="shared" si="97"/>
        <v>0</v>
      </c>
      <c r="EB126" s="27">
        <v>0</v>
      </c>
      <c r="EC126" s="27">
        <v>0</v>
      </c>
      <c r="ED126" s="27">
        <v>0</v>
      </c>
      <c r="EE126" s="27">
        <v>0</v>
      </c>
      <c r="EF126" s="27">
        <f t="shared" si="98"/>
        <v>0</v>
      </c>
      <c r="EG126" s="27">
        <v>0</v>
      </c>
      <c r="EH126" s="27">
        <v>0</v>
      </c>
      <c r="EI126" s="27">
        <v>0</v>
      </c>
    </row>
    <row r="127" spans="1:139" ht="15" thickBot="1" x14ac:dyDescent="0.35">
      <c r="A127" s="2" t="s">
        <v>448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28">
        <v>0</v>
      </c>
      <c r="BK127" s="28">
        <v>0</v>
      </c>
      <c r="BL127" s="28">
        <v>0</v>
      </c>
      <c r="BM127" s="28">
        <v>0</v>
      </c>
      <c r="BN127" s="28">
        <f t="shared" si="85"/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f t="shared" si="86"/>
        <v>0</v>
      </c>
      <c r="BT127" s="28">
        <v>0</v>
      </c>
      <c r="BU127" s="28">
        <v>0</v>
      </c>
      <c r="BV127" s="28">
        <v>0</v>
      </c>
      <c r="BW127" s="28">
        <v>0</v>
      </c>
      <c r="BX127" s="28">
        <f t="shared" si="87"/>
        <v>0</v>
      </c>
      <c r="BY127" s="28">
        <v>0</v>
      </c>
      <c r="BZ127" s="28">
        <v>0</v>
      </c>
      <c r="CA127" s="28">
        <v>0</v>
      </c>
      <c r="CB127" s="28">
        <v>0</v>
      </c>
      <c r="CC127" s="28">
        <f t="shared" si="88"/>
        <v>0</v>
      </c>
      <c r="CD127" s="28">
        <v>0</v>
      </c>
      <c r="CE127" s="28">
        <v>0</v>
      </c>
      <c r="CF127" s="28">
        <v>0</v>
      </c>
      <c r="CG127" s="28">
        <v>0</v>
      </c>
      <c r="CH127" s="28">
        <f t="shared" si="89"/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f t="shared" si="90"/>
        <v>0</v>
      </c>
      <c r="CN127" s="28">
        <v>0</v>
      </c>
      <c r="CO127" s="28">
        <v>0</v>
      </c>
      <c r="CP127" s="28">
        <v>0</v>
      </c>
      <c r="CQ127" s="28">
        <v>0</v>
      </c>
      <c r="CR127" s="28">
        <f t="shared" si="91"/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f t="shared" si="92"/>
        <v>0</v>
      </c>
      <c r="CX127" s="28">
        <v>0</v>
      </c>
      <c r="CY127" s="28">
        <v>0</v>
      </c>
      <c r="CZ127" s="28">
        <v>0</v>
      </c>
      <c r="DA127" s="28">
        <v>0</v>
      </c>
      <c r="DB127" s="28">
        <f t="shared" si="93"/>
        <v>0</v>
      </c>
      <c r="DC127" s="28">
        <f t="shared" si="93"/>
        <v>0</v>
      </c>
      <c r="DD127" s="28">
        <f t="shared" si="94"/>
        <v>0</v>
      </c>
      <c r="DE127" s="28">
        <v>0</v>
      </c>
      <c r="DF127" s="28">
        <v>0</v>
      </c>
      <c r="DG127" s="28">
        <f t="shared" si="83"/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f t="shared" si="84"/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f t="shared" si="95"/>
        <v>0</v>
      </c>
      <c r="DR127" s="28">
        <v>0</v>
      </c>
      <c r="DS127" s="28">
        <v>0</v>
      </c>
      <c r="DT127" s="28">
        <v>0</v>
      </c>
      <c r="DU127" s="28">
        <v>0</v>
      </c>
      <c r="DV127" s="28">
        <f t="shared" si="96"/>
        <v>0</v>
      </c>
      <c r="DW127" s="28">
        <v>0</v>
      </c>
      <c r="DX127" s="28">
        <v>0</v>
      </c>
      <c r="DY127" s="28">
        <v>0</v>
      </c>
      <c r="DZ127" s="28">
        <v>0</v>
      </c>
      <c r="EA127" s="28">
        <f t="shared" si="97"/>
        <v>0</v>
      </c>
      <c r="EB127" s="28">
        <v>0</v>
      </c>
      <c r="EC127" s="28">
        <v>0</v>
      </c>
      <c r="ED127" s="28">
        <v>0</v>
      </c>
      <c r="EE127" s="28">
        <v>0</v>
      </c>
      <c r="EF127" s="28">
        <f t="shared" si="98"/>
        <v>0</v>
      </c>
      <c r="EG127" s="28">
        <v>0</v>
      </c>
      <c r="EH127" s="28">
        <v>0</v>
      </c>
      <c r="EI127" s="28">
        <v>0</v>
      </c>
    </row>
    <row r="128" spans="1:139" ht="15" thickTop="1" x14ac:dyDescent="0.3">
      <c r="A128" s="1" t="s">
        <v>449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27">
        <v>0</v>
      </c>
      <c r="CK128" s="27"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7">
        <v>0</v>
      </c>
      <c r="DB128" s="27">
        <v>0</v>
      </c>
      <c r="DC128" s="27">
        <v>0</v>
      </c>
      <c r="DD128" s="27">
        <v>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7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f t="shared" ref="EA128:EA138" si="99">SUM(DW128:DZ128)</f>
        <v>0</v>
      </c>
      <c r="EB128" s="27">
        <v>0</v>
      </c>
      <c r="EC128" s="27">
        <v>0</v>
      </c>
      <c r="ED128" s="27">
        <v>0</v>
      </c>
      <c r="EE128" s="27">
        <v>0</v>
      </c>
      <c r="EF128" s="27">
        <f t="shared" si="98"/>
        <v>0</v>
      </c>
      <c r="EG128" s="27">
        <v>0</v>
      </c>
      <c r="EH128" s="27">
        <v>0</v>
      </c>
      <c r="EI128" s="27">
        <v>0</v>
      </c>
    </row>
    <row r="129" spans="1:139" ht="15" thickBot="1" x14ac:dyDescent="0.35">
      <c r="A129" s="2" t="s">
        <v>460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>
        <v>0</v>
      </c>
      <c r="EH129" s="28">
        <v>0</v>
      </c>
      <c r="EI129" s="28">
        <v>0</v>
      </c>
    </row>
    <row r="130" spans="1:139" ht="15" thickTop="1" x14ac:dyDescent="0.3">
      <c r="A130" s="1" t="s">
        <v>304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27">
        <v>0</v>
      </c>
      <c r="BK130" s="27">
        <v>0</v>
      </c>
      <c r="BL130" s="27">
        <v>0</v>
      </c>
      <c r="BM130" s="27">
        <v>0</v>
      </c>
      <c r="BN130" s="27">
        <f t="shared" si="85"/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f t="shared" si="86"/>
        <v>0</v>
      </c>
      <c r="BT130" s="27">
        <v>0</v>
      </c>
      <c r="BU130" s="27">
        <v>0</v>
      </c>
      <c r="BV130" s="27">
        <v>0</v>
      </c>
      <c r="BW130" s="27">
        <v>0.97967504499999991</v>
      </c>
      <c r="BX130" s="27">
        <f t="shared" si="87"/>
        <v>0.97967504499999991</v>
      </c>
      <c r="BY130" s="27">
        <v>0.96802069999999996</v>
      </c>
      <c r="BZ130" s="27">
        <v>-1.6113529099999999</v>
      </c>
      <c r="CA130" s="27">
        <v>0.86176669999999989</v>
      </c>
      <c r="CB130" s="27">
        <v>1.0197826900000004</v>
      </c>
      <c r="CC130" s="27">
        <f t="shared" si="88"/>
        <v>1.2382171800000004</v>
      </c>
      <c r="CD130" s="27">
        <v>1.0612848100000001</v>
      </c>
      <c r="CE130" s="27">
        <v>1.1206225599999997</v>
      </c>
      <c r="CF130" s="27">
        <v>1.1722391600000002</v>
      </c>
      <c r="CG130" s="27">
        <v>1.1846176199999996</v>
      </c>
      <c r="CH130" s="27">
        <f t="shared" si="89"/>
        <v>4.5387641499999996</v>
      </c>
      <c r="CI130" s="27">
        <v>1.1997648200000002</v>
      </c>
      <c r="CJ130" s="27">
        <v>1.5308827299999999</v>
      </c>
      <c r="CK130" s="27">
        <v>1.5455722800000002</v>
      </c>
      <c r="CL130" s="27">
        <v>1.5436410199999993</v>
      </c>
      <c r="CM130" s="27">
        <f t="shared" si="90"/>
        <v>5.8198608499999995</v>
      </c>
      <c r="CN130" s="27">
        <v>1.6021482200000001</v>
      </c>
      <c r="CO130" s="27">
        <v>1.3237888199999999</v>
      </c>
      <c r="CP130" s="27">
        <v>1.2160172600000001</v>
      </c>
      <c r="CQ130" s="27">
        <f>5.314-SUM(CN130:CP130)</f>
        <v>1.1720457</v>
      </c>
      <c r="CR130" s="27">
        <f t="shared" si="91"/>
        <v>5.3140000000000001</v>
      </c>
      <c r="CS130" s="27">
        <v>2.2090000000000001</v>
      </c>
      <c r="CT130" s="27">
        <f>4.295-CS130</f>
        <v>2.0859999999999999</v>
      </c>
      <c r="CU130" s="27">
        <f>6.325-SUM(CS130:CT130)</f>
        <v>2.0300000000000002</v>
      </c>
      <c r="CV130" s="27">
        <f>8.374-SUM(CS130:CU130)</f>
        <v>2.0490000000000004</v>
      </c>
      <c r="CW130" s="27">
        <f t="shared" si="92"/>
        <v>8.3740000000000006</v>
      </c>
      <c r="CX130" s="27">
        <v>2.0680000000000001</v>
      </c>
      <c r="CY130" s="27">
        <v>2.0019999999999998</v>
      </c>
      <c r="CZ130" s="27">
        <v>2.0310000000000001</v>
      </c>
      <c r="DA130" s="27">
        <v>2.0390000000000001</v>
      </c>
      <c r="DB130" s="27">
        <f t="shared" si="93"/>
        <v>8.14</v>
      </c>
      <c r="DC130" s="27">
        <v>1.9870000000000001</v>
      </c>
      <c r="DD130" s="27">
        <v>2.403</v>
      </c>
      <c r="DE130" s="27">
        <v>2.6</v>
      </c>
      <c r="DF130" s="27">
        <v>2.5369999999999999</v>
      </c>
      <c r="DG130" s="27">
        <f t="shared" ref="DG130:DG138" si="100">SUM(DC130:DF130)</f>
        <v>9.527000000000001</v>
      </c>
      <c r="DH130" s="27">
        <v>2.9940000000000002</v>
      </c>
      <c r="DI130" s="27">
        <v>2.5910000000000002</v>
      </c>
      <c r="DJ130" s="27">
        <v>2.6030000000000002</v>
      </c>
      <c r="DK130" s="27">
        <v>2.6480000000000001</v>
      </c>
      <c r="DL130" s="27">
        <f t="shared" ref="DL130:DL138" si="101">SUM(DH130:DK130)</f>
        <v>10.836</v>
      </c>
      <c r="DM130" s="27">
        <v>0.33</v>
      </c>
      <c r="DN130" s="27">
        <v>-5.3999999999999999E-2</v>
      </c>
      <c r="DO130" s="27">
        <v>-0.27600000000000002</v>
      </c>
      <c r="DP130" s="27">
        <v>-0.35099999999999998</v>
      </c>
      <c r="DQ130" s="27">
        <f t="shared" si="95"/>
        <v>-0.35099999999999998</v>
      </c>
      <c r="DR130" s="27">
        <v>0.122</v>
      </c>
      <c r="DS130" s="27">
        <v>0.123</v>
      </c>
      <c r="DT130" s="27">
        <v>0.13500000000000001</v>
      </c>
      <c r="DU130" s="27">
        <v>0.13100000000000001</v>
      </c>
      <c r="DV130" s="27">
        <f t="shared" si="96"/>
        <v>0.51100000000000001</v>
      </c>
      <c r="DW130" s="27">
        <v>0.13500000000000001</v>
      </c>
      <c r="DX130" s="27">
        <v>0.13600514999999999</v>
      </c>
      <c r="DY130" s="27">
        <v>0.11205570000000001</v>
      </c>
      <c r="DZ130" s="27">
        <v>0.10389263</v>
      </c>
      <c r="EA130" s="27">
        <f t="shared" si="99"/>
        <v>0.48695347999999999</v>
      </c>
      <c r="EB130" s="27">
        <f>(4344916.17+104898.13)/1000000</f>
        <v>4.4498142999999999</v>
      </c>
      <c r="EC130" s="27">
        <v>-4.4498142999999999</v>
      </c>
      <c r="ED130" s="27">
        <v>8.36</v>
      </c>
      <c r="EE130" s="27">
        <v>3.3454447699999985</v>
      </c>
      <c r="EF130" s="27">
        <f t="shared" si="98"/>
        <v>11.705444769999998</v>
      </c>
      <c r="EG130" s="27">
        <v>0.41209997999999998</v>
      </c>
      <c r="EH130" s="27">
        <v>0.37299734000000007</v>
      </c>
      <c r="EI130" s="27">
        <v>0.53060912999999987</v>
      </c>
    </row>
    <row r="131" spans="1:139" ht="15" thickBot="1" x14ac:dyDescent="0.35">
      <c r="A131" s="2" t="s">
        <v>305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28">
        <v>0</v>
      </c>
      <c r="BK131" s="28">
        <v>0</v>
      </c>
      <c r="BL131" s="28">
        <v>0</v>
      </c>
      <c r="BM131" s="28">
        <v>0</v>
      </c>
      <c r="BN131" s="28">
        <f t="shared" si="85"/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f t="shared" si="86"/>
        <v>0</v>
      </c>
      <c r="BT131" s="28">
        <v>0</v>
      </c>
      <c r="BU131" s="28">
        <v>0</v>
      </c>
      <c r="BV131" s="28">
        <v>0</v>
      </c>
      <c r="BW131" s="28">
        <v>0</v>
      </c>
      <c r="BX131" s="28">
        <f t="shared" si="87"/>
        <v>0</v>
      </c>
      <c r="BY131" s="28">
        <v>0</v>
      </c>
      <c r="BZ131" s="28">
        <v>0</v>
      </c>
      <c r="CA131" s="28">
        <v>0</v>
      </c>
      <c r="CB131" s="28">
        <v>0</v>
      </c>
      <c r="CC131" s="28">
        <f t="shared" si="88"/>
        <v>0</v>
      </c>
      <c r="CD131" s="28">
        <v>0</v>
      </c>
      <c r="CE131" s="28">
        <v>0</v>
      </c>
      <c r="CF131" s="28">
        <v>0</v>
      </c>
      <c r="CG131" s="28">
        <v>0</v>
      </c>
      <c r="CH131" s="28">
        <f t="shared" si="89"/>
        <v>0</v>
      </c>
      <c r="CI131" s="28">
        <v>0</v>
      </c>
      <c r="CJ131" s="28">
        <v>0</v>
      </c>
      <c r="CK131" s="28">
        <v>0</v>
      </c>
      <c r="CL131" s="28">
        <v>0</v>
      </c>
      <c r="CM131" s="28">
        <f t="shared" si="90"/>
        <v>0</v>
      </c>
      <c r="CN131" s="28">
        <v>0</v>
      </c>
      <c r="CO131" s="28">
        <v>0</v>
      </c>
      <c r="CP131" s="28">
        <v>0</v>
      </c>
      <c r="CQ131" s="28">
        <v>0</v>
      </c>
      <c r="CR131" s="28">
        <f t="shared" si="91"/>
        <v>0</v>
      </c>
      <c r="CS131" s="28">
        <v>0</v>
      </c>
      <c r="CT131" s="28">
        <v>0</v>
      </c>
      <c r="CU131" s="28">
        <v>0</v>
      </c>
      <c r="CV131" s="28">
        <v>0</v>
      </c>
      <c r="CW131" s="28">
        <f t="shared" si="92"/>
        <v>0</v>
      </c>
      <c r="CX131" s="28">
        <v>0</v>
      </c>
      <c r="CY131" s="28">
        <v>0</v>
      </c>
      <c r="CZ131" s="28">
        <v>0</v>
      </c>
      <c r="DA131" s="28">
        <v>0</v>
      </c>
      <c r="DB131" s="28">
        <f t="shared" si="93"/>
        <v>0</v>
      </c>
      <c r="DC131" s="28">
        <v>1E-3</v>
      </c>
      <c r="DD131" s="28">
        <v>0</v>
      </c>
      <c r="DE131" s="28">
        <v>1E-3</v>
      </c>
      <c r="DF131" s="28">
        <v>0</v>
      </c>
      <c r="DG131" s="28">
        <f t="shared" si="100"/>
        <v>2E-3</v>
      </c>
      <c r="DH131" s="28">
        <v>1E-3</v>
      </c>
      <c r="DI131" s="28">
        <v>0</v>
      </c>
      <c r="DJ131" s="28">
        <v>1E-3</v>
      </c>
      <c r="DK131" s="28">
        <v>1E-3</v>
      </c>
      <c r="DL131" s="28">
        <f t="shared" si="101"/>
        <v>3.0000000000000001E-3</v>
      </c>
      <c r="DM131" s="28">
        <v>1E-3</v>
      </c>
      <c r="DN131" s="28">
        <v>0</v>
      </c>
      <c r="DO131" s="28">
        <v>1E-3</v>
      </c>
      <c r="DP131" s="28">
        <v>0</v>
      </c>
      <c r="DQ131" s="28">
        <f t="shared" si="95"/>
        <v>2E-3</v>
      </c>
      <c r="DR131" s="28">
        <v>0</v>
      </c>
      <c r="DS131" s="28">
        <v>1E-3</v>
      </c>
      <c r="DT131" s="28">
        <v>1E-3</v>
      </c>
      <c r="DU131" s="28">
        <v>-2E-3</v>
      </c>
      <c r="DV131" s="28">
        <f t="shared" si="96"/>
        <v>0</v>
      </c>
      <c r="DW131" s="28">
        <v>0</v>
      </c>
      <c r="DX131" s="28">
        <v>0</v>
      </c>
      <c r="DY131" s="28">
        <v>0</v>
      </c>
      <c r="DZ131" s="28">
        <v>0</v>
      </c>
      <c r="EA131" s="28">
        <f t="shared" si="99"/>
        <v>0</v>
      </c>
      <c r="EB131" s="28">
        <v>0</v>
      </c>
      <c r="EC131" s="28">
        <v>0</v>
      </c>
      <c r="ED131" s="28">
        <v>0</v>
      </c>
      <c r="EE131" s="28">
        <v>2.9326790000000002E-2</v>
      </c>
      <c r="EF131" s="28">
        <f t="shared" si="98"/>
        <v>2.9326790000000002E-2</v>
      </c>
      <c r="EG131" s="28">
        <v>8.7980000000000003E-3</v>
      </c>
      <c r="EH131" s="28">
        <v>1.500927E-2</v>
      </c>
      <c r="EI131" s="28">
        <v>2.7428999999999995E-2</v>
      </c>
    </row>
    <row r="132" spans="1:139" ht="15" thickTop="1" x14ac:dyDescent="0.3">
      <c r="A132" s="1" t="s">
        <v>306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27">
        <v>0</v>
      </c>
      <c r="BK132" s="27">
        <v>0</v>
      </c>
      <c r="BL132" s="27">
        <v>0</v>
      </c>
      <c r="BM132" s="27">
        <v>0</v>
      </c>
      <c r="BN132" s="27">
        <f t="shared" si="85"/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f t="shared" si="86"/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f t="shared" si="87"/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f t="shared" si="88"/>
        <v>0</v>
      </c>
      <c r="CD132" s="27">
        <v>0</v>
      </c>
      <c r="CE132" s="27">
        <v>0</v>
      </c>
      <c r="CF132" s="27">
        <v>0</v>
      </c>
      <c r="CG132" s="27">
        <v>0</v>
      </c>
      <c r="CH132" s="27">
        <f t="shared" si="89"/>
        <v>0</v>
      </c>
      <c r="CI132" s="27">
        <v>0</v>
      </c>
      <c r="CJ132" s="27">
        <v>0</v>
      </c>
      <c r="CK132" s="27">
        <v>0</v>
      </c>
      <c r="CL132" s="27">
        <v>0</v>
      </c>
      <c r="CM132" s="27">
        <f t="shared" si="90"/>
        <v>0</v>
      </c>
      <c r="CN132" s="27">
        <v>0</v>
      </c>
      <c r="CO132" s="27">
        <v>0</v>
      </c>
      <c r="CP132" s="27">
        <v>0</v>
      </c>
      <c r="CQ132" s="27">
        <v>0</v>
      </c>
      <c r="CR132" s="27">
        <f t="shared" si="91"/>
        <v>0</v>
      </c>
      <c r="CS132" s="27">
        <v>0</v>
      </c>
      <c r="CT132" s="27">
        <v>0</v>
      </c>
      <c r="CU132" s="27">
        <v>0</v>
      </c>
      <c r="CV132" s="27">
        <v>0</v>
      </c>
      <c r="CW132" s="27">
        <f t="shared" si="92"/>
        <v>0</v>
      </c>
      <c r="CX132" s="27">
        <v>0</v>
      </c>
      <c r="CY132" s="27">
        <v>0</v>
      </c>
      <c r="CZ132" s="27">
        <v>0</v>
      </c>
      <c r="DA132" s="27">
        <v>0</v>
      </c>
      <c r="DB132" s="27">
        <f t="shared" si="93"/>
        <v>0</v>
      </c>
      <c r="DC132" s="27">
        <f t="shared" ref="DC132:DD135" si="102">SUM(CY132:DB132)</f>
        <v>0</v>
      </c>
      <c r="DD132" s="27">
        <f t="shared" si="102"/>
        <v>0</v>
      </c>
      <c r="DE132" s="27">
        <v>0</v>
      </c>
      <c r="DF132" s="27">
        <v>0</v>
      </c>
      <c r="DG132" s="27">
        <f t="shared" si="100"/>
        <v>0</v>
      </c>
      <c r="DH132" s="27">
        <v>1.532</v>
      </c>
      <c r="DI132" s="27">
        <v>1.532</v>
      </c>
      <c r="DJ132" s="27">
        <v>1.524</v>
      </c>
      <c r="DK132" s="27">
        <v>1.508</v>
      </c>
      <c r="DL132" s="27">
        <f t="shared" si="101"/>
        <v>6.0960000000000001</v>
      </c>
      <c r="DM132" s="27">
        <v>1.5</v>
      </c>
      <c r="DN132" s="27">
        <v>1.492</v>
      </c>
      <c r="DO132" s="27">
        <v>1.4950000000000001</v>
      </c>
      <c r="DP132" s="27">
        <v>1.484</v>
      </c>
      <c r="DQ132" s="27">
        <f t="shared" si="95"/>
        <v>5.9710000000000001</v>
      </c>
      <c r="DR132" s="27">
        <v>1.474</v>
      </c>
      <c r="DS132" s="27">
        <v>1.474</v>
      </c>
      <c r="DT132" s="27">
        <v>1.633</v>
      </c>
      <c r="DU132" s="27">
        <v>1.982</v>
      </c>
      <c r="DV132" s="27">
        <f t="shared" si="96"/>
        <v>6.5629999999999997</v>
      </c>
      <c r="DW132" s="27">
        <v>0.05</v>
      </c>
      <c r="DX132" s="27">
        <v>8.0365300000000001E-2</v>
      </c>
      <c r="DY132" s="27">
        <v>0.10193639</v>
      </c>
      <c r="DZ132" s="27">
        <v>0.17797267999999999</v>
      </c>
      <c r="EA132" s="27">
        <f t="shared" si="99"/>
        <v>0.41027437</v>
      </c>
      <c r="EB132" s="27">
        <v>0.20109405999999999</v>
      </c>
      <c r="EC132" s="27">
        <v>-0.20109405999999999</v>
      </c>
      <c r="ED132" s="27">
        <v>0.51700000000000002</v>
      </c>
      <c r="EE132" s="27">
        <v>0.15344416999999999</v>
      </c>
      <c r="EF132" s="27">
        <f t="shared" si="98"/>
        <v>0.67044417000000001</v>
      </c>
      <c r="EG132" s="27">
        <v>0.17812651000000002</v>
      </c>
      <c r="EH132" s="27">
        <v>0.18402108999999997</v>
      </c>
      <c r="EI132" s="27">
        <v>0.17726145000000007</v>
      </c>
    </row>
    <row r="133" spans="1:139" ht="15" thickBot="1" x14ac:dyDescent="0.35">
      <c r="A133" s="2" t="s">
        <v>323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28">
        <v>0</v>
      </c>
      <c r="BK133" s="28">
        <v>0</v>
      </c>
      <c r="BL133" s="28">
        <v>0</v>
      </c>
      <c r="BM133" s="28">
        <v>0</v>
      </c>
      <c r="BN133" s="28">
        <f t="shared" si="85"/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f t="shared" si="86"/>
        <v>0</v>
      </c>
      <c r="BT133" s="28">
        <v>0</v>
      </c>
      <c r="BU133" s="28">
        <v>0</v>
      </c>
      <c r="BV133" s="28">
        <v>0</v>
      </c>
      <c r="BW133" s="28">
        <v>0</v>
      </c>
      <c r="BX133" s="28">
        <f t="shared" si="87"/>
        <v>0</v>
      </c>
      <c r="BY133" s="28">
        <v>0</v>
      </c>
      <c r="BZ133" s="28">
        <v>0</v>
      </c>
      <c r="CA133" s="28">
        <v>0</v>
      </c>
      <c r="CB133" s="28">
        <v>0</v>
      </c>
      <c r="CC133" s="28">
        <f t="shared" si="88"/>
        <v>0</v>
      </c>
      <c r="CD133" s="28">
        <v>0</v>
      </c>
      <c r="CE133" s="28">
        <v>0</v>
      </c>
      <c r="CF133" s="28">
        <v>0</v>
      </c>
      <c r="CG133" s="28">
        <v>0</v>
      </c>
      <c r="CH133" s="28">
        <f t="shared" si="89"/>
        <v>0</v>
      </c>
      <c r="CI133" s="28">
        <v>0</v>
      </c>
      <c r="CJ133" s="28">
        <v>0</v>
      </c>
      <c r="CK133" s="28">
        <v>0</v>
      </c>
      <c r="CL133" s="28">
        <v>0</v>
      </c>
      <c r="CM133" s="28">
        <f t="shared" si="90"/>
        <v>0</v>
      </c>
      <c r="CN133" s="28">
        <v>0</v>
      </c>
      <c r="CO133" s="28">
        <v>0</v>
      </c>
      <c r="CP133" s="28">
        <v>0</v>
      </c>
      <c r="CQ133" s="28">
        <v>0</v>
      </c>
      <c r="CR133" s="28">
        <f t="shared" si="91"/>
        <v>0</v>
      </c>
      <c r="CS133" s="28">
        <v>0</v>
      </c>
      <c r="CT133" s="28">
        <v>0</v>
      </c>
      <c r="CU133" s="28">
        <v>0</v>
      </c>
      <c r="CV133" s="28">
        <v>0</v>
      </c>
      <c r="CW133" s="28">
        <f t="shared" si="92"/>
        <v>0</v>
      </c>
      <c r="CX133" s="28">
        <v>0</v>
      </c>
      <c r="CY133" s="28">
        <v>0</v>
      </c>
      <c r="CZ133" s="28">
        <v>0</v>
      </c>
      <c r="DA133" s="28">
        <v>0</v>
      </c>
      <c r="DB133" s="28">
        <f t="shared" si="93"/>
        <v>0</v>
      </c>
      <c r="DC133" s="28">
        <f t="shared" si="102"/>
        <v>0</v>
      </c>
      <c r="DD133" s="28">
        <f t="shared" si="102"/>
        <v>0</v>
      </c>
      <c r="DE133" s="28">
        <v>0</v>
      </c>
      <c r="DF133" s="28">
        <v>0</v>
      </c>
      <c r="DG133" s="28">
        <f t="shared" si="100"/>
        <v>0</v>
      </c>
      <c r="DH133" s="28">
        <f>SUM(DD133:DG133)</f>
        <v>0</v>
      </c>
      <c r="DI133" s="28">
        <v>0</v>
      </c>
      <c r="DJ133" s="28">
        <v>0</v>
      </c>
      <c r="DK133" s="28">
        <v>0</v>
      </c>
      <c r="DL133" s="28">
        <f t="shared" si="101"/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f t="shared" si="95"/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f t="shared" si="96"/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f t="shared" si="99"/>
        <v>0</v>
      </c>
      <c r="EB133" s="28">
        <v>0</v>
      </c>
      <c r="EC133" s="28">
        <v>0</v>
      </c>
      <c r="ED133" s="28">
        <v>0</v>
      </c>
      <c r="EE133" s="28">
        <v>0</v>
      </c>
      <c r="EF133" s="28">
        <f t="shared" si="98"/>
        <v>0</v>
      </c>
      <c r="EG133" s="28">
        <v>0</v>
      </c>
      <c r="EH133" s="28">
        <v>0</v>
      </c>
      <c r="EI133" s="28">
        <v>0</v>
      </c>
    </row>
    <row r="134" spans="1:139" ht="15" thickTop="1" x14ac:dyDescent="0.3">
      <c r="A134" s="1" t="s">
        <v>322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27">
        <v>0</v>
      </c>
      <c r="BK134" s="27">
        <v>0</v>
      </c>
      <c r="BL134" s="27">
        <v>0</v>
      </c>
      <c r="BM134" s="27">
        <v>0</v>
      </c>
      <c r="BN134" s="27">
        <f t="shared" si="85"/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f t="shared" si="86"/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f t="shared" si="87"/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f t="shared" si="88"/>
        <v>0</v>
      </c>
      <c r="CD134" s="27">
        <v>0</v>
      </c>
      <c r="CE134" s="27">
        <v>0</v>
      </c>
      <c r="CF134" s="27">
        <v>0</v>
      </c>
      <c r="CG134" s="27">
        <v>0</v>
      </c>
      <c r="CH134" s="27">
        <f t="shared" si="89"/>
        <v>0</v>
      </c>
      <c r="CI134" s="27">
        <v>0</v>
      </c>
      <c r="CJ134" s="27">
        <v>0</v>
      </c>
      <c r="CK134" s="27">
        <v>0</v>
      </c>
      <c r="CL134" s="27">
        <v>0</v>
      </c>
      <c r="CM134" s="27">
        <f t="shared" si="90"/>
        <v>0</v>
      </c>
      <c r="CN134" s="27">
        <v>0</v>
      </c>
      <c r="CO134" s="27">
        <v>0</v>
      </c>
      <c r="CP134" s="27">
        <v>0</v>
      </c>
      <c r="CQ134" s="27">
        <v>0</v>
      </c>
      <c r="CR134" s="27">
        <f t="shared" si="91"/>
        <v>0</v>
      </c>
      <c r="CS134" s="27">
        <v>0</v>
      </c>
      <c r="CT134" s="27">
        <v>0</v>
      </c>
      <c r="CU134" s="27">
        <v>0</v>
      </c>
      <c r="CV134" s="27">
        <v>0</v>
      </c>
      <c r="CW134" s="27">
        <f t="shared" si="92"/>
        <v>0</v>
      </c>
      <c r="CX134" s="27">
        <v>0</v>
      </c>
      <c r="CY134" s="27">
        <v>0</v>
      </c>
      <c r="CZ134" s="27">
        <v>0</v>
      </c>
      <c r="DA134" s="27">
        <v>0</v>
      </c>
      <c r="DB134" s="27">
        <f t="shared" si="93"/>
        <v>0</v>
      </c>
      <c r="DC134" s="27">
        <f t="shared" si="102"/>
        <v>0</v>
      </c>
      <c r="DD134" s="27">
        <f t="shared" si="102"/>
        <v>0</v>
      </c>
      <c r="DE134" s="27">
        <v>0</v>
      </c>
      <c r="DF134" s="27">
        <v>0</v>
      </c>
      <c r="DG134" s="27">
        <f t="shared" si="100"/>
        <v>0</v>
      </c>
      <c r="DH134" s="27">
        <f>SUM(DD134:DG134)</f>
        <v>0</v>
      </c>
      <c r="DI134" s="27">
        <v>0</v>
      </c>
      <c r="DJ134" s="27">
        <v>0</v>
      </c>
      <c r="DK134" s="27">
        <v>0</v>
      </c>
      <c r="DL134" s="27">
        <f t="shared" si="101"/>
        <v>0</v>
      </c>
      <c r="DM134" s="27">
        <v>0</v>
      </c>
      <c r="DN134" s="27">
        <v>0</v>
      </c>
      <c r="DO134" s="27">
        <v>0</v>
      </c>
      <c r="DP134" s="27">
        <v>0</v>
      </c>
      <c r="DQ134" s="27">
        <f t="shared" si="95"/>
        <v>0</v>
      </c>
      <c r="DR134" s="27">
        <v>0</v>
      </c>
      <c r="DS134" s="27">
        <v>0</v>
      </c>
      <c r="DT134" s="27">
        <v>0</v>
      </c>
      <c r="DU134" s="27">
        <v>0</v>
      </c>
      <c r="DV134" s="27">
        <f t="shared" si="96"/>
        <v>0</v>
      </c>
      <c r="DW134" s="27">
        <v>0</v>
      </c>
      <c r="DX134" s="27">
        <v>0</v>
      </c>
      <c r="DY134" s="27">
        <v>0</v>
      </c>
      <c r="DZ134" s="27">
        <v>0</v>
      </c>
      <c r="EA134" s="27">
        <f t="shared" si="99"/>
        <v>0</v>
      </c>
      <c r="EB134" s="27">
        <v>0</v>
      </c>
      <c r="EC134" s="27">
        <v>0</v>
      </c>
      <c r="ED134" s="27">
        <v>0</v>
      </c>
      <c r="EE134" s="27">
        <v>0</v>
      </c>
      <c r="EF134" s="27">
        <f t="shared" si="98"/>
        <v>0</v>
      </c>
      <c r="EG134" s="27">
        <v>0</v>
      </c>
      <c r="EH134" s="27">
        <v>0</v>
      </c>
      <c r="EI134" s="27">
        <v>0</v>
      </c>
    </row>
    <row r="135" spans="1:139" ht="15" thickBot="1" x14ac:dyDescent="0.35">
      <c r="A135" s="2" t="s">
        <v>370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28">
        <v>1.3489999999999999E-3</v>
      </c>
      <c r="BK135" s="28">
        <v>1.86784E-3</v>
      </c>
      <c r="BL135" s="28">
        <v>2.6218900000000004E-3</v>
      </c>
      <c r="BM135" s="28">
        <v>4.2594399999999998E-3</v>
      </c>
      <c r="BN135" s="28">
        <f t="shared" si="85"/>
        <v>1.009817E-2</v>
      </c>
      <c r="BO135" s="28">
        <v>1.9315869999999999E-2</v>
      </c>
      <c r="BP135" s="28">
        <v>0.39532373999999998</v>
      </c>
      <c r="BQ135" s="28">
        <v>0.22447297999999999</v>
      </c>
      <c r="BR135" s="28">
        <v>1.2819159199999999</v>
      </c>
      <c r="BS135" s="28">
        <f t="shared" si="86"/>
        <v>1.9210285099999997</v>
      </c>
      <c r="BT135" s="28">
        <v>0</v>
      </c>
      <c r="BU135" s="28">
        <v>0</v>
      </c>
      <c r="BV135" s="28">
        <v>0</v>
      </c>
      <c r="BW135" s="28">
        <v>0</v>
      </c>
      <c r="BX135" s="28">
        <f t="shared" si="87"/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f t="shared" si="88"/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f t="shared" si="89"/>
        <v>0</v>
      </c>
      <c r="CI135" s="28">
        <v>0</v>
      </c>
      <c r="CJ135" s="28">
        <v>0</v>
      </c>
      <c r="CK135" s="28">
        <v>0</v>
      </c>
      <c r="CL135" s="28">
        <v>0</v>
      </c>
      <c r="CM135" s="28">
        <f t="shared" si="90"/>
        <v>0</v>
      </c>
      <c r="CN135" s="28">
        <v>0</v>
      </c>
      <c r="CO135" s="28">
        <v>0</v>
      </c>
      <c r="CP135" s="28">
        <v>0</v>
      </c>
      <c r="CQ135" s="28">
        <v>0</v>
      </c>
      <c r="CR135" s="28">
        <f t="shared" si="91"/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f t="shared" si="92"/>
        <v>0</v>
      </c>
      <c r="CX135" s="28">
        <v>0</v>
      </c>
      <c r="CY135" s="28">
        <v>0</v>
      </c>
      <c r="CZ135" s="28">
        <v>0</v>
      </c>
      <c r="DA135" s="28">
        <v>0</v>
      </c>
      <c r="DB135" s="28">
        <f t="shared" si="93"/>
        <v>0</v>
      </c>
      <c r="DC135" s="28">
        <f t="shared" si="102"/>
        <v>0</v>
      </c>
      <c r="DD135" s="28">
        <f t="shared" si="102"/>
        <v>0</v>
      </c>
      <c r="DE135" s="28">
        <v>0</v>
      </c>
      <c r="DF135" s="28">
        <v>0</v>
      </c>
      <c r="DG135" s="28">
        <f t="shared" si="100"/>
        <v>0</v>
      </c>
      <c r="DH135" s="28">
        <f>SUM(DD135:DG135)</f>
        <v>0</v>
      </c>
      <c r="DI135" s="28">
        <v>0</v>
      </c>
      <c r="DJ135" s="28">
        <f>SUM(DF135:DI135)</f>
        <v>0</v>
      </c>
      <c r="DK135" s="28">
        <v>0</v>
      </c>
      <c r="DL135" s="28">
        <f t="shared" si="101"/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f t="shared" si="95"/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f t="shared" si="96"/>
        <v>0</v>
      </c>
      <c r="DW135" s="28">
        <v>0</v>
      </c>
      <c r="DX135" s="28">
        <v>0</v>
      </c>
      <c r="DY135" s="28">
        <v>0</v>
      </c>
      <c r="DZ135" s="28">
        <v>0</v>
      </c>
      <c r="EA135" s="28">
        <f t="shared" si="99"/>
        <v>0</v>
      </c>
      <c r="EB135" s="28">
        <v>0</v>
      </c>
      <c r="EC135" s="28">
        <v>0</v>
      </c>
      <c r="ED135" s="28">
        <v>0</v>
      </c>
      <c r="EE135" s="28">
        <v>0</v>
      </c>
      <c r="EF135" s="28">
        <f t="shared" si="98"/>
        <v>0</v>
      </c>
      <c r="EG135" s="28">
        <v>0</v>
      </c>
      <c r="EH135" s="28">
        <v>0</v>
      </c>
      <c r="EI135" s="28">
        <v>0</v>
      </c>
    </row>
    <row r="136" spans="1:139" ht="15" thickTop="1" x14ac:dyDescent="0.3">
      <c r="A136" s="1" t="s">
        <v>338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27">
        <v>0</v>
      </c>
      <c r="BK136" s="27">
        <v>0</v>
      </c>
      <c r="BL136" s="27">
        <v>0</v>
      </c>
      <c r="BM136" s="27">
        <v>0</v>
      </c>
      <c r="BN136" s="27">
        <f t="shared" si="85"/>
        <v>0</v>
      </c>
      <c r="BO136" s="27">
        <v>0</v>
      </c>
      <c r="BP136" s="27">
        <v>0</v>
      </c>
      <c r="BQ136" s="27">
        <v>0</v>
      </c>
      <c r="BR136" s="27">
        <v>2.154696486492</v>
      </c>
      <c r="BS136" s="27">
        <f t="shared" si="86"/>
        <v>2.154696486492</v>
      </c>
      <c r="BT136" s="27">
        <v>0</v>
      </c>
      <c r="BU136" s="27">
        <v>0</v>
      </c>
      <c r="BV136" s="27">
        <v>0</v>
      </c>
      <c r="BW136" s="27">
        <v>0</v>
      </c>
      <c r="BX136" s="27">
        <f t="shared" si="87"/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f t="shared" si="88"/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f t="shared" si="89"/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f t="shared" si="90"/>
        <v>0</v>
      </c>
      <c r="CN136" s="27">
        <v>0</v>
      </c>
      <c r="CO136" s="27">
        <v>0</v>
      </c>
      <c r="CP136" s="27">
        <v>0</v>
      </c>
      <c r="CQ136" s="27">
        <v>1E-3</v>
      </c>
      <c r="CR136" s="27">
        <f t="shared" si="91"/>
        <v>1E-3</v>
      </c>
      <c r="CS136" s="27">
        <v>1E-3</v>
      </c>
      <c r="CT136" s="27">
        <f>0.002-CS136</f>
        <v>1E-3</v>
      </c>
      <c r="CU136" s="27">
        <f>0.003-SUM(CS136:CT136)</f>
        <v>1E-3</v>
      </c>
      <c r="CV136" s="27">
        <f>0.004-SUM(CS136:CU136)</f>
        <v>1E-3</v>
      </c>
      <c r="CW136" s="27">
        <f t="shared" si="92"/>
        <v>4.0000000000000001E-3</v>
      </c>
      <c r="CX136" s="27">
        <v>1E-3</v>
      </c>
      <c r="CY136" s="27">
        <v>2E-3</v>
      </c>
      <c r="CZ136" s="27">
        <v>1E-3</v>
      </c>
      <c r="DA136" s="27">
        <v>1E-3</v>
      </c>
      <c r="DB136" s="27">
        <f t="shared" si="93"/>
        <v>5.0000000000000001E-3</v>
      </c>
      <c r="DC136" s="27">
        <v>1E-3</v>
      </c>
      <c r="DD136" s="27">
        <v>1E-3</v>
      </c>
      <c r="DE136" s="27">
        <v>1E-3</v>
      </c>
      <c r="DF136" s="27">
        <v>2E-3</v>
      </c>
      <c r="DG136" s="27">
        <f t="shared" si="100"/>
        <v>5.0000000000000001E-3</v>
      </c>
      <c r="DH136" s="27">
        <v>1E-3</v>
      </c>
      <c r="DI136" s="27">
        <v>1E-3</v>
      </c>
      <c r="DJ136" s="27">
        <v>1E-3</v>
      </c>
      <c r="DK136" s="27">
        <v>1E-3</v>
      </c>
      <c r="DL136" s="27">
        <f t="shared" si="101"/>
        <v>4.0000000000000001E-3</v>
      </c>
      <c r="DM136" s="27">
        <v>1E-3</v>
      </c>
      <c r="DN136" s="27">
        <v>1E-3</v>
      </c>
      <c r="DO136" s="27">
        <v>1E-3</v>
      </c>
      <c r="DP136" s="27">
        <v>1E-3</v>
      </c>
      <c r="DQ136" s="27">
        <f t="shared" si="95"/>
        <v>4.0000000000000001E-3</v>
      </c>
      <c r="DR136" s="27">
        <v>1E-3</v>
      </c>
      <c r="DS136" s="27">
        <v>1E-3</v>
      </c>
      <c r="DT136" s="27">
        <v>1E-3</v>
      </c>
      <c r="DU136" s="27">
        <v>-1E-3</v>
      </c>
      <c r="DV136" s="27">
        <f t="shared" si="96"/>
        <v>2E-3</v>
      </c>
      <c r="DW136" s="27">
        <v>1E-3</v>
      </c>
      <c r="DX136" s="27">
        <v>1.011E-3</v>
      </c>
      <c r="DY136" s="27">
        <v>1.0120000000000001E-3</v>
      </c>
      <c r="DZ136" s="27">
        <v>6.9965400000000007E-3</v>
      </c>
      <c r="EA136" s="27">
        <f t="shared" si="99"/>
        <v>1.001954E-2</v>
      </c>
      <c r="EB136" s="27">
        <v>1.8901939999999999E-2</v>
      </c>
      <c r="EC136" s="27">
        <v>1.8901000000000005E-2</v>
      </c>
      <c r="ED136" s="27">
        <v>1.9E-2</v>
      </c>
      <c r="EE136" s="27">
        <v>1.8901000000000001E-2</v>
      </c>
      <c r="EF136" s="27">
        <f t="shared" si="98"/>
        <v>7.5703940000000011E-2</v>
      </c>
      <c r="EG136" s="27">
        <v>1.8901999999999999E-2</v>
      </c>
      <c r="EH136" s="27">
        <v>1.8901000000000001E-2</v>
      </c>
      <c r="EI136" s="27">
        <v>1.8901999999999999E-2</v>
      </c>
    </row>
    <row r="137" spans="1:139" ht="15" thickBot="1" x14ac:dyDescent="0.35">
      <c r="A137" s="2" t="s">
        <v>331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28">
        <v>8.2387310000000005E-2</v>
      </c>
      <c r="BK137" s="28">
        <v>8.3724689999999977E-2</v>
      </c>
      <c r="BL137" s="28">
        <v>8.4754609999999994E-2</v>
      </c>
      <c r="BM137" s="28">
        <v>0.59763392000000015</v>
      </c>
      <c r="BN137" s="28">
        <f t="shared" si="85"/>
        <v>0.84850053000000014</v>
      </c>
      <c r="BO137" s="28">
        <v>0.21196497</v>
      </c>
      <c r="BP137" s="28">
        <v>0.23724965000000001</v>
      </c>
      <c r="BQ137" s="28">
        <v>0.27186056999999997</v>
      </c>
      <c r="BR137" s="28">
        <v>0.27641477000000003</v>
      </c>
      <c r="BS137" s="28">
        <f t="shared" si="86"/>
        <v>0.99748996000000001</v>
      </c>
      <c r="BT137" s="28">
        <v>0.27632441000000002</v>
      </c>
      <c r="BU137" s="28">
        <v>0.27886848000000003</v>
      </c>
      <c r="BV137" s="28">
        <v>0.27721785999999987</v>
      </c>
      <c r="BW137" s="28">
        <v>0.27806448</v>
      </c>
      <c r="BX137" s="28">
        <f t="shared" si="87"/>
        <v>1.11047523</v>
      </c>
      <c r="BY137" s="28">
        <v>0.15056797</v>
      </c>
      <c r="BZ137" s="28">
        <v>0.15147404000000003</v>
      </c>
      <c r="CA137" s="28">
        <v>0.15530639000000002</v>
      </c>
      <c r="CB137" s="28">
        <v>0.15066047999999993</v>
      </c>
      <c r="CC137" s="28">
        <f t="shared" si="88"/>
        <v>0.60800887999999997</v>
      </c>
      <c r="CD137" s="28">
        <v>0.15764157000000001</v>
      </c>
      <c r="CE137" s="28">
        <v>0.16254743999999999</v>
      </c>
      <c r="CF137" s="28">
        <v>0.16350753000000001</v>
      </c>
      <c r="CG137" s="28">
        <v>0.16067755</v>
      </c>
      <c r="CH137" s="28">
        <f t="shared" si="89"/>
        <v>0.64437409000000001</v>
      </c>
      <c r="CI137" s="28">
        <v>0.17291818</v>
      </c>
      <c r="CJ137" s="28">
        <v>0.17185724999999999</v>
      </c>
      <c r="CK137" s="28">
        <v>0.17128606000000005</v>
      </c>
      <c r="CL137" s="28">
        <v>0.17329901000000006</v>
      </c>
      <c r="CM137" s="28">
        <f t="shared" si="90"/>
        <v>0.68936050000000004</v>
      </c>
      <c r="CN137" s="28">
        <v>0.17393748000000001</v>
      </c>
      <c r="CO137" s="28">
        <v>0.16858717000000004</v>
      </c>
      <c r="CP137" s="28">
        <v>0.15908836000000001</v>
      </c>
      <c r="CQ137" s="28">
        <f>0.659-SUM(CN137:CP137)</f>
        <v>0.15738699</v>
      </c>
      <c r="CR137" s="28">
        <f t="shared" si="91"/>
        <v>0.65900000000000003</v>
      </c>
      <c r="CS137" s="28">
        <v>0.16813598999999999</v>
      </c>
      <c r="CT137" s="28">
        <v>0.16538715000000001</v>
      </c>
      <c r="CU137" s="28">
        <v>0.16923654000000002</v>
      </c>
      <c r="CV137" s="28">
        <v>0.17099</v>
      </c>
      <c r="CW137" s="28">
        <f t="shared" si="92"/>
        <v>0.67374968000000002</v>
      </c>
      <c r="CX137" s="28">
        <v>0.17100000000000001</v>
      </c>
      <c r="CY137" s="28">
        <v>0.16900000000000001</v>
      </c>
      <c r="CZ137" s="28">
        <v>0.16400000000000001</v>
      </c>
      <c r="DA137" s="28">
        <v>0.161</v>
      </c>
      <c r="DB137" s="28">
        <f t="shared" si="93"/>
        <v>0.66500000000000004</v>
      </c>
      <c r="DC137" s="28">
        <v>0.152</v>
      </c>
      <c r="DD137" s="28">
        <v>0.14799999999999999</v>
      </c>
      <c r="DE137" s="28">
        <v>0.14399999999999999</v>
      </c>
      <c r="DF137" s="28">
        <v>0.14299999999999999</v>
      </c>
      <c r="DG137" s="28">
        <f t="shared" si="100"/>
        <v>0.58699999999999997</v>
      </c>
      <c r="DH137" s="28">
        <v>0.41899999999999998</v>
      </c>
      <c r="DI137" s="28">
        <v>0.42299999999999999</v>
      </c>
      <c r="DJ137" s="28">
        <v>0.30599999999999999</v>
      </c>
      <c r="DK137" s="28">
        <v>0.19600000000000001</v>
      </c>
      <c r="DL137" s="28">
        <f t="shared" si="101"/>
        <v>1.3439999999999999</v>
      </c>
      <c r="DM137" s="28">
        <v>0.155</v>
      </c>
      <c r="DN137" s="28">
        <v>0.34799999999999998</v>
      </c>
      <c r="DO137" s="28">
        <v>0.41299999999999998</v>
      </c>
      <c r="DP137" s="28">
        <v>0.40899999999999997</v>
      </c>
      <c r="DQ137" s="28">
        <f t="shared" si="95"/>
        <v>1.325</v>
      </c>
      <c r="DR137" s="28">
        <v>0.38200000000000001</v>
      </c>
      <c r="DS137" s="28">
        <v>0.35199999999999998</v>
      </c>
      <c r="DT137" s="28">
        <v>0.35299999999999998</v>
      </c>
      <c r="DU137" s="28">
        <v>0.35899999999999999</v>
      </c>
      <c r="DV137" s="28">
        <f t="shared" si="96"/>
        <v>1.446</v>
      </c>
      <c r="DW137" s="28">
        <v>0.621</v>
      </c>
      <c r="DX137" s="28">
        <v>0.39033443000000001</v>
      </c>
      <c r="DY137" s="28">
        <v>0.50802173000000006</v>
      </c>
      <c r="DZ137" s="28">
        <v>0.46289194999999994</v>
      </c>
      <c r="EA137" s="28">
        <f t="shared" si="99"/>
        <v>1.98224811</v>
      </c>
      <c r="EB137" s="28">
        <v>0.61245207999999995</v>
      </c>
      <c r="EC137" s="28">
        <v>0.56996354999999999</v>
      </c>
      <c r="ED137" s="28">
        <v>0.53100000000000003</v>
      </c>
      <c r="EE137" s="28">
        <v>0.68733298999999981</v>
      </c>
      <c r="EF137" s="28">
        <f t="shared" si="98"/>
        <v>2.4007486199999999</v>
      </c>
      <c r="EG137" s="28">
        <v>0.58499970999999995</v>
      </c>
      <c r="EH137" s="28">
        <v>0.58682347999999995</v>
      </c>
      <c r="EI137" s="28">
        <v>0.58810711000000016</v>
      </c>
    </row>
    <row r="138" spans="1:139" ht="15" thickTop="1" x14ac:dyDescent="0.3">
      <c r="A138" s="1" t="s">
        <v>308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27">
        <v>0</v>
      </c>
      <c r="BK138" s="27">
        <v>0</v>
      </c>
      <c r="BL138" s="27">
        <v>0</v>
      </c>
      <c r="BM138" s="27">
        <v>0</v>
      </c>
      <c r="BN138" s="27">
        <f t="shared" si="85"/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f t="shared" si="86"/>
        <v>0</v>
      </c>
      <c r="BT138" s="27">
        <v>0.1</v>
      </c>
      <c r="BU138" s="27">
        <v>0.1</v>
      </c>
      <c r="BV138" s="27">
        <v>0.1</v>
      </c>
      <c r="BW138" s="27">
        <v>0.2</v>
      </c>
      <c r="BX138" s="27">
        <f t="shared" si="87"/>
        <v>0.5</v>
      </c>
      <c r="BY138" s="27">
        <v>0.1</v>
      </c>
      <c r="BZ138" s="27">
        <v>0.16652924</v>
      </c>
      <c r="CA138" s="27">
        <v>0.2</v>
      </c>
      <c r="CB138" s="27">
        <v>0.2</v>
      </c>
      <c r="CC138" s="27">
        <f t="shared" si="88"/>
        <v>0.66652924000000002</v>
      </c>
      <c r="CD138" s="27">
        <v>0.2</v>
      </c>
      <c r="CE138" s="27">
        <v>0.1</v>
      </c>
      <c r="CF138" s="27">
        <v>0.1</v>
      </c>
      <c r="CG138" s="27">
        <v>0.2</v>
      </c>
      <c r="CH138" s="27">
        <f t="shared" si="89"/>
        <v>0.60000000000000009</v>
      </c>
      <c r="CI138" s="27">
        <v>0</v>
      </c>
      <c r="CJ138" s="27">
        <v>0</v>
      </c>
      <c r="CK138" s="27">
        <v>0</v>
      </c>
      <c r="CL138" s="27">
        <v>0</v>
      </c>
      <c r="CM138" s="27">
        <f t="shared" si="90"/>
        <v>0</v>
      </c>
      <c r="CN138" s="27">
        <v>0</v>
      </c>
      <c r="CO138" s="27">
        <v>0</v>
      </c>
      <c r="CP138" s="27">
        <v>0</v>
      </c>
      <c r="CQ138" s="27">
        <v>0</v>
      </c>
      <c r="CR138" s="27">
        <f t="shared" si="91"/>
        <v>0</v>
      </c>
      <c r="CS138" s="27">
        <v>0</v>
      </c>
      <c r="CT138" s="27">
        <v>0</v>
      </c>
      <c r="CU138" s="27">
        <v>0</v>
      </c>
      <c r="CV138" s="27">
        <v>0</v>
      </c>
      <c r="CW138" s="27">
        <f t="shared" si="92"/>
        <v>0</v>
      </c>
      <c r="CX138" s="27">
        <v>0</v>
      </c>
      <c r="CY138" s="27">
        <v>0</v>
      </c>
      <c r="CZ138" s="27">
        <v>0</v>
      </c>
      <c r="DA138" s="27">
        <v>0</v>
      </c>
      <c r="DB138" s="27">
        <f t="shared" si="93"/>
        <v>0</v>
      </c>
      <c r="DC138" s="27">
        <f>SUM(CY138:DB138)</f>
        <v>0</v>
      </c>
      <c r="DD138" s="27">
        <f>SUM(CZ138:DC138)</f>
        <v>0</v>
      </c>
      <c r="DE138" s="27">
        <v>0</v>
      </c>
      <c r="DF138" s="27">
        <v>0</v>
      </c>
      <c r="DG138" s="27">
        <f t="shared" si="100"/>
        <v>0</v>
      </c>
      <c r="DH138" s="27">
        <v>0</v>
      </c>
      <c r="DI138" s="27">
        <v>0</v>
      </c>
      <c r="DJ138" s="27">
        <v>0</v>
      </c>
      <c r="DK138" s="27">
        <v>0</v>
      </c>
      <c r="DL138" s="27">
        <f t="shared" si="101"/>
        <v>0</v>
      </c>
      <c r="DM138" s="27">
        <v>0</v>
      </c>
      <c r="DN138" s="27">
        <v>0</v>
      </c>
      <c r="DO138" s="27">
        <v>0</v>
      </c>
      <c r="DP138" s="27">
        <v>-0.26800000000000002</v>
      </c>
      <c r="DQ138" s="27">
        <f t="shared" si="95"/>
        <v>-0.26800000000000002</v>
      </c>
      <c r="DR138" s="27">
        <v>-0.24199999999999999</v>
      </c>
      <c r="DS138" s="27">
        <v>-0.24199999999999999</v>
      </c>
      <c r="DT138" s="27">
        <v>-0.24199999999999999</v>
      </c>
      <c r="DU138" s="27">
        <v>-0.24199999999999999</v>
      </c>
      <c r="DV138" s="27">
        <f t="shared" si="96"/>
        <v>-0.96799999999999997</v>
      </c>
      <c r="DW138" s="27">
        <v>-0.16200000000000001</v>
      </c>
      <c r="DX138" s="27">
        <v>-0.16199379000000003</v>
      </c>
      <c r="DY138" s="27">
        <v>-0.16199378999999997</v>
      </c>
      <c r="DZ138" s="27">
        <v>0.48598136999999997</v>
      </c>
      <c r="EA138" s="27">
        <f t="shared" si="99"/>
        <v>-6.2100000000619993E-6</v>
      </c>
      <c r="EB138" s="27">
        <v>0</v>
      </c>
      <c r="EC138" s="27">
        <v>0</v>
      </c>
      <c r="ED138" s="27">
        <v>0</v>
      </c>
      <c r="EE138" s="27">
        <v>0</v>
      </c>
      <c r="EF138" s="27">
        <f t="shared" si="98"/>
        <v>0</v>
      </c>
      <c r="EG138" s="27">
        <v>0</v>
      </c>
      <c r="EH138" s="27">
        <v>0</v>
      </c>
      <c r="EI138" s="27">
        <v>0</v>
      </c>
    </row>
    <row r="139" spans="1:139" x14ac:dyDescent="0.3">
      <c r="A139" s="5" t="s">
        <v>311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29">
        <f t="shared" ref="BJ139:CW139" si="103">SUM(BJ116:BJ138)</f>
        <v>8.3736310000000008E-2</v>
      </c>
      <c r="BK139" s="29">
        <f t="shared" si="103"/>
        <v>8.5592529999999972E-2</v>
      </c>
      <c r="BL139" s="29">
        <f t="shared" si="103"/>
        <v>8.7376499999999996E-2</v>
      </c>
      <c r="BM139" s="29">
        <f t="shared" si="103"/>
        <v>0.59991026000000014</v>
      </c>
      <c r="BN139" s="29">
        <f t="shared" si="103"/>
        <v>0.85661560000000014</v>
      </c>
      <c r="BO139" s="29">
        <f t="shared" si="103"/>
        <v>0.23128083999999999</v>
      </c>
      <c r="BP139" s="29">
        <f t="shared" si="103"/>
        <v>0.63257339000000001</v>
      </c>
      <c r="BQ139" s="29">
        <f t="shared" si="103"/>
        <v>0.49633354999999996</v>
      </c>
      <c r="BR139" s="29">
        <f t="shared" si="103"/>
        <v>3.713027176492</v>
      </c>
      <c r="BS139" s="29">
        <f t="shared" si="103"/>
        <v>5.0732149564919995</v>
      </c>
      <c r="BT139" s="29">
        <f t="shared" si="103"/>
        <v>0.60231796000000004</v>
      </c>
      <c r="BU139" s="29">
        <f t="shared" si="103"/>
        <v>0.38385949000000008</v>
      </c>
      <c r="BV139" s="29">
        <f t="shared" si="103"/>
        <v>0.38303739999999986</v>
      </c>
      <c r="BW139" s="29">
        <f t="shared" si="103"/>
        <v>1.278041185</v>
      </c>
      <c r="BX139" s="29">
        <f t="shared" si="103"/>
        <v>2.6472560349999998</v>
      </c>
      <c r="BY139" s="29">
        <f t="shared" si="103"/>
        <v>1.2783496300000001</v>
      </c>
      <c r="BZ139" s="29">
        <f t="shared" si="103"/>
        <v>-1.2933496299999998</v>
      </c>
      <c r="CA139" s="29">
        <f t="shared" si="103"/>
        <v>1.45045622</v>
      </c>
      <c r="CB139" s="29">
        <f t="shared" si="103"/>
        <v>2.0097422900000006</v>
      </c>
      <c r="CC139" s="29">
        <f t="shared" si="103"/>
        <v>3.44519851</v>
      </c>
      <c r="CD139" s="29">
        <f t="shared" si="103"/>
        <v>3.49436254</v>
      </c>
      <c r="CE139" s="29">
        <f t="shared" si="103"/>
        <v>-0.69232293000000011</v>
      </c>
      <c r="CF139" s="29">
        <f t="shared" si="103"/>
        <v>2.66392557</v>
      </c>
      <c r="CG139" s="29">
        <f t="shared" si="103"/>
        <v>1.5453519399999995</v>
      </c>
      <c r="CH139" s="29">
        <f t="shared" si="103"/>
        <v>7.0113171199999993</v>
      </c>
      <c r="CI139" s="29">
        <f t="shared" si="103"/>
        <v>1.3726830000000001</v>
      </c>
      <c r="CJ139" s="29">
        <f t="shared" si="103"/>
        <v>1.7024572399999998</v>
      </c>
      <c r="CK139" s="29">
        <f t="shared" si="103"/>
        <v>1.7171410800000004</v>
      </c>
      <c r="CL139" s="29">
        <f t="shared" si="103"/>
        <v>1.7166572899999992</v>
      </c>
      <c r="CM139" s="29">
        <f t="shared" si="103"/>
        <v>6.5089386099999995</v>
      </c>
      <c r="CN139" s="29">
        <f t="shared" si="103"/>
        <v>1.2373490700000003</v>
      </c>
      <c r="CO139" s="29">
        <f t="shared" si="103"/>
        <v>2.6583393000000002</v>
      </c>
      <c r="CP139" s="29">
        <f t="shared" si="103"/>
        <v>2.3669305400000002</v>
      </c>
      <c r="CQ139" s="29">
        <f t="shared" si="103"/>
        <v>-0.28861890999999995</v>
      </c>
      <c r="CR139" s="29">
        <f t="shared" si="103"/>
        <v>5.9740000000000002</v>
      </c>
      <c r="CS139" s="29">
        <f t="shared" si="103"/>
        <v>2.3781359900000001</v>
      </c>
      <c r="CT139" s="29">
        <f t="shared" si="103"/>
        <v>2.2523871499999997</v>
      </c>
      <c r="CU139" s="29">
        <f t="shared" si="103"/>
        <v>2.2002365400000001</v>
      </c>
      <c r="CV139" s="29">
        <f t="shared" si="103"/>
        <v>2.2209900000000005</v>
      </c>
      <c r="CW139" s="29">
        <f t="shared" si="103"/>
        <v>9.0517496800000004</v>
      </c>
      <c r="CX139" s="29">
        <f>SUM(CX116:CX138)</f>
        <v>2.2399999999999998</v>
      </c>
      <c r="CY139" s="29">
        <f>SUM(CY116:CY138)</f>
        <v>2.1729999999999996</v>
      </c>
      <c r="CZ139" s="29">
        <f>SUM(CZ116:CZ138)</f>
        <v>2.1960000000000002</v>
      </c>
      <c r="DA139" s="29">
        <f t="shared" ref="DA139:DT139" si="104">SUM(DA116:DA138)</f>
        <v>2.2010000000000001</v>
      </c>
      <c r="DB139" s="29">
        <f t="shared" si="104"/>
        <v>8.8100000000000023</v>
      </c>
      <c r="DC139" s="29">
        <f t="shared" si="104"/>
        <v>2.141</v>
      </c>
      <c r="DD139" s="29">
        <f t="shared" si="104"/>
        <v>2.8180000000000001</v>
      </c>
      <c r="DE139" s="29">
        <f t="shared" si="104"/>
        <v>2.48</v>
      </c>
      <c r="DF139" s="29">
        <f t="shared" si="104"/>
        <v>2.6819999999999995</v>
      </c>
      <c r="DG139" s="29">
        <f t="shared" si="104"/>
        <v>10.121000000000002</v>
      </c>
      <c r="DH139" s="29">
        <f t="shared" si="104"/>
        <v>4.9470000000000001</v>
      </c>
      <c r="DI139" s="29">
        <f t="shared" si="104"/>
        <v>4.5470000000000006</v>
      </c>
      <c r="DJ139" s="29">
        <f t="shared" si="104"/>
        <v>4.4350000000000005</v>
      </c>
      <c r="DK139" s="29">
        <f t="shared" si="104"/>
        <v>4.3540000000000001</v>
      </c>
      <c r="DL139" s="29">
        <f t="shared" si="104"/>
        <v>18.283000000000005</v>
      </c>
      <c r="DM139" s="29">
        <f t="shared" si="104"/>
        <v>1.9869999999999999</v>
      </c>
      <c r="DN139" s="29">
        <f t="shared" si="104"/>
        <v>1.7869999999999999</v>
      </c>
      <c r="DO139" s="29">
        <f t="shared" si="104"/>
        <v>1.6340000000000001</v>
      </c>
      <c r="DP139" s="29">
        <f t="shared" si="104"/>
        <v>1.2749999999999999</v>
      </c>
      <c r="DQ139" s="29">
        <f t="shared" si="104"/>
        <v>6.6829999999999998</v>
      </c>
      <c r="DR139" s="29">
        <f t="shared" si="104"/>
        <v>1.7370000000000001</v>
      </c>
      <c r="DS139" s="29">
        <f t="shared" si="104"/>
        <v>1.7089999999999996</v>
      </c>
      <c r="DT139" s="29">
        <f t="shared" si="104"/>
        <v>1.8810000000000002</v>
      </c>
      <c r="DU139" s="29">
        <f t="shared" ref="DU139:EA139" si="105">SUM(DU116:DU138)</f>
        <v>2.2610000000000001</v>
      </c>
      <c r="DV139" s="29">
        <f t="shared" si="105"/>
        <v>7.5879999999999992</v>
      </c>
      <c r="DW139" s="29">
        <f t="shared" si="105"/>
        <v>0.64699999999999991</v>
      </c>
      <c r="DX139" s="29">
        <f t="shared" si="105"/>
        <v>0.44726639999999995</v>
      </c>
      <c r="DY139" s="29">
        <f t="shared" si="105"/>
        <v>0.56230338000000013</v>
      </c>
      <c r="DZ139" s="29">
        <f t="shared" si="105"/>
        <v>1.23900656</v>
      </c>
      <c r="EA139" s="29">
        <f t="shared" si="105"/>
        <v>2.8955763400000003</v>
      </c>
      <c r="EB139" s="29">
        <f>SUM(EB116:EB138)</f>
        <v>5.2835337899999999</v>
      </c>
      <c r="EC139" s="29">
        <f>SUM(EC116:EC138)</f>
        <v>-4.0609159200000002</v>
      </c>
      <c r="ED139" s="29">
        <f>SUM(ED116:ED138)</f>
        <v>9.4249999999999989</v>
      </c>
      <c r="EE139" s="29">
        <f>SUM(EE116:EE138)</f>
        <v>4.2385775599999977</v>
      </c>
      <c r="EF139" s="29">
        <f t="shared" ref="EF139" si="106">SUM(EF116:EF138)</f>
        <v>14.886195429999999</v>
      </c>
      <c r="EG139" s="29">
        <f>SUM(EG116:EG138)</f>
        <v>1.2029261999999998</v>
      </c>
      <c r="EH139" s="29">
        <f>SUM(EH116:EH138)</f>
        <v>1.1777521800000001</v>
      </c>
      <c r="EI139" s="29">
        <f>SUM(EI116:EI138)</f>
        <v>1.3423086900000001</v>
      </c>
    </row>
    <row r="140" spans="1:139" x14ac:dyDescent="0.3">
      <c r="BZ140" s="33"/>
      <c r="CA140" s="33"/>
      <c r="CR140" s="33"/>
      <c r="CS140" s="4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</row>
    <row r="141" spans="1:139" x14ac:dyDescent="0.3">
      <c r="BZ141" s="33"/>
      <c r="CA141" s="46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</row>
    <row r="142" spans="1:139" x14ac:dyDescent="0.3">
      <c r="A142" s="3" t="s">
        <v>371</v>
      </c>
      <c r="B142" s="6" t="s">
        <v>4</v>
      </c>
      <c r="C142" s="6" t="s">
        <v>5</v>
      </c>
      <c r="D142" s="6" t="s">
        <v>6</v>
      </c>
      <c r="E142" s="6" t="s">
        <v>7</v>
      </c>
      <c r="F142" s="6">
        <v>2018</v>
      </c>
      <c r="G142" s="6" t="s">
        <v>8</v>
      </c>
      <c r="H142" s="6" t="s">
        <v>9</v>
      </c>
      <c r="I142" s="6" t="s">
        <v>10</v>
      </c>
      <c r="J142" s="6" t="s">
        <v>11</v>
      </c>
      <c r="K142" s="6">
        <v>2019</v>
      </c>
      <c r="L142" s="6" t="s">
        <v>12</v>
      </c>
      <c r="M142" s="6" t="s">
        <v>13</v>
      </c>
      <c r="N142" s="6" t="s">
        <v>14</v>
      </c>
      <c r="O142" s="6" t="s">
        <v>15</v>
      </c>
      <c r="P142" s="6">
        <v>2000</v>
      </c>
      <c r="Q142" s="6" t="s">
        <v>16</v>
      </c>
      <c r="R142" s="6" t="s">
        <v>17</v>
      </c>
      <c r="S142" s="6" t="s">
        <v>18</v>
      </c>
      <c r="T142" s="6" t="s">
        <v>19</v>
      </c>
      <c r="U142" s="6">
        <v>2001</v>
      </c>
      <c r="V142" s="6" t="s">
        <v>20</v>
      </c>
      <c r="W142" s="6" t="s">
        <v>21</v>
      </c>
      <c r="X142" s="6" t="s">
        <v>22</v>
      </c>
      <c r="Y142" s="6" t="s">
        <v>23</v>
      </c>
      <c r="Z142" s="6">
        <v>2002</v>
      </c>
      <c r="AA142" s="6" t="s">
        <v>24</v>
      </c>
      <c r="AB142" s="6" t="s">
        <v>25</v>
      </c>
      <c r="AC142" s="6" t="s">
        <v>26</v>
      </c>
      <c r="AD142" s="6" t="s">
        <v>27</v>
      </c>
      <c r="AE142" s="6">
        <v>2003</v>
      </c>
      <c r="AF142" s="6" t="s">
        <v>28</v>
      </c>
      <c r="AG142" s="6" t="s">
        <v>29</v>
      </c>
      <c r="AH142" s="6" t="s">
        <v>30</v>
      </c>
      <c r="AI142" s="6" t="s">
        <v>31</v>
      </c>
      <c r="AJ142" s="6">
        <v>2004</v>
      </c>
      <c r="AK142" s="6" t="s">
        <v>32</v>
      </c>
      <c r="AL142" s="6" t="s">
        <v>33</v>
      </c>
      <c r="AM142" s="6" t="s">
        <v>34</v>
      </c>
      <c r="AN142" s="6" t="s">
        <v>35</v>
      </c>
      <c r="AO142" s="6">
        <v>2005</v>
      </c>
      <c r="AP142" s="6" t="s">
        <v>36</v>
      </c>
      <c r="AQ142" s="6" t="s">
        <v>37</v>
      </c>
      <c r="AR142" s="6" t="s">
        <v>38</v>
      </c>
      <c r="AS142" s="6" t="s">
        <v>39</v>
      </c>
      <c r="AT142" s="6">
        <v>2006</v>
      </c>
      <c r="AU142" s="6" t="s">
        <v>40</v>
      </c>
      <c r="AV142" s="6" t="s">
        <v>41</v>
      </c>
      <c r="AW142" s="6" t="s">
        <v>42</v>
      </c>
      <c r="AX142" s="6" t="s">
        <v>43</v>
      </c>
      <c r="AY142" s="6">
        <v>2007</v>
      </c>
      <c r="AZ142" s="6" t="s">
        <v>44</v>
      </c>
      <c r="BA142" s="6" t="s">
        <v>45</v>
      </c>
      <c r="BB142" s="6" t="s">
        <v>46</v>
      </c>
      <c r="BC142" s="6" t="s">
        <v>47</v>
      </c>
      <c r="BD142" s="6">
        <v>2008</v>
      </c>
      <c r="BE142" s="6" t="s">
        <v>48</v>
      </c>
      <c r="BF142" s="6" t="s">
        <v>49</v>
      </c>
      <c r="BG142" s="6" t="s">
        <v>50</v>
      </c>
      <c r="BH142" s="6" t="s">
        <v>51</v>
      </c>
      <c r="BI142" s="6">
        <v>2009</v>
      </c>
      <c r="BJ142" s="6" t="s">
        <v>52</v>
      </c>
      <c r="BK142" s="6" t="s">
        <v>53</v>
      </c>
      <c r="BL142" s="6" t="s">
        <v>54</v>
      </c>
      <c r="BM142" s="6" t="s">
        <v>55</v>
      </c>
      <c r="BN142" s="6">
        <v>2010</v>
      </c>
      <c r="BO142" s="6" t="s">
        <v>56</v>
      </c>
      <c r="BP142" s="6" t="s">
        <v>57</v>
      </c>
      <c r="BQ142" s="6" t="s">
        <v>58</v>
      </c>
      <c r="BR142" s="6" t="s">
        <v>59</v>
      </c>
      <c r="BS142" s="6">
        <v>2011</v>
      </c>
      <c r="BT142" s="6" t="s">
        <v>60</v>
      </c>
      <c r="BU142" s="6" t="s">
        <v>61</v>
      </c>
      <c r="BV142" s="6" t="s">
        <v>62</v>
      </c>
      <c r="BW142" s="6" t="s">
        <v>63</v>
      </c>
      <c r="BX142" s="6">
        <v>2012</v>
      </c>
      <c r="BY142" s="6" t="s">
        <v>64</v>
      </c>
      <c r="BZ142" s="6" t="s">
        <v>65</v>
      </c>
      <c r="CA142" s="6" t="s">
        <v>66</v>
      </c>
      <c r="CB142" s="6" t="s">
        <v>67</v>
      </c>
      <c r="CC142" s="6">
        <v>2013</v>
      </c>
      <c r="CD142" s="6" t="s">
        <v>68</v>
      </c>
      <c r="CE142" s="6" t="s">
        <v>69</v>
      </c>
      <c r="CF142" s="6" t="s">
        <v>70</v>
      </c>
      <c r="CG142" s="6" t="s">
        <v>71</v>
      </c>
      <c r="CH142" s="6">
        <v>2014</v>
      </c>
      <c r="CI142" s="6" t="s">
        <v>72</v>
      </c>
      <c r="CJ142" s="6" t="s">
        <v>73</v>
      </c>
      <c r="CK142" s="6" t="s">
        <v>74</v>
      </c>
      <c r="CL142" s="6" t="s">
        <v>75</v>
      </c>
      <c r="CM142" s="6">
        <v>2015</v>
      </c>
      <c r="CN142" s="6" t="s">
        <v>76</v>
      </c>
      <c r="CO142" s="6" t="s">
        <v>77</v>
      </c>
      <c r="CP142" s="6" t="s">
        <v>78</v>
      </c>
      <c r="CQ142" s="6" t="s">
        <v>79</v>
      </c>
      <c r="CR142" s="6">
        <v>2016</v>
      </c>
      <c r="CS142" s="6" t="s">
        <v>80</v>
      </c>
      <c r="CT142" s="6" t="s">
        <v>81</v>
      </c>
      <c r="CU142" s="6" t="s">
        <v>82</v>
      </c>
      <c r="CV142" s="6" t="s">
        <v>83</v>
      </c>
      <c r="CW142" s="6">
        <v>2017</v>
      </c>
      <c r="CX142" s="6" t="s">
        <v>84</v>
      </c>
      <c r="CY142" s="6" t="s">
        <v>85</v>
      </c>
      <c r="CZ142" s="6" t="s">
        <v>86</v>
      </c>
      <c r="DA142" s="6" t="s">
        <v>87</v>
      </c>
      <c r="DB142" s="6">
        <v>2018</v>
      </c>
      <c r="DC142" s="6" t="s">
        <v>88</v>
      </c>
      <c r="DD142" s="6" t="s">
        <v>89</v>
      </c>
      <c r="DE142" s="6" t="s">
        <v>90</v>
      </c>
      <c r="DF142" s="6" t="s">
        <v>91</v>
      </c>
      <c r="DG142" s="6">
        <v>2019</v>
      </c>
      <c r="DH142" s="6" t="s">
        <v>92</v>
      </c>
      <c r="DI142" s="6" t="s">
        <v>93</v>
      </c>
      <c r="DJ142" s="6" t="s">
        <v>94</v>
      </c>
      <c r="DK142" s="6" t="s">
        <v>95</v>
      </c>
      <c r="DL142" s="6">
        <v>2020</v>
      </c>
      <c r="DM142" s="6" t="s">
        <v>96</v>
      </c>
      <c r="DN142" s="6" t="s">
        <v>97</v>
      </c>
      <c r="DO142" s="6" t="s">
        <v>98</v>
      </c>
      <c r="DP142" s="6" t="s">
        <v>99</v>
      </c>
      <c r="DQ142" s="6">
        <v>2021</v>
      </c>
      <c r="DR142" s="6" t="s">
        <v>100</v>
      </c>
      <c r="DS142" s="6" t="s">
        <v>101</v>
      </c>
      <c r="DT142" s="6" t="s">
        <v>200</v>
      </c>
      <c r="DU142" s="6" t="s">
        <v>380</v>
      </c>
      <c r="DV142" s="6">
        <v>2022</v>
      </c>
      <c r="DW142" s="6" t="s">
        <v>379</v>
      </c>
      <c r="DX142" s="6" t="s">
        <v>402</v>
      </c>
      <c r="DY142" s="6" t="s">
        <v>414</v>
      </c>
      <c r="DZ142" s="6" t="s">
        <v>419</v>
      </c>
      <c r="EA142" s="6">
        <v>2023</v>
      </c>
      <c r="EB142" s="6" t="s">
        <v>424</v>
      </c>
      <c r="EC142" s="6" t="s">
        <v>429</v>
      </c>
      <c r="ED142" s="6" t="str">
        <f>$ED$1</f>
        <v>3T24</v>
      </c>
      <c r="EE142" s="6" t="str">
        <f>$EE$1</f>
        <v>4T24</v>
      </c>
      <c r="EF142" s="6">
        <f>$EF$1</f>
        <v>2024</v>
      </c>
      <c r="EG142" s="6" t="str">
        <f>EG$1</f>
        <v>1T25</v>
      </c>
      <c r="EH142" s="6" t="str">
        <f>EH$1</f>
        <v>2T25</v>
      </c>
      <c r="EI142" s="6" t="str">
        <f>EI$1</f>
        <v>3T25</v>
      </c>
    </row>
    <row r="143" spans="1:139" ht="15" thickBot="1" x14ac:dyDescent="0.35">
      <c r="A143" s="4" t="s">
        <v>372</v>
      </c>
      <c r="B143" s="7" t="s">
        <v>102</v>
      </c>
      <c r="C143" s="7" t="s">
        <v>103</v>
      </c>
      <c r="D143" s="7" t="s">
        <v>104</v>
      </c>
      <c r="E143" s="7" t="s">
        <v>105</v>
      </c>
      <c r="F143" s="7">
        <v>2018</v>
      </c>
      <c r="G143" s="7" t="s">
        <v>106</v>
      </c>
      <c r="H143" s="7" t="s">
        <v>107</v>
      </c>
      <c r="I143" s="7" t="s">
        <v>108</v>
      </c>
      <c r="J143" s="7" t="s">
        <v>109</v>
      </c>
      <c r="K143" s="7">
        <v>2019</v>
      </c>
      <c r="L143" s="7" t="s">
        <v>110</v>
      </c>
      <c r="M143" s="7" t="s">
        <v>111</v>
      </c>
      <c r="N143" s="7" t="s">
        <v>112</v>
      </c>
      <c r="O143" s="7" t="s">
        <v>113</v>
      </c>
      <c r="P143" s="7">
        <v>2000</v>
      </c>
      <c r="Q143" s="7" t="s">
        <v>114</v>
      </c>
      <c r="R143" s="7" t="s">
        <v>115</v>
      </c>
      <c r="S143" s="7" t="s">
        <v>116</v>
      </c>
      <c r="T143" s="7" t="s">
        <v>117</v>
      </c>
      <c r="U143" s="7">
        <v>2001</v>
      </c>
      <c r="V143" s="7" t="s">
        <v>118</v>
      </c>
      <c r="W143" s="7" t="s">
        <v>119</v>
      </c>
      <c r="X143" s="7" t="s">
        <v>120</v>
      </c>
      <c r="Y143" s="7" t="s">
        <v>121</v>
      </c>
      <c r="Z143" s="7">
        <v>2002</v>
      </c>
      <c r="AA143" s="7" t="s">
        <v>122</v>
      </c>
      <c r="AB143" s="7" t="s">
        <v>123</v>
      </c>
      <c r="AC143" s="7" t="s">
        <v>124</v>
      </c>
      <c r="AD143" s="7" t="s">
        <v>125</v>
      </c>
      <c r="AE143" s="7">
        <v>2003</v>
      </c>
      <c r="AF143" s="7" t="s">
        <v>126</v>
      </c>
      <c r="AG143" s="7" t="s">
        <v>127</v>
      </c>
      <c r="AH143" s="7" t="s">
        <v>128</v>
      </c>
      <c r="AI143" s="7" t="s">
        <v>129</v>
      </c>
      <c r="AJ143" s="7">
        <v>2004</v>
      </c>
      <c r="AK143" s="7" t="s">
        <v>130</v>
      </c>
      <c r="AL143" s="7" t="s">
        <v>131</v>
      </c>
      <c r="AM143" s="7" t="s">
        <v>132</v>
      </c>
      <c r="AN143" s="7" t="s">
        <v>133</v>
      </c>
      <c r="AO143" s="7">
        <v>2005</v>
      </c>
      <c r="AP143" s="7" t="s">
        <v>134</v>
      </c>
      <c r="AQ143" s="7" t="s">
        <v>135</v>
      </c>
      <c r="AR143" s="7" t="s">
        <v>136</v>
      </c>
      <c r="AS143" s="7" t="s">
        <v>137</v>
      </c>
      <c r="AT143" s="7">
        <v>2006</v>
      </c>
      <c r="AU143" s="7" t="s">
        <v>138</v>
      </c>
      <c r="AV143" s="7" t="s">
        <v>139</v>
      </c>
      <c r="AW143" s="7" t="s">
        <v>140</v>
      </c>
      <c r="AX143" s="7" t="s">
        <v>141</v>
      </c>
      <c r="AY143" s="7">
        <v>2007</v>
      </c>
      <c r="AZ143" s="7" t="s">
        <v>142</v>
      </c>
      <c r="BA143" s="7" t="s">
        <v>143</v>
      </c>
      <c r="BB143" s="7" t="s">
        <v>144</v>
      </c>
      <c r="BC143" s="7" t="s">
        <v>145</v>
      </c>
      <c r="BD143" s="7">
        <v>2008</v>
      </c>
      <c r="BE143" s="7" t="s">
        <v>146</v>
      </c>
      <c r="BF143" s="7" t="s">
        <v>147</v>
      </c>
      <c r="BG143" s="7" t="s">
        <v>148</v>
      </c>
      <c r="BH143" s="7" t="s">
        <v>149</v>
      </c>
      <c r="BI143" s="7">
        <v>2009</v>
      </c>
      <c r="BJ143" s="7" t="s">
        <v>150</v>
      </c>
      <c r="BK143" s="7" t="s">
        <v>151</v>
      </c>
      <c r="BL143" s="7" t="s">
        <v>152</v>
      </c>
      <c r="BM143" s="7" t="s">
        <v>153</v>
      </c>
      <c r="BN143" s="7">
        <v>2010</v>
      </c>
      <c r="BO143" s="7" t="s">
        <v>154</v>
      </c>
      <c r="BP143" s="7" t="s">
        <v>155</v>
      </c>
      <c r="BQ143" s="7" t="s">
        <v>156</v>
      </c>
      <c r="BR143" s="7" t="s">
        <v>157</v>
      </c>
      <c r="BS143" s="7">
        <v>2011</v>
      </c>
      <c r="BT143" s="7" t="s">
        <v>158</v>
      </c>
      <c r="BU143" s="7" t="s">
        <v>159</v>
      </c>
      <c r="BV143" s="7" t="s">
        <v>160</v>
      </c>
      <c r="BW143" s="7" t="s">
        <v>161</v>
      </c>
      <c r="BX143" s="7">
        <v>2012</v>
      </c>
      <c r="BY143" s="7" t="s">
        <v>162</v>
      </c>
      <c r="BZ143" s="7" t="s">
        <v>163</v>
      </c>
      <c r="CA143" s="7" t="s">
        <v>164</v>
      </c>
      <c r="CB143" s="7" t="s">
        <v>165</v>
      </c>
      <c r="CC143" s="7">
        <v>2013</v>
      </c>
      <c r="CD143" s="7" t="s">
        <v>166</v>
      </c>
      <c r="CE143" s="7" t="s">
        <v>167</v>
      </c>
      <c r="CF143" s="7" t="s">
        <v>168</v>
      </c>
      <c r="CG143" s="7" t="s">
        <v>169</v>
      </c>
      <c r="CH143" s="7">
        <v>2014</v>
      </c>
      <c r="CI143" s="7" t="s">
        <v>170</v>
      </c>
      <c r="CJ143" s="7" t="s">
        <v>171</v>
      </c>
      <c r="CK143" s="7" t="s">
        <v>172</v>
      </c>
      <c r="CL143" s="7" t="s">
        <v>173</v>
      </c>
      <c r="CM143" s="7">
        <v>2015</v>
      </c>
      <c r="CN143" s="7" t="s">
        <v>174</v>
      </c>
      <c r="CO143" s="7" t="s">
        <v>175</v>
      </c>
      <c r="CP143" s="7" t="s">
        <v>176</v>
      </c>
      <c r="CQ143" s="7" t="s">
        <v>177</v>
      </c>
      <c r="CR143" s="7">
        <v>2016</v>
      </c>
      <c r="CS143" s="7" t="s">
        <v>178</v>
      </c>
      <c r="CT143" s="7" t="s">
        <v>179</v>
      </c>
      <c r="CU143" s="7" t="s">
        <v>180</v>
      </c>
      <c r="CV143" s="7" t="s">
        <v>181</v>
      </c>
      <c r="CW143" s="7">
        <v>2017</v>
      </c>
      <c r="CX143" s="7" t="s">
        <v>182</v>
      </c>
      <c r="CY143" s="7" t="s">
        <v>183</v>
      </c>
      <c r="CZ143" s="7" t="s">
        <v>184</v>
      </c>
      <c r="DA143" s="7" t="s">
        <v>185</v>
      </c>
      <c r="DB143" s="7">
        <v>2018</v>
      </c>
      <c r="DC143" s="7" t="s">
        <v>186</v>
      </c>
      <c r="DD143" s="7" t="s">
        <v>187</v>
      </c>
      <c r="DE143" s="7" t="s">
        <v>188</v>
      </c>
      <c r="DF143" s="7" t="s">
        <v>189</v>
      </c>
      <c r="DG143" s="7">
        <v>2019</v>
      </c>
      <c r="DH143" s="7" t="s">
        <v>190</v>
      </c>
      <c r="DI143" s="7" t="s">
        <v>191</v>
      </c>
      <c r="DJ143" s="7" t="s">
        <v>192</v>
      </c>
      <c r="DK143" s="7" t="s">
        <v>193</v>
      </c>
      <c r="DL143" s="7">
        <v>2020</v>
      </c>
      <c r="DM143" s="7" t="s">
        <v>194</v>
      </c>
      <c r="DN143" s="7" t="s">
        <v>195</v>
      </c>
      <c r="DO143" s="7" t="s">
        <v>196</v>
      </c>
      <c r="DP143" s="7" t="s">
        <v>197</v>
      </c>
      <c r="DQ143" s="7">
        <v>2021</v>
      </c>
      <c r="DR143" s="7" t="s">
        <v>198</v>
      </c>
      <c r="DS143" s="7" t="s">
        <v>199</v>
      </c>
      <c r="DT143" s="7" t="s">
        <v>201</v>
      </c>
      <c r="DU143" s="7" t="s">
        <v>381</v>
      </c>
      <c r="DV143" s="7">
        <v>2022</v>
      </c>
      <c r="DW143" s="7" t="s">
        <v>382</v>
      </c>
      <c r="DX143" s="7" t="s">
        <v>403</v>
      </c>
      <c r="DY143" s="7" t="s">
        <v>415</v>
      </c>
      <c r="DZ143" s="7" t="s">
        <v>420</v>
      </c>
      <c r="EA143" s="7">
        <v>2023</v>
      </c>
      <c r="EB143" s="7" t="s">
        <v>425</v>
      </c>
      <c r="EC143" s="7" t="s">
        <v>430</v>
      </c>
      <c r="ED143" s="7" t="str">
        <f>$ED$2</f>
        <v>3Q24</v>
      </c>
      <c r="EE143" s="6" t="str">
        <f>$EE$2</f>
        <v>4Q24</v>
      </c>
      <c r="EF143" s="56">
        <f>$EF$2</f>
        <v>2024</v>
      </c>
      <c r="EG143" s="6" t="str">
        <f>EG$2</f>
        <v>1Q25</v>
      </c>
      <c r="EH143" s="6" t="str">
        <f>EH$2</f>
        <v>2Q25</v>
      </c>
      <c r="EI143" s="6" t="str">
        <f>EI$2</f>
        <v>3Q25</v>
      </c>
    </row>
    <row r="144" spans="1:139" ht="15" thickTop="1" x14ac:dyDescent="0.3">
      <c r="A144" s="1" t="s">
        <v>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27">
        <v>0</v>
      </c>
      <c r="BK144" s="27">
        <v>0</v>
      </c>
      <c r="BL144" s="27">
        <v>0</v>
      </c>
      <c r="BM144" s="27">
        <v>0</v>
      </c>
      <c r="BN144" s="27">
        <f>SUM(BJ144:BM144)</f>
        <v>0</v>
      </c>
      <c r="BO144" s="27">
        <v>0</v>
      </c>
      <c r="BP144" s="27">
        <v>0.12937532999999998</v>
      </c>
      <c r="BQ144" s="27">
        <v>7.1443750000000028E-2</v>
      </c>
      <c r="BR144" s="27">
        <v>6.660951999999995E-2</v>
      </c>
      <c r="BS144" s="27">
        <f>SUM(BO144:BR144)</f>
        <v>0.26742859999999996</v>
      </c>
      <c r="BT144" s="27">
        <v>6.754607E-2</v>
      </c>
      <c r="BU144" s="27">
        <v>8.005770999999999E-2</v>
      </c>
      <c r="BV144" s="27">
        <v>7.5091950000000032E-2</v>
      </c>
      <c r="BW144" s="27">
        <v>7.4926869999999937E-2</v>
      </c>
      <c r="BX144" s="27">
        <f>SUM(BT144:BW144)</f>
        <v>0.29762259999999996</v>
      </c>
      <c r="BY144" s="27">
        <v>7.5886869999999995E-2</v>
      </c>
      <c r="BZ144" s="27">
        <v>7.4875219999999992E-2</v>
      </c>
      <c r="CA144" s="27">
        <v>8.0580870000000027E-2</v>
      </c>
      <c r="CB144" s="27">
        <v>8.1024899999999983E-2</v>
      </c>
      <c r="CC144" s="27">
        <f>SUM(BY144:CB144)</f>
        <v>0.31236786</v>
      </c>
      <c r="CD144" s="27">
        <v>7.9403460000000009E-2</v>
      </c>
      <c r="CE144" s="27">
        <v>7.9500420000000016E-2</v>
      </c>
      <c r="CF144" s="27">
        <v>8.7832339999999981E-2</v>
      </c>
      <c r="CG144" s="27">
        <v>9.3296999999999936E-2</v>
      </c>
      <c r="CH144" s="27">
        <f>SUM(CD144:CG144)</f>
        <v>0.34003321999999991</v>
      </c>
      <c r="CI144" s="27">
        <v>9.1807780000000005E-2</v>
      </c>
      <c r="CJ144" s="27">
        <v>7.940017000000002E-2</v>
      </c>
      <c r="CK144" s="27">
        <v>7.0823299999999978E-2</v>
      </c>
      <c r="CL144" s="27">
        <v>6.8892270000000005E-2</v>
      </c>
      <c r="CM144" s="27">
        <f>SUM(CI144:CL144)</f>
        <v>0.31092352000000001</v>
      </c>
      <c r="CN144" s="27">
        <v>8.9523199999999997E-2</v>
      </c>
      <c r="CO144" s="27">
        <v>5.917594000000001E-2</v>
      </c>
      <c r="CP144" s="27">
        <v>6.5959949999999989E-2</v>
      </c>
      <c r="CQ144" s="27">
        <f>0.28-SUM(CN144:CP144)</f>
        <v>6.534091000000003E-2</v>
      </c>
      <c r="CR144" s="27">
        <f>SUM(CN144:CQ144)</f>
        <v>0.28000000000000003</v>
      </c>
      <c r="CS144" s="27">
        <v>4.3999999999999997E-2</v>
      </c>
      <c r="CT144" s="27">
        <f>0.093-CS144</f>
        <v>4.9000000000000002E-2</v>
      </c>
      <c r="CU144" s="27">
        <f>0.137-CT144-CS144</f>
        <v>4.4000000000000011E-2</v>
      </c>
      <c r="CV144" s="27">
        <f>0.173-SUM(CS144:CU144)</f>
        <v>3.5999999999999976E-2</v>
      </c>
      <c r="CW144" s="27">
        <f>SUM(CS144:CV144)</f>
        <v>0.17299999999999999</v>
      </c>
      <c r="CX144" s="27">
        <v>5.8000000000000003E-2</v>
      </c>
      <c r="CY144" s="27">
        <v>6.3E-2</v>
      </c>
      <c r="CZ144" s="27">
        <v>6.0999999999999999E-2</v>
      </c>
      <c r="DA144" s="27">
        <v>6.6000000000000003E-2</v>
      </c>
      <c r="DB144" s="27">
        <f>SUM(CX144:DA144)</f>
        <v>0.248</v>
      </c>
      <c r="DC144" s="27">
        <v>0.03</v>
      </c>
      <c r="DD144" s="27">
        <v>7.2999999999999995E-2</v>
      </c>
      <c r="DE144" s="27">
        <v>5.0999999999999997E-2</v>
      </c>
      <c r="DF144" s="27">
        <v>8.5000000000000006E-2</v>
      </c>
      <c r="DG144" s="27">
        <f>SUM(DC144:DF144)</f>
        <v>0.23899999999999999</v>
      </c>
      <c r="DH144" s="27">
        <v>-6.0000000000000001E-3</v>
      </c>
      <c r="DI144" s="27">
        <v>1.2999999999999999E-2</v>
      </c>
      <c r="DJ144" s="27">
        <v>5.7000000000000002E-2</v>
      </c>
      <c r="DK144" s="27">
        <v>2.8000000000000001E-2</v>
      </c>
      <c r="DL144" s="27">
        <f>SUM(DH144:DK144)</f>
        <v>9.1999999999999998E-2</v>
      </c>
      <c r="DM144" s="27">
        <v>6.0999999999999999E-2</v>
      </c>
      <c r="DN144" s="27">
        <v>6.2E-2</v>
      </c>
      <c r="DO144" s="27">
        <v>7.0000000000000007E-2</v>
      </c>
      <c r="DP144" s="27">
        <v>0.13700000000000001</v>
      </c>
      <c r="DQ144" s="27">
        <f>SUM(DM144:DP144)</f>
        <v>0.33</v>
      </c>
      <c r="DR144" s="27">
        <v>0.11600000000000001</v>
      </c>
      <c r="DS144" s="27">
        <v>5.1999999999999998E-2</v>
      </c>
      <c r="DT144" s="27">
        <v>3.6999999999999998E-2</v>
      </c>
      <c r="DU144" s="27">
        <v>6.4000000000000001E-2</v>
      </c>
      <c r="DV144" s="27">
        <f>SUM(DR144:DU144)</f>
        <v>0.26900000000000002</v>
      </c>
      <c r="DW144" s="27">
        <v>5.0000000000000001E-3</v>
      </c>
      <c r="DX144" s="27">
        <v>5.5617499999999999E-3</v>
      </c>
      <c r="DY144" s="27">
        <v>1.2664240000000002E-2</v>
      </c>
      <c r="DZ144" s="27">
        <v>1.0196869999999999E-2</v>
      </c>
      <c r="EA144" s="27">
        <f>SUM(DW144:DZ144)</f>
        <v>3.3422859999999999E-2</v>
      </c>
      <c r="EB144" s="27">
        <v>0</v>
      </c>
      <c r="EC144" s="27">
        <v>3.8000000000000002E-4</v>
      </c>
      <c r="ED144" s="27">
        <v>0</v>
      </c>
      <c r="EE144" s="27">
        <v>0</v>
      </c>
      <c r="EF144" s="27">
        <f>SUM(EB144:EE144)</f>
        <v>3.8000000000000002E-4</v>
      </c>
      <c r="EG144" s="27">
        <v>1.9000000000000001E-4</v>
      </c>
      <c r="EH144" s="27">
        <v>1.9000000000000001E-4</v>
      </c>
      <c r="EI144" s="27">
        <v>0</v>
      </c>
    </row>
    <row r="145" spans="1:139" ht="15" thickBot="1" x14ac:dyDescent="0.35">
      <c r="A145" s="2" t="s">
        <v>454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28">
        <v>1.85195E-3</v>
      </c>
      <c r="BK145" s="28">
        <v>3.50505E-3</v>
      </c>
      <c r="BL145" s="28">
        <v>-3.6670000000000149E-5</v>
      </c>
      <c r="BM145" s="28">
        <v>1.8438799999999998E-3</v>
      </c>
      <c r="BN145" s="28">
        <f t="shared" ref="BN145:BN166" si="107">SUM(BJ145:BM145)</f>
        <v>7.1642099999999998E-3</v>
      </c>
      <c r="BO145" s="28">
        <v>1.63189E-3</v>
      </c>
      <c r="BP145" s="28">
        <v>0.42964451999999997</v>
      </c>
      <c r="BQ145" s="28">
        <v>0.22410269000000002</v>
      </c>
      <c r="BR145" s="28">
        <v>0.22273954999999998</v>
      </c>
      <c r="BS145" s="28">
        <f t="shared" ref="BS145:BS166" si="108">SUM(BO145:BR145)</f>
        <v>0.87811865</v>
      </c>
      <c r="BT145" s="28">
        <v>0.22916913999999999</v>
      </c>
      <c r="BU145" s="28">
        <v>0.23163500999999997</v>
      </c>
      <c r="BV145" s="28">
        <v>0.23260661000000005</v>
      </c>
      <c r="BW145" s="28">
        <v>0.53989354999999994</v>
      </c>
      <c r="BX145" s="28">
        <f t="shared" ref="BX145:BX166" si="109">SUM(BT145:BW145)</f>
        <v>1.2333043099999998</v>
      </c>
      <c r="BY145" s="28">
        <v>0.28327954999999999</v>
      </c>
      <c r="BZ145" s="28">
        <v>0.31173608000000014</v>
      </c>
      <c r="CA145" s="28">
        <v>0.3260522999999998</v>
      </c>
      <c r="CB145" s="28">
        <v>0.3278513600000002</v>
      </c>
      <c r="CC145" s="28">
        <f t="shared" ref="CC145:CC166" si="110">SUM(BY145:CB145)</f>
        <v>1.2489192900000001</v>
      </c>
      <c r="CD145" s="28">
        <v>0.32487780000000005</v>
      </c>
      <c r="CE145" s="28">
        <v>0.33247715999999988</v>
      </c>
      <c r="CF145" s="28">
        <v>0.13263292000000004</v>
      </c>
      <c r="CG145" s="28">
        <v>0.26879784000000023</v>
      </c>
      <c r="CH145" s="28">
        <f t="shared" ref="CH145:CH166" si="111">SUM(CD145:CG145)</f>
        <v>1.0587857200000002</v>
      </c>
      <c r="CI145" s="28">
        <v>0.28819128999999999</v>
      </c>
      <c r="CJ145" s="28">
        <v>0.29080775000000003</v>
      </c>
      <c r="CK145" s="28">
        <v>0.33161200000000002</v>
      </c>
      <c r="CL145" s="28">
        <v>0.28400490999999994</v>
      </c>
      <c r="CM145" s="28">
        <f t="shared" ref="CM145:CM166" si="112">SUM(CI145:CL145)</f>
        <v>1.19461595</v>
      </c>
      <c r="CN145" s="28">
        <v>0.27844018999999998</v>
      </c>
      <c r="CO145" s="28">
        <v>0.2825607200000001</v>
      </c>
      <c r="CP145" s="28">
        <v>0.3218296799999999</v>
      </c>
      <c r="CQ145" s="28">
        <f>1.203-SUM(CN145:CP145)</f>
        <v>0.3201694100000001</v>
      </c>
      <c r="CR145" s="28">
        <f t="shared" ref="CR145:CR166" si="113">SUM(CN145:CQ145)</f>
        <v>1.2030000000000001</v>
      </c>
      <c r="CS145" s="28">
        <v>0.32</v>
      </c>
      <c r="CT145" s="28">
        <f>0.652-CS145</f>
        <v>0.33200000000000002</v>
      </c>
      <c r="CU145" s="28">
        <f>0.971-CT145-CS145</f>
        <v>0.31900000000000001</v>
      </c>
      <c r="CV145" s="28">
        <f>1.308-SUM(CS145:CU145)</f>
        <v>0.33699999999999997</v>
      </c>
      <c r="CW145" s="28">
        <f t="shared" ref="CW145:CW166" si="114">SUM(CS145:CV145)</f>
        <v>1.3080000000000001</v>
      </c>
      <c r="CX145" s="28">
        <v>0.32200000000000001</v>
      </c>
      <c r="CY145" s="28">
        <v>0.33900000000000002</v>
      </c>
      <c r="CZ145" s="28">
        <v>0.34899999999999998</v>
      </c>
      <c r="DA145" s="28">
        <v>0.34</v>
      </c>
      <c r="DB145" s="28">
        <f t="shared" ref="DB145:DB166" si="115">SUM(CX145:DA145)</f>
        <v>1.35</v>
      </c>
      <c r="DC145" s="28">
        <v>0.30599999999999999</v>
      </c>
      <c r="DD145" s="28">
        <v>0.39500000000000002</v>
      </c>
      <c r="DE145" s="28">
        <v>0.34399999999999997</v>
      </c>
      <c r="DF145" s="28">
        <v>0.32500000000000001</v>
      </c>
      <c r="DG145" s="28">
        <f t="shared" ref="DG145:DG166" si="116">SUM(DC145:DF145)</f>
        <v>1.3699999999999999</v>
      </c>
      <c r="DH145" s="28">
        <v>0.29899999999999999</v>
      </c>
      <c r="DI145" s="28">
        <v>0.308</v>
      </c>
      <c r="DJ145" s="28">
        <v>0.33800000000000002</v>
      </c>
      <c r="DK145" s="28">
        <v>0.35899999999999999</v>
      </c>
      <c r="DL145" s="28">
        <f t="shared" ref="DL145:DL166" si="117">SUM(DH145:DK145)</f>
        <v>1.304</v>
      </c>
      <c r="DM145" s="28">
        <v>0.11</v>
      </c>
      <c r="DN145" s="28">
        <v>7.9000000000000001E-2</v>
      </c>
      <c r="DO145" s="28">
        <v>9.8000000000000004E-2</v>
      </c>
      <c r="DP145" s="28">
        <v>0.10100000000000001</v>
      </c>
      <c r="DQ145" s="28">
        <f t="shared" ref="DQ145:DQ166" si="118">SUM(DM145:DP145)</f>
        <v>0.38800000000000001</v>
      </c>
      <c r="DR145" s="28">
        <v>0.107</v>
      </c>
      <c r="DS145" s="28">
        <v>9.8000000000000004E-2</v>
      </c>
      <c r="DT145" s="28">
        <v>-0.16800000000000001</v>
      </c>
      <c r="DU145" s="28">
        <v>1.2E-2</v>
      </c>
      <c r="DV145" s="28">
        <f t="shared" ref="DV145:DV166" si="119">SUM(DR145:DU145)</f>
        <v>4.9000000000000002E-2</v>
      </c>
      <c r="DW145" s="28">
        <v>1.7000000000000001E-2</v>
      </c>
      <c r="DX145" s="28">
        <v>1.9111860000000001E-2</v>
      </c>
      <c r="DY145" s="28">
        <v>-2.4357399999999998E-2</v>
      </c>
      <c r="DZ145" s="28">
        <v>3.1811300000000012E-3</v>
      </c>
      <c r="EA145" s="28">
        <f t="shared" ref="EA145:EA156" si="120">SUM(DW145:DZ145)</f>
        <v>1.4935590000000006E-2</v>
      </c>
      <c r="EB145" s="28">
        <v>1.9780119999999998E-2</v>
      </c>
      <c r="EC145" s="28">
        <v>2.133674E-2</v>
      </c>
      <c r="ED145" s="28">
        <v>8.0000000000000002E-3</v>
      </c>
      <c r="EE145" s="28">
        <v>1.2863150000000002E-2</v>
      </c>
      <c r="EF145" s="28">
        <f t="shared" ref="EF145:EF156" si="121">SUM(EB145:EE145)</f>
        <v>6.1980010000000002E-2</v>
      </c>
      <c r="EG145" s="28">
        <v>6.6459000000000004E-2</v>
      </c>
      <c r="EH145" s="28">
        <v>-4.3340259999999992E-2</v>
      </c>
      <c r="EI145" s="28">
        <v>4.1342099999999993E-3</v>
      </c>
    </row>
    <row r="146" spans="1:139" ht="15" thickTop="1" x14ac:dyDescent="0.3">
      <c r="A146" s="1" t="s">
        <v>442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27">
        <v>0</v>
      </c>
      <c r="BK146" s="27">
        <v>0</v>
      </c>
      <c r="BL146" s="27">
        <v>0</v>
      </c>
      <c r="BM146" s="27">
        <v>0</v>
      </c>
      <c r="BN146" s="27">
        <f t="shared" si="107"/>
        <v>0</v>
      </c>
      <c r="BO146" s="27">
        <v>0</v>
      </c>
      <c r="BP146" s="27">
        <v>0.22597033999999999</v>
      </c>
      <c r="BQ146" s="27">
        <v>0.11670186000000005</v>
      </c>
      <c r="BR146" s="27">
        <v>0.19223987999999986</v>
      </c>
      <c r="BS146" s="27">
        <f t="shared" si="108"/>
        <v>0.5349120799999999</v>
      </c>
      <c r="BT146" s="27">
        <v>0.19690150000000001</v>
      </c>
      <c r="BU146" s="27">
        <v>7.4236379999999991E-2</v>
      </c>
      <c r="BV146" s="27">
        <v>0.13423811999999996</v>
      </c>
      <c r="BW146" s="27">
        <v>1.6526500399999997</v>
      </c>
      <c r="BX146" s="27">
        <f t="shared" si="109"/>
        <v>2.0580260399999997</v>
      </c>
      <c r="BY146" s="27">
        <v>0.11007527</v>
      </c>
      <c r="BZ146" s="27">
        <v>0.10297241999999998</v>
      </c>
      <c r="CA146" s="27">
        <v>0.12704104000000002</v>
      </c>
      <c r="CB146" s="27">
        <v>0.10562530000000006</v>
      </c>
      <c r="CC146" s="27">
        <f t="shared" si="110"/>
        <v>0.44571403000000009</v>
      </c>
      <c r="CD146" s="27">
        <v>0.10805069999999999</v>
      </c>
      <c r="CE146" s="27">
        <v>0.13360720000000004</v>
      </c>
      <c r="CF146" s="27">
        <v>0.12245529000000001</v>
      </c>
      <c r="CG146" s="27">
        <v>0.12211427999999998</v>
      </c>
      <c r="CH146" s="27">
        <f t="shared" si="111"/>
        <v>0.48622746999999999</v>
      </c>
      <c r="CI146" s="27">
        <v>0.11193097</v>
      </c>
      <c r="CJ146" s="27">
        <v>0.13085384999999999</v>
      </c>
      <c r="CK146" s="27">
        <v>9.2445820000000026E-2</v>
      </c>
      <c r="CL146" s="27">
        <v>9.5272229999999972E-2</v>
      </c>
      <c r="CM146" s="27">
        <f t="shared" si="112"/>
        <v>0.43050286999999998</v>
      </c>
      <c r="CN146" s="27">
        <v>7.2206850000000003E-2</v>
      </c>
      <c r="CO146" s="27">
        <v>6.5239139999999987E-2</v>
      </c>
      <c r="CP146" s="27">
        <v>5.7730760000000034E-2</v>
      </c>
      <c r="CQ146" s="27">
        <f>0.257-SUM(CN146:CP146)</f>
        <v>6.1823249999999996E-2</v>
      </c>
      <c r="CR146" s="27">
        <f t="shared" si="113"/>
        <v>0.25700000000000001</v>
      </c>
      <c r="CS146" s="27">
        <v>5.8000000000000003E-2</v>
      </c>
      <c r="CT146" s="27">
        <f>0.11-CS146</f>
        <v>5.1999999999999998E-2</v>
      </c>
      <c r="CU146" s="27">
        <f>0.158-CT146-CS146</f>
        <v>4.8000000000000008E-2</v>
      </c>
      <c r="CV146" s="27">
        <f>0.225-SUM(CS146:CU146)</f>
        <v>6.7000000000000004E-2</v>
      </c>
      <c r="CW146" s="27">
        <f t="shared" si="114"/>
        <v>0.22500000000000001</v>
      </c>
      <c r="CX146" s="27">
        <v>6.0999999999999999E-2</v>
      </c>
      <c r="CY146" s="27">
        <v>6.2E-2</v>
      </c>
      <c r="CZ146" s="27">
        <v>6.0999999999999999E-2</v>
      </c>
      <c r="DA146" s="27">
        <v>6.7000000000000004E-2</v>
      </c>
      <c r="DB146" s="27">
        <f t="shared" si="115"/>
        <v>0.251</v>
      </c>
      <c r="DC146" s="27">
        <v>7.2999999999999995E-2</v>
      </c>
      <c r="DD146" s="27">
        <v>7.5999999999999998E-2</v>
      </c>
      <c r="DE146" s="27">
        <v>8.2000000000000003E-2</v>
      </c>
      <c r="DF146" s="27">
        <v>8.1000000000000003E-2</v>
      </c>
      <c r="DG146" s="27">
        <f t="shared" si="116"/>
        <v>0.312</v>
      </c>
      <c r="DH146" s="27">
        <v>2.4E-2</v>
      </c>
      <c r="DI146" s="27">
        <v>2.9000000000000001E-2</v>
      </c>
      <c r="DJ146" s="27">
        <v>1.0999999999999999E-2</v>
      </c>
      <c r="DK146" s="27">
        <v>6.2E-2</v>
      </c>
      <c r="DL146" s="27">
        <f t="shared" si="117"/>
        <v>0.126</v>
      </c>
      <c r="DM146" s="27">
        <v>8.5999999999999993E-2</v>
      </c>
      <c r="DN146" s="27">
        <v>2.9000000000000001E-2</v>
      </c>
      <c r="DO146" s="27">
        <v>3.5999999999999997E-2</v>
      </c>
      <c r="DP146" s="27">
        <v>0.61399999999999999</v>
      </c>
      <c r="DQ146" s="27">
        <f t="shared" si="118"/>
        <v>0.76500000000000001</v>
      </c>
      <c r="DR146" s="27">
        <v>9.0999999999999998E-2</v>
      </c>
      <c r="DS146" s="27">
        <v>0.125</v>
      </c>
      <c r="DT146" s="27">
        <v>7.8E-2</v>
      </c>
      <c r="DU146" s="27">
        <v>4.8000000000000001E-2</v>
      </c>
      <c r="DV146" s="27">
        <f t="shared" si="119"/>
        <v>0.34199999999999997</v>
      </c>
      <c r="DW146" s="27">
        <v>0.14000000000000001</v>
      </c>
      <c r="DX146" s="27">
        <v>4.4962200000000004E-3</v>
      </c>
      <c r="DY146" s="27">
        <v>8.327639000000002E-2</v>
      </c>
      <c r="DZ146" s="27">
        <v>-7.4934080000000014E-2</v>
      </c>
      <c r="EA146" s="27">
        <f t="shared" si="120"/>
        <v>0.15283853000000003</v>
      </c>
      <c r="EB146" s="27">
        <v>2.8068869999999999E-2</v>
      </c>
      <c r="EC146" s="27">
        <v>-2.9000000000000092E-4</v>
      </c>
      <c r="ED146" s="27">
        <v>5.0000000000000001E-3</v>
      </c>
      <c r="EE146" s="27">
        <v>0.10091480999999999</v>
      </c>
      <c r="EF146" s="27">
        <f t="shared" si="121"/>
        <v>0.13369367999999998</v>
      </c>
      <c r="EG146" s="27">
        <v>5.2388520000000001E-2</v>
      </c>
      <c r="EH146" s="27">
        <v>4.4204069999999991E-2</v>
      </c>
      <c r="EI146" s="27">
        <v>5.7041070000000013E-2</v>
      </c>
    </row>
    <row r="147" spans="1:139" ht="15" thickBot="1" x14ac:dyDescent="0.35">
      <c r="A147" s="2" t="s">
        <v>3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28">
        <v>0</v>
      </c>
      <c r="BK147" s="28">
        <v>0</v>
      </c>
      <c r="BL147" s="28">
        <v>0</v>
      </c>
      <c r="BM147" s="28">
        <v>0</v>
      </c>
      <c r="BN147" s="28">
        <f t="shared" si="107"/>
        <v>0</v>
      </c>
      <c r="BO147" s="28">
        <v>6.9968999999999999E-4</v>
      </c>
      <c r="BP147" s="28">
        <v>0.36882925</v>
      </c>
      <c r="BQ147" s="28">
        <v>0.14772557</v>
      </c>
      <c r="BR147" s="28">
        <v>0.15945557999999996</v>
      </c>
      <c r="BS147" s="28">
        <f t="shared" si="108"/>
        <v>0.67671008999999993</v>
      </c>
      <c r="BT147" s="28">
        <v>0</v>
      </c>
      <c r="BU147" s="28">
        <v>0.32815368</v>
      </c>
      <c r="BV147" s="28">
        <v>0.15673386</v>
      </c>
      <c r="BW147" s="28">
        <v>0.17242747999999997</v>
      </c>
      <c r="BX147" s="28">
        <f t="shared" si="109"/>
        <v>0.65731501999999997</v>
      </c>
      <c r="BY147" s="28">
        <v>0.17581495</v>
      </c>
      <c r="BZ147" s="28">
        <v>0.14839484000000006</v>
      </c>
      <c r="CA147" s="28">
        <v>0.22144559</v>
      </c>
      <c r="CB147" s="28">
        <v>0.16386356999999999</v>
      </c>
      <c r="CC147" s="28">
        <f t="shared" si="110"/>
        <v>0.70951894999999998</v>
      </c>
      <c r="CD147" s="28">
        <v>0.16976978000000001</v>
      </c>
      <c r="CE147" s="28">
        <v>0.20970027999999999</v>
      </c>
      <c r="CF147" s="28">
        <v>0.12986351000000004</v>
      </c>
      <c r="CG147" s="28">
        <v>0.16537009999999994</v>
      </c>
      <c r="CH147" s="28">
        <f t="shared" si="111"/>
        <v>0.67470366999999998</v>
      </c>
      <c r="CI147" s="28">
        <v>0.1310934</v>
      </c>
      <c r="CJ147" s="28">
        <v>4.0114550000000027E-2</v>
      </c>
      <c r="CK147" s="28">
        <v>0.23045347999999996</v>
      </c>
      <c r="CL147" s="28">
        <v>0.31351832000000002</v>
      </c>
      <c r="CM147" s="28">
        <f t="shared" si="112"/>
        <v>0.71517975</v>
      </c>
      <c r="CN147" s="28">
        <v>0.13209579999999999</v>
      </c>
      <c r="CO147" s="28">
        <v>0.13222690000000004</v>
      </c>
      <c r="CP147" s="28">
        <v>0.13403329999999997</v>
      </c>
      <c r="CQ147" s="28">
        <f>0.541-SUM(CN147:CP147)</f>
        <v>0.14264400000000005</v>
      </c>
      <c r="CR147" s="28">
        <f t="shared" si="113"/>
        <v>0.54100000000000004</v>
      </c>
      <c r="CS147" s="28">
        <v>0.13200000000000001</v>
      </c>
      <c r="CT147" s="28">
        <f>0.261-CS147</f>
        <v>0.129</v>
      </c>
      <c r="CU147" s="28">
        <f>0.381-CT147-CS147</f>
        <v>0.12</v>
      </c>
      <c r="CV147" s="28">
        <f>0.499-SUM(CS147:CU147)</f>
        <v>0.11799999999999999</v>
      </c>
      <c r="CW147" s="28">
        <f t="shared" si="114"/>
        <v>0.499</v>
      </c>
      <c r="CX147" s="28">
        <v>0.13700000000000001</v>
      </c>
      <c r="CY147" s="28">
        <v>0.14399999999999999</v>
      </c>
      <c r="CZ147" s="28">
        <v>0.13500000000000001</v>
      </c>
      <c r="DA147" s="28">
        <v>0.13600000000000001</v>
      </c>
      <c r="DB147" s="28">
        <f t="shared" si="115"/>
        <v>0.55200000000000005</v>
      </c>
      <c r="DC147" s="28">
        <v>0.153</v>
      </c>
      <c r="DD147" s="28">
        <v>0.13200000000000001</v>
      </c>
      <c r="DE147" s="28">
        <v>9.8000000000000004E-2</v>
      </c>
      <c r="DF147" s="28">
        <v>0.14199999999999999</v>
      </c>
      <c r="DG147" s="28">
        <f t="shared" si="116"/>
        <v>0.52500000000000002</v>
      </c>
      <c r="DH147" s="28">
        <v>-5.6000000000000001E-2</v>
      </c>
      <c r="DI147" s="28">
        <v>-0.09</v>
      </c>
      <c r="DJ147" s="28">
        <v>-2.1000000000000001E-2</v>
      </c>
      <c r="DK147" s="28">
        <v>0.224</v>
      </c>
      <c r="DL147" s="28">
        <f t="shared" si="117"/>
        <v>5.7000000000000023E-2</v>
      </c>
      <c r="DM147" s="28">
        <v>0.44600000000000001</v>
      </c>
      <c r="DN147" s="28">
        <v>0.433</v>
      </c>
      <c r="DO147" s="28">
        <v>0.44700000000000001</v>
      </c>
      <c r="DP147" s="28">
        <v>0.73899999999999999</v>
      </c>
      <c r="DQ147" s="28">
        <f t="shared" si="118"/>
        <v>2.0649999999999999</v>
      </c>
      <c r="DR147" s="28">
        <v>0.434</v>
      </c>
      <c r="DS147" s="28">
        <v>0.441</v>
      </c>
      <c r="DT147" s="28">
        <v>0.33400000000000002</v>
      </c>
      <c r="DU147" s="28">
        <v>0.155</v>
      </c>
      <c r="DV147" s="28">
        <f t="shared" si="119"/>
        <v>1.3640000000000001</v>
      </c>
      <c r="DW147" s="28">
        <v>4.4999999999999998E-2</v>
      </c>
      <c r="DX147" s="28">
        <v>4.8065139999999999E-2</v>
      </c>
      <c r="DY147" s="28">
        <v>8.3632769999999995E-2</v>
      </c>
      <c r="DZ147" s="28">
        <v>0.12335676000000001</v>
      </c>
      <c r="EA147" s="28">
        <f t="shared" si="120"/>
        <v>0.30005466999999997</v>
      </c>
      <c r="EB147" s="28">
        <v>1.1424999999999999E-2</v>
      </c>
      <c r="EC147" s="28">
        <v>1.1235E-2</v>
      </c>
      <c r="ED147" s="28">
        <v>1.2E-2</v>
      </c>
      <c r="EE147" s="28">
        <v>9.6775000000000003E-3</v>
      </c>
      <c r="EF147" s="28">
        <f t="shared" si="121"/>
        <v>4.4337499999999995E-2</v>
      </c>
      <c r="EG147" s="28">
        <v>2.5937950000000001E-2</v>
      </c>
      <c r="EH147" s="28">
        <v>0</v>
      </c>
      <c r="EI147" s="28">
        <v>0.6733796700000001</v>
      </c>
    </row>
    <row r="148" spans="1:139" ht="15" thickTop="1" x14ac:dyDescent="0.3">
      <c r="A148" s="1" t="s">
        <v>443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27">
        <v>0</v>
      </c>
      <c r="BK148" s="27">
        <v>0</v>
      </c>
      <c r="BL148" s="27">
        <v>0</v>
      </c>
      <c r="BM148" s="27">
        <v>0</v>
      </c>
      <c r="BN148" s="27">
        <f t="shared" si="107"/>
        <v>0</v>
      </c>
      <c r="BO148" s="27">
        <v>0</v>
      </c>
      <c r="BP148" s="27">
        <v>0.11041635</v>
      </c>
      <c r="BQ148" s="27">
        <v>5.1666499999999976E-2</v>
      </c>
      <c r="BR148" s="27">
        <v>5.0030600000000036E-2</v>
      </c>
      <c r="BS148" s="27">
        <f t="shared" si="108"/>
        <v>0.21211345000000001</v>
      </c>
      <c r="BT148" s="27">
        <v>6.3292619999999994E-2</v>
      </c>
      <c r="BU148" s="27">
        <v>6.1701750000000014E-2</v>
      </c>
      <c r="BV148" s="27">
        <v>0.10238285999999999</v>
      </c>
      <c r="BW148" s="27">
        <v>5.9255470000000074E-2</v>
      </c>
      <c r="BX148" s="27">
        <f t="shared" si="109"/>
        <v>0.28663270000000007</v>
      </c>
      <c r="BY148" s="27">
        <v>8.7636279999999997E-2</v>
      </c>
      <c r="BZ148" s="27">
        <v>7.1350919999999998E-2</v>
      </c>
      <c r="CA148" s="27">
        <v>7.6430559999999995E-2</v>
      </c>
      <c r="CB148" s="27">
        <v>7.9554440000000018E-2</v>
      </c>
      <c r="CC148" s="27">
        <f t="shared" si="110"/>
        <v>0.31497219999999998</v>
      </c>
      <c r="CD148" s="27">
        <v>0.10123363000000001</v>
      </c>
      <c r="CE148" s="27">
        <v>7.8348569999999992E-2</v>
      </c>
      <c r="CF148" s="27">
        <v>0.10451451000000002</v>
      </c>
      <c r="CG148" s="27">
        <v>7.8409619999999972E-2</v>
      </c>
      <c r="CH148" s="27">
        <f t="shared" si="111"/>
        <v>0.36250632999999999</v>
      </c>
      <c r="CI148" s="27">
        <v>6.0638449999999997E-2</v>
      </c>
      <c r="CJ148" s="27">
        <v>0.18214637</v>
      </c>
      <c r="CK148" s="27">
        <v>-8.6835389999999998E-2</v>
      </c>
      <c r="CL148" s="27">
        <v>4.4718600000000011E-2</v>
      </c>
      <c r="CM148" s="27">
        <f t="shared" si="112"/>
        <v>0.20066803</v>
      </c>
      <c r="CN148" s="27">
        <v>4.3006199999999994E-2</v>
      </c>
      <c r="CO148" s="27">
        <v>4.105578E-2</v>
      </c>
      <c r="CP148" s="27">
        <v>3.906140000000001E-2</v>
      </c>
      <c r="CQ148" s="27">
        <f>0.141-SUM(CN148:CP148)</f>
        <v>1.7876619999999982E-2</v>
      </c>
      <c r="CR148" s="27">
        <f t="shared" si="113"/>
        <v>0.14099999999999999</v>
      </c>
      <c r="CS148" s="27">
        <v>0.33100000000000002</v>
      </c>
      <c r="CT148" s="27">
        <f>0.66-CS148</f>
        <v>0.32900000000000001</v>
      </c>
      <c r="CU148" s="27">
        <f>0.995-CT148-CS148</f>
        <v>0.33499999999999991</v>
      </c>
      <c r="CV148" s="27">
        <f>1.349-SUM(CS148:CU148)</f>
        <v>0.35400000000000009</v>
      </c>
      <c r="CW148" s="27">
        <f t="shared" si="114"/>
        <v>1.349</v>
      </c>
      <c r="CX148" s="27">
        <v>0.35399999999999998</v>
      </c>
      <c r="CY148" s="27">
        <v>0.35199999999999998</v>
      </c>
      <c r="CZ148" s="27">
        <v>0.34799999999999998</v>
      </c>
      <c r="DA148" s="27">
        <v>0.35599999999999998</v>
      </c>
      <c r="DB148" s="27">
        <f t="shared" si="115"/>
        <v>1.4099999999999997</v>
      </c>
      <c r="DC148" s="27">
        <v>0.34699999999999998</v>
      </c>
      <c r="DD148" s="27">
        <v>0.32800000000000001</v>
      </c>
      <c r="DE148" s="27">
        <v>0.33700000000000002</v>
      </c>
      <c r="DF148" s="27">
        <v>0.34799999999999998</v>
      </c>
      <c r="DG148" s="27">
        <f t="shared" si="116"/>
        <v>1.3599999999999999</v>
      </c>
      <c r="DH148" s="27">
        <v>0.20399999999999999</v>
      </c>
      <c r="DI148" s="27">
        <v>-0.15</v>
      </c>
      <c r="DJ148" s="27">
        <v>2.7E-2</v>
      </c>
      <c r="DK148" s="27">
        <v>3.6999999999999998E-2</v>
      </c>
      <c r="DL148" s="27">
        <f t="shared" si="117"/>
        <v>0.11799999999999999</v>
      </c>
      <c r="DM148" s="27">
        <v>0.22</v>
      </c>
      <c r="DN148" s="27">
        <v>0.318</v>
      </c>
      <c r="DO148" s="27">
        <v>-0.47499999999999998</v>
      </c>
      <c r="DP148" s="27">
        <v>2.1000000000000001E-2</v>
      </c>
      <c r="DQ148" s="27">
        <f t="shared" si="118"/>
        <v>8.4000000000000061E-2</v>
      </c>
      <c r="DR148" s="27">
        <v>0.127</v>
      </c>
      <c r="DS148" s="27">
        <v>5.7000000000000002E-2</v>
      </c>
      <c r="DT148" s="27">
        <v>-5.0000000000000001E-3</v>
      </c>
      <c r="DU148" s="27">
        <v>-2E-3</v>
      </c>
      <c r="DV148" s="27">
        <f t="shared" si="119"/>
        <v>0.17699999999999999</v>
      </c>
      <c r="DW148" s="27">
        <v>0.35799999999999998</v>
      </c>
      <c r="DX148" s="27">
        <v>0.41079309999999997</v>
      </c>
      <c r="DY148" s="27">
        <v>0.41958496000000006</v>
      </c>
      <c r="DZ148" s="27">
        <v>0.18846140999999991</v>
      </c>
      <c r="EA148" s="27">
        <f t="shared" si="120"/>
        <v>1.37683947</v>
      </c>
      <c r="EB148" s="27">
        <v>9.0317299999999965E-3</v>
      </c>
      <c r="EC148" s="27">
        <v>3.0448110000000014E-2</v>
      </c>
      <c r="ED148" s="27">
        <v>1.4999999999999999E-2</v>
      </c>
      <c r="EE148" s="27">
        <v>1.1126200000000004E-2</v>
      </c>
      <c r="EF148" s="27">
        <f t="shared" si="121"/>
        <v>6.5606040000000018E-2</v>
      </c>
      <c r="EG148" s="27">
        <v>1.882839E-2</v>
      </c>
      <c r="EH148" s="27">
        <v>0.16358998999999999</v>
      </c>
      <c r="EI148" s="27">
        <v>0.42531683999999997</v>
      </c>
    </row>
    <row r="149" spans="1:139" ht="15" thickBot="1" x14ac:dyDescent="0.35">
      <c r="A149" s="2" t="s">
        <v>481</v>
      </c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28">
        <v>0</v>
      </c>
      <c r="BK149" s="28">
        <v>0</v>
      </c>
      <c r="BL149" s="28">
        <v>0</v>
      </c>
      <c r="BM149" s="28">
        <v>0</v>
      </c>
      <c r="BN149" s="28">
        <f t="shared" si="107"/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f t="shared" si="108"/>
        <v>0</v>
      </c>
      <c r="BT149" s="28">
        <v>0</v>
      </c>
      <c r="BU149" s="28">
        <v>5.0999999999999995E-3</v>
      </c>
      <c r="BV149" s="28">
        <v>5.9481169999999993E-2</v>
      </c>
      <c r="BW149" s="28">
        <v>0.12307196000000001</v>
      </c>
      <c r="BX149" s="28">
        <f t="shared" si="109"/>
        <v>0.18765313</v>
      </c>
      <c r="BY149" s="28">
        <v>0.17254796</v>
      </c>
      <c r="BZ149" s="28">
        <v>0</v>
      </c>
      <c r="CA149" s="28">
        <v>2.35355589</v>
      </c>
      <c r="CB149" s="28">
        <v>1.2182166500000002</v>
      </c>
      <c r="CC149" s="28">
        <f t="shared" si="110"/>
        <v>3.7443205000000006</v>
      </c>
      <c r="CD149" s="28">
        <v>0.87467320000000004</v>
      </c>
      <c r="CE149" s="28">
        <v>0.81808910999999995</v>
      </c>
      <c r="CF149" s="28">
        <v>0.97342381</v>
      </c>
      <c r="CG149" s="28">
        <v>-1.8162085800000001</v>
      </c>
      <c r="CH149" s="28">
        <f t="shared" si="111"/>
        <v>0.84997753999999981</v>
      </c>
      <c r="CI149" s="28">
        <v>0.13396229000000001</v>
      </c>
      <c r="CJ149" s="28">
        <v>0.13713943999999997</v>
      </c>
      <c r="CK149" s="28">
        <v>0.16095466999999999</v>
      </c>
      <c r="CL149" s="28">
        <v>0.13091272000000001</v>
      </c>
      <c r="CM149" s="28">
        <f t="shared" si="112"/>
        <v>0.56296911999999999</v>
      </c>
      <c r="CN149" s="28">
        <v>0.13745252999999999</v>
      </c>
      <c r="CO149" s="28">
        <v>0.12191103</v>
      </c>
      <c r="CP149" s="28">
        <v>0.10283242999999997</v>
      </c>
      <c r="CQ149" s="28">
        <f>0.467-SUM(CN149:CP149)</f>
        <v>0.10480401000000006</v>
      </c>
      <c r="CR149" s="28">
        <f t="shared" si="113"/>
        <v>0.46700000000000003</v>
      </c>
      <c r="CS149" s="28">
        <v>0.104</v>
      </c>
      <c r="CT149" s="28">
        <f>0.198-CS149</f>
        <v>9.4000000000000014E-2</v>
      </c>
      <c r="CU149" s="28">
        <f>0.294-CT149-CS149</f>
        <v>9.599999999999996E-2</v>
      </c>
      <c r="CV149" s="28">
        <f>0.382-SUM(CS149:CU149)</f>
        <v>8.8000000000000023E-2</v>
      </c>
      <c r="CW149" s="28">
        <f t="shared" si="114"/>
        <v>0.38200000000000001</v>
      </c>
      <c r="CX149" s="28">
        <v>9.9000000000000005E-2</v>
      </c>
      <c r="CY149" s="28">
        <v>0.109</v>
      </c>
      <c r="CZ149" s="28">
        <v>0.112</v>
      </c>
      <c r="DA149" s="28">
        <v>0.11600000000000001</v>
      </c>
      <c r="DB149" s="28">
        <f t="shared" si="115"/>
        <v>0.436</v>
      </c>
      <c r="DC149" s="28">
        <v>0.12</v>
      </c>
      <c r="DD149" s="28">
        <v>0.14099999999999999</v>
      </c>
      <c r="DE149" s="28">
        <v>0.14000000000000001</v>
      </c>
      <c r="DF149" s="28">
        <v>0.19400000000000001</v>
      </c>
      <c r="DG149" s="28">
        <f t="shared" si="116"/>
        <v>0.59499999999999997</v>
      </c>
      <c r="DH149" s="28">
        <v>3.0000000000000001E-3</v>
      </c>
      <c r="DI149" s="28">
        <v>-2.5000000000000001E-2</v>
      </c>
      <c r="DJ149" s="28">
        <v>0.11700000000000001</v>
      </c>
      <c r="DK149" s="28">
        <v>2.7E-2</v>
      </c>
      <c r="DL149" s="28">
        <f t="shared" si="117"/>
        <v>0.122</v>
      </c>
      <c r="DM149" s="28">
        <v>0</v>
      </c>
      <c r="DN149" s="28">
        <v>1.9E-2</v>
      </c>
      <c r="DO149" s="28">
        <v>3.5999999999999997E-2</v>
      </c>
      <c r="DP149" s="28">
        <v>2.1000000000000001E-2</v>
      </c>
      <c r="DQ149" s="28">
        <f t="shared" si="118"/>
        <v>7.5999999999999998E-2</v>
      </c>
      <c r="DR149" s="28">
        <v>0.05</v>
      </c>
      <c r="DS149" s="28">
        <v>7.0000000000000001E-3</v>
      </c>
      <c r="DT149" s="28">
        <v>0.28499999999999998</v>
      </c>
      <c r="DU149" s="28">
        <v>0.159</v>
      </c>
      <c r="DV149" s="28">
        <f t="shared" si="119"/>
        <v>0.501</v>
      </c>
      <c r="DW149" s="28">
        <v>0.54800000000000004</v>
      </c>
      <c r="DX149" s="28">
        <v>0.20818453000000001</v>
      </c>
      <c r="DY149" s="28">
        <v>0.40884244999999997</v>
      </c>
      <c r="DZ149" s="28">
        <v>9.7438709999999942E-2</v>
      </c>
      <c r="EA149" s="28">
        <f t="shared" si="120"/>
        <v>1.26246569</v>
      </c>
      <c r="EB149" s="28">
        <v>7.7532799999999999E-2</v>
      </c>
      <c r="EC149" s="28">
        <v>0.10142099</v>
      </c>
      <c r="ED149" s="28">
        <v>5.3999999999999999E-2</v>
      </c>
      <c r="EE149" s="28">
        <v>6.9006600000000001E-2</v>
      </c>
      <c r="EF149" s="28">
        <f t="shared" si="121"/>
        <v>0.30196038999999997</v>
      </c>
      <c r="EG149" s="28">
        <v>0.64788497</v>
      </c>
      <c r="EH149" s="28">
        <v>1.8877020000000026E-2</v>
      </c>
      <c r="EI149" s="28">
        <v>2.5438069999999948E-2</v>
      </c>
    </row>
    <row r="150" spans="1:139" ht="15" thickTop="1" x14ac:dyDescent="0.3">
      <c r="A150" s="1" t="s">
        <v>445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27">
        <v>0</v>
      </c>
      <c r="BK150" s="27">
        <v>0</v>
      </c>
      <c r="BL150" s="27">
        <v>0</v>
      </c>
      <c r="BM150" s="27">
        <v>0</v>
      </c>
      <c r="BN150" s="27">
        <f t="shared" si="107"/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f t="shared" si="108"/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f t="shared" si="109"/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f t="shared" si="110"/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f t="shared" si="111"/>
        <v>0</v>
      </c>
      <c r="CI150" s="27">
        <v>0</v>
      </c>
      <c r="CJ150" s="27">
        <v>4.0705809999999995E-2</v>
      </c>
      <c r="CK150" s="27">
        <v>4.1946869999999997E-2</v>
      </c>
      <c r="CL150" s="27">
        <v>7.1849420000000011E-2</v>
      </c>
      <c r="CM150" s="27">
        <f t="shared" si="112"/>
        <v>0.1545021</v>
      </c>
      <c r="CN150" s="27">
        <v>2.8616279999999997E-2</v>
      </c>
      <c r="CO150" s="27">
        <v>3.320505E-2</v>
      </c>
      <c r="CP150" s="27">
        <v>1.9860899999999997E-2</v>
      </c>
      <c r="CQ150" s="27">
        <f>0.115-SUM(CN150:CP150)</f>
        <v>3.331777000000001E-2</v>
      </c>
      <c r="CR150" s="27">
        <f t="shared" si="113"/>
        <v>0.115</v>
      </c>
      <c r="CS150" s="27">
        <v>2.7E-2</v>
      </c>
      <c r="CT150" s="27">
        <f>0.051-CS150</f>
        <v>2.3999999999999997E-2</v>
      </c>
      <c r="CU150" s="27">
        <f>0.071-CT150-CS150</f>
        <v>0.02</v>
      </c>
      <c r="CV150" s="27">
        <f>0.098-SUM(CS150:CU150)</f>
        <v>2.700000000000001E-2</v>
      </c>
      <c r="CW150" s="27">
        <f t="shared" si="114"/>
        <v>9.8000000000000004E-2</v>
      </c>
      <c r="CX150" s="27">
        <v>2.5999999999999999E-2</v>
      </c>
      <c r="CY150" s="27">
        <v>2.5000000000000001E-2</v>
      </c>
      <c r="CZ150" s="27">
        <v>2.1999999999999999E-2</v>
      </c>
      <c r="DA150" s="27">
        <v>0.48699999999999999</v>
      </c>
      <c r="DB150" s="27">
        <f t="shared" si="115"/>
        <v>0.56000000000000005</v>
      </c>
      <c r="DC150" s="27">
        <v>8.5000000000000006E-2</v>
      </c>
      <c r="DD150" s="27">
        <v>8.6999999999999994E-2</v>
      </c>
      <c r="DE150" s="27">
        <v>7.6999999999999999E-2</v>
      </c>
      <c r="DF150" s="27">
        <v>9.6000000000000002E-2</v>
      </c>
      <c r="DG150" s="27">
        <f t="shared" si="116"/>
        <v>0.34499999999999997</v>
      </c>
      <c r="DH150" s="27">
        <v>0.05</v>
      </c>
      <c r="DI150" s="27">
        <v>5.3999999999999999E-2</v>
      </c>
      <c r="DJ150" s="27">
        <v>0.12</v>
      </c>
      <c r="DK150" s="27">
        <v>7.0999999999999994E-2</v>
      </c>
      <c r="DL150" s="27">
        <f t="shared" si="117"/>
        <v>0.29499999999999998</v>
      </c>
      <c r="DM150" s="27">
        <v>3.4000000000000002E-2</v>
      </c>
      <c r="DN150" s="27">
        <v>0.123</v>
      </c>
      <c r="DO150" s="27">
        <v>8.4000000000000005E-2</v>
      </c>
      <c r="DP150" s="27">
        <v>8.3000000000000004E-2</v>
      </c>
      <c r="DQ150" s="27">
        <f t="shared" si="118"/>
        <v>0.32400000000000001</v>
      </c>
      <c r="DR150" s="27">
        <v>8.5000000000000006E-2</v>
      </c>
      <c r="DS150" s="27">
        <v>8.6999999999999994E-2</v>
      </c>
      <c r="DT150" s="27">
        <v>-0.14699999999999999</v>
      </c>
      <c r="DU150" s="27">
        <v>-0.01</v>
      </c>
      <c r="DV150" s="27">
        <f t="shared" si="119"/>
        <v>1.4999999999999994E-2</v>
      </c>
      <c r="DW150" s="27">
        <v>1.7000000000000001E-2</v>
      </c>
      <c r="DX150" s="27">
        <v>1.2050559999999998E-2</v>
      </c>
      <c r="DY150" s="27">
        <v>2.42448E-2</v>
      </c>
      <c r="DZ150" s="27">
        <v>3.1817249999999998E-2</v>
      </c>
      <c r="EA150" s="27">
        <f t="shared" si="120"/>
        <v>8.5112610000000005E-2</v>
      </c>
      <c r="EB150" s="27">
        <v>5.3625999999999999E-4</v>
      </c>
      <c r="EC150" s="27">
        <v>-6.6108000000000009E-4</v>
      </c>
      <c r="ED150" s="27">
        <v>0</v>
      </c>
      <c r="EE150" s="27">
        <v>6.3304499999999996E-3</v>
      </c>
      <c r="EF150" s="27">
        <f t="shared" si="121"/>
        <v>6.2056299999999993E-3</v>
      </c>
      <c r="EG150" s="27">
        <v>7.9690300000000002E-3</v>
      </c>
      <c r="EH150" s="27">
        <v>2.5162200000000004E-3</v>
      </c>
      <c r="EI150" s="27">
        <v>-1.2628000000000067E-4</v>
      </c>
    </row>
    <row r="151" spans="1:139" ht="15" thickBot="1" x14ac:dyDescent="0.35">
      <c r="A151" s="2" t="s">
        <v>444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28">
        <v>0</v>
      </c>
      <c r="BK151" s="28">
        <v>0</v>
      </c>
      <c r="BL151" s="28">
        <v>0</v>
      </c>
      <c r="BM151" s="28">
        <v>0</v>
      </c>
      <c r="BN151" s="28">
        <f t="shared" si="107"/>
        <v>0</v>
      </c>
      <c r="BO151" s="28">
        <v>0</v>
      </c>
      <c r="BP151" s="28">
        <v>0</v>
      </c>
      <c r="BQ151" s="28">
        <v>0</v>
      </c>
      <c r="BR151" s="28">
        <v>0</v>
      </c>
      <c r="BS151" s="28">
        <f t="shared" si="108"/>
        <v>0</v>
      </c>
      <c r="BT151" s="28">
        <v>0</v>
      </c>
      <c r="BU151" s="28">
        <v>0</v>
      </c>
      <c r="BV151" s="28">
        <v>0</v>
      </c>
      <c r="BW151" s="28">
        <v>0</v>
      </c>
      <c r="BX151" s="28">
        <f t="shared" si="109"/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f t="shared" si="110"/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f t="shared" si="111"/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f t="shared" si="112"/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f t="shared" si="113"/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f t="shared" si="114"/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f t="shared" si="115"/>
        <v>0</v>
      </c>
      <c r="DC151" s="28">
        <v>0</v>
      </c>
      <c r="DD151" s="28">
        <v>0</v>
      </c>
      <c r="DE151" s="28">
        <v>0.33300000000000002</v>
      </c>
      <c r="DF151" s="28">
        <v>2.8239999999999998</v>
      </c>
      <c r="DG151" s="28">
        <f t="shared" si="116"/>
        <v>3.157</v>
      </c>
      <c r="DH151" s="28">
        <v>0.245</v>
      </c>
      <c r="DI151" s="28">
        <v>4.5999999999999999E-2</v>
      </c>
      <c r="DJ151" s="28">
        <v>0.11</v>
      </c>
      <c r="DK151" s="28">
        <v>-0.55100000000000005</v>
      </c>
      <c r="DL151" s="28">
        <f t="shared" si="117"/>
        <v>-0.15000000000000008</v>
      </c>
      <c r="DM151" s="28">
        <v>8.0000000000000002E-3</v>
      </c>
      <c r="DN151" s="28">
        <v>3.2000000000000001E-2</v>
      </c>
      <c r="DO151" s="28">
        <v>4.7E-2</v>
      </c>
      <c r="DP151" s="28">
        <v>3.1E-2</v>
      </c>
      <c r="DQ151" s="28">
        <f t="shared" si="118"/>
        <v>0.11799999999999999</v>
      </c>
      <c r="DR151" s="28">
        <v>0</v>
      </c>
      <c r="DS151" s="28">
        <v>0</v>
      </c>
      <c r="DT151" s="28">
        <v>-4.2999999999999997E-2</v>
      </c>
      <c r="DU151" s="28">
        <v>2.1999999999999999E-2</v>
      </c>
      <c r="DV151" s="28">
        <f t="shared" si="119"/>
        <v>-2.0999999999999998E-2</v>
      </c>
      <c r="DW151" s="28">
        <v>1.2999999999999999E-2</v>
      </c>
      <c r="DX151" s="28">
        <v>2.087077E-2</v>
      </c>
      <c r="DY151" s="28">
        <v>2.3260570000000001E-2</v>
      </c>
      <c r="DZ151" s="28">
        <v>1.0864410000000003E-2</v>
      </c>
      <c r="EA151" s="28">
        <f t="shared" si="120"/>
        <v>6.7995750000000008E-2</v>
      </c>
      <c r="EB151" s="28">
        <v>9.8029400000000013E-3</v>
      </c>
      <c r="EC151" s="28">
        <v>1.2707800000000002E-2</v>
      </c>
      <c r="ED151" s="28">
        <v>8.9999999999999993E-3</v>
      </c>
      <c r="EE151" s="28">
        <v>-2.0834040000000002E-2</v>
      </c>
      <c r="EF151" s="28">
        <f t="shared" si="121"/>
        <v>1.0676700000000001E-2</v>
      </c>
      <c r="EG151" s="28">
        <v>3.6958099999999999E-3</v>
      </c>
      <c r="EH151" s="28">
        <v>1.1256550000000001E-2</v>
      </c>
      <c r="EI151" s="28">
        <v>3.111972E-2</v>
      </c>
    </row>
    <row r="152" spans="1:139" ht="15" thickTop="1" x14ac:dyDescent="0.3">
      <c r="A152" s="1" t="s">
        <v>456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27">
        <v>0</v>
      </c>
      <c r="BK152" s="27">
        <v>0</v>
      </c>
      <c r="BL152" s="27">
        <v>0</v>
      </c>
      <c r="BM152" s="27">
        <v>0</v>
      </c>
      <c r="BN152" s="27">
        <f t="shared" si="107"/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f t="shared" si="108"/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f t="shared" si="109"/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f t="shared" si="110"/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f t="shared" si="111"/>
        <v>0</v>
      </c>
      <c r="CI152" s="27">
        <v>0</v>
      </c>
      <c r="CJ152" s="27">
        <v>0</v>
      </c>
      <c r="CK152" s="27">
        <v>0</v>
      </c>
      <c r="CL152" s="27">
        <v>0</v>
      </c>
      <c r="CM152" s="27">
        <f t="shared" si="112"/>
        <v>0</v>
      </c>
      <c r="CN152" s="27">
        <v>0</v>
      </c>
      <c r="CO152" s="27">
        <v>0</v>
      </c>
      <c r="CP152" s="27">
        <v>0</v>
      </c>
      <c r="CQ152" s="27">
        <v>0</v>
      </c>
      <c r="CR152" s="27">
        <f t="shared" si="113"/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f t="shared" si="114"/>
        <v>0</v>
      </c>
      <c r="CX152" s="27">
        <v>0</v>
      </c>
      <c r="CY152" s="27">
        <v>0</v>
      </c>
      <c r="CZ152" s="27">
        <v>0</v>
      </c>
      <c r="DA152" s="27">
        <v>0.14299999999999999</v>
      </c>
      <c r="DB152" s="27">
        <f t="shared" si="115"/>
        <v>0.14299999999999999</v>
      </c>
      <c r="DC152" s="27">
        <v>6.5000000000000002E-2</v>
      </c>
      <c r="DD152" s="27">
        <v>6.8000000000000005E-2</v>
      </c>
      <c r="DE152" s="27">
        <v>6.9000000000000006E-2</v>
      </c>
      <c r="DF152" s="27">
        <v>5.6000000000000001E-2</v>
      </c>
      <c r="DG152" s="27">
        <f t="shared" si="116"/>
        <v>0.25800000000000001</v>
      </c>
      <c r="DH152" s="27">
        <v>1.0999999999999999E-2</v>
      </c>
      <c r="DI152" s="27">
        <v>3.7999999999999999E-2</v>
      </c>
      <c r="DJ152" s="27">
        <v>5.2999999999999999E-2</v>
      </c>
      <c r="DK152" s="27">
        <v>5.3999999999999999E-2</v>
      </c>
      <c r="DL152" s="27">
        <f t="shared" si="117"/>
        <v>0.156</v>
      </c>
      <c r="DM152" s="27">
        <v>7.0000000000000007E-2</v>
      </c>
      <c r="DN152" s="27">
        <v>-5.3999999999999999E-2</v>
      </c>
      <c r="DO152" s="27">
        <v>2.1999999999999999E-2</v>
      </c>
      <c r="DP152" s="27">
        <v>7.3999999999999996E-2</v>
      </c>
      <c r="DQ152" s="27">
        <f t="shared" si="118"/>
        <v>0.112</v>
      </c>
      <c r="DR152" s="27">
        <v>5.6000000000000001E-2</v>
      </c>
      <c r="DS152" s="27">
        <v>-1.4E-2</v>
      </c>
      <c r="DT152" s="27">
        <v>-1.2E-2</v>
      </c>
      <c r="DU152" s="27">
        <v>8.0000000000000002E-3</v>
      </c>
      <c r="DV152" s="27">
        <f t="shared" si="119"/>
        <v>3.8000000000000006E-2</v>
      </c>
      <c r="DW152" s="27">
        <v>7.9000000000000001E-2</v>
      </c>
      <c r="DX152" s="27">
        <v>-7.1686000000000004E-4</v>
      </c>
      <c r="DY152" s="27">
        <v>6.6496200000000028E-3</v>
      </c>
      <c r="DZ152" s="27">
        <v>8.5339799999999966E-3</v>
      </c>
      <c r="EA152" s="27">
        <f t="shared" si="120"/>
        <v>9.3466740000000006E-2</v>
      </c>
      <c r="EB152" s="27">
        <v>-3.2829999999999996E-5</v>
      </c>
      <c r="EC152" s="27">
        <v>2.5473E-4</v>
      </c>
      <c r="ED152" s="27">
        <v>8.9999999999999993E-3</v>
      </c>
      <c r="EE152" s="27">
        <v>1.9197490000000001E-2</v>
      </c>
      <c r="EF152" s="27">
        <f t="shared" si="121"/>
        <v>2.8419390000000003E-2</v>
      </c>
      <c r="EG152" s="27">
        <v>5.27722E-3</v>
      </c>
      <c r="EH152" s="27">
        <v>8.6034759999999988E-2</v>
      </c>
      <c r="EI152" s="27">
        <v>-5.6135709999999998E-2</v>
      </c>
    </row>
    <row r="153" spans="1:139" ht="15" thickBot="1" x14ac:dyDescent="0.35">
      <c r="A153" s="2" t="s">
        <v>446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28">
        <v>0</v>
      </c>
      <c r="BK153" s="28">
        <v>0</v>
      </c>
      <c r="BL153" s="28">
        <v>0</v>
      </c>
      <c r="BM153" s="28">
        <v>0</v>
      </c>
      <c r="BN153" s="28">
        <f t="shared" si="107"/>
        <v>0</v>
      </c>
      <c r="BO153" s="28">
        <v>0</v>
      </c>
      <c r="BP153" s="28">
        <v>0</v>
      </c>
      <c r="BQ153" s="28">
        <v>0</v>
      </c>
      <c r="BR153" s="28">
        <v>0</v>
      </c>
      <c r="BS153" s="28">
        <f t="shared" si="108"/>
        <v>0</v>
      </c>
      <c r="BT153" s="28">
        <v>0</v>
      </c>
      <c r="BU153" s="28">
        <v>0</v>
      </c>
      <c r="BV153" s="28">
        <v>0</v>
      </c>
      <c r="BW153" s="28">
        <v>0</v>
      </c>
      <c r="BX153" s="28">
        <f t="shared" si="109"/>
        <v>0</v>
      </c>
      <c r="BY153" s="28">
        <v>0</v>
      </c>
      <c r="BZ153" s="28">
        <v>0</v>
      </c>
      <c r="CA153" s="28">
        <v>0</v>
      </c>
      <c r="CB153" s="28">
        <v>0</v>
      </c>
      <c r="CC153" s="28">
        <f t="shared" si="110"/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f t="shared" si="111"/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f t="shared" si="112"/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f t="shared" si="113"/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f t="shared" si="114"/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f t="shared" si="115"/>
        <v>0</v>
      </c>
      <c r="DC153" s="28">
        <v>0</v>
      </c>
      <c r="DD153" s="28">
        <v>0</v>
      </c>
      <c r="DE153" s="28">
        <v>0</v>
      </c>
      <c r="DF153" s="28"/>
      <c r="DG153" s="28">
        <f t="shared" si="116"/>
        <v>0</v>
      </c>
      <c r="DH153" s="28">
        <v>8.0000000000000002E-3</v>
      </c>
      <c r="DI153" s="28">
        <v>1.0999999999999999E-2</v>
      </c>
      <c r="DJ153" s="28">
        <v>7.8E-2</v>
      </c>
      <c r="DK153" s="28">
        <v>0.11</v>
      </c>
      <c r="DL153" s="28">
        <f t="shared" si="117"/>
        <v>0.20700000000000002</v>
      </c>
      <c r="DM153" s="28">
        <v>3.0000000000000001E-3</v>
      </c>
      <c r="DN153" s="28">
        <v>5.6000000000000001E-2</v>
      </c>
      <c r="DO153" s="28">
        <v>-5.3999999999999999E-2</v>
      </c>
      <c r="DP153" s="28">
        <v>1.6E-2</v>
      </c>
      <c r="DQ153" s="28">
        <f t="shared" si="118"/>
        <v>2.1000000000000005E-2</v>
      </c>
      <c r="DR153" s="28">
        <v>-5.0000000000000001E-3</v>
      </c>
      <c r="DS153" s="28">
        <v>1.7000000000000001E-2</v>
      </c>
      <c r="DT153" s="28">
        <v>1.0999999999999999E-2</v>
      </c>
      <c r="DU153" s="28">
        <v>-4.0000000000000001E-3</v>
      </c>
      <c r="DV153" s="28">
        <f t="shared" si="119"/>
        <v>1.9E-2</v>
      </c>
      <c r="DW153" s="28">
        <v>-6.0000000000000001E-3</v>
      </c>
      <c r="DX153" s="28">
        <v>-7.4939300000000011E-3</v>
      </c>
      <c r="DY153" s="28">
        <v>-5.6656100000000006E-3</v>
      </c>
      <c r="DZ153" s="28">
        <v>1.8836509999999997E-2</v>
      </c>
      <c r="EA153" s="28">
        <f t="shared" si="120"/>
        <v>-3.230300000000054E-4</v>
      </c>
      <c r="EB153" s="28">
        <v>1.2216600000000001E-3</v>
      </c>
      <c r="EC153" s="28">
        <v>-1.2772190000000001E-2</v>
      </c>
      <c r="ED153" s="28">
        <v>3.0000000000000001E-3</v>
      </c>
      <c r="EE153" s="28">
        <v>1.4000399999999991E-3</v>
      </c>
      <c r="EF153" s="28">
        <f t="shared" si="121"/>
        <v>-7.1504900000000015E-3</v>
      </c>
      <c r="EG153" s="28">
        <v>3.5504170000000002E-2</v>
      </c>
      <c r="EH153" s="28">
        <v>-3.1990269999999994E-2</v>
      </c>
      <c r="EI153" s="68">
        <v>2.2720999999999267E-4</v>
      </c>
    </row>
    <row r="154" spans="1:139" ht="15" thickTop="1" x14ac:dyDescent="0.3">
      <c r="A154" s="1" t="s">
        <v>447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27">
        <v>0</v>
      </c>
      <c r="BK154" s="27">
        <v>0</v>
      </c>
      <c r="BL154" s="27">
        <v>0</v>
      </c>
      <c r="BM154" s="27">
        <v>0</v>
      </c>
      <c r="BN154" s="27">
        <f t="shared" si="107"/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f t="shared" si="108"/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f t="shared" si="109"/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f t="shared" si="110"/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f t="shared" si="111"/>
        <v>0</v>
      </c>
      <c r="CI154" s="27">
        <v>0</v>
      </c>
      <c r="CJ154" s="27">
        <v>0</v>
      </c>
      <c r="CK154" s="27">
        <v>0</v>
      </c>
      <c r="CL154" s="27">
        <v>0</v>
      </c>
      <c r="CM154" s="27">
        <f t="shared" si="112"/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f t="shared" si="113"/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f t="shared" si="114"/>
        <v>0</v>
      </c>
      <c r="CX154" s="27">
        <v>0</v>
      </c>
      <c r="CY154" s="27">
        <v>0</v>
      </c>
      <c r="CZ154" s="27">
        <v>0</v>
      </c>
      <c r="DA154" s="27">
        <v>0</v>
      </c>
      <c r="DB154" s="27">
        <f t="shared" si="115"/>
        <v>0</v>
      </c>
      <c r="DC154" s="27">
        <v>0</v>
      </c>
      <c r="DD154" s="27">
        <v>0</v>
      </c>
      <c r="DE154" s="27">
        <v>0</v>
      </c>
      <c r="DF154" s="27"/>
      <c r="DG154" s="27">
        <f t="shared" si="116"/>
        <v>0</v>
      </c>
      <c r="DH154" s="27">
        <v>0</v>
      </c>
      <c r="DI154" s="27">
        <v>0</v>
      </c>
      <c r="DJ154" s="27">
        <v>0</v>
      </c>
      <c r="DK154" s="27">
        <v>0</v>
      </c>
      <c r="DL154" s="27">
        <f t="shared" si="117"/>
        <v>0</v>
      </c>
      <c r="DM154" s="27">
        <v>0</v>
      </c>
      <c r="DN154" s="27">
        <v>0</v>
      </c>
      <c r="DO154" s="27">
        <v>8.0000000000000002E-3</v>
      </c>
      <c r="DP154" s="27">
        <v>0.22900000000000001</v>
      </c>
      <c r="DQ154" s="27">
        <f t="shared" si="118"/>
        <v>0.23700000000000002</v>
      </c>
      <c r="DR154" s="27">
        <v>0.13200000000000001</v>
      </c>
      <c r="DS154" s="27">
        <v>-3.1E-2</v>
      </c>
      <c r="DT154" s="27">
        <v>4.4999999999999998E-2</v>
      </c>
      <c r="DU154" s="27">
        <v>0.33300000000000002</v>
      </c>
      <c r="DV154" s="27">
        <f t="shared" si="119"/>
        <v>0.47900000000000004</v>
      </c>
      <c r="DW154" s="27">
        <v>4.2999999999999997E-2</v>
      </c>
      <c r="DX154" s="27">
        <v>0.10362044000000001</v>
      </c>
      <c r="DY154" s="27">
        <v>-4.2075199999999898E-3</v>
      </c>
      <c r="DZ154" s="27">
        <v>9.551049999999988E-3</v>
      </c>
      <c r="EA154" s="27">
        <f t="shared" si="120"/>
        <v>0.15196397</v>
      </c>
      <c r="EB154" s="27">
        <v>5.3289160000000002E-2</v>
      </c>
      <c r="EC154" s="27">
        <v>8.6341639999999983E-2</v>
      </c>
      <c r="ED154" s="27">
        <v>6.8000000000000005E-2</v>
      </c>
      <c r="EE154" s="27">
        <v>6.0822530000000027E-2</v>
      </c>
      <c r="EF154" s="27">
        <f t="shared" si="121"/>
        <v>0.26845333000000005</v>
      </c>
      <c r="EG154" s="27">
        <v>3.0081220000000002E-2</v>
      </c>
      <c r="EH154" s="27">
        <v>8.787099000000001E-2</v>
      </c>
      <c r="EI154" s="27">
        <v>4.4288699999999953E-3</v>
      </c>
    </row>
    <row r="155" spans="1:139" ht="15" thickBot="1" x14ac:dyDescent="0.35">
      <c r="A155" s="2" t="s">
        <v>448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28">
        <v>0</v>
      </c>
      <c r="BK155" s="28">
        <v>0</v>
      </c>
      <c r="BL155" s="28">
        <v>0</v>
      </c>
      <c r="BM155" s="28">
        <v>0</v>
      </c>
      <c r="BN155" s="28">
        <f t="shared" si="107"/>
        <v>0</v>
      </c>
      <c r="BO155" s="28">
        <v>0</v>
      </c>
      <c r="BP155" s="28">
        <v>0</v>
      </c>
      <c r="BQ155" s="28">
        <v>0</v>
      </c>
      <c r="BR155" s="28">
        <v>0</v>
      </c>
      <c r="BS155" s="28">
        <f t="shared" si="108"/>
        <v>0</v>
      </c>
      <c r="BT155" s="28">
        <v>0</v>
      </c>
      <c r="BU155" s="28">
        <v>0</v>
      </c>
      <c r="BV155" s="28">
        <v>0</v>
      </c>
      <c r="BW155" s="28">
        <v>0</v>
      </c>
      <c r="BX155" s="28">
        <f t="shared" si="109"/>
        <v>0</v>
      </c>
      <c r="BY155" s="28">
        <v>0</v>
      </c>
      <c r="BZ155" s="28">
        <v>0</v>
      </c>
      <c r="CA155" s="28">
        <v>0</v>
      </c>
      <c r="CB155" s="28">
        <v>0</v>
      </c>
      <c r="CC155" s="28">
        <f t="shared" si="110"/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f t="shared" si="111"/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f t="shared" si="112"/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f t="shared" si="113"/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f t="shared" si="114"/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f t="shared" si="115"/>
        <v>0</v>
      </c>
      <c r="DC155" s="28">
        <v>0</v>
      </c>
      <c r="DD155" s="28">
        <v>0</v>
      </c>
      <c r="DE155" s="28">
        <v>0</v>
      </c>
      <c r="DF155" s="28"/>
      <c r="DG155" s="28">
        <f t="shared" si="116"/>
        <v>0</v>
      </c>
      <c r="DH155" s="28"/>
      <c r="DI155" s="28">
        <v>0</v>
      </c>
      <c r="DJ155" s="28">
        <v>0</v>
      </c>
      <c r="DK155" s="28">
        <v>0</v>
      </c>
      <c r="DL155" s="28">
        <f t="shared" si="117"/>
        <v>0</v>
      </c>
      <c r="DM155" s="28">
        <v>0</v>
      </c>
      <c r="DN155" s="28">
        <v>0</v>
      </c>
      <c r="DO155" s="28">
        <v>0</v>
      </c>
      <c r="DP155" s="28">
        <v>0</v>
      </c>
      <c r="DQ155" s="28">
        <f t="shared" si="118"/>
        <v>0</v>
      </c>
      <c r="DR155" s="28">
        <v>0</v>
      </c>
      <c r="DS155" s="28">
        <v>0</v>
      </c>
      <c r="DT155" s="28">
        <v>5.0000000000000001E-3</v>
      </c>
      <c r="DU155" s="28">
        <v>0.02</v>
      </c>
      <c r="DV155" s="28">
        <f t="shared" si="119"/>
        <v>2.5000000000000001E-2</v>
      </c>
      <c r="DW155" s="28">
        <v>5.5E-2</v>
      </c>
      <c r="DX155" s="28">
        <v>7.350414999999999E-2</v>
      </c>
      <c r="DY155" s="28">
        <v>9.4523320000000008E-2</v>
      </c>
      <c r="DZ155" s="28">
        <v>0.27290153</v>
      </c>
      <c r="EA155" s="28">
        <f t="shared" si="120"/>
        <v>0.49592900000000001</v>
      </c>
      <c r="EB155" s="28">
        <v>8.1727140000000004E-2</v>
      </c>
      <c r="EC155" s="28">
        <v>-2.9346690000000002E-2</v>
      </c>
      <c r="ED155" s="28">
        <v>1.2E-2</v>
      </c>
      <c r="EE155" s="28">
        <v>3.5388070000000001E-2</v>
      </c>
      <c r="EF155" s="28">
        <f t="shared" si="121"/>
        <v>9.9768519999999999E-2</v>
      </c>
      <c r="EG155" s="28">
        <v>0.20775544000000001</v>
      </c>
      <c r="EH155" s="28">
        <v>-0.13720360000000001</v>
      </c>
      <c r="EI155" s="28">
        <v>0.24522042000000002</v>
      </c>
    </row>
    <row r="156" spans="1:139" ht="15" thickTop="1" x14ac:dyDescent="0.3">
      <c r="A156" s="1" t="s">
        <v>449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7">
        <v>0</v>
      </c>
      <c r="DS156" s="27">
        <v>0</v>
      </c>
      <c r="DT156" s="27">
        <v>0</v>
      </c>
      <c r="DU156" s="27">
        <v>0</v>
      </c>
      <c r="DV156" s="27">
        <v>0</v>
      </c>
      <c r="DW156" s="27">
        <v>0</v>
      </c>
      <c r="DX156" s="27">
        <v>0.12091440000000001</v>
      </c>
      <c r="DY156" s="27">
        <v>1.2062200000000012E-2</v>
      </c>
      <c r="DZ156" s="27">
        <v>4.2327489999999988E-2</v>
      </c>
      <c r="EA156" s="27">
        <f t="shared" si="120"/>
        <v>0.17530409000000002</v>
      </c>
      <c r="EB156" s="27">
        <v>2.7185169999999998E-2</v>
      </c>
      <c r="EC156" s="27">
        <v>9.9595630000000004E-2</v>
      </c>
      <c r="ED156" s="27">
        <v>0.128</v>
      </c>
      <c r="EE156" s="27">
        <v>0.10230166</v>
      </c>
      <c r="EF156" s="27">
        <f t="shared" si="121"/>
        <v>0.35708246000000005</v>
      </c>
      <c r="EG156" s="27">
        <v>4.9883999999999998E-2</v>
      </c>
      <c r="EH156" s="27">
        <v>0.10712670000000001</v>
      </c>
      <c r="EI156" s="27">
        <v>0.27186576999999995</v>
      </c>
    </row>
    <row r="157" spans="1:139" ht="15" thickBot="1" x14ac:dyDescent="0.35">
      <c r="A157" s="2" t="s">
        <v>460</v>
      </c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>
        <v>0</v>
      </c>
      <c r="EH157" s="28">
        <v>0.13626350000000001</v>
      </c>
      <c r="EI157" s="28">
        <v>1.37442631</v>
      </c>
    </row>
    <row r="158" spans="1:139" ht="15" thickTop="1" x14ac:dyDescent="0.3">
      <c r="A158" s="1" t="s">
        <v>304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27">
        <v>0</v>
      </c>
      <c r="BK158" s="27">
        <v>0</v>
      </c>
      <c r="BL158" s="27">
        <v>0</v>
      </c>
      <c r="BM158" s="27">
        <v>0</v>
      </c>
      <c r="BN158" s="27">
        <f t="shared" si="107"/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f t="shared" si="108"/>
        <v>0</v>
      </c>
      <c r="BT158" s="27">
        <v>0</v>
      </c>
      <c r="BU158" s="27">
        <v>0</v>
      </c>
      <c r="BV158" s="27">
        <v>0</v>
      </c>
      <c r="BW158" s="27">
        <v>3.2311147399999998</v>
      </c>
      <c r="BX158" s="27">
        <f t="shared" si="109"/>
        <v>3.2311147399999998</v>
      </c>
      <c r="BY158" s="27">
        <v>1.45245797</v>
      </c>
      <c r="BZ158" s="27">
        <v>3.3009306599999997</v>
      </c>
      <c r="CA158" s="27">
        <v>-1.90494907</v>
      </c>
      <c r="CB158" s="27">
        <v>6.7169383600000012</v>
      </c>
      <c r="CC158" s="27">
        <f t="shared" si="110"/>
        <v>9.5653779200000013</v>
      </c>
      <c r="CD158" s="27">
        <v>2.9286180599999998</v>
      </c>
      <c r="CE158" s="27">
        <v>-0.53322829999999977</v>
      </c>
      <c r="CF158" s="27">
        <v>1.4385931900000006</v>
      </c>
      <c r="CG158" s="27">
        <v>1.3658035799999979</v>
      </c>
      <c r="CH158" s="27">
        <f t="shared" si="111"/>
        <v>5.199786529999999</v>
      </c>
      <c r="CI158" s="27">
        <v>1.5207699499999998</v>
      </c>
      <c r="CJ158" s="27">
        <v>1.7242671900000002</v>
      </c>
      <c r="CK158" s="27">
        <v>2.17789331</v>
      </c>
      <c r="CL158" s="27">
        <v>2.16322641</v>
      </c>
      <c r="CM158" s="27">
        <f t="shared" si="112"/>
        <v>7.58615686</v>
      </c>
      <c r="CN158" s="27">
        <v>1.3494663299999998</v>
      </c>
      <c r="CO158" s="27">
        <v>1.2483588299999995</v>
      </c>
      <c r="CP158" s="27">
        <v>1.2870324200000005</v>
      </c>
      <c r="CQ158" s="27">
        <f>5.1-SUM(CN158:CP158)</f>
        <v>1.2151424199999998</v>
      </c>
      <c r="CR158" s="27">
        <f t="shared" si="113"/>
        <v>5.0999999999999996</v>
      </c>
      <c r="CS158" s="27">
        <v>0.82799999999999996</v>
      </c>
      <c r="CT158" s="27">
        <f>1.584-CS158</f>
        <v>0.75600000000000012</v>
      </c>
      <c r="CU158" s="27">
        <f>2.32-SUM(CS158:CT158)</f>
        <v>0.73599999999999977</v>
      </c>
      <c r="CV158" s="27">
        <f>0.517-SUM(CS158:CU158)</f>
        <v>-1.8029999999999999</v>
      </c>
      <c r="CW158" s="27">
        <f t="shared" si="114"/>
        <v>0.5169999999999999</v>
      </c>
      <c r="CX158" s="27">
        <v>0.35699999999999998</v>
      </c>
      <c r="CY158" s="27">
        <v>-0.16200000000000001</v>
      </c>
      <c r="CZ158" s="27">
        <v>0.126</v>
      </c>
      <c r="DA158" s="27">
        <v>8.6999999999999994E-2</v>
      </c>
      <c r="DB158" s="27">
        <f t="shared" si="115"/>
        <v>0.40799999999999992</v>
      </c>
      <c r="DC158" s="27">
        <v>9.8000000000000004E-2</v>
      </c>
      <c r="DD158" s="27">
        <v>0.11899999999999999</v>
      </c>
      <c r="DE158" s="27">
        <v>0.127</v>
      </c>
      <c r="DF158" s="27">
        <v>0.106</v>
      </c>
      <c r="DG158" s="27">
        <f t="shared" si="116"/>
        <v>0.44999999999999996</v>
      </c>
      <c r="DH158" s="27">
        <v>0.105</v>
      </c>
      <c r="DI158" s="27">
        <v>0.24399999999999999</v>
      </c>
      <c r="DJ158" s="27">
        <v>0.107</v>
      </c>
      <c r="DK158" s="27">
        <v>0.433</v>
      </c>
      <c r="DL158" s="27">
        <f t="shared" si="117"/>
        <v>0.88900000000000001</v>
      </c>
      <c r="DM158" s="27">
        <v>8.8999999999999996E-2</v>
      </c>
      <c r="DN158" s="27">
        <v>0.08</v>
      </c>
      <c r="DO158" s="27">
        <v>5.8999999999999997E-2</v>
      </c>
      <c r="DP158" s="27">
        <v>9.7000000000000003E-2</v>
      </c>
      <c r="DQ158" s="27">
        <f t="shared" si="118"/>
        <v>0.32499999999999996</v>
      </c>
      <c r="DR158" s="27">
        <v>7.0000000000000007E-2</v>
      </c>
      <c r="DS158" s="27">
        <v>0.112</v>
      </c>
      <c r="DT158" s="27">
        <v>0.159</v>
      </c>
      <c r="DU158" s="27">
        <v>0.33600000000000002</v>
      </c>
      <c r="DV158" s="27">
        <f t="shared" si="119"/>
        <v>0.67700000000000005</v>
      </c>
      <c r="DW158" s="27">
        <v>8.7999999999999995E-2</v>
      </c>
      <c r="DX158" s="27">
        <v>0.11454687</v>
      </c>
      <c r="DY158" s="27">
        <f>(85486.15+10417.35)/1000000</f>
        <v>9.5903500000000003E-2</v>
      </c>
      <c r="DZ158" s="27">
        <v>0.10584701999999997</v>
      </c>
      <c r="EA158" s="27">
        <f t="shared" ref="EA158:EA166" si="122">SUM(DW158:DZ158)</f>
        <v>0.40429738999999992</v>
      </c>
      <c r="EB158" s="27">
        <f>(88228.56+10988.99)/1000000</f>
        <v>9.9217550000000002E-2</v>
      </c>
      <c r="EC158" s="27">
        <v>0.10468158</v>
      </c>
      <c r="ED158" s="27">
        <v>0.124</v>
      </c>
      <c r="EE158" s="27">
        <v>0.45666283999999996</v>
      </c>
      <c r="EF158" s="27">
        <f t="shared" ref="EF158:EF166" si="123">SUM(EB158:EE158)</f>
        <v>0.78456196999999994</v>
      </c>
      <c r="EG158" s="27">
        <v>0.14610665</v>
      </c>
      <c r="EH158" s="27">
        <v>9.2022950000000006E-2</v>
      </c>
      <c r="EI158" s="27">
        <v>0.14380689000000002</v>
      </c>
    </row>
    <row r="159" spans="1:139" ht="15" thickBot="1" x14ac:dyDescent="0.35">
      <c r="A159" s="2" t="s">
        <v>305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28">
        <v>0</v>
      </c>
      <c r="BK159" s="28">
        <v>0</v>
      </c>
      <c r="BL159" s="28">
        <v>0</v>
      </c>
      <c r="BM159" s="28">
        <v>0</v>
      </c>
      <c r="BN159" s="28">
        <f t="shared" si="107"/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f t="shared" si="108"/>
        <v>0</v>
      </c>
      <c r="BT159" s="28">
        <v>0</v>
      </c>
      <c r="BU159" s="28">
        <v>0</v>
      </c>
      <c r="BV159" s="28">
        <v>0</v>
      </c>
      <c r="BW159" s="28">
        <v>0</v>
      </c>
      <c r="BX159" s="28">
        <f t="shared" si="109"/>
        <v>0</v>
      </c>
      <c r="BY159" s="28">
        <v>0</v>
      </c>
      <c r="BZ159" s="28">
        <v>0</v>
      </c>
      <c r="CA159" s="28">
        <v>0</v>
      </c>
      <c r="CB159" s="28">
        <v>0</v>
      </c>
      <c r="CC159" s="28">
        <f t="shared" si="110"/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f t="shared" si="111"/>
        <v>0</v>
      </c>
      <c r="CI159" s="28">
        <v>0</v>
      </c>
      <c r="CJ159" s="28">
        <v>0</v>
      </c>
      <c r="CK159" s="28">
        <v>0</v>
      </c>
      <c r="CL159" s="28">
        <v>0</v>
      </c>
      <c r="CM159" s="28">
        <f t="shared" si="112"/>
        <v>0</v>
      </c>
      <c r="CN159" s="28">
        <v>0</v>
      </c>
      <c r="CO159" s="28">
        <v>0</v>
      </c>
      <c r="CP159" s="28">
        <v>0</v>
      </c>
      <c r="CQ159" s="28">
        <v>0</v>
      </c>
      <c r="CR159" s="28">
        <f t="shared" si="113"/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f t="shared" si="114"/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f t="shared" si="115"/>
        <v>0</v>
      </c>
      <c r="DC159" s="28">
        <v>2.9000000000000001E-2</v>
      </c>
      <c r="DD159" s="28">
        <v>2.5999999999999999E-2</v>
      </c>
      <c r="DE159" s="28">
        <v>2.1999999999999999E-2</v>
      </c>
      <c r="DF159" s="28">
        <v>0.01</v>
      </c>
      <c r="DG159" s="28">
        <f t="shared" si="116"/>
        <v>8.6999999999999994E-2</v>
      </c>
      <c r="DH159" s="28">
        <v>4.1000000000000002E-2</v>
      </c>
      <c r="DI159" s="28">
        <v>0.05</v>
      </c>
      <c r="DJ159" s="28">
        <v>0.10100000000000001</v>
      </c>
      <c r="DK159" s="28">
        <v>2.5999999999999999E-2</v>
      </c>
      <c r="DL159" s="28">
        <f t="shared" si="117"/>
        <v>0.218</v>
      </c>
      <c r="DM159" s="28">
        <v>4.8000000000000001E-2</v>
      </c>
      <c r="DN159" s="28">
        <v>4.2999999999999997E-2</v>
      </c>
      <c r="DO159" s="28">
        <v>2.4E-2</v>
      </c>
      <c r="DP159" s="28">
        <v>8.0000000000000002E-3</v>
      </c>
      <c r="DQ159" s="28">
        <f t="shared" si="118"/>
        <v>0.123</v>
      </c>
      <c r="DR159" s="28">
        <v>6.0000000000000001E-3</v>
      </c>
      <c r="DS159" s="28">
        <v>0.13600000000000001</v>
      </c>
      <c r="DT159" s="28">
        <v>7.0000000000000001E-3</v>
      </c>
      <c r="DU159" s="28">
        <v>4.0000000000000001E-3</v>
      </c>
      <c r="DV159" s="28">
        <f t="shared" si="119"/>
        <v>0.15300000000000002</v>
      </c>
      <c r="DW159" s="28">
        <v>5.1999999999999998E-2</v>
      </c>
      <c r="DX159" s="28">
        <v>1.62209E-2</v>
      </c>
      <c r="DY159" s="28">
        <v>6.0024300000000004E-3</v>
      </c>
      <c r="DZ159" s="28">
        <v>3.3890999999999986E-3</v>
      </c>
      <c r="EA159" s="28">
        <f t="shared" si="122"/>
        <v>7.7612429999999996E-2</v>
      </c>
      <c r="EB159" s="28">
        <v>2.30905E-3</v>
      </c>
      <c r="EC159" s="28">
        <v>2.1929709999999998E-2</v>
      </c>
      <c r="ED159" s="28">
        <v>9.0999999999999998E-2</v>
      </c>
      <c r="EE159" s="28">
        <v>2.2207689999999999E-2</v>
      </c>
      <c r="EF159" s="28">
        <f t="shared" si="123"/>
        <v>0.13744645</v>
      </c>
      <c r="EG159" s="28">
        <v>1.629398E-2</v>
      </c>
      <c r="EH159" s="28">
        <v>3.8511800000000005E-3</v>
      </c>
      <c r="EI159" s="28">
        <v>2.0003110000000001E-2</v>
      </c>
    </row>
    <row r="160" spans="1:139" ht="15" thickTop="1" x14ac:dyDescent="0.3">
      <c r="A160" s="1" t="s">
        <v>306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27">
        <v>0</v>
      </c>
      <c r="BK160" s="27">
        <v>0</v>
      </c>
      <c r="BL160" s="27">
        <v>0</v>
      </c>
      <c r="BM160" s="27">
        <v>0</v>
      </c>
      <c r="BN160" s="27">
        <f t="shared" si="107"/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f t="shared" si="108"/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f t="shared" si="109"/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f t="shared" si="110"/>
        <v>0</v>
      </c>
      <c r="CD160" s="27">
        <v>0</v>
      </c>
      <c r="CE160" s="27">
        <v>0</v>
      </c>
      <c r="CF160" s="27">
        <v>0</v>
      </c>
      <c r="CG160" s="27">
        <v>0</v>
      </c>
      <c r="CH160" s="27">
        <f t="shared" si="111"/>
        <v>0</v>
      </c>
      <c r="CI160" s="27">
        <v>0</v>
      </c>
      <c r="CJ160" s="27">
        <v>0.28990246999999997</v>
      </c>
      <c r="CK160" s="27">
        <v>0.15939115000000004</v>
      </c>
      <c r="CL160" s="27">
        <v>0.16792783999999999</v>
      </c>
      <c r="CM160" s="27">
        <f t="shared" si="112"/>
        <v>0.61722146</v>
      </c>
      <c r="CN160" s="27">
        <v>0.30034843</v>
      </c>
      <c r="CO160" s="27">
        <v>0.30743547999999998</v>
      </c>
      <c r="CP160" s="27">
        <v>2.70932679</v>
      </c>
      <c r="CQ160" s="27">
        <f>6.213-SUM(CN160:CP160)</f>
        <v>2.8958893000000003</v>
      </c>
      <c r="CR160" s="27">
        <f t="shared" si="113"/>
        <v>6.2130000000000001</v>
      </c>
      <c r="CS160" s="27">
        <v>2.867</v>
      </c>
      <c r="CT160" s="27">
        <f>5.615-CS160</f>
        <v>2.7480000000000002</v>
      </c>
      <c r="CU160" s="27">
        <f>8.466-SUM(CS160:CT160)</f>
        <v>2.8509999999999991</v>
      </c>
      <c r="CV160" s="27">
        <f>11.396-SUM(CS160:CU160)</f>
        <v>2.9300000000000015</v>
      </c>
      <c r="CW160" s="27">
        <f t="shared" si="114"/>
        <v>11.396000000000001</v>
      </c>
      <c r="CX160" s="27">
        <v>2.835</v>
      </c>
      <c r="CY160" s="27">
        <v>3.0070000000000001</v>
      </c>
      <c r="CZ160" s="27">
        <v>1.97</v>
      </c>
      <c r="DA160" s="27">
        <v>2.5030000000000001</v>
      </c>
      <c r="DB160" s="27">
        <f t="shared" si="115"/>
        <v>10.315000000000001</v>
      </c>
      <c r="DC160" s="27">
        <v>1.909</v>
      </c>
      <c r="DD160" s="27">
        <v>1.9710000000000001</v>
      </c>
      <c r="DE160" s="27">
        <v>2.0019999999999998</v>
      </c>
      <c r="DF160" s="27">
        <v>2.056</v>
      </c>
      <c r="DG160" s="27">
        <f t="shared" si="116"/>
        <v>7.9379999999999997</v>
      </c>
      <c r="DH160" s="27">
        <v>0.33400000000000002</v>
      </c>
      <c r="DI160" s="27">
        <v>0.374</v>
      </c>
      <c r="DJ160" s="27">
        <v>0.505</v>
      </c>
      <c r="DK160" s="27">
        <v>0.55300000000000005</v>
      </c>
      <c r="DL160" s="27">
        <f t="shared" si="117"/>
        <v>1.766</v>
      </c>
      <c r="DM160" s="27">
        <v>0.41799999999999998</v>
      </c>
      <c r="DN160" s="27">
        <v>0.377</v>
      </c>
      <c r="DO160" s="27">
        <v>0.54300000000000004</v>
      </c>
      <c r="DP160" s="27">
        <v>0.47399999999999998</v>
      </c>
      <c r="DQ160" s="27">
        <f t="shared" si="118"/>
        <v>1.8120000000000001</v>
      </c>
      <c r="DR160" s="27">
        <v>0.23899999999999999</v>
      </c>
      <c r="DS160" s="27">
        <v>0.23899999999999999</v>
      </c>
      <c r="DT160" s="27">
        <v>0.314</v>
      </c>
      <c r="DU160" s="27">
        <v>0.17</v>
      </c>
      <c r="DV160" s="27">
        <f t="shared" si="119"/>
        <v>0.96200000000000008</v>
      </c>
      <c r="DW160" s="27">
        <v>3.18</v>
      </c>
      <c r="DX160" s="27">
        <v>0.59870825000000005</v>
      </c>
      <c r="DY160" s="27">
        <v>0.50003820999999982</v>
      </c>
      <c r="DZ160" s="27">
        <v>0.52418510000000029</v>
      </c>
      <c r="EA160" s="27">
        <f t="shared" si="122"/>
        <v>4.8029315600000002</v>
      </c>
      <c r="EB160" s="27">
        <v>0.46022153999999998</v>
      </c>
      <c r="EC160" s="27">
        <v>-0.16736106999999997</v>
      </c>
      <c r="ED160" s="27">
        <v>0.14399999999999999</v>
      </c>
      <c r="EE160" s="27">
        <v>0.92586561000000001</v>
      </c>
      <c r="EF160" s="27">
        <f t="shared" si="123"/>
        <v>1.3627260800000001</v>
      </c>
      <c r="EG160" s="27">
        <v>4.4050720000000002E-2</v>
      </c>
      <c r="EH160" s="27">
        <v>8.8731019999999994E-2</v>
      </c>
      <c r="EI160" s="27">
        <v>6.0360620000000011E-2</v>
      </c>
    </row>
    <row r="161" spans="1:139" ht="15" thickBot="1" x14ac:dyDescent="0.35">
      <c r="A161" s="2" t="s">
        <v>323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28">
        <v>0</v>
      </c>
      <c r="BK161" s="28">
        <v>0</v>
      </c>
      <c r="BL161" s="28">
        <v>0</v>
      </c>
      <c r="BM161" s="28">
        <v>0</v>
      </c>
      <c r="BN161" s="28">
        <f t="shared" si="107"/>
        <v>0</v>
      </c>
      <c r="BO161" s="28">
        <v>0</v>
      </c>
      <c r="BP161" s="28">
        <v>0</v>
      </c>
      <c r="BQ161" s="28">
        <v>0</v>
      </c>
      <c r="BR161" s="28">
        <v>0</v>
      </c>
      <c r="BS161" s="28">
        <f t="shared" si="108"/>
        <v>0</v>
      </c>
      <c r="BT161" s="28">
        <v>0</v>
      </c>
      <c r="BU161" s="28">
        <v>0</v>
      </c>
      <c r="BV161" s="28">
        <v>0</v>
      </c>
      <c r="BW161" s="28">
        <v>0</v>
      </c>
      <c r="BX161" s="28">
        <f t="shared" si="109"/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f t="shared" si="110"/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f t="shared" si="111"/>
        <v>0</v>
      </c>
      <c r="CI161" s="28">
        <v>0</v>
      </c>
      <c r="CJ161" s="28">
        <v>0</v>
      </c>
      <c r="CK161" s="28">
        <v>0</v>
      </c>
      <c r="CL161" s="28">
        <v>0</v>
      </c>
      <c r="CM161" s="28">
        <f t="shared" si="112"/>
        <v>0</v>
      </c>
      <c r="CN161" s="28">
        <v>0</v>
      </c>
      <c r="CO161" s="28">
        <v>0</v>
      </c>
      <c r="CP161" s="28">
        <v>0</v>
      </c>
      <c r="CQ161" s="28">
        <v>0</v>
      </c>
      <c r="CR161" s="28">
        <f t="shared" si="113"/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f t="shared" si="114"/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f t="shared" si="115"/>
        <v>0</v>
      </c>
      <c r="DC161" s="28">
        <f t="shared" ref="DC161:DD163" si="124">SUM(CY161:DB161)</f>
        <v>0</v>
      </c>
      <c r="DD161" s="28">
        <f t="shared" si="124"/>
        <v>0</v>
      </c>
      <c r="DE161" s="28">
        <f t="shared" ref="DE161:DF163" si="125">SUM(DA161:DD161)</f>
        <v>0</v>
      </c>
      <c r="DF161" s="28">
        <f t="shared" si="125"/>
        <v>0</v>
      </c>
      <c r="DG161" s="28">
        <f t="shared" si="116"/>
        <v>0</v>
      </c>
      <c r="DH161" s="28">
        <v>0</v>
      </c>
      <c r="DI161" s="28">
        <v>0</v>
      </c>
      <c r="DJ161" s="28">
        <v>0</v>
      </c>
      <c r="DK161" s="28">
        <v>0</v>
      </c>
      <c r="DL161" s="28">
        <f t="shared" si="117"/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f t="shared" si="118"/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f t="shared" si="119"/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f t="shared" si="122"/>
        <v>0</v>
      </c>
      <c r="EB161" s="28">
        <v>0</v>
      </c>
      <c r="EC161" s="28">
        <v>0</v>
      </c>
      <c r="ED161" s="28">
        <v>0</v>
      </c>
      <c r="EE161" s="28"/>
      <c r="EF161" s="28">
        <f t="shared" si="123"/>
        <v>0</v>
      </c>
      <c r="EG161" s="28"/>
      <c r="EH161" s="28">
        <v>0</v>
      </c>
      <c r="EI161" s="28">
        <v>0</v>
      </c>
    </row>
    <row r="162" spans="1:139" ht="15" thickTop="1" x14ac:dyDescent="0.3">
      <c r="A162" s="1" t="s">
        <v>322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27">
        <v>0</v>
      </c>
      <c r="BK162" s="27">
        <v>0</v>
      </c>
      <c r="BL162" s="27">
        <v>0</v>
      </c>
      <c r="BM162" s="27">
        <v>0</v>
      </c>
      <c r="BN162" s="27">
        <f t="shared" si="107"/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f t="shared" si="108"/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f t="shared" si="109"/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f t="shared" si="110"/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f t="shared" si="111"/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f t="shared" si="112"/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f t="shared" si="113"/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f t="shared" si="114"/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f t="shared" si="115"/>
        <v>0</v>
      </c>
      <c r="DC162" s="27">
        <f t="shared" si="124"/>
        <v>0</v>
      </c>
      <c r="DD162" s="27">
        <f t="shared" si="124"/>
        <v>0</v>
      </c>
      <c r="DE162" s="27">
        <f t="shared" si="125"/>
        <v>0</v>
      </c>
      <c r="DF162" s="27">
        <f t="shared" si="125"/>
        <v>0</v>
      </c>
      <c r="DG162" s="27">
        <f t="shared" si="116"/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f t="shared" si="117"/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f t="shared" si="118"/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f t="shared" si="119"/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f t="shared" si="122"/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f t="shared" si="123"/>
        <v>0</v>
      </c>
      <c r="EG162" s="27">
        <v>0</v>
      </c>
      <c r="EH162" s="27">
        <v>0</v>
      </c>
      <c r="EI162" s="27">
        <v>0</v>
      </c>
    </row>
    <row r="163" spans="1:139" ht="15" thickBot="1" x14ac:dyDescent="0.35">
      <c r="A163" s="2" t="s">
        <v>370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28">
        <v>0</v>
      </c>
      <c r="BK163" s="28">
        <v>0</v>
      </c>
      <c r="BL163" s="28">
        <v>0</v>
      </c>
      <c r="BM163" s="28">
        <v>4.3010179999999995E-2</v>
      </c>
      <c r="BN163" s="28">
        <f t="shared" si="107"/>
        <v>4.3010179999999995E-2</v>
      </c>
      <c r="BO163" s="28">
        <v>5.8650239999999999E-2</v>
      </c>
      <c r="BP163" s="28">
        <v>2.0686552099999997</v>
      </c>
      <c r="BQ163" s="28">
        <v>0.92701938000000039</v>
      </c>
      <c r="BR163" s="28">
        <v>3.6678170300000001</v>
      </c>
      <c r="BS163" s="28">
        <f t="shared" si="108"/>
        <v>6.7221418600000007</v>
      </c>
      <c r="BT163" s="28">
        <v>0</v>
      </c>
      <c r="BU163" s="28">
        <v>0</v>
      </c>
      <c r="BV163" s="28">
        <v>0</v>
      </c>
      <c r="BW163" s="28">
        <v>0</v>
      </c>
      <c r="BX163" s="28">
        <f t="shared" si="109"/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f t="shared" si="110"/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f t="shared" si="111"/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f t="shared" si="112"/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f t="shared" si="113"/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f t="shared" si="114"/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f t="shared" si="115"/>
        <v>0</v>
      </c>
      <c r="DC163" s="28">
        <f t="shared" si="124"/>
        <v>0</v>
      </c>
      <c r="DD163" s="28">
        <f t="shared" si="124"/>
        <v>0</v>
      </c>
      <c r="DE163" s="28">
        <f t="shared" si="125"/>
        <v>0</v>
      </c>
      <c r="DF163" s="28">
        <f t="shared" si="125"/>
        <v>0</v>
      </c>
      <c r="DG163" s="28">
        <f t="shared" si="116"/>
        <v>0</v>
      </c>
      <c r="DH163" s="28">
        <v>0</v>
      </c>
      <c r="DI163" s="28">
        <v>0</v>
      </c>
      <c r="DJ163" s="28">
        <v>0</v>
      </c>
      <c r="DK163" s="28">
        <v>0</v>
      </c>
      <c r="DL163" s="28">
        <f t="shared" si="117"/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f t="shared" si="118"/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f t="shared" si="119"/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f t="shared" si="122"/>
        <v>0</v>
      </c>
      <c r="EB163" s="28">
        <v>0</v>
      </c>
      <c r="EC163" s="28">
        <v>0</v>
      </c>
      <c r="ED163" s="28">
        <v>0</v>
      </c>
      <c r="EE163" s="28"/>
      <c r="EF163" s="28">
        <f t="shared" si="123"/>
        <v>0</v>
      </c>
      <c r="EG163" s="28"/>
      <c r="EH163" s="28">
        <v>0</v>
      </c>
      <c r="EI163" s="28">
        <v>0</v>
      </c>
    </row>
    <row r="164" spans="1:139" ht="15" thickTop="1" x14ac:dyDescent="0.3">
      <c r="A164" s="1" t="s">
        <v>338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27">
        <v>6.4981000000000001E-4</v>
      </c>
      <c r="BK164" s="27">
        <v>1.15565E-3</v>
      </c>
      <c r="BL164" s="27">
        <v>-1.2739999999999995E-4</v>
      </c>
      <c r="BM164" s="27">
        <v>5.5810999999999968E-4</v>
      </c>
      <c r="BN164" s="27">
        <f t="shared" si="107"/>
        <v>2.23617E-3</v>
      </c>
      <c r="BO164" s="27">
        <v>6.1063000000000003E-4</v>
      </c>
      <c r="BP164" s="27">
        <v>7.989099999999999E-2</v>
      </c>
      <c r="BQ164" s="27">
        <v>5.3206720000000013E-2</v>
      </c>
      <c r="BR164" s="27">
        <v>5.8493978471999969E-2</v>
      </c>
      <c r="BS164" s="27">
        <f t="shared" si="108"/>
        <v>0.19220232847199997</v>
      </c>
      <c r="BT164" s="27">
        <v>0</v>
      </c>
      <c r="BU164" s="27">
        <v>0</v>
      </c>
      <c r="BV164" s="27">
        <v>0</v>
      </c>
      <c r="BW164" s="27">
        <v>0</v>
      </c>
      <c r="BX164" s="27">
        <f t="shared" si="109"/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f t="shared" si="110"/>
        <v>0</v>
      </c>
      <c r="CD164" s="27">
        <v>0</v>
      </c>
      <c r="CE164" s="27">
        <v>0</v>
      </c>
      <c r="CF164" s="27">
        <v>0</v>
      </c>
      <c r="CG164" s="27">
        <v>0</v>
      </c>
      <c r="CH164" s="27">
        <f t="shared" si="111"/>
        <v>0</v>
      </c>
      <c r="CI164" s="27">
        <v>0</v>
      </c>
      <c r="CJ164" s="27">
        <v>0</v>
      </c>
      <c r="CK164" s="27">
        <v>0</v>
      </c>
      <c r="CL164" s="27">
        <v>0</v>
      </c>
      <c r="CM164" s="27">
        <f t="shared" si="112"/>
        <v>0</v>
      </c>
      <c r="CN164" s="27">
        <v>0</v>
      </c>
      <c r="CO164" s="27">
        <v>0</v>
      </c>
      <c r="CP164" s="27">
        <v>0</v>
      </c>
      <c r="CQ164" s="27">
        <v>0</v>
      </c>
      <c r="CR164" s="27">
        <f t="shared" si="113"/>
        <v>0</v>
      </c>
      <c r="CS164" s="27">
        <v>0</v>
      </c>
      <c r="CT164" s="27">
        <v>0</v>
      </c>
      <c r="CU164" s="27">
        <v>0</v>
      </c>
      <c r="CV164" s="27">
        <v>0</v>
      </c>
      <c r="CW164" s="27">
        <f t="shared" si="114"/>
        <v>0</v>
      </c>
      <c r="CX164" s="27">
        <v>1E-3</v>
      </c>
      <c r="CY164" s="27">
        <v>0</v>
      </c>
      <c r="CZ164" s="27">
        <v>0</v>
      </c>
      <c r="DA164" s="27">
        <v>0</v>
      </c>
      <c r="DB164" s="27">
        <f t="shared" si="115"/>
        <v>1E-3</v>
      </c>
      <c r="DC164" s="27">
        <v>0</v>
      </c>
      <c r="DD164" s="27"/>
      <c r="DE164" s="27">
        <v>0</v>
      </c>
      <c r="DF164" s="27"/>
      <c r="DG164" s="27">
        <f t="shared" si="116"/>
        <v>0</v>
      </c>
      <c r="DH164" s="27">
        <v>0</v>
      </c>
      <c r="DI164" s="27">
        <v>0</v>
      </c>
      <c r="DJ164" s="27">
        <v>0</v>
      </c>
      <c r="DK164" s="27">
        <v>0</v>
      </c>
      <c r="DL164" s="27">
        <f t="shared" si="117"/>
        <v>0</v>
      </c>
      <c r="DM164" s="27">
        <v>0</v>
      </c>
      <c r="DN164" s="27">
        <v>0</v>
      </c>
      <c r="DO164" s="27">
        <v>0</v>
      </c>
      <c r="DP164" s="27">
        <v>0</v>
      </c>
      <c r="DQ164" s="27">
        <f t="shared" si="118"/>
        <v>0</v>
      </c>
      <c r="DR164" s="27">
        <v>0</v>
      </c>
      <c r="DS164" s="27">
        <v>0</v>
      </c>
      <c r="DT164" s="27">
        <v>0</v>
      </c>
      <c r="DU164" s="27">
        <v>0</v>
      </c>
      <c r="DV164" s="27">
        <f t="shared" si="119"/>
        <v>0</v>
      </c>
      <c r="DW164" s="27">
        <v>0</v>
      </c>
      <c r="DX164" s="27">
        <v>0</v>
      </c>
      <c r="DY164" s="27">
        <v>0</v>
      </c>
      <c r="DZ164" s="27">
        <v>0</v>
      </c>
      <c r="EA164" s="27">
        <f t="shared" si="122"/>
        <v>0</v>
      </c>
      <c r="EB164" s="27">
        <v>7.44591E-2</v>
      </c>
      <c r="EC164" s="27">
        <v>7.44591E-2</v>
      </c>
      <c r="ED164" s="27">
        <v>4.9000000000000002E-2</v>
      </c>
      <c r="EE164" s="27">
        <v>0.24957207999999997</v>
      </c>
      <c r="EF164" s="27">
        <f t="shared" si="123"/>
        <v>0.44749027999999996</v>
      </c>
      <c r="EG164" s="27">
        <v>0.15454989000000002</v>
      </c>
      <c r="EH164" s="27">
        <v>0.15454989000000002</v>
      </c>
      <c r="EI164" s="27">
        <v>0.15454967999999999</v>
      </c>
    </row>
    <row r="165" spans="1:139" ht="15" thickBot="1" x14ac:dyDescent="0.35">
      <c r="A165" s="2" t="s">
        <v>331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28">
        <v>3.451808E-2</v>
      </c>
      <c r="BK165" s="28">
        <v>8.3725590000000003E-2</v>
      </c>
      <c r="BL165" s="28">
        <v>1.1049419999999997E-2</v>
      </c>
      <c r="BM165" s="28">
        <v>0.38292349000000003</v>
      </c>
      <c r="BN165" s="28">
        <f t="shared" si="107"/>
        <v>0.51221658000000003</v>
      </c>
      <c r="BO165" s="28">
        <v>2.6405770000000002E-2</v>
      </c>
      <c r="BP165" s="28">
        <v>0.99667762000000004</v>
      </c>
      <c r="BQ165" s="28">
        <v>0.42294546999999993</v>
      </c>
      <c r="BR165" s="28">
        <v>0.40615889000000016</v>
      </c>
      <c r="BS165" s="28">
        <f t="shared" si="108"/>
        <v>1.8521877500000001</v>
      </c>
      <c r="BT165" s="28">
        <v>0.53907786000000002</v>
      </c>
      <c r="BU165" s="28">
        <v>0.51301173</v>
      </c>
      <c r="BV165" s="28">
        <v>0.6648848199999996</v>
      </c>
      <c r="BW165" s="28">
        <v>0.61763572999999983</v>
      </c>
      <c r="BX165" s="28">
        <f t="shared" si="109"/>
        <v>2.3346101399999997</v>
      </c>
      <c r="BY165" s="28">
        <v>0.55713419999999991</v>
      </c>
      <c r="BZ165" s="28">
        <v>0.69064077000000013</v>
      </c>
      <c r="CA165" s="28">
        <v>0.53859024</v>
      </c>
      <c r="CB165" s="28">
        <v>0.57922633999999995</v>
      </c>
      <c r="CC165" s="28">
        <f t="shared" si="110"/>
        <v>2.36559155</v>
      </c>
      <c r="CD165" s="28">
        <v>0.58588995999999993</v>
      </c>
      <c r="CE165" s="28">
        <v>0.61084759000000022</v>
      </c>
      <c r="CF165" s="28">
        <v>0.59134390999999986</v>
      </c>
      <c r="CG165" s="28">
        <v>0.66931887000000001</v>
      </c>
      <c r="CH165" s="28">
        <f t="shared" si="111"/>
        <v>2.45740033</v>
      </c>
      <c r="CI165" s="28">
        <v>0.66046125</v>
      </c>
      <c r="CJ165" s="28">
        <v>0.60458176000000008</v>
      </c>
      <c r="CK165" s="28">
        <v>0.42052948999999984</v>
      </c>
      <c r="CL165" s="28">
        <v>0.48263199999999995</v>
      </c>
      <c r="CM165" s="28">
        <f t="shared" si="112"/>
        <v>2.1682044999999999</v>
      </c>
      <c r="CN165" s="28">
        <v>0.36511729999999998</v>
      </c>
      <c r="CO165" s="28">
        <v>0.24266661</v>
      </c>
      <c r="CP165" s="28">
        <v>0.4414009200000002</v>
      </c>
      <c r="CQ165" s="28">
        <f>1.415-SUM(CN165:CP165)</f>
        <v>0.36581516999999986</v>
      </c>
      <c r="CR165" s="28">
        <f t="shared" si="113"/>
        <v>1.415</v>
      </c>
      <c r="CS165" s="28">
        <v>0.248</v>
      </c>
      <c r="CT165" s="28">
        <f>0.705-CS165</f>
        <v>0.45699999999999996</v>
      </c>
      <c r="CU165" s="28">
        <f>0.969-SUM(CS165:CT165)</f>
        <v>0.26400000000000001</v>
      </c>
      <c r="CV165" s="28">
        <f>1.272-SUM(CS165:CU165)</f>
        <v>0.30300000000000005</v>
      </c>
      <c r="CW165" s="28">
        <f t="shared" si="114"/>
        <v>1.272</v>
      </c>
      <c r="CX165" s="28">
        <v>0.26900000000000002</v>
      </c>
      <c r="CY165" s="28">
        <v>0.42</v>
      </c>
      <c r="CZ165" s="28">
        <v>0.36399999999999999</v>
      </c>
      <c r="DA165" s="28">
        <v>0.56399999999999995</v>
      </c>
      <c r="DB165" s="28">
        <f t="shared" si="115"/>
        <v>1.617</v>
      </c>
      <c r="DC165" s="28">
        <v>0.505</v>
      </c>
      <c r="DD165" s="28">
        <v>0.59799999999999998</v>
      </c>
      <c r="DE165" s="28">
        <v>0.66500000000000004</v>
      </c>
      <c r="DF165" s="28">
        <v>0.71099999999999997</v>
      </c>
      <c r="DG165" s="28">
        <f t="shared" si="116"/>
        <v>2.4790000000000001</v>
      </c>
      <c r="DH165" s="28">
        <v>0.31</v>
      </c>
      <c r="DI165" s="28">
        <v>0.434</v>
      </c>
      <c r="DJ165" s="28">
        <v>0.435</v>
      </c>
      <c r="DK165" s="28">
        <v>0.63800000000000001</v>
      </c>
      <c r="DL165" s="28">
        <f t="shared" si="117"/>
        <v>1.8170000000000002</v>
      </c>
      <c r="DM165" s="28">
        <v>0.61799999999999999</v>
      </c>
      <c r="DN165" s="28">
        <v>0.128</v>
      </c>
      <c r="DO165" s="28">
        <v>0.42199999999999999</v>
      </c>
      <c r="DP165" s="28">
        <v>0.56599999999999995</v>
      </c>
      <c r="DQ165" s="28">
        <f t="shared" si="118"/>
        <v>1.734</v>
      </c>
      <c r="DR165" s="28">
        <v>0.47</v>
      </c>
      <c r="DS165" s="28">
        <v>0.247</v>
      </c>
      <c r="DT165" s="28">
        <v>0.67400000000000004</v>
      </c>
      <c r="DU165" s="28">
        <v>0.70199999999999996</v>
      </c>
      <c r="DV165" s="28">
        <f t="shared" si="119"/>
        <v>2.093</v>
      </c>
      <c r="DW165" s="28">
        <v>0.40500000000000003</v>
      </c>
      <c r="DX165" s="28">
        <v>0.36563893000000003</v>
      </c>
      <c r="DY165" s="28">
        <v>0.71113532000000002</v>
      </c>
      <c r="DZ165" s="28">
        <v>0.60081996999999998</v>
      </c>
      <c r="EA165" s="28">
        <f t="shared" si="122"/>
        <v>2.0825942199999998</v>
      </c>
      <c r="EB165" s="28">
        <v>0.52642562000000004</v>
      </c>
      <c r="EC165" s="28">
        <v>0.49088558999999998</v>
      </c>
      <c r="ED165" s="28">
        <v>0.78</v>
      </c>
      <c r="EE165" s="28">
        <v>0.48111557000000005</v>
      </c>
      <c r="EF165" s="28">
        <f t="shared" si="123"/>
        <v>2.2784267800000002</v>
      </c>
      <c r="EG165" s="28">
        <v>0.48870102999999998</v>
      </c>
      <c r="EH165" s="28">
        <v>0.51667098999999994</v>
      </c>
      <c r="EI165" s="28">
        <v>0.54321622000000025</v>
      </c>
    </row>
    <row r="166" spans="1:139" ht="15" thickTop="1" x14ac:dyDescent="0.3">
      <c r="A166" s="1" t="s">
        <v>308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27">
        <v>0</v>
      </c>
      <c r="BK166" s="27">
        <v>0</v>
      </c>
      <c r="BL166" s="27">
        <v>0</v>
      </c>
      <c r="BM166" s="27">
        <v>0</v>
      </c>
      <c r="BN166" s="27">
        <f t="shared" si="107"/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f t="shared" si="108"/>
        <v>0</v>
      </c>
      <c r="BT166" s="27">
        <v>0.2</v>
      </c>
      <c r="BU166" s="27">
        <v>0.2</v>
      </c>
      <c r="BV166" s="27">
        <v>0.3</v>
      </c>
      <c r="BW166" s="27">
        <v>0.5</v>
      </c>
      <c r="BX166" s="27">
        <f t="shared" si="109"/>
        <v>1.2</v>
      </c>
      <c r="BY166" s="27">
        <v>0.1</v>
      </c>
      <c r="BZ166" s="27">
        <v>0</v>
      </c>
      <c r="CA166" s="27">
        <v>0.1</v>
      </c>
      <c r="CB166" s="27">
        <v>0.8</v>
      </c>
      <c r="CC166" s="27">
        <f t="shared" si="110"/>
        <v>1</v>
      </c>
      <c r="CD166" s="27">
        <v>0</v>
      </c>
      <c r="CE166" s="27">
        <v>0.1</v>
      </c>
      <c r="CF166" s="27">
        <v>0</v>
      </c>
      <c r="CG166" s="27">
        <v>0.1</v>
      </c>
      <c r="CH166" s="27">
        <f t="shared" si="111"/>
        <v>0.2</v>
      </c>
      <c r="CI166" s="27">
        <v>-0.1</v>
      </c>
      <c r="CJ166" s="27">
        <v>0.1</v>
      </c>
      <c r="CK166" s="27">
        <v>-0.39122808000000009</v>
      </c>
      <c r="CL166" s="27">
        <v>-0.16387449999999992</v>
      </c>
      <c r="CM166" s="27">
        <f t="shared" si="112"/>
        <v>-0.55510258000000001</v>
      </c>
      <c r="CN166" s="27">
        <v>-0.14377813999999994</v>
      </c>
      <c r="CO166" s="27">
        <v>-0.1331033900000001</v>
      </c>
      <c r="CP166" s="27">
        <v>-0.14902853999999999</v>
      </c>
      <c r="CQ166" s="27">
        <f>-0.575-SUM(CN166:CP166)</f>
        <v>-0.14908992999999993</v>
      </c>
      <c r="CR166" s="27">
        <f t="shared" si="113"/>
        <v>-0.57499999999999996</v>
      </c>
      <c r="CS166" s="27">
        <v>-0.14899999999999999</v>
      </c>
      <c r="CT166" s="27">
        <f>-0.3-CS166</f>
        <v>-0.151</v>
      </c>
      <c r="CU166" s="27">
        <f>-0.454-CT166-CS166</f>
        <v>-0.15400000000000005</v>
      </c>
      <c r="CV166" s="27">
        <v>-0.15437867999999996</v>
      </c>
      <c r="CW166" s="27">
        <f t="shared" si="114"/>
        <v>-0.60837868000000006</v>
      </c>
      <c r="CX166" s="27">
        <v>-0.154</v>
      </c>
      <c r="CY166" s="27">
        <v>-0.155</v>
      </c>
      <c r="CZ166" s="27">
        <v>-0.16300000000000001</v>
      </c>
      <c r="DA166" s="27">
        <v>-0.161</v>
      </c>
      <c r="DB166" s="27">
        <f t="shared" si="115"/>
        <v>-0.63300000000000001</v>
      </c>
      <c r="DC166" s="27">
        <v>-0.161</v>
      </c>
      <c r="DD166" s="27">
        <v>-0.161</v>
      </c>
      <c r="DE166" s="27">
        <v>-0.17599999999999999</v>
      </c>
      <c r="DF166" s="27">
        <v>-0.17199999999999999</v>
      </c>
      <c r="DG166" s="27">
        <f t="shared" si="116"/>
        <v>-0.66999999999999993</v>
      </c>
      <c r="DH166" s="27">
        <v>-0.17199999999999999</v>
      </c>
      <c r="DI166" s="27">
        <v>-0.17199999999999999</v>
      </c>
      <c r="DJ166" s="27">
        <v>-0.187</v>
      </c>
      <c r="DK166" s="27">
        <v>-0.17599999999999999</v>
      </c>
      <c r="DL166" s="27">
        <f t="shared" si="117"/>
        <v>-0.70699999999999985</v>
      </c>
      <c r="DM166" s="27">
        <v>-0.183</v>
      </c>
      <c r="DN166" s="27">
        <v>-0.183</v>
      </c>
      <c r="DO166" s="27">
        <v>0.122</v>
      </c>
      <c r="DP166" s="27">
        <v>0.245</v>
      </c>
      <c r="DQ166" s="27">
        <f t="shared" si="118"/>
        <v>1.0000000000000009E-3</v>
      </c>
      <c r="DR166" s="27">
        <v>0</v>
      </c>
      <c r="DS166" s="27">
        <v>0</v>
      </c>
      <c r="DT166" s="27">
        <v>0</v>
      </c>
      <c r="DU166" s="27">
        <v>0</v>
      </c>
      <c r="DV166" s="27">
        <f t="shared" si="119"/>
        <v>0</v>
      </c>
      <c r="DW166" s="27">
        <v>0</v>
      </c>
      <c r="DX166" s="27">
        <v>0</v>
      </c>
      <c r="DY166" s="27">
        <v>0</v>
      </c>
      <c r="DZ166" s="27">
        <v>0</v>
      </c>
      <c r="EA166" s="27">
        <f t="shared" si="122"/>
        <v>0</v>
      </c>
      <c r="EB166" s="27">
        <v>0</v>
      </c>
      <c r="EC166" s="27">
        <v>0</v>
      </c>
      <c r="ED166" s="27">
        <v>0</v>
      </c>
      <c r="EE166" s="27">
        <v>0</v>
      </c>
      <c r="EF166" s="27">
        <f t="shared" si="123"/>
        <v>0</v>
      </c>
      <c r="EG166" s="27">
        <v>0</v>
      </c>
      <c r="EH166" s="27">
        <v>0</v>
      </c>
      <c r="EI166" s="27">
        <v>0</v>
      </c>
    </row>
    <row r="167" spans="1:139" x14ac:dyDescent="0.3">
      <c r="A167" s="5" t="s">
        <v>311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29">
        <f t="shared" ref="BJ167:CW167" si="126">SUM(BJ144:BJ166)</f>
        <v>3.7019839999999998E-2</v>
      </c>
      <c r="BK167" s="29">
        <f t="shared" si="126"/>
        <v>8.8386290000000006E-2</v>
      </c>
      <c r="BL167" s="29">
        <f t="shared" si="126"/>
        <v>1.0885349999999997E-2</v>
      </c>
      <c r="BM167" s="29">
        <f t="shared" si="126"/>
        <v>0.42833566000000001</v>
      </c>
      <c r="BN167" s="29">
        <f t="shared" si="126"/>
        <v>0.56462714000000003</v>
      </c>
      <c r="BO167" s="29">
        <f t="shared" si="126"/>
        <v>8.7998220000000002E-2</v>
      </c>
      <c r="BP167" s="29">
        <f t="shared" si="126"/>
        <v>4.4094596199999998</v>
      </c>
      <c r="BQ167" s="29">
        <f t="shared" si="126"/>
        <v>2.0148119400000004</v>
      </c>
      <c r="BR167" s="29">
        <f t="shared" si="126"/>
        <v>4.8235450284720001</v>
      </c>
      <c r="BS167" s="29">
        <f t="shared" si="126"/>
        <v>11.335814808472</v>
      </c>
      <c r="BT167" s="29">
        <f t="shared" si="126"/>
        <v>1.29598719</v>
      </c>
      <c r="BU167" s="29">
        <f t="shared" si="126"/>
        <v>1.4938962599999999</v>
      </c>
      <c r="BV167" s="29">
        <f t="shared" si="126"/>
        <v>1.7254193899999997</v>
      </c>
      <c r="BW167" s="29">
        <f t="shared" si="126"/>
        <v>6.9709758399999995</v>
      </c>
      <c r="BX167" s="29">
        <f t="shared" si="126"/>
        <v>11.486278679999998</v>
      </c>
      <c r="BY167" s="29">
        <f t="shared" si="126"/>
        <v>3.0148330500000005</v>
      </c>
      <c r="BZ167" s="29">
        <f t="shared" si="126"/>
        <v>4.7009009099999997</v>
      </c>
      <c r="CA167" s="29">
        <f t="shared" si="126"/>
        <v>1.9187474199999996</v>
      </c>
      <c r="CB167" s="29">
        <f t="shared" si="126"/>
        <v>10.072300920000002</v>
      </c>
      <c r="CC167" s="29">
        <f t="shared" si="126"/>
        <v>19.706782300000004</v>
      </c>
      <c r="CD167" s="29">
        <f t="shared" si="126"/>
        <v>5.1725165899999999</v>
      </c>
      <c r="CE167" s="29">
        <f t="shared" si="126"/>
        <v>1.8293420300000003</v>
      </c>
      <c r="CF167" s="29">
        <f t="shared" si="126"/>
        <v>3.5806594800000004</v>
      </c>
      <c r="CG167" s="29">
        <f t="shared" si="126"/>
        <v>1.0469027099999979</v>
      </c>
      <c r="CH167" s="29">
        <f t="shared" si="126"/>
        <v>11.629420809999997</v>
      </c>
      <c r="CI167" s="29">
        <f t="shared" si="126"/>
        <v>2.8988553799999996</v>
      </c>
      <c r="CJ167" s="29">
        <f t="shared" si="126"/>
        <v>3.6199193600000004</v>
      </c>
      <c r="CK167" s="29">
        <f t="shared" si="126"/>
        <v>3.2079866199999998</v>
      </c>
      <c r="CL167" s="29">
        <f t="shared" si="126"/>
        <v>3.6590802199999994</v>
      </c>
      <c r="CM167" s="29">
        <f t="shared" si="126"/>
        <v>13.385841579999999</v>
      </c>
      <c r="CN167" s="29">
        <f t="shared" si="126"/>
        <v>2.6524949700000002</v>
      </c>
      <c r="CO167" s="29">
        <f t="shared" si="126"/>
        <v>2.4007320899999995</v>
      </c>
      <c r="CP167" s="29">
        <f t="shared" si="126"/>
        <v>5.0300400100000013</v>
      </c>
      <c r="CQ167" s="29">
        <f t="shared" si="126"/>
        <v>5.0737329300000011</v>
      </c>
      <c r="CR167" s="29">
        <f t="shared" si="126"/>
        <v>15.157</v>
      </c>
      <c r="CS167" s="29">
        <f t="shared" si="126"/>
        <v>4.8100000000000005</v>
      </c>
      <c r="CT167" s="29">
        <f t="shared" si="126"/>
        <v>4.819</v>
      </c>
      <c r="CU167" s="29">
        <f t="shared" si="126"/>
        <v>4.6789999999999994</v>
      </c>
      <c r="CV167" s="29">
        <f t="shared" si="126"/>
        <v>2.3026213200000019</v>
      </c>
      <c r="CW167" s="29">
        <f t="shared" si="126"/>
        <v>16.61062132</v>
      </c>
      <c r="CX167" s="29">
        <f t="shared" ref="CX167:DW167" si="127">SUM(CX144:CX166)</f>
        <v>4.3650000000000011</v>
      </c>
      <c r="CY167" s="29">
        <f t="shared" si="127"/>
        <v>4.2039999999999997</v>
      </c>
      <c r="CZ167" s="29">
        <f t="shared" si="127"/>
        <v>3.3850000000000002</v>
      </c>
      <c r="DA167" s="29">
        <f t="shared" si="127"/>
        <v>4.7040000000000006</v>
      </c>
      <c r="DB167" s="29">
        <f t="shared" si="127"/>
        <v>16.658000000000001</v>
      </c>
      <c r="DC167" s="29">
        <f t="shared" si="127"/>
        <v>3.5589999999999997</v>
      </c>
      <c r="DD167" s="29">
        <f t="shared" si="127"/>
        <v>3.8530000000000002</v>
      </c>
      <c r="DE167" s="29">
        <f t="shared" si="127"/>
        <v>4.1709999999999994</v>
      </c>
      <c r="DF167" s="29">
        <f t="shared" si="127"/>
        <v>6.8620000000000001</v>
      </c>
      <c r="DG167" s="29">
        <f t="shared" si="127"/>
        <v>18.445</v>
      </c>
      <c r="DH167" s="29">
        <f t="shared" si="127"/>
        <v>1.4000000000000001</v>
      </c>
      <c r="DI167" s="29">
        <f t="shared" si="127"/>
        <v>1.1640000000000001</v>
      </c>
      <c r="DJ167" s="29">
        <f t="shared" si="127"/>
        <v>1.8510000000000002</v>
      </c>
      <c r="DK167" s="29">
        <f t="shared" si="127"/>
        <v>1.8950000000000002</v>
      </c>
      <c r="DL167" s="29">
        <f t="shared" si="127"/>
        <v>6.31</v>
      </c>
      <c r="DM167" s="29">
        <f t="shared" si="127"/>
        <v>2.028</v>
      </c>
      <c r="DN167" s="29">
        <f t="shared" si="127"/>
        <v>1.542</v>
      </c>
      <c r="DO167" s="29">
        <f t="shared" si="127"/>
        <v>1.4889999999999999</v>
      </c>
      <c r="DP167" s="29">
        <f t="shared" si="127"/>
        <v>3.4559999999999995</v>
      </c>
      <c r="DQ167" s="29">
        <f t="shared" si="127"/>
        <v>8.5150000000000006</v>
      </c>
      <c r="DR167" s="29">
        <f t="shared" si="127"/>
        <v>1.978</v>
      </c>
      <c r="DS167" s="29">
        <f t="shared" si="127"/>
        <v>1.573</v>
      </c>
      <c r="DT167" s="29">
        <f t="shared" si="127"/>
        <v>1.5739999999999998</v>
      </c>
      <c r="DU167" s="29">
        <f t="shared" si="127"/>
        <v>2.0170000000000003</v>
      </c>
      <c r="DV167" s="29">
        <f t="shared" si="127"/>
        <v>7.1419999999999995</v>
      </c>
      <c r="DW167" s="29">
        <f t="shared" si="127"/>
        <v>5.0390000000000006</v>
      </c>
      <c r="DX167" s="29">
        <f t="shared" ref="DX167:ED167" si="128">SUM(DX144:DX166)</f>
        <v>2.1140770800000004</v>
      </c>
      <c r="DY167" s="29">
        <f t="shared" si="128"/>
        <v>2.4475902499999993</v>
      </c>
      <c r="DZ167" s="29">
        <f t="shared" si="128"/>
        <v>1.9767742100000003</v>
      </c>
      <c r="EA167" s="29">
        <f t="shared" si="128"/>
        <v>11.577441540000002</v>
      </c>
      <c r="EB167" s="29">
        <f t="shared" si="128"/>
        <v>1.4822008799999999</v>
      </c>
      <c r="EC167" s="29">
        <f t="shared" si="128"/>
        <v>0.84524558999999999</v>
      </c>
      <c r="ED167" s="29">
        <f t="shared" si="128"/>
        <v>1.5110000000000001</v>
      </c>
      <c r="EE167" s="29">
        <f t="shared" ref="EE167:EF167" si="129">SUM(EE144:EE166)</f>
        <v>2.5436182500000002</v>
      </c>
      <c r="EF167" s="29">
        <f t="shared" si="129"/>
        <v>6.3820647200000007</v>
      </c>
      <c r="EG167" s="29">
        <f t="shared" ref="EG167" si="130">SUM(EG144:EG166)</f>
        <v>2.0015579899999998</v>
      </c>
      <c r="EH167" s="29">
        <f t="shared" ref="EH167" si="131">SUM(EH144:EH166)</f>
        <v>1.3012216999999999</v>
      </c>
      <c r="EI167" s="29">
        <f t="shared" ref="EI167" si="132">SUM(EI144:EI166)</f>
        <v>3.9782726900000007</v>
      </c>
    </row>
    <row r="168" spans="1:139" x14ac:dyDescent="0.3">
      <c r="CR168" s="33"/>
      <c r="CS168" s="42"/>
      <c r="CZ168" s="32"/>
      <c r="DA168" s="32"/>
      <c r="DB168" s="32"/>
      <c r="DC168" s="32"/>
      <c r="DD168" s="32"/>
      <c r="DE168" s="32"/>
      <c r="DF168" s="32"/>
      <c r="DG168" s="35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</row>
    <row r="169" spans="1:139" x14ac:dyDescent="0.3"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</row>
    <row r="170" spans="1:139" x14ac:dyDescent="0.3">
      <c r="A170" s="3" t="s">
        <v>330</v>
      </c>
      <c r="B170" s="6" t="s">
        <v>4</v>
      </c>
      <c r="C170" s="6" t="s">
        <v>5</v>
      </c>
      <c r="D170" s="6" t="s">
        <v>6</v>
      </c>
      <c r="E170" s="6" t="s">
        <v>7</v>
      </c>
      <c r="F170" s="6">
        <v>2018</v>
      </c>
      <c r="G170" s="6" t="s">
        <v>8</v>
      </c>
      <c r="H170" s="6" t="s">
        <v>9</v>
      </c>
      <c r="I170" s="6" t="s">
        <v>10</v>
      </c>
      <c r="J170" s="6" t="s">
        <v>11</v>
      </c>
      <c r="K170" s="6">
        <v>2019</v>
      </c>
      <c r="L170" s="6" t="s">
        <v>12</v>
      </c>
      <c r="M170" s="6" t="s">
        <v>13</v>
      </c>
      <c r="N170" s="6" t="s">
        <v>14</v>
      </c>
      <c r="O170" s="6" t="s">
        <v>15</v>
      </c>
      <c r="P170" s="6">
        <v>2000</v>
      </c>
      <c r="Q170" s="6" t="s">
        <v>16</v>
      </c>
      <c r="R170" s="6" t="s">
        <v>17</v>
      </c>
      <c r="S170" s="6" t="s">
        <v>18</v>
      </c>
      <c r="T170" s="6" t="s">
        <v>19</v>
      </c>
      <c r="U170" s="6">
        <v>2001</v>
      </c>
      <c r="V170" s="6" t="s">
        <v>20</v>
      </c>
      <c r="W170" s="6" t="s">
        <v>21</v>
      </c>
      <c r="X170" s="6" t="s">
        <v>22</v>
      </c>
      <c r="Y170" s="6" t="s">
        <v>23</v>
      </c>
      <c r="Z170" s="6">
        <v>2002</v>
      </c>
      <c r="AA170" s="6" t="s">
        <v>24</v>
      </c>
      <c r="AB170" s="6" t="s">
        <v>25</v>
      </c>
      <c r="AC170" s="6" t="s">
        <v>26</v>
      </c>
      <c r="AD170" s="6" t="s">
        <v>27</v>
      </c>
      <c r="AE170" s="6">
        <v>2003</v>
      </c>
      <c r="AF170" s="6" t="s">
        <v>28</v>
      </c>
      <c r="AG170" s="6" t="s">
        <v>29</v>
      </c>
      <c r="AH170" s="6" t="s">
        <v>30</v>
      </c>
      <c r="AI170" s="6" t="s">
        <v>31</v>
      </c>
      <c r="AJ170" s="6">
        <v>2004</v>
      </c>
      <c r="AK170" s="6" t="s">
        <v>32</v>
      </c>
      <c r="AL170" s="6" t="s">
        <v>33</v>
      </c>
      <c r="AM170" s="6" t="s">
        <v>34</v>
      </c>
      <c r="AN170" s="6" t="s">
        <v>35</v>
      </c>
      <c r="AO170" s="6">
        <v>2005</v>
      </c>
      <c r="AP170" s="6" t="s">
        <v>36</v>
      </c>
      <c r="AQ170" s="6" t="s">
        <v>37</v>
      </c>
      <c r="AR170" s="6" t="s">
        <v>38</v>
      </c>
      <c r="AS170" s="6" t="s">
        <v>39</v>
      </c>
      <c r="AT170" s="6">
        <v>2006</v>
      </c>
      <c r="AU170" s="6" t="s">
        <v>40</v>
      </c>
      <c r="AV170" s="6" t="s">
        <v>41</v>
      </c>
      <c r="AW170" s="6" t="s">
        <v>42</v>
      </c>
      <c r="AX170" s="6" t="s">
        <v>43</v>
      </c>
      <c r="AY170" s="6">
        <v>2007</v>
      </c>
      <c r="AZ170" s="6" t="s">
        <v>44</v>
      </c>
      <c r="BA170" s="6" t="s">
        <v>45</v>
      </c>
      <c r="BB170" s="6" t="s">
        <v>46</v>
      </c>
      <c r="BC170" s="6" t="s">
        <v>47</v>
      </c>
      <c r="BD170" s="6">
        <v>2008</v>
      </c>
      <c r="BE170" s="6" t="s">
        <v>48</v>
      </c>
      <c r="BF170" s="6" t="s">
        <v>49</v>
      </c>
      <c r="BG170" s="6" t="s">
        <v>50</v>
      </c>
      <c r="BH170" s="6" t="s">
        <v>51</v>
      </c>
      <c r="BI170" s="6">
        <v>2009</v>
      </c>
      <c r="BJ170" s="6" t="s">
        <v>52</v>
      </c>
      <c r="BK170" s="6" t="s">
        <v>53</v>
      </c>
      <c r="BL170" s="6" t="s">
        <v>54</v>
      </c>
      <c r="BM170" s="6" t="s">
        <v>55</v>
      </c>
      <c r="BN170" s="6">
        <v>2010</v>
      </c>
      <c r="BO170" s="6" t="s">
        <v>56</v>
      </c>
      <c r="BP170" s="6" t="s">
        <v>57</v>
      </c>
      <c r="BQ170" s="6" t="s">
        <v>58</v>
      </c>
      <c r="BR170" s="6" t="s">
        <v>59</v>
      </c>
      <c r="BS170" s="6">
        <v>2011</v>
      </c>
      <c r="BT170" s="6" t="s">
        <v>60</v>
      </c>
      <c r="BU170" s="6" t="s">
        <v>61</v>
      </c>
      <c r="BV170" s="6" t="s">
        <v>62</v>
      </c>
      <c r="BW170" s="6" t="s">
        <v>63</v>
      </c>
      <c r="BX170" s="6">
        <v>2012</v>
      </c>
      <c r="BY170" s="6" t="s">
        <v>64</v>
      </c>
      <c r="BZ170" s="6" t="s">
        <v>65</v>
      </c>
      <c r="CA170" s="6" t="s">
        <v>66</v>
      </c>
      <c r="CB170" s="6" t="s">
        <v>67</v>
      </c>
      <c r="CC170" s="6">
        <v>2013</v>
      </c>
      <c r="CD170" s="6" t="s">
        <v>68</v>
      </c>
      <c r="CE170" s="6" t="s">
        <v>69</v>
      </c>
      <c r="CF170" s="6" t="s">
        <v>70</v>
      </c>
      <c r="CG170" s="6" t="s">
        <v>71</v>
      </c>
      <c r="CH170" s="6">
        <v>2014</v>
      </c>
      <c r="CI170" s="6" t="s">
        <v>72</v>
      </c>
      <c r="CJ170" s="6" t="s">
        <v>73</v>
      </c>
      <c r="CK170" s="6" t="s">
        <v>74</v>
      </c>
      <c r="CL170" s="6" t="s">
        <v>75</v>
      </c>
      <c r="CM170" s="6">
        <v>2015</v>
      </c>
      <c r="CN170" s="6" t="s">
        <v>76</v>
      </c>
      <c r="CO170" s="6" t="s">
        <v>77</v>
      </c>
      <c r="CP170" s="6" t="s">
        <v>78</v>
      </c>
      <c r="CQ170" s="6" t="s">
        <v>79</v>
      </c>
      <c r="CR170" s="6">
        <v>2016</v>
      </c>
      <c r="CS170" s="6" t="s">
        <v>80</v>
      </c>
      <c r="CT170" s="6" t="s">
        <v>81</v>
      </c>
      <c r="CU170" s="6" t="s">
        <v>82</v>
      </c>
      <c r="CV170" s="6" t="s">
        <v>83</v>
      </c>
      <c r="CW170" s="6">
        <v>2017</v>
      </c>
      <c r="CX170" s="6" t="s">
        <v>84</v>
      </c>
      <c r="CY170" s="6" t="s">
        <v>85</v>
      </c>
      <c r="CZ170" s="6" t="s">
        <v>86</v>
      </c>
      <c r="DA170" s="6" t="s">
        <v>87</v>
      </c>
      <c r="DB170" s="6">
        <v>2018</v>
      </c>
      <c r="DC170" s="6" t="s">
        <v>88</v>
      </c>
      <c r="DD170" s="6" t="s">
        <v>89</v>
      </c>
      <c r="DE170" s="6" t="s">
        <v>90</v>
      </c>
      <c r="DF170" s="6" t="s">
        <v>91</v>
      </c>
      <c r="DG170" s="6">
        <v>2019</v>
      </c>
      <c r="DH170" s="6" t="s">
        <v>92</v>
      </c>
      <c r="DI170" s="6" t="s">
        <v>93</v>
      </c>
      <c r="DJ170" s="6" t="s">
        <v>94</v>
      </c>
      <c r="DK170" s="6" t="s">
        <v>95</v>
      </c>
      <c r="DL170" s="6">
        <v>2020</v>
      </c>
      <c r="DM170" s="6" t="s">
        <v>96</v>
      </c>
      <c r="DN170" s="6" t="s">
        <v>97</v>
      </c>
      <c r="DO170" s="6" t="s">
        <v>98</v>
      </c>
      <c r="DP170" s="6" t="s">
        <v>99</v>
      </c>
      <c r="DQ170" s="6">
        <v>2021</v>
      </c>
      <c r="DR170" s="6" t="s">
        <v>100</v>
      </c>
      <c r="DS170" s="6" t="s">
        <v>101</v>
      </c>
      <c r="DT170" s="6" t="s">
        <v>200</v>
      </c>
      <c r="DU170" s="6" t="s">
        <v>380</v>
      </c>
      <c r="DV170" s="6">
        <v>2022</v>
      </c>
      <c r="DW170" s="6" t="s">
        <v>379</v>
      </c>
      <c r="DX170" s="6" t="s">
        <v>402</v>
      </c>
      <c r="DY170" s="6" t="s">
        <v>414</v>
      </c>
      <c r="DZ170" s="6" t="s">
        <v>419</v>
      </c>
      <c r="EA170" s="6">
        <v>2023</v>
      </c>
      <c r="EB170" s="6" t="s">
        <v>424</v>
      </c>
      <c r="EC170" s="6" t="s">
        <v>429</v>
      </c>
      <c r="ED170" s="6" t="str">
        <f>$ED$1</f>
        <v>3T24</v>
      </c>
      <c r="EE170" s="6" t="str">
        <f>$EE$1</f>
        <v>4T24</v>
      </c>
      <c r="EF170" s="6">
        <f>$EF$1</f>
        <v>2024</v>
      </c>
      <c r="EG170" s="6" t="str">
        <f>EG$1</f>
        <v>1T25</v>
      </c>
      <c r="EH170" s="6" t="str">
        <f>EH$1</f>
        <v>2T25</v>
      </c>
      <c r="EI170" s="6" t="str">
        <f>EI$1</f>
        <v>3T25</v>
      </c>
    </row>
    <row r="171" spans="1:139" ht="15" thickBot="1" x14ac:dyDescent="0.35">
      <c r="A171" s="4" t="s">
        <v>421</v>
      </c>
      <c r="B171" s="7" t="s">
        <v>102</v>
      </c>
      <c r="C171" s="7" t="s">
        <v>103</v>
      </c>
      <c r="D171" s="7" t="s">
        <v>104</v>
      </c>
      <c r="E171" s="7" t="s">
        <v>105</v>
      </c>
      <c r="F171" s="7">
        <v>2018</v>
      </c>
      <c r="G171" s="7" t="s">
        <v>106</v>
      </c>
      <c r="H171" s="7" t="s">
        <v>107</v>
      </c>
      <c r="I171" s="7" t="s">
        <v>108</v>
      </c>
      <c r="J171" s="7" t="s">
        <v>109</v>
      </c>
      <c r="K171" s="7">
        <v>2019</v>
      </c>
      <c r="L171" s="7" t="s">
        <v>110</v>
      </c>
      <c r="M171" s="7" t="s">
        <v>111</v>
      </c>
      <c r="N171" s="7" t="s">
        <v>112</v>
      </c>
      <c r="O171" s="7" t="s">
        <v>113</v>
      </c>
      <c r="P171" s="7">
        <v>2000</v>
      </c>
      <c r="Q171" s="7" t="s">
        <v>114</v>
      </c>
      <c r="R171" s="7" t="s">
        <v>115</v>
      </c>
      <c r="S171" s="7" t="s">
        <v>116</v>
      </c>
      <c r="T171" s="7" t="s">
        <v>117</v>
      </c>
      <c r="U171" s="7">
        <v>2001</v>
      </c>
      <c r="V171" s="7" t="s">
        <v>118</v>
      </c>
      <c r="W171" s="7" t="s">
        <v>119</v>
      </c>
      <c r="X171" s="7" t="s">
        <v>120</v>
      </c>
      <c r="Y171" s="7" t="s">
        <v>121</v>
      </c>
      <c r="Z171" s="7">
        <v>2002</v>
      </c>
      <c r="AA171" s="7" t="s">
        <v>122</v>
      </c>
      <c r="AB171" s="7" t="s">
        <v>123</v>
      </c>
      <c r="AC171" s="7" t="s">
        <v>124</v>
      </c>
      <c r="AD171" s="7" t="s">
        <v>125</v>
      </c>
      <c r="AE171" s="7">
        <v>2003</v>
      </c>
      <c r="AF171" s="7" t="s">
        <v>126</v>
      </c>
      <c r="AG171" s="7" t="s">
        <v>127</v>
      </c>
      <c r="AH171" s="7" t="s">
        <v>128</v>
      </c>
      <c r="AI171" s="7" t="s">
        <v>129</v>
      </c>
      <c r="AJ171" s="7">
        <v>2004</v>
      </c>
      <c r="AK171" s="7" t="s">
        <v>130</v>
      </c>
      <c r="AL171" s="7" t="s">
        <v>131</v>
      </c>
      <c r="AM171" s="7" t="s">
        <v>132</v>
      </c>
      <c r="AN171" s="7" t="s">
        <v>133</v>
      </c>
      <c r="AO171" s="7">
        <v>2005</v>
      </c>
      <c r="AP171" s="7" t="s">
        <v>134</v>
      </c>
      <c r="AQ171" s="7" t="s">
        <v>135</v>
      </c>
      <c r="AR171" s="7" t="s">
        <v>136</v>
      </c>
      <c r="AS171" s="7" t="s">
        <v>137</v>
      </c>
      <c r="AT171" s="7">
        <v>2006</v>
      </c>
      <c r="AU171" s="7" t="s">
        <v>138</v>
      </c>
      <c r="AV171" s="7" t="s">
        <v>139</v>
      </c>
      <c r="AW171" s="7" t="s">
        <v>140</v>
      </c>
      <c r="AX171" s="7" t="s">
        <v>141</v>
      </c>
      <c r="AY171" s="7">
        <v>2007</v>
      </c>
      <c r="AZ171" s="7" t="s">
        <v>142</v>
      </c>
      <c r="BA171" s="7" t="s">
        <v>143</v>
      </c>
      <c r="BB171" s="7" t="s">
        <v>144</v>
      </c>
      <c r="BC171" s="7" t="s">
        <v>145</v>
      </c>
      <c r="BD171" s="7">
        <v>2008</v>
      </c>
      <c r="BE171" s="7" t="s">
        <v>146</v>
      </c>
      <c r="BF171" s="7" t="s">
        <v>147</v>
      </c>
      <c r="BG171" s="7" t="s">
        <v>148</v>
      </c>
      <c r="BH171" s="7" t="s">
        <v>149</v>
      </c>
      <c r="BI171" s="7">
        <v>2009</v>
      </c>
      <c r="BJ171" s="7" t="s">
        <v>150</v>
      </c>
      <c r="BK171" s="7" t="s">
        <v>151</v>
      </c>
      <c r="BL171" s="7" t="s">
        <v>152</v>
      </c>
      <c r="BM171" s="7" t="s">
        <v>153</v>
      </c>
      <c r="BN171" s="7">
        <v>2010</v>
      </c>
      <c r="BO171" s="7" t="s">
        <v>154</v>
      </c>
      <c r="BP171" s="7" t="s">
        <v>155</v>
      </c>
      <c r="BQ171" s="7" t="s">
        <v>156</v>
      </c>
      <c r="BR171" s="7" t="s">
        <v>157</v>
      </c>
      <c r="BS171" s="7">
        <v>2011</v>
      </c>
      <c r="BT171" s="7" t="s">
        <v>158</v>
      </c>
      <c r="BU171" s="7" t="s">
        <v>159</v>
      </c>
      <c r="BV171" s="7" t="s">
        <v>160</v>
      </c>
      <c r="BW171" s="7" t="s">
        <v>161</v>
      </c>
      <c r="BX171" s="7">
        <v>2012</v>
      </c>
      <c r="BY171" s="7" t="s">
        <v>162</v>
      </c>
      <c r="BZ171" s="7" t="s">
        <v>163</v>
      </c>
      <c r="CA171" s="7" t="s">
        <v>164</v>
      </c>
      <c r="CB171" s="7" t="s">
        <v>165</v>
      </c>
      <c r="CC171" s="7">
        <v>2013</v>
      </c>
      <c r="CD171" s="7" t="s">
        <v>166</v>
      </c>
      <c r="CE171" s="7" t="s">
        <v>167</v>
      </c>
      <c r="CF171" s="7" t="s">
        <v>168</v>
      </c>
      <c r="CG171" s="7" t="s">
        <v>169</v>
      </c>
      <c r="CH171" s="7">
        <v>2014</v>
      </c>
      <c r="CI171" s="7" t="s">
        <v>170</v>
      </c>
      <c r="CJ171" s="7" t="s">
        <v>171</v>
      </c>
      <c r="CK171" s="7" t="s">
        <v>172</v>
      </c>
      <c r="CL171" s="7" t="s">
        <v>173</v>
      </c>
      <c r="CM171" s="7">
        <v>2015</v>
      </c>
      <c r="CN171" s="7" t="s">
        <v>174</v>
      </c>
      <c r="CO171" s="7" t="s">
        <v>175</v>
      </c>
      <c r="CP171" s="7" t="s">
        <v>176</v>
      </c>
      <c r="CQ171" s="7" t="s">
        <v>177</v>
      </c>
      <c r="CR171" s="7">
        <v>2016</v>
      </c>
      <c r="CS171" s="7" t="s">
        <v>178</v>
      </c>
      <c r="CT171" s="7" t="s">
        <v>179</v>
      </c>
      <c r="CU171" s="7" t="s">
        <v>180</v>
      </c>
      <c r="CV171" s="7" t="s">
        <v>181</v>
      </c>
      <c r="CW171" s="7">
        <v>2017</v>
      </c>
      <c r="CX171" s="7" t="s">
        <v>182</v>
      </c>
      <c r="CY171" s="7" t="s">
        <v>183</v>
      </c>
      <c r="CZ171" s="7" t="s">
        <v>184</v>
      </c>
      <c r="DA171" s="7" t="s">
        <v>185</v>
      </c>
      <c r="DB171" s="7">
        <v>2018</v>
      </c>
      <c r="DC171" s="7" t="s">
        <v>186</v>
      </c>
      <c r="DD171" s="7" t="s">
        <v>187</v>
      </c>
      <c r="DE171" s="7" t="s">
        <v>188</v>
      </c>
      <c r="DF171" s="7" t="s">
        <v>189</v>
      </c>
      <c r="DG171" s="7">
        <v>2019</v>
      </c>
      <c r="DH171" s="7" t="s">
        <v>190</v>
      </c>
      <c r="DI171" s="7" t="s">
        <v>191</v>
      </c>
      <c r="DJ171" s="7" t="s">
        <v>192</v>
      </c>
      <c r="DK171" s="7" t="s">
        <v>193</v>
      </c>
      <c r="DL171" s="7">
        <v>2020</v>
      </c>
      <c r="DM171" s="7" t="s">
        <v>194</v>
      </c>
      <c r="DN171" s="7" t="s">
        <v>195</v>
      </c>
      <c r="DO171" s="7" t="s">
        <v>196</v>
      </c>
      <c r="DP171" s="7" t="s">
        <v>197</v>
      </c>
      <c r="DQ171" s="7">
        <v>2021</v>
      </c>
      <c r="DR171" s="7" t="s">
        <v>198</v>
      </c>
      <c r="DS171" s="7" t="s">
        <v>199</v>
      </c>
      <c r="DT171" s="7" t="s">
        <v>201</v>
      </c>
      <c r="DU171" s="7" t="s">
        <v>381</v>
      </c>
      <c r="DV171" s="7">
        <v>2022</v>
      </c>
      <c r="DW171" s="7" t="s">
        <v>382</v>
      </c>
      <c r="DX171" s="7" t="s">
        <v>403</v>
      </c>
      <c r="DY171" s="7" t="s">
        <v>415</v>
      </c>
      <c r="DZ171" s="7" t="s">
        <v>420</v>
      </c>
      <c r="EA171" s="7">
        <v>2023</v>
      </c>
      <c r="EB171" s="7" t="s">
        <v>425</v>
      </c>
      <c r="EC171" s="7" t="s">
        <v>430</v>
      </c>
      <c r="ED171" s="7" t="str">
        <f>$ED$2</f>
        <v>3Q24</v>
      </c>
      <c r="EE171" s="6" t="str">
        <f>$EE$2</f>
        <v>4Q24</v>
      </c>
      <c r="EF171" s="56">
        <f>$EF$2</f>
        <v>2024</v>
      </c>
      <c r="EG171" s="6" t="str">
        <f>EG$2</f>
        <v>1Q25</v>
      </c>
      <c r="EH171" s="6" t="str">
        <f>EH$2</f>
        <v>2Q25</v>
      </c>
      <c r="EI171" s="6" t="str">
        <f>EI$2</f>
        <v>3Q25</v>
      </c>
    </row>
    <row r="172" spans="1:139" ht="15" thickTop="1" x14ac:dyDescent="0.3">
      <c r="A172" s="1" t="s">
        <v>2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27">
        <v>0.35656988000000001</v>
      </c>
      <c r="BK172" s="27">
        <v>0.44721622000000005</v>
      </c>
      <c r="BL172" s="27">
        <v>0.7821394399999998</v>
      </c>
      <c r="BM172" s="27">
        <v>0.43250416999999997</v>
      </c>
      <c r="BN172" s="27">
        <f>SUM(BJ172:BM172)</f>
        <v>2.0184297099999999</v>
      </c>
      <c r="BO172" s="27">
        <v>0.18984867</v>
      </c>
      <c r="BP172" s="27">
        <v>0.37978410000000001</v>
      </c>
      <c r="BQ172" s="27">
        <v>0.73783854000000004</v>
      </c>
      <c r="BR172" s="27">
        <v>1.1664568900000005</v>
      </c>
      <c r="BS172" s="27">
        <f>SUM(BO172:BR172)</f>
        <v>2.4739282000000005</v>
      </c>
      <c r="BT172" s="27">
        <v>0.45433646999999994</v>
      </c>
      <c r="BU172" s="27">
        <v>0.46397406000000002</v>
      </c>
      <c r="BV172" s="27">
        <v>0.40180965000000007</v>
      </c>
      <c r="BW172" s="27">
        <v>1.1338355899999999</v>
      </c>
      <c r="BX172" s="27">
        <f>SUM(BT172:BW172)</f>
        <v>2.4539557699999999</v>
      </c>
      <c r="BY172" s="27">
        <v>0.36657183999999998</v>
      </c>
      <c r="BZ172" s="27">
        <v>0.41610939000000002</v>
      </c>
      <c r="CA172" s="27">
        <v>0.24664992999999991</v>
      </c>
      <c r="CB172" s="27">
        <v>1.0788803100000004</v>
      </c>
      <c r="CC172" s="27">
        <f>SUM(BY172:CB172)</f>
        <v>2.1082114700000005</v>
      </c>
      <c r="CD172" s="27">
        <v>0.33133964000000005</v>
      </c>
      <c r="CE172" s="27">
        <v>0.48616855999999997</v>
      </c>
      <c r="CF172" s="27">
        <v>0.54821951999999974</v>
      </c>
      <c r="CG172" s="27">
        <v>0.80195473000000017</v>
      </c>
      <c r="CH172" s="27">
        <f>SUM(CD172:CG172)</f>
        <v>2.16768245</v>
      </c>
      <c r="CI172" s="27">
        <v>0.45956051000000003</v>
      </c>
      <c r="CJ172" s="27">
        <v>0.57098662</v>
      </c>
      <c r="CK172" s="27">
        <v>0.33192539999999998</v>
      </c>
      <c r="CL172" s="27">
        <v>-0.70974770000000009</v>
      </c>
      <c r="CM172" s="27">
        <f>SUM(CI172:CL172)</f>
        <v>0.65272482999999992</v>
      </c>
      <c r="CN172" s="27">
        <v>0.85711356000000005</v>
      </c>
      <c r="CO172" s="27">
        <v>0.20924421999999987</v>
      </c>
      <c r="CP172" s="27">
        <v>0.43944861000000002</v>
      </c>
      <c r="CQ172" s="27">
        <f>2.413-SUM(CN172:CP172)</f>
        <v>0.90719360999999976</v>
      </c>
      <c r="CR172" s="27">
        <f>SUM(CN172:CQ172)</f>
        <v>2.4129999999999998</v>
      </c>
      <c r="CS172" s="27">
        <v>0.45494181</v>
      </c>
      <c r="CT172" s="27">
        <v>0.30983100999999991</v>
      </c>
      <c r="CU172" s="27">
        <v>0.42312751000000026</v>
      </c>
      <c r="CV172" s="27">
        <v>0.36800657999999964</v>
      </c>
      <c r="CW172" s="27">
        <f>SUM(CS172:CV172)</f>
        <v>1.5559069099999998</v>
      </c>
      <c r="CX172" s="27">
        <v>0.26500000000000001</v>
      </c>
      <c r="CY172" s="27">
        <v>0.30399999999999999</v>
      </c>
      <c r="CZ172" s="27">
        <v>0.38300000000000001</v>
      </c>
      <c r="DA172" s="27">
        <v>0.39600000000000002</v>
      </c>
      <c r="DB172" s="27">
        <f>SUM(CX172:DA172)</f>
        <v>1.3479999999999999</v>
      </c>
      <c r="DC172" s="27">
        <v>0.30499999999999999</v>
      </c>
      <c r="DD172" s="27">
        <v>0.46899999999999997</v>
      </c>
      <c r="DE172" s="27">
        <v>0.40899999999999997</v>
      </c>
      <c r="DF172" s="27">
        <v>0.77500000000000002</v>
      </c>
      <c r="DG172" s="27">
        <f>SUM(DC172:DF172)</f>
        <v>1.9580000000000002</v>
      </c>
      <c r="DH172" s="27">
        <v>0.38700000000000001</v>
      </c>
      <c r="DI172" s="27">
        <v>0.39700000000000002</v>
      </c>
      <c r="DJ172" s="27">
        <v>0.34100000000000003</v>
      </c>
      <c r="DK172" s="27">
        <v>0.58099999999999996</v>
      </c>
      <c r="DL172" s="27">
        <f>SUM(DH172:DK172)</f>
        <v>1.706</v>
      </c>
      <c r="DM172" s="27">
        <v>0.19400000000000001</v>
      </c>
      <c r="DN172" s="27">
        <v>0.255</v>
      </c>
      <c r="DO172" s="27">
        <v>0.253</v>
      </c>
      <c r="DP172" s="27">
        <v>0.371</v>
      </c>
      <c r="DQ172" s="27">
        <f>SUM(DM172:DP172)</f>
        <v>1.073</v>
      </c>
      <c r="DR172" s="27">
        <v>0.152</v>
      </c>
      <c r="DS172" s="27">
        <v>0.06</v>
      </c>
      <c r="DT172" s="27">
        <v>0.02</v>
      </c>
      <c r="DU172" s="27">
        <v>0.65300000000000002</v>
      </c>
      <c r="DV172" s="27">
        <f>SUM(DR172:DU172)</f>
        <v>0.88500000000000001</v>
      </c>
      <c r="DW172" s="27">
        <v>0.26500000000000001</v>
      </c>
      <c r="DX172" s="27">
        <v>-7.1301799999999999E-3</v>
      </c>
      <c r="DY172" s="27">
        <v>-0.17649796999999998</v>
      </c>
      <c r="DZ172" s="27">
        <v>0.56016478999999997</v>
      </c>
      <c r="EA172" s="27">
        <f>SUM(DW172:DZ172)</f>
        <v>0.64153663999999999</v>
      </c>
      <c r="EB172" s="27">
        <v>0.13233270999999999</v>
      </c>
      <c r="EC172" s="27">
        <v>0.50071103000000006</v>
      </c>
      <c r="ED172" s="27">
        <v>-0.115</v>
      </c>
      <c r="EE172" s="27">
        <v>8.850915999999992E-2</v>
      </c>
      <c r="EF172" s="27">
        <f>SUM(EB172:EE172)</f>
        <v>0.60655290000000006</v>
      </c>
      <c r="EG172" s="27">
        <v>0.10262191999999999</v>
      </c>
      <c r="EH172" s="27">
        <v>-6.7698959999999989E-2</v>
      </c>
      <c r="EI172" s="27">
        <v>0.1151335</v>
      </c>
    </row>
    <row r="173" spans="1:139" ht="15" thickBot="1" x14ac:dyDescent="0.35">
      <c r="A173" s="2" t="s">
        <v>454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28">
        <v>0.55297960000000002</v>
      </c>
      <c r="BK173" s="28">
        <v>0.16483482000000005</v>
      </c>
      <c r="BL173" s="28">
        <v>0.67235015999999992</v>
      </c>
      <c r="BM173" s="28">
        <v>0.68156763999999992</v>
      </c>
      <c r="BN173" s="28">
        <f t="shared" ref="BN173:BN194" si="133">SUM(BJ173:BM173)</f>
        <v>2.0717322199999999</v>
      </c>
      <c r="BO173" s="28">
        <v>0.44135570000000002</v>
      </c>
      <c r="BP173" s="28">
        <v>0.8614229000000001</v>
      </c>
      <c r="BQ173" s="28">
        <v>0.62994843000000011</v>
      </c>
      <c r="BR173" s="28">
        <v>-2.2650822100000001</v>
      </c>
      <c r="BS173" s="28">
        <f t="shared" ref="BS173:BS194" si="134">SUM(BO173:BR173)</f>
        <v>-0.33235517999999997</v>
      </c>
      <c r="BT173" s="28">
        <v>0.17459015</v>
      </c>
      <c r="BU173" s="28">
        <v>0.76704488999999998</v>
      </c>
      <c r="BV173" s="28">
        <v>0.10562663000000017</v>
      </c>
      <c r="BW173" s="28">
        <v>-2.38491009</v>
      </c>
      <c r="BX173" s="28">
        <f t="shared" ref="BX173:BX194" si="135">SUM(BT173:BW173)</f>
        <v>-1.3376484199999998</v>
      </c>
      <c r="BY173" s="28">
        <v>0.56234242000000001</v>
      </c>
      <c r="BZ173" s="28">
        <v>0.70737170999999988</v>
      </c>
      <c r="CA173" s="28">
        <v>1.4538075600000002</v>
      </c>
      <c r="CB173" s="28">
        <v>0.61880253000000041</v>
      </c>
      <c r="CC173" s="28">
        <f t="shared" ref="CC173:CC194" si="136">SUM(BY173:CB173)</f>
        <v>3.3423242200000005</v>
      </c>
      <c r="CD173" s="28">
        <v>0.48541435999999999</v>
      </c>
      <c r="CE173" s="28">
        <v>0.71969859999999986</v>
      </c>
      <c r="CF173" s="28">
        <v>0.59290045000000013</v>
      </c>
      <c r="CG173" s="28">
        <v>1.2420522399999998</v>
      </c>
      <c r="CH173" s="28">
        <f t="shared" ref="CH173:CH194" si="137">SUM(CD173:CG173)</f>
        <v>3.0400656499999998</v>
      </c>
      <c r="CI173" s="28">
        <v>0.39603896999999999</v>
      </c>
      <c r="CJ173" s="28">
        <v>0.38547715000000005</v>
      </c>
      <c r="CK173" s="28">
        <v>0.60853230999999997</v>
      </c>
      <c r="CL173" s="28">
        <v>0.76477074000000012</v>
      </c>
      <c r="CM173" s="28">
        <f t="shared" ref="CM173:CM194" si="138">SUM(CI173:CL173)</f>
        <v>2.1548191700000001</v>
      </c>
      <c r="CN173" s="28">
        <v>0.44402315999999997</v>
      </c>
      <c r="CO173" s="28">
        <v>0.29286356000000002</v>
      </c>
      <c r="CP173" s="28">
        <v>0.54996580000000006</v>
      </c>
      <c r="CQ173" s="28">
        <f>1.811-SUM(CN173:CP173)</f>
        <v>0.52414747999999989</v>
      </c>
      <c r="CR173" s="28">
        <f t="shared" ref="CR173:CR194" si="139">SUM(CN173:CQ173)</f>
        <v>1.8109999999999999</v>
      </c>
      <c r="CS173" s="28">
        <v>0.24475242999999999</v>
      </c>
      <c r="CT173" s="28">
        <v>0.61209225</v>
      </c>
      <c r="CU173" s="28">
        <v>0.44094898999999987</v>
      </c>
      <c r="CV173" s="28">
        <v>0.28356187000000022</v>
      </c>
      <c r="CW173" s="28">
        <f t="shared" ref="CW173:CW194" si="140">SUM(CS173:CV173)</f>
        <v>1.5813555400000001</v>
      </c>
      <c r="CX173" s="28">
        <v>0.54800000000000004</v>
      </c>
      <c r="CY173" s="28">
        <v>0.49399999999999999</v>
      </c>
      <c r="CZ173" s="28">
        <v>0.44</v>
      </c>
      <c r="DA173" s="28">
        <v>0.55100000000000005</v>
      </c>
      <c r="DB173" s="28">
        <f t="shared" ref="DB173:DB194" si="141">SUM(CX173:DA173)</f>
        <v>2.0329999999999999</v>
      </c>
      <c r="DC173" s="28">
        <v>0.29499999999999998</v>
      </c>
      <c r="DD173" s="28">
        <v>0.247</v>
      </c>
      <c r="DE173" s="28">
        <v>0.48299999999999998</v>
      </c>
      <c r="DF173" s="28">
        <v>0.56699999999999995</v>
      </c>
      <c r="DG173" s="28">
        <f t="shared" ref="DG173:DG194" si="142">SUM(DC173:DF173)</f>
        <v>1.5919999999999999</v>
      </c>
      <c r="DH173" s="28">
        <v>0.56000000000000005</v>
      </c>
      <c r="DI173" s="28">
        <v>0.626</v>
      </c>
      <c r="DJ173" s="28">
        <v>0.48399999999999999</v>
      </c>
      <c r="DK173" s="28">
        <v>0.48199999999999998</v>
      </c>
      <c r="DL173" s="28">
        <f t="shared" ref="DL173:DL194" si="143">SUM(DH173:DK173)</f>
        <v>2.1520000000000001</v>
      </c>
      <c r="DM173" s="28">
        <v>0.42899999999999999</v>
      </c>
      <c r="DN173" s="28">
        <v>0.58499999999999996</v>
      </c>
      <c r="DO173" s="28">
        <v>0.13600000000000001</v>
      </c>
      <c r="DP173" s="28">
        <v>0.312</v>
      </c>
      <c r="DQ173" s="28">
        <f t="shared" ref="DQ173:DQ194" si="144">SUM(DM173:DP173)</f>
        <v>1.462</v>
      </c>
      <c r="DR173" s="28">
        <v>0.56499999999999995</v>
      </c>
      <c r="DS173" s="28">
        <v>0.41599999999999998</v>
      </c>
      <c r="DT173" s="28">
        <v>-0.41699999999999998</v>
      </c>
      <c r="DU173" s="28">
        <v>0.314</v>
      </c>
      <c r="DV173" s="28">
        <f t="shared" ref="DV173:DV194" si="145">SUM(DR173:DU173)</f>
        <v>0.87799999999999989</v>
      </c>
      <c r="DW173" s="28">
        <v>0.182</v>
      </c>
      <c r="DX173" s="28">
        <v>0.22254614999999997</v>
      </c>
      <c r="DY173" s="28">
        <v>0.20496169</v>
      </c>
      <c r="DZ173" s="28">
        <v>0.49935020999999996</v>
      </c>
      <c r="EA173" s="28">
        <f t="shared" ref="EA173:EA183" si="146">SUM(DW173:DZ173)</f>
        <v>1.1088580499999998</v>
      </c>
      <c r="EB173" s="28">
        <v>0.22666873000000001</v>
      </c>
      <c r="EC173" s="28">
        <v>0.67893170999999997</v>
      </c>
      <c r="ED173" s="28">
        <v>0.33300000000000002</v>
      </c>
      <c r="EE173" s="28">
        <v>0.39556123999999998</v>
      </c>
      <c r="EF173" s="28">
        <f t="shared" ref="EF173:EF194" si="147">SUM(EB173:EE173)</f>
        <v>1.6341616799999998</v>
      </c>
      <c r="EG173" s="28">
        <v>0.21219582999999997</v>
      </c>
      <c r="EH173" s="28">
        <v>0.27359475999999999</v>
      </c>
      <c r="EI173" s="28">
        <v>0.22935859999999991</v>
      </c>
    </row>
    <row r="174" spans="1:139" ht="15" thickTop="1" x14ac:dyDescent="0.3">
      <c r="A174" s="1" t="s">
        <v>442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27">
        <v>0.99614733999999994</v>
      </c>
      <c r="BK174" s="27">
        <v>0.82825853000000016</v>
      </c>
      <c r="BL174" s="27">
        <v>2.44306753</v>
      </c>
      <c r="BM174" s="27">
        <v>1.6885329000000002</v>
      </c>
      <c r="BN174" s="27">
        <f t="shared" si="133"/>
        <v>5.9560063000000003</v>
      </c>
      <c r="BO174" s="27">
        <v>1.19052402</v>
      </c>
      <c r="BP174" s="27">
        <v>0.10546201000000011</v>
      </c>
      <c r="BQ174" s="27">
        <v>1.36409984</v>
      </c>
      <c r="BR174" s="27">
        <v>-0.1606892400000004</v>
      </c>
      <c r="BS174" s="27">
        <f t="shared" si="134"/>
        <v>2.4993966299999997</v>
      </c>
      <c r="BT174" s="27">
        <v>1.6128579399999998</v>
      </c>
      <c r="BU174" s="27">
        <v>0.49457441999999996</v>
      </c>
      <c r="BV174" s="27">
        <v>2.3569069899999997</v>
      </c>
      <c r="BW174" s="27">
        <v>0.46112535000000032</v>
      </c>
      <c r="BX174" s="27">
        <f t="shared" si="135"/>
        <v>4.9254647</v>
      </c>
      <c r="BY174" s="27">
        <v>1.56404652</v>
      </c>
      <c r="BZ174" s="27">
        <v>1.1093260099999995</v>
      </c>
      <c r="CA174" s="27">
        <v>1.482154750000001</v>
      </c>
      <c r="CB174" s="27">
        <v>1.1640877099999993</v>
      </c>
      <c r="CC174" s="27">
        <f t="shared" si="136"/>
        <v>5.3196149899999998</v>
      </c>
      <c r="CD174" s="27">
        <v>5.1303100100000005</v>
      </c>
      <c r="CE174" s="27">
        <v>-3.6390795500000008</v>
      </c>
      <c r="CF174" s="27">
        <v>0.74934769000000045</v>
      </c>
      <c r="CG174" s="27">
        <v>0.86565881000000022</v>
      </c>
      <c r="CH174" s="27">
        <f t="shared" si="137"/>
        <v>3.1062369600000004</v>
      </c>
      <c r="CI174" s="27">
        <v>0.86234274</v>
      </c>
      <c r="CJ174" s="27">
        <v>1.3800706500000004</v>
      </c>
      <c r="CK174" s="27">
        <v>1.2550664599999997</v>
      </c>
      <c r="CL174" s="27">
        <v>0.10326321999999999</v>
      </c>
      <c r="CM174" s="27">
        <f t="shared" si="138"/>
        <v>3.60074307</v>
      </c>
      <c r="CN174" s="27">
        <v>0.56146903000000004</v>
      </c>
      <c r="CO174" s="27">
        <v>0.61376131000000012</v>
      </c>
      <c r="CP174" s="27">
        <v>0.66711778999999971</v>
      </c>
      <c r="CQ174" s="27">
        <f>2.567-SUM(CN174:CP174)</f>
        <v>0.7246518700000002</v>
      </c>
      <c r="CR174" s="27">
        <f t="shared" si="139"/>
        <v>2.5670000000000002</v>
      </c>
      <c r="CS174" s="27">
        <v>0.54399688000000002</v>
      </c>
      <c r="CT174" s="27">
        <v>0.52744502999999987</v>
      </c>
      <c r="CU174" s="27">
        <v>0.33186391000000026</v>
      </c>
      <c r="CV174" s="27">
        <v>0.55089493999999994</v>
      </c>
      <c r="CW174" s="27">
        <f t="shared" si="140"/>
        <v>1.95420076</v>
      </c>
      <c r="CX174" s="27">
        <v>0.54300000000000004</v>
      </c>
      <c r="CY174" s="27">
        <v>1.3680000000000001</v>
      </c>
      <c r="CZ174" s="27">
        <v>-0.34799999999999998</v>
      </c>
      <c r="DA174" s="27">
        <v>0.91800000000000004</v>
      </c>
      <c r="DB174" s="27">
        <f t="shared" si="141"/>
        <v>2.4810000000000003</v>
      </c>
      <c r="DC174" s="27">
        <v>0.46600000000000003</v>
      </c>
      <c r="DD174" s="27">
        <v>0.63200000000000001</v>
      </c>
      <c r="DE174" s="27">
        <v>0.56000000000000005</v>
      </c>
      <c r="DF174" s="27">
        <v>1.1120000000000001</v>
      </c>
      <c r="DG174" s="27">
        <f t="shared" si="142"/>
        <v>2.7700000000000005</v>
      </c>
      <c r="DH174" s="27">
        <v>1.1519999999999999</v>
      </c>
      <c r="DI174" s="27">
        <v>0.93100000000000005</v>
      </c>
      <c r="DJ174" s="27">
        <v>0.66900000000000004</v>
      </c>
      <c r="DK174" s="27">
        <v>0.47399999999999998</v>
      </c>
      <c r="DL174" s="27">
        <f t="shared" si="143"/>
        <v>3.226</v>
      </c>
      <c r="DM174" s="27">
        <v>0.59899999999999998</v>
      </c>
      <c r="DN174" s="27">
        <v>0.51700000000000002</v>
      </c>
      <c r="DO174" s="27">
        <v>0.44900000000000001</v>
      </c>
      <c r="DP174" s="27">
        <v>1.1100000000000001</v>
      </c>
      <c r="DQ174" s="27">
        <f t="shared" si="144"/>
        <v>2.6750000000000003</v>
      </c>
      <c r="DR174" s="27">
        <v>0.62</v>
      </c>
      <c r="DS174" s="27">
        <v>0.76400000000000001</v>
      </c>
      <c r="DT174" s="27">
        <v>0.40500000000000003</v>
      </c>
      <c r="DU174" s="27">
        <v>1.0009999999999999</v>
      </c>
      <c r="DV174" s="27">
        <f t="shared" si="145"/>
        <v>2.79</v>
      </c>
      <c r="DW174" s="27">
        <v>0.63900000000000001</v>
      </c>
      <c r="DX174" s="27">
        <v>0.63335401000000002</v>
      </c>
      <c r="DY174" s="27">
        <v>0.55584405000000003</v>
      </c>
      <c r="DZ174" s="27">
        <v>1.0382057600000001</v>
      </c>
      <c r="EA174" s="27">
        <f t="shared" si="146"/>
        <v>2.8664038200000004</v>
      </c>
      <c r="EB174" s="27">
        <v>0.41974587000000002</v>
      </c>
      <c r="EC174" s="27">
        <v>0.54493369999999997</v>
      </c>
      <c r="ED174" s="27">
        <v>0.66</v>
      </c>
      <c r="EE174" s="27">
        <v>1.0501725300000002</v>
      </c>
      <c r="EF174" s="27">
        <f t="shared" si="147"/>
        <v>2.6748521000000003</v>
      </c>
      <c r="EG174" s="27">
        <v>0.58540957999999998</v>
      </c>
      <c r="EH174" s="27">
        <v>0.61073146000000011</v>
      </c>
      <c r="EI174" s="27">
        <v>0.66356625000000002</v>
      </c>
    </row>
    <row r="175" spans="1:139" ht="15" thickBot="1" x14ac:dyDescent="0.35">
      <c r="A175" s="2" t="s">
        <v>3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28">
        <v>0.71034955</v>
      </c>
      <c r="BK175" s="28">
        <v>0.46186011000000005</v>
      </c>
      <c r="BL175" s="28">
        <v>0.78247253999999977</v>
      </c>
      <c r="BM175" s="28">
        <v>1.1136093700000003</v>
      </c>
      <c r="BN175" s="28">
        <f t="shared" si="133"/>
        <v>3.06829157</v>
      </c>
      <c r="BO175" s="28">
        <v>0.62213514000000003</v>
      </c>
      <c r="BP175" s="28">
        <v>1.1165314799999999</v>
      </c>
      <c r="BQ175" s="28">
        <v>0.58322132999999987</v>
      </c>
      <c r="BR175" s="28">
        <v>0.83421071000000036</v>
      </c>
      <c r="BS175" s="28">
        <f t="shared" si="134"/>
        <v>3.1560986600000001</v>
      </c>
      <c r="BT175" s="28">
        <v>0</v>
      </c>
      <c r="BU175" s="28">
        <v>0.89548947000000001</v>
      </c>
      <c r="BV175" s="28">
        <v>0.45628157999999996</v>
      </c>
      <c r="BW175" s="28">
        <v>1.00984922</v>
      </c>
      <c r="BX175" s="28">
        <f t="shared" si="135"/>
        <v>2.36162027</v>
      </c>
      <c r="BY175" s="28">
        <v>0.16385930999999998</v>
      </c>
      <c r="BZ175" s="28">
        <v>0.56212061000000002</v>
      </c>
      <c r="CA175" s="28">
        <v>6.986759000000009E-2</v>
      </c>
      <c r="CB175" s="28">
        <v>0.68785492999999998</v>
      </c>
      <c r="CC175" s="28">
        <f t="shared" si="136"/>
        <v>1.4837024400000001</v>
      </c>
      <c r="CD175" s="28">
        <v>0.42711540000000003</v>
      </c>
      <c r="CE175" s="28">
        <v>0.39508185000000007</v>
      </c>
      <c r="CF175" s="28">
        <v>0.47502855999999993</v>
      </c>
      <c r="CG175" s="28">
        <v>0.89277620999999996</v>
      </c>
      <c r="CH175" s="28">
        <f t="shared" si="137"/>
        <v>2.1900020200000001</v>
      </c>
      <c r="CI175" s="28">
        <v>0.31720374000000001</v>
      </c>
      <c r="CJ175" s="28">
        <v>0.4136725799999999</v>
      </c>
      <c r="CK175" s="28">
        <v>0.58477364000000009</v>
      </c>
      <c r="CL175" s="28">
        <v>0.32777416999999992</v>
      </c>
      <c r="CM175" s="28">
        <f t="shared" si="138"/>
        <v>1.6434241299999999</v>
      </c>
      <c r="CN175" s="28">
        <v>0.48876810999999998</v>
      </c>
      <c r="CO175" s="28">
        <v>0.39338978000000002</v>
      </c>
      <c r="CP175" s="28">
        <v>0.47707082999999995</v>
      </c>
      <c r="CQ175" s="28">
        <f>-1.627-SUM(CN175:CP175)</f>
        <v>-2.9862287199999997</v>
      </c>
      <c r="CR175" s="28">
        <f t="shared" si="139"/>
        <v>-1.6269999999999998</v>
      </c>
      <c r="CS175" s="28">
        <v>0.91488473000000003</v>
      </c>
      <c r="CT175" s="28">
        <v>0.27400793999999995</v>
      </c>
      <c r="CU175" s="28">
        <v>0.31055685</v>
      </c>
      <c r="CV175" s="28">
        <v>0.35361324000000005</v>
      </c>
      <c r="CW175" s="28">
        <f t="shared" si="140"/>
        <v>1.85306276</v>
      </c>
      <c r="CX175" s="28">
        <v>0.246</v>
      </c>
      <c r="CY175" s="28">
        <v>0.312</v>
      </c>
      <c r="CZ175" s="28">
        <v>0.26400000000000001</v>
      </c>
      <c r="DA175" s="28">
        <v>0.36699999999999999</v>
      </c>
      <c r="DB175" s="28">
        <f t="shared" si="141"/>
        <v>1.1890000000000001</v>
      </c>
      <c r="DC175" s="28">
        <v>0.309</v>
      </c>
      <c r="DD175" s="28">
        <v>0.377</v>
      </c>
      <c r="DE175" s="28">
        <v>0.52400000000000002</v>
      </c>
      <c r="DF175" s="28">
        <v>0.53800000000000003</v>
      </c>
      <c r="DG175" s="28">
        <f t="shared" si="142"/>
        <v>1.748</v>
      </c>
      <c r="DH175" s="28">
        <v>0.35299999999999998</v>
      </c>
      <c r="DI175" s="28">
        <v>0.52100000000000002</v>
      </c>
      <c r="DJ175" s="28">
        <v>0.35399999999999998</v>
      </c>
      <c r="DK175" s="28">
        <v>1.0649999999999999</v>
      </c>
      <c r="DL175" s="28">
        <f t="shared" si="143"/>
        <v>2.2930000000000001</v>
      </c>
      <c r="DM175" s="28">
        <v>0.55200000000000005</v>
      </c>
      <c r="DN175" s="28">
        <v>0.28000000000000003</v>
      </c>
      <c r="DO175" s="28">
        <v>-0.54100000000000004</v>
      </c>
      <c r="DP175" s="28">
        <v>0.60899999999999999</v>
      </c>
      <c r="DQ175" s="28">
        <f t="shared" si="144"/>
        <v>0.9</v>
      </c>
      <c r="DR175" s="28">
        <v>0.112</v>
      </c>
      <c r="DS175" s="28">
        <v>0.11799999999999999</v>
      </c>
      <c r="DT175" s="28">
        <v>5.0999999999999997E-2</v>
      </c>
      <c r="DU175" s="28">
        <v>-5.5E-2</v>
      </c>
      <c r="DV175" s="28">
        <f t="shared" si="145"/>
        <v>0.22599999999999998</v>
      </c>
      <c r="DW175" s="28">
        <v>-0.371</v>
      </c>
      <c r="DX175" s="28">
        <v>0.4394941</v>
      </c>
      <c r="DY175" s="28">
        <v>5.8468649999999997E-2</v>
      </c>
      <c r="DZ175" s="28">
        <v>-1.7129999999999999E-2</v>
      </c>
      <c r="EA175" s="28">
        <f t="shared" si="146"/>
        <v>0.10983275000000001</v>
      </c>
      <c r="EB175" s="28">
        <v>-0.28009140999999999</v>
      </c>
      <c r="EC175" s="28">
        <v>8.7925819999999974E-2</v>
      </c>
      <c r="ED175" s="28">
        <v>0.23400000000000001</v>
      </c>
      <c r="EE175" s="28">
        <v>0.10268916</v>
      </c>
      <c r="EF175" s="28">
        <f t="shared" si="147"/>
        <v>0.14452357000000002</v>
      </c>
      <c r="EG175" s="28">
        <v>0.34696384000000002</v>
      </c>
      <c r="EH175" s="28">
        <v>7.6227139999999957E-2</v>
      </c>
      <c r="EI175" s="28">
        <v>0.28551747</v>
      </c>
    </row>
    <row r="176" spans="1:139" ht="15" thickTop="1" x14ac:dyDescent="0.3">
      <c r="A176" s="1" t="s">
        <v>443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27">
        <v>0.82135661000000004</v>
      </c>
      <c r="BK176" s="27">
        <v>0.98904720999999984</v>
      </c>
      <c r="BL176" s="27">
        <v>0.97954538000000024</v>
      </c>
      <c r="BM176" s="27">
        <v>1.1108295099999999</v>
      </c>
      <c r="BN176" s="27">
        <f t="shared" si="133"/>
        <v>3.90077871</v>
      </c>
      <c r="BO176" s="27">
        <v>0.81026153000000001</v>
      </c>
      <c r="BP176" s="27">
        <v>0.73324075999999994</v>
      </c>
      <c r="BQ176" s="27">
        <v>0.82417709999999977</v>
      </c>
      <c r="BR176" s="27">
        <v>1.1718134100000006</v>
      </c>
      <c r="BS176" s="27">
        <f t="shared" si="134"/>
        <v>3.5394928000000005</v>
      </c>
      <c r="BT176" s="27">
        <v>0.92297982999999995</v>
      </c>
      <c r="BU176" s="27">
        <v>0.96433868000000011</v>
      </c>
      <c r="BV176" s="27">
        <v>-0.98130118000000011</v>
      </c>
      <c r="BW176" s="27">
        <v>1.4395483499999999</v>
      </c>
      <c r="BX176" s="27">
        <f t="shared" si="135"/>
        <v>2.34556568</v>
      </c>
      <c r="BY176" s="27">
        <v>0.51138731999999998</v>
      </c>
      <c r="BZ176" s="27">
        <v>0.44949033000000005</v>
      </c>
      <c r="CA176" s="27">
        <v>0.44635276999999984</v>
      </c>
      <c r="CB176" s="27">
        <v>2.2264376800000001</v>
      </c>
      <c r="CC176" s="27">
        <f t="shared" si="136"/>
        <v>3.6336681</v>
      </c>
      <c r="CD176" s="27">
        <v>0.61410518999999997</v>
      </c>
      <c r="CE176" s="27">
        <v>0.79334283000000017</v>
      </c>
      <c r="CF176" s="27">
        <v>-0.38023288000000011</v>
      </c>
      <c r="CG176" s="27">
        <v>0.52010793000000011</v>
      </c>
      <c r="CH176" s="27">
        <f t="shared" si="137"/>
        <v>1.54732307</v>
      </c>
      <c r="CI176" s="27">
        <v>-0.71383759999999996</v>
      </c>
      <c r="CJ176" s="27">
        <v>0.37106784999999998</v>
      </c>
      <c r="CK176" s="27">
        <v>0.57482586999999996</v>
      </c>
      <c r="CL176" s="27">
        <v>0.90490763000000007</v>
      </c>
      <c r="CM176" s="27">
        <f t="shared" si="138"/>
        <v>1.1369637500000001</v>
      </c>
      <c r="CN176" s="27">
        <v>9.1373999999999997E-2</v>
      </c>
      <c r="CO176" s="27">
        <v>0.49053952000000006</v>
      </c>
      <c r="CP176" s="27">
        <v>0.17697916999999985</v>
      </c>
      <c r="CQ176" s="27">
        <f>1.472-SUM(CN176:CP176)</f>
        <v>0.71310731000000005</v>
      </c>
      <c r="CR176" s="27">
        <f t="shared" si="139"/>
        <v>1.472</v>
      </c>
      <c r="CS176" s="27">
        <v>0.34146841</v>
      </c>
      <c r="CT176" s="27">
        <v>0.20716931999999993</v>
      </c>
      <c r="CU176" s="27">
        <v>0.19705325999999995</v>
      </c>
      <c r="CV176" s="27">
        <v>0.27060455000000011</v>
      </c>
      <c r="CW176" s="27">
        <f t="shared" si="140"/>
        <v>1.01629554</v>
      </c>
      <c r="CX176" s="27">
        <v>0.23</v>
      </c>
      <c r="CY176" s="27">
        <v>0.29199999999999998</v>
      </c>
      <c r="CZ176" s="27">
        <v>7.1999999999999995E-2</v>
      </c>
      <c r="DA176" s="27">
        <v>0.23</v>
      </c>
      <c r="DB176" s="27">
        <f t="shared" si="141"/>
        <v>0.82399999999999995</v>
      </c>
      <c r="DC176" s="27">
        <v>0.17699999999999999</v>
      </c>
      <c r="DD176" s="27">
        <v>0.44800000000000001</v>
      </c>
      <c r="DE176" s="27">
        <v>0.11700000000000001</v>
      </c>
      <c r="DF176" s="27">
        <v>0.69499999999999995</v>
      </c>
      <c r="DG176" s="27">
        <f t="shared" si="142"/>
        <v>1.4369999999999998</v>
      </c>
      <c r="DH176" s="27">
        <v>0.61199999999999999</v>
      </c>
      <c r="DI176" s="27">
        <v>1.0329999999999999</v>
      </c>
      <c r="DJ176" s="27">
        <v>0.48299999999999998</v>
      </c>
      <c r="DK176" s="27">
        <v>0.24</v>
      </c>
      <c r="DL176" s="27">
        <f t="shared" si="143"/>
        <v>2.3680000000000003</v>
      </c>
      <c r="DM176" s="27">
        <v>0.20899999999999999</v>
      </c>
      <c r="DN176" s="27">
        <v>0.38400000000000001</v>
      </c>
      <c r="DO176" s="27">
        <v>0.371</v>
      </c>
      <c r="DP176" s="27">
        <v>0.44900000000000001</v>
      </c>
      <c r="DQ176" s="27">
        <f t="shared" si="144"/>
        <v>1.413</v>
      </c>
      <c r="DR176" s="27">
        <v>0.21199999999999999</v>
      </c>
      <c r="DS176" s="27">
        <v>0.39100000000000001</v>
      </c>
      <c r="DT176" s="27">
        <v>0.36299999999999999</v>
      </c>
      <c r="DU176" s="27">
        <v>0.51800000000000002</v>
      </c>
      <c r="DV176" s="27">
        <f t="shared" si="145"/>
        <v>1.484</v>
      </c>
      <c r="DW176" s="27">
        <v>0.21199999999999999</v>
      </c>
      <c r="DX176" s="27">
        <v>0.30703622999999997</v>
      </c>
      <c r="DY176" s="27">
        <v>0.29317311000000007</v>
      </c>
      <c r="DZ176" s="27">
        <v>0.44188608999999995</v>
      </c>
      <c r="EA176" s="27">
        <f t="shared" si="146"/>
        <v>1.25409543</v>
      </c>
      <c r="EB176" s="27">
        <v>0.22552941000000001</v>
      </c>
      <c r="EC176" s="27">
        <v>0.35724558999999995</v>
      </c>
      <c r="ED176" s="27">
        <v>0.14499999999999999</v>
      </c>
      <c r="EE176" s="27">
        <v>0.4968403999999999</v>
      </c>
      <c r="EF176" s="27">
        <f t="shared" si="147"/>
        <v>1.2246153999999998</v>
      </c>
      <c r="EG176" s="27">
        <v>0.19358700000000001</v>
      </c>
      <c r="EH176" s="27">
        <v>0.24796165999999997</v>
      </c>
      <c r="EI176" s="27">
        <v>0.29483552999999996</v>
      </c>
    </row>
    <row r="177" spans="1:139" ht="15" thickBot="1" x14ac:dyDescent="0.35">
      <c r="A177" s="2" t="s">
        <v>481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28">
        <v>0</v>
      </c>
      <c r="BK177" s="28">
        <v>0</v>
      </c>
      <c r="BL177" s="28">
        <v>0</v>
      </c>
      <c r="BM177" s="28">
        <v>0</v>
      </c>
      <c r="BN177" s="28">
        <f t="shared" si="133"/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f t="shared" si="134"/>
        <v>0</v>
      </c>
      <c r="BT177" s="28">
        <v>0</v>
      </c>
      <c r="BU177" s="28">
        <v>0</v>
      </c>
      <c r="BV177" s="28">
        <v>0.27626109000000004</v>
      </c>
      <c r="BW177" s="28">
        <v>0.21186850999999995</v>
      </c>
      <c r="BX177" s="28">
        <f t="shared" si="135"/>
        <v>0.4881296</v>
      </c>
      <c r="BY177" s="28">
        <v>0.14230610999999999</v>
      </c>
      <c r="BZ177" s="28">
        <v>0</v>
      </c>
      <c r="CA177" s="28">
        <v>0.52523880000000012</v>
      </c>
      <c r="CB177" s="28">
        <v>0.32203179999999981</v>
      </c>
      <c r="CC177" s="28">
        <f t="shared" si="136"/>
        <v>0.98957670999999992</v>
      </c>
      <c r="CD177" s="28">
        <v>0.25762020000000002</v>
      </c>
      <c r="CE177" s="28">
        <v>0.36899672</v>
      </c>
      <c r="CF177" s="28">
        <v>1.4970280100000002</v>
      </c>
      <c r="CG177" s="28">
        <v>0.35776473999999997</v>
      </c>
      <c r="CH177" s="28">
        <f t="shared" si="137"/>
        <v>2.4814096700000001</v>
      </c>
      <c r="CI177" s="28">
        <v>0.35979442</v>
      </c>
      <c r="CJ177" s="28">
        <v>0.39109984999999997</v>
      </c>
      <c r="CK177" s="28">
        <v>0.67929645999999999</v>
      </c>
      <c r="CL177" s="28">
        <v>0.59100177000000009</v>
      </c>
      <c r="CM177" s="28">
        <f t="shared" si="138"/>
        <v>2.0211925000000002</v>
      </c>
      <c r="CN177" s="28">
        <v>0.23983242000000002</v>
      </c>
      <c r="CO177" s="28">
        <v>0.27399735999999997</v>
      </c>
      <c r="CP177" s="28">
        <v>0.19588874000000003</v>
      </c>
      <c r="CQ177" s="28">
        <f>0.973-SUM(CN177:CP177)</f>
        <v>0.26328147999999996</v>
      </c>
      <c r="CR177" s="28">
        <f t="shared" si="139"/>
        <v>0.97299999999999998</v>
      </c>
      <c r="CS177" s="28">
        <v>0.29324944000000003</v>
      </c>
      <c r="CT177" s="28">
        <v>0.26487557</v>
      </c>
      <c r="CU177" s="28">
        <v>0.23745319999999986</v>
      </c>
      <c r="CV177" s="28">
        <v>0.29673131000000003</v>
      </c>
      <c r="CW177" s="28">
        <f t="shared" si="140"/>
        <v>1.0923095199999999</v>
      </c>
      <c r="CX177" s="28">
        <v>0.215</v>
      </c>
      <c r="CY177" s="28">
        <v>0.28100000000000003</v>
      </c>
      <c r="CZ177" s="28">
        <v>0.224</v>
      </c>
      <c r="DA177" s="28">
        <v>0.29599999999999999</v>
      </c>
      <c r="DB177" s="28">
        <f t="shared" si="141"/>
        <v>1.016</v>
      </c>
      <c r="DC177" s="28">
        <v>0.61</v>
      </c>
      <c r="DD177" s="28">
        <v>0.30499999999999999</v>
      </c>
      <c r="DE177" s="28">
        <v>0.54600000000000004</v>
      </c>
      <c r="DF177" s="28">
        <v>0.49</v>
      </c>
      <c r="DG177" s="28">
        <f t="shared" si="142"/>
        <v>1.9510000000000001</v>
      </c>
      <c r="DH177" s="28">
        <v>0.40100000000000002</v>
      </c>
      <c r="DI177" s="28">
        <v>0.65900000000000003</v>
      </c>
      <c r="DJ177" s="28">
        <v>0.497</v>
      </c>
      <c r="DK177" s="28">
        <v>48.628999999999998</v>
      </c>
      <c r="DL177" s="28">
        <f t="shared" si="143"/>
        <v>50.186</v>
      </c>
      <c r="DM177" s="28">
        <v>0.47599999999999998</v>
      </c>
      <c r="DN177" s="28">
        <v>0.68</v>
      </c>
      <c r="DO177" s="28">
        <v>2.4740000000000002</v>
      </c>
      <c r="DP177" s="28">
        <v>-1.196</v>
      </c>
      <c r="DQ177" s="28">
        <f t="shared" si="144"/>
        <v>2.4340000000000002</v>
      </c>
      <c r="DR177" s="28">
        <v>0.33700000000000002</v>
      </c>
      <c r="DS177" s="28">
        <v>0.53600000000000003</v>
      </c>
      <c r="DT177" s="28">
        <v>0.26100000000000001</v>
      </c>
      <c r="DU177" s="28">
        <v>0.62</v>
      </c>
      <c r="DV177" s="28">
        <f t="shared" si="145"/>
        <v>1.754</v>
      </c>
      <c r="DW177" s="28">
        <v>0.60599999999999998</v>
      </c>
      <c r="DX177" s="28">
        <v>0.48567538999999998</v>
      </c>
      <c r="DY177" s="28">
        <v>0.55175204</v>
      </c>
      <c r="DZ177" s="28">
        <v>0.8120819800000002</v>
      </c>
      <c r="EA177" s="28">
        <f t="shared" si="146"/>
        <v>2.4555094100000003</v>
      </c>
      <c r="EB177" s="28">
        <v>0.41219601</v>
      </c>
      <c r="EC177" s="28">
        <v>0.64342652</v>
      </c>
      <c r="ED177" s="28">
        <v>0.85</v>
      </c>
      <c r="EE177" s="28">
        <v>0.81639627000000003</v>
      </c>
      <c r="EF177" s="28">
        <f t="shared" si="147"/>
        <v>2.7220187999999998</v>
      </c>
      <c r="EG177" s="28">
        <v>0.79684806999999991</v>
      </c>
      <c r="EH177" s="28">
        <v>0.13865744000000005</v>
      </c>
      <c r="EI177" s="28">
        <v>0.92501414999999987</v>
      </c>
    </row>
    <row r="178" spans="1:139" ht="15" thickTop="1" x14ac:dyDescent="0.3">
      <c r="A178" s="1" t="s">
        <v>445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27">
        <v>0</v>
      </c>
      <c r="BK178" s="27">
        <v>0</v>
      </c>
      <c r="BL178" s="27">
        <v>0</v>
      </c>
      <c r="BM178" s="27">
        <v>0</v>
      </c>
      <c r="BN178" s="27">
        <f t="shared" si="133"/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f t="shared" si="134"/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f t="shared" si="135"/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f t="shared" si="136"/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f t="shared" si="137"/>
        <v>0</v>
      </c>
      <c r="CI178" s="27">
        <v>0</v>
      </c>
      <c r="CJ178" s="27">
        <v>0.16939234</v>
      </c>
      <c r="CK178" s="27">
        <v>1.0182812999999999</v>
      </c>
      <c r="CL178" s="27">
        <v>0.95080911000000012</v>
      </c>
      <c r="CM178" s="27">
        <f t="shared" si="138"/>
        <v>2.1384827500000001</v>
      </c>
      <c r="CN178" s="27">
        <v>0.98432622999999997</v>
      </c>
      <c r="CO178" s="27">
        <v>0.91403310000000015</v>
      </c>
      <c r="CP178" s="27">
        <v>0.74574937999999968</v>
      </c>
      <c r="CQ178" s="27">
        <f>3.454-SUM(CN178:CP178)</f>
        <v>0.80989129000000037</v>
      </c>
      <c r="CR178" s="27">
        <f t="shared" si="139"/>
        <v>3.4540000000000002</v>
      </c>
      <c r="CS178" s="27">
        <v>0.67189272</v>
      </c>
      <c r="CT178" s="27">
        <v>0.84106575000000006</v>
      </c>
      <c r="CU178" s="27">
        <v>0.62066842999999983</v>
      </c>
      <c r="CV178" s="27">
        <v>0.68695377000000013</v>
      </c>
      <c r="CW178" s="27">
        <f t="shared" si="140"/>
        <v>2.82058067</v>
      </c>
      <c r="CX178" s="27">
        <v>0.54500000000000004</v>
      </c>
      <c r="CY178" s="27">
        <v>1.403</v>
      </c>
      <c r="CZ178" s="27">
        <v>0.65100000000000002</v>
      </c>
      <c r="DA178" s="27">
        <v>0.88400000000000001</v>
      </c>
      <c r="DB178" s="27">
        <f t="shared" si="141"/>
        <v>3.4830000000000001</v>
      </c>
      <c r="DC178" s="27">
        <v>0.72799999999999998</v>
      </c>
      <c r="DD178" s="27">
        <v>0.72699999999999998</v>
      </c>
      <c r="DE178" s="27">
        <v>0.91900000000000004</v>
      </c>
      <c r="DF178" s="27">
        <v>1.1639999999999999</v>
      </c>
      <c r="DG178" s="27">
        <f t="shared" si="142"/>
        <v>3.5380000000000003</v>
      </c>
      <c r="DH178" s="27">
        <v>1.004</v>
      </c>
      <c r="DI178" s="27">
        <v>1.0369999999999999</v>
      </c>
      <c r="DJ178" s="27">
        <v>1.173</v>
      </c>
      <c r="DK178" s="27">
        <v>1.073</v>
      </c>
      <c r="DL178" s="27">
        <f t="shared" si="143"/>
        <v>4.2869999999999999</v>
      </c>
      <c r="DM178" s="27">
        <v>1.2370000000000001</v>
      </c>
      <c r="DN178" s="27">
        <v>1.3280000000000001</v>
      </c>
      <c r="DO178" s="27">
        <v>1.2889999999999999</v>
      </c>
      <c r="DP178" s="27">
        <v>1.014</v>
      </c>
      <c r="DQ178" s="27">
        <f t="shared" si="144"/>
        <v>4.8680000000000003</v>
      </c>
      <c r="DR178" s="27">
        <v>1.1040000000000001</v>
      </c>
      <c r="DS178" s="27">
        <v>1.0409999999999999</v>
      </c>
      <c r="DT178" s="27">
        <v>0.32600000000000001</v>
      </c>
      <c r="DU178" s="27">
        <v>0.81399999999999995</v>
      </c>
      <c r="DV178" s="27">
        <f t="shared" si="145"/>
        <v>3.2850000000000001</v>
      </c>
      <c r="DW178" s="27">
        <v>0.67</v>
      </c>
      <c r="DX178" s="27">
        <v>0.66789688000000003</v>
      </c>
      <c r="DY178" s="27">
        <v>0.71556242000000014</v>
      </c>
      <c r="DZ178" s="27">
        <v>0.92309851999999981</v>
      </c>
      <c r="EA178" s="27">
        <f t="shared" si="146"/>
        <v>2.97655782</v>
      </c>
      <c r="EB178" s="27">
        <v>0.8140848100000001</v>
      </c>
      <c r="EC178" s="27">
        <v>0.83642588999999989</v>
      </c>
      <c r="ED178" s="27">
        <v>0.77500000000000002</v>
      </c>
      <c r="EE178" s="27">
        <v>0.7982445600000001</v>
      </c>
      <c r="EF178" s="27">
        <f t="shared" si="147"/>
        <v>3.2237552599999999</v>
      </c>
      <c r="EG178" s="27">
        <v>0.64388205000000009</v>
      </c>
      <c r="EH178" s="27">
        <v>0.80434485999999983</v>
      </c>
      <c r="EI178" s="27">
        <v>0.63702404000000001</v>
      </c>
    </row>
    <row r="179" spans="1:139" ht="15" thickBot="1" x14ac:dyDescent="0.35">
      <c r="A179" s="2" t="s">
        <v>444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v>0</v>
      </c>
      <c r="BT179" s="28">
        <v>0</v>
      </c>
      <c r="BU179" s="28">
        <v>0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f t="shared" si="140"/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f t="shared" si="141"/>
        <v>0</v>
      </c>
      <c r="DC179" s="28">
        <v>0</v>
      </c>
      <c r="DD179" s="28">
        <v>0</v>
      </c>
      <c r="DE179" s="28">
        <v>0.124</v>
      </c>
      <c r="DF179" s="28">
        <v>0.66100000000000003</v>
      </c>
      <c r="DG179" s="28">
        <f t="shared" si="142"/>
        <v>0.78500000000000003</v>
      </c>
      <c r="DH179" s="28">
        <v>0.71199999999999997</v>
      </c>
      <c r="DI179" s="28">
        <v>0.995</v>
      </c>
      <c r="DJ179" s="28">
        <v>0.89800000000000002</v>
      </c>
      <c r="DK179" s="28">
        <v>0.58899999999999997</v>
      </c>
      <c r="DL179" s="28">
        <f t="shared" si="143"/>
        <v>3.194</v>
      </c>
      <c r="DM179" s="28">
        <v>0.48099999999999998</v>
      </c>
      <c r="DN179" s="28">
        <v>0.36499999999999999</v>
      </c>
      <c r="DO179" s="28">
        <v>0.42</v>
      </c>
      <c r="DP179" s="28">
        <v>0.54400000000000004</v>
      </c>
      <c r="DQ179" s="28">
        <f t="shared" si="144"/>
        <v>1.81</v>
      </c>
      <c r="DR179" s="28">
        <v>0.38500000000000001</v>
      </c>
      <c r="DS179" s="28">
        <v>0.373</v>
      </c>
      <c r="DT179" s="28">
        <v>0.25700000000000001</v>
      </c>
      <c r="DU179" s="28">
        <v>0.34499999999999997</v>
      </c>
      <c r="DV179" s="28">
        <f t="shared" si="145"/>
        <v>1.36</v>
      </c>
      <c r="DW179" s="28">
        <v>0.20699999999999999</v>
      </c>
      <c r="DX179" s="28">
        <v>0.43951555999999997</v>
      </c>
      <c r="DY179" s="28">
        <v>0.34018300000000001</v>
      </c>
      <c r="DZ179" s="28">
        <v>0.4955392500000001</v>
      </c>
      <c r="EA179" s="28">
        <f t="shared" si="146"/>
        <v>1.48223781</v>
      </c>
      <c r="EB179" s="28">
        <v>0.26543178000000001</v>
      </c>
      <c r="EC179" s="28">
        <v>0.42380825</v>
      </c>
      <c r="ED179" s="28">
        <v>0.41699999999999998</v>
      </c>
      <c r="EE179" s="28">
        <v>0.62176198999999999</v>
      </c>
      <c r="EF179" s="28">
        <f t="shared" si="147"/>
        <v>1.7280020199999999</v>
      </c>
      <c r="EG179" s="28">
        <v>-0.17545227999999999</v>
      </c>
      <c r="EH179" s="28">
        <v>9.8157850000000005E-2</v>
      </c>
      <c r="EI179" s="28">
        <v>1.2257341399999999</v>
      </c>
    </row>
    <row r="180" spans="1:139" ht="15" thickTop="1" x14ac:dyDescent="0.3">
      <c r="A180" s="1" t="s">
        <v>456</v>
      </c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f t="shared" si="140"/>
        <v>0</v>
      </c>
      <c r="CX180" s="27">
        <v>0</v>
      </c>
      <c r="CY180" s="27">
        <v>0</v>
      </c>
      <c r="CZ180" s="27">
        <v>0</v>
      </c>
      <c r="DA180" s="27">
        <v>0.55500000000000005</v>
      </c>
      <c r="DB180" s="27">
        <f t="shared" si="141"/>
        <v>0.55500000000000005</v>
      </c>
      <c r="DC180" s="27">
        <v>0.22700000000000001</v>
      </c>
      <c r="DD180" s="27">
        <v>0.254</v>
      </c>
      <c r="DE180" s="27">
        <v>0.16600000000000001</v>
      </c>
      <c r="DF180" s="27">
        <v>0.254</v>
      </c>
      <c r="DG180" s="27">
        <f t="shared" si="142"/>
        <v>0.90100000000000002</v>
      </c>
      <c r="DH180" s="27">
        <v>0.186</v>
      </c>
      <c r="DI180" s="27">
        <v>0.18099999999999999</v>
      </c>
      <c r="DJ180" s="27">
        <v>0.22600000000000001</v>
      </c>
      <c r="DK180" s="27">
        <v>0.13400000000000001</v>
      </c>
      <c r="DL180" s="27">
        <f t="shared" si="143"/>
        <v>0.72699999999999998</v>
      </c>
      <c r="DM180" s="27">
        <v>0.14699999999999999</v>
      </c>
      <c r="DN180" s="27">
        <v>0.158</v>
      </c>
      <c r="DO180" s="27">
        <v>0.221</v>
      </c>
      <c r="DP180" s="27">
        <v>0.36799999999999999</v>
      </c>
      <c r="DQ180" s="27">
        <f t="shared" si="144"/>
        <v>0.89400000000000002</v>
      </c>
      <c r="DR180" s="27">
        <v>0.24</v>
      </c>
      <c r="DS180" s="27">
        <v>0.19500000000000001</v>
      </c>
      <c r="DT180" s="27">
        <v>0.24199999999999999</v>
      </c>
      <c r="DU180" s="27">
        <v>0.22700000000000001</v>
      </c>
      <c r="DV180" s="27">
        <f t="shared" si="145"/>
        <v>0.90400000000000003</v>
      </c>
      <c r="DW180" s="27">
        <v>0.186</v>
      </c>
      <c r="DX180" s="27">
        <v>0.28885727999999999</v>
      </c>
      <c r="DY180" s="27">
        <v>0.23255384000000004</v>
      </c>
      <c r="DZ180" s="27">
        <v>0.47816426000000001</v>
      </c>
      <c r="EA180" s="27">
        <f t="shared" si="146"/>
        <v>1.18557538</v>
      </c>
      <c r="EB180" s="27">
        <v>0.33818791999999998</v>
      </c>
      <c r="EC180" s="27">
        <v>0.21757358000000002</v>
      </c>
      <c r="ED180" s="27">
        <v>0.28699999999999998</v>
      </c>
      <c r="EE180" s="27">
        <v>0.96595758999999992</v>
      </c>
      <c r="EF180" s="27">
        <f t="shared" si="147"/>
        <v>1.8087190899999999</v>
      </c>
      <c r="EG180" s="27">
        <v>0.12472095</v>
      </c>
      <c r="EH180" s="27">
        <v>0.17669676999999995</v>
      </c>
      <c r="EI180" s="27">
        <v>0.45911947999999997</v>
      </c>
    </row>
    <row r="181" spans="1:139" ht="15" thickBot="1" x14ac:dyDescent="0.35">
      <c r="A181" s="2" t="s">
        <v>446</v>
      </c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8">
        <v>0</v>
      </c>
      <c r="BS181" s="28">
        <v>0</v>
      </c>
      <c r="BT181" s="28">
        <v>0</v>
      </c>
      <c r="BU181" s="28">
        <v>0</v>
      </c>
      <c r="BV181" s="28">
        <v>0</v>
      </c>
      <c r="BW181" s="28">
        <v>0</v>
      </c>
      <c r="BX181" s="28">
        <v>0</v>
      </c>
      <c r="BY181" s="28">
        <v>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f t="shared" si="140"/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f t="shared" si="141"/>
        <v>0</v>
      </c>
      <c r="DC181" s="28">
        <v>0</v>
      </c>
      <c r="DD181" s="28">
        <v>0</v>
      </c>
      <c r="DE181" s="28">
        <v>0</v>
      </c>
      <c r="DF181" s="28">
        <v>0</v>
      </c>
      <c r="DG181" s="28">
        <f t="shared" si="142"/>
        <v>0</v>
      </c>
      <c r="DH181" s="28">
        <v>4.8000000000000001E-2</v>
      </c>
      <c r="DI181" s="28">
        <v>1.6E-2</v>
      </c>
      <c r="DJ181" s="28">
        <v>2.4929999999999999</v>
      </c>
      <c r="DK181" s="28">
        <v>2.794</v>
      </c>
      <c r="DL181" s="28">
        <f t="shared" si="143"/>
        <v>5.351</v>
      </c>
      <c r="DM181" s="28">
        <v>0.17399999999999999</v>
      </c>
      <c r="DN181" s="28">
        <v>0.154</v>
      </c>
      <c r="DO181" s="28">
        <v>0.21099999999999999</v>
      </c>
      <c r="DP181" s="28">
        <v>0.3</v>
      </c>
      <c r="DQ181" s="28">
        <f t="shared" si="144"/>
        <v>0.83899999999999997</v>
      </c>
      <c r="DR181" s="28">
        <v>0.25</v>
      </c>
      <c r="DS181" s="28">
        <v>0.214</v>
      </c>
      <c r="DT181" s="28">
        <v>0.17</v>
      </c>
      <c r="DU181" s="28">
        <v>0.26200000000000001</v>
      </c>
      <c r="DV181" s="28">
        <f t="shared" si="145"/>
        <v>0.89600000000000002</v>
      </c>
      <c r="DW181" s="28">
        <v>0.20499999999999999</v>
      </c>
      <c r="DX181" s="28">
        <v>0.28477284999999997</v>
      </c>
      <c r="DY181" s="28">
        <v>0.14296960000000003</v>
      </c>
      <c r="DZ181" s="28">
        <v>0.39658854999999993</v>
      </c>
      <c r="EA181" s="28">
        <f t="shared" si="146"/>
        <v>1.029331</v>
      </c>
      <c r="EB181" s="28">
        <v>0.21471932999999999</v>
      </c>
      <c r="EC181" s="28">
        <v>0.3877149800000001</v>
      </c>
      <c r="ED181" s="28">
        <v>0.41799999999999998</v>
      </c>
      <c r="EE181" s="28">
        <v>0.45088448000000009</v>
      </c>
      <c r="EF181" s="28">
        <f t="shared" si="147"/>
        <v>1.47131879</v>
      </c>
      <c r="EG181" s="28">
        <v>0.22574389</v>
      </c>
      <c r="EH181" s="28">
        <v>0.38800841000000003</v>
      </c>
      <c r="EI181" s="28">
        <v>0.30953522</v>
      </c>
    </row>
    <row r="182" spans="1:139" ht="15" thickTop="1" x14ac:dyDescent="0.3">
      <c r="A182" s="1" t="s">
        <v>447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f t="shared" si="140"/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f t="shared" si="141"/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f t="shared" si="142"/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f t="shared" si="143"/>
        <v>0</v>
      </c>
      <c r="DM182" s="27">
        <v>0</v>
      </c>
      <c r="DN182" s="27">
        <v>0</v>
      </c>
      <c r="DO182" s="27">
        <v>3.7999999999999999E-2</v>
      </c>
      <c r="DP182" s="27">
        <v>0.54200000000000004</v>
      </c>
      <c r="DQ182" s="27">
        <f t="shared" si="144"/>
        <v>0.58000000000000007</v>
      </c>
      <c r="DR182" s="27">
        <v>0.38400000000000001</v>
      </c>
      <c r="DS182" s="27">
        <v>0.74299999999999999</v>
      </c>
      <c r="DT182" s="27">
        <v>0.71699999999999997</v>
      </c>
      <c r="DU182" s="27">
        <v>0.218</v>
      </c>
      <c r="DV182" s="27">
        <f t="shared" si="145"/>
        <v>2.0619999999999998</v>
      </c>
      <c r="DW182" s="27">
        <v>0.441</v>
      </c>
      <c r="DX182" s="27">
        <v>0.59520640000000002</v>
      </c>
      <c r="DY182" s="27">
        <v>0.47283202000000002</v>
      </c>
      <c r="DZ182" s="27">
        <v>0.85123540000000009</v>
      </c>
      <c r="EA182" s="27">
        <f t="shared" si="146"/>
        <v>2.3602738200000002</v>
      </c>
      <c r="EB182" s="27">
        <v>0.56984787000000003</v>
      </c>
      <c r="EC182" s="27">
        <v>0.82678805999999994</v>
      </c>
      <c r="ED182" s="27">
        <v>0.69399999999999995</v>
      </c>
      <c r="EE182" s="27">
        <v>1.0856848700000001</v>
      </c>
      <c r="EF182" s="27">
        <f t="shared" si="147"/>
        <v>3.1763208000000001</v>
      </c>
      <c r="EG182" s="27">
        <v>0.42392051000000003</v>
      </c>
      <c r="EH182" s="27">
        <v>0.96370111000000014</v>
      </c>
      <c r="EI182" s="27">
        <v>1.1589097399999997</v>
      </c>
    </row>
    <row r="183" spans="1:139" ht="15" thickBot="1" x14ac:dyDescent="0.35">
      <c r="A183" s="2" t="s">
        <v>448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0</v>
      </c>
      <c r="CM183" s="28">
        <v>0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f t="shared" si="140"/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f t="shared" si="141"/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f t="shared" si="142"/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f t="shared" si="143"/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f t="shared" si="144"/>
        <v>0</v>
      </c>
      <c r="DR183" s="28">
        <v>0</v>
      </c>
      <c r="DS183" s="28">
        <v>0</v>
      </c>
      <c r="DT183" s="28">
        <v>5.8999999999999997E-2</v>
      </c>
      <c r="DU183" s="28">
        <v>0.755</v>
      </c>
      <c r="DV183" s="28">
        <f t="shared" si="145"/>
        <v>0.81400000000000006</v>
      </c>
      <c r="DW183" s="28">
        <v>0.495</v>
      </c>
      <c r="DX183" s="28">
        <v>0.47806473999999999</v>
      </c>
      <c r="DY183" s="28">
        <v>0.46180330000000014</v>
      </c>
      <c r="DZ183" s="28">
        <v>0.91884075999999981</v>
      </c>
      <c r="EA183" s="28">
        <f t="shared" si="146"/>
        <v>2.3537087999999997</v>
      </c>
      <c r="EB183" s="28">
        <v>1.3720119</v>
      </c>
      <c r="EC183" s="28">
        <v>1.0099076800000002</v>
      </c>
      <c r="ED183" s="28">
        <v>0.95199999999999996</v>
      </c>
      <c r="EE183" s="28">
        <v>1.0350824400000005</v>
      </c>
      <c r="EF183" s="28">
        <f t="shared" si="147"/>
        <v>4.3690020199999999</v>
      </c>
      <c r="EG183" s="28">
        <v>0.83504241000000001</v>
      </c>
      <c r="EH183" s="28">
        <v>0.6705237799999999</v>
      </c>
      <c r="EI183" s="28">
        <v>1.5684524199999998</v>
      </c>
    </row>
    <row r="184" spans="1:139" ht="15" thickTop="1" x14ac:dyDescent="0.3">
      <c r="A184" s="1" t="s">
        <v>449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0.10223485</v>
      </c>
      <c r="DY184" s="27">
        <v>0.35362327000000005</v>
      </c>
      <c r="DZ184" s="27">
        <v>0.51594144000000008</v>
      </c>
      <c r="EA184" s="27">
        <f t="shared" ref="EA184:EA194" si="148">SUM(DW184:DZ184)</f>
        <v>0.97179956000000012</v>
      </c>
      <c r="EB184" s="27">
        <v>0.32420178000000005</v>
      </c>
      <c r="EC184" s="27">
        <v>0.49750881999999996</v>
      </c>
      <c r="ED184" s="27">
        <v>0.48699999999999999</v>
      </c>
      <c r="EE184" s="27">
        <v>0.88909630000000006</v>
      </c>
      <c r="EF184" s="27">
        <f t="shared" si="147"/>
        <v>2.1978068999999998</v>
      </c>
      <c r="EG184" s="27">
        <v>0.16536377999999999</v>
      </c>
      <c r="EH184" s="27">
        <v>0.41023928999999992</v>
      </c>
      <c r="EI184" s="27">
        <v>0.48507029000000013</v>
      </c>
    </row>
    <row r="185" spans="1:139" ht="15" thickBot="1" x14ac:dyDescent="0.35">
      <c r="A185" s="2" t="s">
        <v>460</v>
      </c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>
        <v>0</v>
      </c>
      <c r="EH185" s="28">
        <v>0.32701715000000003</v>
      </c>
      <c r="EI185" s="28">
        <v>0.26455713000000003</v>
      </c>
    </row>
    <row r="186" spans="1:139" ht="15" thickTop="1" x14ac:dyDescent="0.3">
      <c r="A186" s="1" t="s">
        <v>304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27">
        <v>0</v>
      </c>
      <c r="BK186" s="27">
        <v>0</v>
      </c>
      <c r="BL186" s="27">
        <v>0</v>
      </c>
      <c r="BM186" s="27">
        <v>0</v>
      </c>
      <c r="BN186" s="27">
        <f t="shared" si="133"/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f t="shared" si="134"/>
        <v>0</v>
      </c>
      <c r="BT186" s="27">
        <v>0</v>
      </c>
      <c r="BU186" s="27">
        <v>0</v>
      </c>
      <c r="BV186" s="27">
        <v>0</v>
      </c>
      <c r="BW186" s="27">
        <v>36.885403795000009</v>
      </c>
      <c r="BX186" s="27">
        <f t="shared" si="135"/>
        <v>36.885403795000009</v>
      </c>
      <c r="BY186" s="27">
        <v>2.7151919399999995</v>
      </c>
      <c r="BZ186" s="27">
        <v>-5.6246429999999403E-2</v>
      </c>
      <c r="CA186" s="27">
        <v>1.0572719999999869E-2</v>
      </c>
      <c r="CB186" s="27">
        <v>3.1938034499999999</v>
      </c>
      <c r="CC186" s="27">
        <f t="shared" si="136"/>
        <v>5.8633216800000003</v>
      </c>
      <c r="CD186" s="27">
        <v>1.9946665100000001</v>
      </c>
      <c r="CE186" s="27">
        <v>0.18091662000000008</v>
      </c>
      <c r="CF186" s="27">
        <v>1.0813425200000002</v>
      </c>
      <c r="CG186" s="27">
        <v>1.4004923899999993</v>
      </c>
      <c r="CH186" s="27">
        <f t="shared" si="137"/>
        <v>4.6574180399999996</v>
      </c>
      <c r="CI186" s="27">
        <v>1.81099594</v>
      </c>
      <c r="CJ186" s="27">
        <v>1.4973935899999999</v>
      </c>
      <c r="CK186" s="27">
        <v>1.01747732</v>
      </c>
      <c r="CL186" s="27">
        <v>1.2729187500000003</v>
      </c>
      <c r="CM186" s="27">
        <f t="shared" si="138"/>
        <v>5.5987856000000003</v>
      </c>
      <c r="CN186" s="27">
        <v>1.4269215200000001</v>
      </c>
      <c r="CO186" s="27">
        <v>5.1349923300000011</v>
      </c>
      <c r="CP186" s="27">
        <v>2.3876196100000002</v>
      </c>
      <c r="CQ186" s="27">
        <f>10.57-SUM(CN186:CP186)</f>
        <v>1.6204665399999989</v>
      </c>
      <c r="CR186" s="27">
        <f t="shared" si="139"/>
        <v>10.57</v>
      </c>
      <c r="CS186" s="27">
        <v>-2.1339999999999999</v>
      </c>
      <c r="CT186" s="27">
        <f>-3.903-CS186</f>
        <v>-1.7690000000000001</v>
      </c>
      <c r="CU186" s="27">
        <f>-4.383-SUM(CS186:CT186)</f>
        <v>-0.48</v>
      </c>
      <c r="CV186" s="27">
        <f>-0.474-SUM(CS186:CU186)</f>
        <v>3.9089999999999998</v>
      </c>
      <c r="CW186" s="27">
        <f t="shared" si="140"/>
        <v>-0.4740000000000002</v>
      </c>
      <c r="CX186" s="27">
        <v>-0.96699999999999997</v>
      </c>
      <c r="CY186" s="27">
        <v>0.52100000000000002</v>
      </c>
      <c r="CZ186" s="27">
        <v>0.113</v>
      </c>
      <c r="DA186" s="27">
        <v>0.59</v>
      </c>
      <c r="DB186" s="27">
        <f t="shared" si="141"/>
        <v>0.25700000000000001</v>
      </c>
      <c r="DC186" s="27">
        <v>0.34799999999999998</v>
      </c>
      <c r="DD186" s="27">
        <v>0.49299999999999999</v>
      </c>
      <c r="DE186" s="27">
        <v>1.284</v>
      </c>
      <c r="DF186" s="27">
        <v>9.9339999999999993</v>
      </c>
      <c r="DG186" s="27">
        <f t="shared" si="142"/>
        <v>12.058999999999999</v>
      </c>
      <c r="DH186" s="27">
        <v>0.55000000000000004</v>
      </c>
      <c r="DI186" s="27">
        <v>0.91100000000000003</v>
      </c>
      <c r="DJ186" s="27">
        <v>2.1000000000000001E-2</v>
      </c>
      <c r="DK186" s="27">
        <v>1.8120000000000001</v>
      </c>
      <c r="DL186" s="27">
        <f t="shared" si="143"/>
        <v>3.294</v>
      </c>
      <c r="DM186" s="27">
        <v>0.48499999999999999</v>
      </c>
      <c r="DN186" s="27">
        <v>1.546</v>
      </c>
      <c r="DO186" s="27">
        <v>1.145</v>
      </c>
      <c r="DP186" s="27">
        <v>0.57599999999999996</v>
      </c>
      <c r="DQ186" s="27">
        <f t="shared" si="144"/>
        <v>3.7520000000000002</v>
      </c>
      <c r="DR186" s="27">
        <v>1.173</v>
      </c>
      <c r="DS186" s="27">
        <v>2.202</v>
      </c>
      <c r="DT186" s="27">
        <v>-1.464</v>
      </c>
      <c r="DU186" s="27">
        <v>1.79</v>
      </c>
      <c r="DV186" s="27">
        <f t="shared" si="145"/>
        <v>3.7010000000000001</v>
      </c>
      <c r="DW186" s="27">
        <v>-4.2000000000000003E-2</v>
      </c>
      <c r="DX186" s="27">
        <v>0.30624316999999995</v>
      </c>
      <c r="DY186" s="27">
        <f>(82143.48-1764.95999999999)/1000000</f>
        <v>8.0378520000000009E-2</v>
      </c>
      <c r="DZ186" s="27">
        <v>2.1143986200000002</v>
      </c>
      <c r="EA186" s="27">
        <f t="shared" si="148"/>
        <v>2.4590203100000001</v>
      </c>
      <c r="EB186" s="27">
        <f>(1087231.49+79822.29)/1000000</f>
        <v>1.16705378</v>
      </c>
      <c r="EC186" s="27">
        <v>2.4123538900000003</v>
      </c>
      <c r="ED186" s="27">
        <v>-0.20899999999999999</v>
      </c>
      <c r="EE186" s="27">
        <v>1.9564150200000001</v>
      </c>
      <c r="EF186" s="27">
        <f t="shared" si="147"/>
        <v>5.3268226900000002</v>
      </c>
      <c r="EG186" s="27">
        <v>1.3632508199999998</v>
      </c>
      <c r="EH186" s="27">
        <v>0.28477696000000013</v>
      </c>
      <c r="EI186" s="27">
        <v>-1.9435732000000001</v>
      </c>
    </row>
    <row r="187" spans="1:139" ht="15" thickBot="1" x14ac:dyDescent="0.35">
      <c r="A187" s="2" t="s">
        <v>305</v>
      </c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f t="shared" si="140"/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f t="shared" si="141"/>
        <v>0</v>
      </c>
      <c r="DC187" s="28">
        <v>0.13900000000000001</v>
      </c>
      <c r="DD187" s="28">
        <v>0.105</v>
      </c>
      <c r="DE187" s="28">
        <v>0.158</v>
      </c>
      <c r="DF187" s="28">
        <v>-1.9E-2</v>
      </c>
      <c r="DG187" s="28">
        <f t="shared" si="142"/>
        <v>0.38300000000000001</v>
      </c>
      <c r="DH187" s="28">
        <v>8.4000000000000005E-2</v>
      </c>
      <c r="DI187" s="28">
        <v>0.18</v>
      </c>
      <c r="DJ187" s="28">
        <v>0.14099999999999999</v>
      </c>
      <c r="DK187" s="28">
        <v>0.17599999999999999</v>
      </c>
      <c r="DL187" s="28">
        <f t="shared" si="143"/>
        <v>0.58099999999999996</v>
      </c>
      <c r="DM187" s="28">
        <v>0.16800000000000001</v>
      </c>
      <c r="DN187" s="28">
        <v>0.20100000000000001</v>
      </c>
      <c r="DO187" s="28">
        <v>0.151</v>
      </c>
      <c r="DP187" s="28">
        <v>0.126</v>
      </c>
      <c r="DQ187" s="28">
        <f t="shared" si="144"/>
        <v>0.64600000000000002</v>
      </c>
      <c r="DR187" s="28">
        <v>0.14499999999999999</v>
      </c>
      <c r="DS187" s="28">
        <v>0.18099999999999999</v>
      </c>
      <c r="DT187" s="28">
        <v>6.8000000000000005E-2</v>
      </c>
      <c r="DU187" s="28">
        <v>9.9000000000000005E-2</v>
      </c>
      <c r="DV187" s="28">
        <f t="shared" si="145"/>
        <v>0.49299999999999999</v>
      </c>
      <c r="DW187" s="28">
        <v>0.19700000000000001</v>
      </c>
      <c r="DX187" s="28">
        <v>7.7526080000000011E-2</v>
      </c>
      <c r="DY187" s="28">
        <v>6.5795280000000025E-2</v>
      </c>
      <c r="DZ187" s="28">
        <v>8.2252429999999987E-2</v>
      </c>
      <c r="EA187" s="28">
        <f t="shared" si="148"/>
        <v>0.42257379</v>
      </c>
      <c r="EB187" s="28">
        <v>7.1625519999999998E-2</v>
      </c>
      <c r="EC187" s="28">
        <v>8.7095949999999991E-2</v>
      </c>
      <c r="ED187" s="28">
        <v>9.9000000000000005E-2</v>
      </c>
      <c r="EE187" s="28">
        <v>0.21526858999999995</v>
      </c>
      <c r="EF187" s="28">
        <f t="shared" si="147"/>
        <v>0.47299005999999999</v>
      </c>
      <c r="EG187" s="28">
        <v>0.10827421000000001</v>
      </c>
      <c r="EH187" s="28">
        <v>0.22049928999999999</v>
      </c>
      <c r="EI187" s="28">
        <v>0.10487787</v>
      </c>
    </row>
    <row r="188" spans="1:139" ht="15" thickTop="1" x14ac:dyDescent="0.3">
      <c r="A188" s="1" t="s">
        <v>306</v>
      </c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27">
        <v>0</v>
      </c>
      <c r="BK188" s="27">
        <v>0</v>
      </c>
      <c r="BL188" s="27">
        <v>0</v>
      </c>
      <c r="BM188" s="27">
        <v>0</v>
      </c>
      <c r="BN188" s="27">
        <f t="shared" si="133"/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f t="shared" si="134"/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f t="shared" si="135"/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f t="shared" si="136"/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f t="shared" si="137"/>
        <v>0</v>
      </c>
      <c r="CI188" s="27">
        <v>0</v>
      </c>
      <c r="CJ188" s="27">
        <v>0.34447821000000001</v>
      </c>
      <c r="CK188" s="27">
        <v>0.41359499</v>
      </c>
      <c r="CL188" s="27">
        <v>0.36814942000000006</v>
      </c>
      <c r="CM188" s="27">
        <f t="shared" si="138"/>
        <v>1.1262226200000001</v>
      </c>
      <c r="CN188" s="27">
        <v>0.28562746999999999</v>
      </c>
      <c r="CO188" s="27">
        <v>0.36781178000000003</v>
      </c>
      <c r="CP188" s="27">
        <v>0.25410584999999997</v>
      </c>
      <c r="CQ188" s="27">
        <f>1.304-SUM(CN188:CP188)</f>
        <v>0.39645490000000005</v>
      </c>
      <c r="CR188" s="27">
        <f t="shared" si="139"/>
        <v>1.304</v>
      </c>
      <c r="CS188" s="27">
        <v>0.30456981</v>
      </c>
      <c r="CT188" s="27">
        <v>0.35512254999999998</v>
      </c>
      <c r="CU188" s="27">
        <v>0.39048013000000009</v>
      </c>
      <c r="CV188" s="27">
        <v>-4.5379170000000135E-2</v>
      </c>
      <c r="CW188" s="27">
        <f t="shared" si="140"/>
        <v>1.0047933199999999</v>
      </c>
      <c r="CX188" s="27">
        <v>0.39900000000000002</v>
      </c>
      <c r="CY188" s="27">
        <v>0.76400000000000001</v>
      </c>
      <c r="CZ188" s="27">
        <v>0.52</v>
      </c>
      <c r="DA188" s="27">
        <v>0.61699999999999999</v>
      </c>
      <c r="DB188" s="27">
        <f t="shared" si="141"/>
        <v>2.2999999999999998</v>
      </c>
      <c r="DC188" s="27">
        <v>0.46700000000000003</v>
      </c>
      <c r="DD188" s="27">
        <v>0.78800000000000003</v>
      </c>
      <c r="DE188" s="27">
        <v>0.86699999999999999</v>
      </c>
      <c r="DF188" s="27">
        <v>2.294</v>
      </c>
      <c r="DG188" s="27">
        <f t="shared" si="142"/>
        <v>4.4160000000000004</v>
      </c>
      <c r="DH188" s="27">
        <v>0.57699999999999996</v>
      </c>
      <c r="DI188" s="27">
        <v>0.23300000000000001</v>
      </c>
      <c r="DJ188" s="27">
        <v>0.17299999999999999</v>
      </c>
      <c r="DK188" s="27">
        <v>1.5629999999999999</v>
      </c>
      <c r="DL188" s="27">
        <f t="shared" si="143"/>
        <v>2.5459999999999998</v>
      </c>
      <c r="DM188" s="27">
        <v>0.3</v>
      </c>
      <c r="DN188" s="27">
        <v>0.22900000000000001</v>
      </c>
      <c r="DO188" s="27">
        <v>2.9039999999999999</v>
      </c>
      <c r="DP188" s="27">
        <v>2.5350000000000001</v>
      </c>
      <c r="DQ188" s="27">
        <f t="shared" si="144"/>
        <v>5.968</v>
      </c>
      <c r="DR188" s="27">
        <v>0.52900000000000003</v>
      </c>
      <c r="DS188" s="27">
        <v>0.59199999999999997</v>
      </c>
      <c r="DT188" s="27">
        <v>0.77900000000000003</v>
      </c>
      <c r="DU188" s="27">
        <v>0.66800000000000004</v>
      </c>
      <c r="DV188" s="27">
        <f t="shared" si="145"/>
        <v>2.5680000000000001</v>
      </c>
      <c r="DW188" s="27">
        <v>0.41799999999999998</v>
      </c>
      <c r="DX188" s="27">
        <v>0.57295256999999988</v>
      </c>
      <c r="DY188" s="27">
        <v>0.76046733</v>
      </c>
      <c r="DZ188" s="27">
        <v>0.91867357000000005</v>
      </c>
      <c r="EA188" s="27">
        <f t="shared" si="148"/>
        <v>2.6700934699999999</v>
      </c>
      <c r="EB188" s="27">
        <v>0.58359711999999997</v>
      </c>
      <c r="EC188" s="27">
        <v>0.90034323000000005</v>
      </c>
      <c r="ED188" s="27">
        <v>0.68100000000000005</v>
      </c>
      <c r="EE188" s="27">
        <v>1.2364975299999998</v>
      </c>
      <c r="EF188" s="27">
        <f t="shared" si="147"/>
        <v>3.40143788</v>
      </c>
      <c r="EG188" s="27">
        <v>0.37065903</v>
      </c>
      <c r="EH188" s="27">
        <v>-0.42024049000000002</v>
      </c>
      <c r="EI188" s="27">
        <v>1.10164365</v>
      </c>
    </row>
    <row r="189" spans="1:139" ht="15" thickBot="1" x14ac:dyDescent="0.35">
      <c r="A189" s="2" t="s">
        <v>323</v>
      </c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v>0</v>
      </c>
      <c r="BY189" s="28">
        <v>0</v>
      </c>
      <c r="BZ189" s="28">
        <v>0</v>
      </c>
      <c r="CA189" s="28">
        <v>0</v>
      </c>
      <c r="CB189" s="28">
        <v>0</v>
      </c>
      <c r="CC189" s="28"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v>0</v>
      </c>
      <c r="CI189" s="28">
        <v>0</v>
      </c>
      <c r="CJ189" s="28">
        <v>0</v>
      </c>
      <c r="CK189" s="28">
        <v>0</v>
      </c>
      <c r="CL189" s="28">
        <v>0</v>
      </c>
      <c r="CM189" s="28">
        <v>0</v>
      </c>
      <c r="CN189" s="28">
        <v>0</v>
      </c>
      <c r="CO189" s="28">
        <v>0</v>
      </c>
      <c r="CP189" s="28">
        <v>0</v>
      </c>
      <c r="CQ189" s="28">
        <v>0</v>
      </c>
      <c r="CR189" s="28"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f t="shared" si="140"/>
        <v>0</v>
      </c>
      <c r="CX189" s="28">
        <v>0</v>
      </c>
      <c r="CY189" s="28">
        <v>0</v>
      </c>
      <c r="CZ189" s="28">
        <v>0</v>
      </c>
      <c r="DA189" s="28">
        <v>0</v>
      </c>
      <c r="DB189" s="28">
        <f t="shared" si="141"/>
        <v>0</v>
      </c>
      <c r="DC189" s="28">
        <v>0</v>
      </c>
      <c r="DD189" s="28">
        <v>0</v>
      </c>
      <c r="DE189" s="28">
        <v>0</v>
      </c>
      <c r="DF189" s="28">
        <v>0</v>
      </c>
      <c r="DG189" s="28">
        <f t="shared" si="142"/>
        <v>0</v>
      </c>
      <c r="DH189" s="28">
        <v>0</v>
      </c>
      <c r="DI189" s="28">
        <v>5.0000000000000001E-3</v>
      </c>
      <c r="DJ189" s="28">
        <v>-5.0000000000000001E-3</v>
      </c>
      <c r="DK189" s="28">
        <v>0</v>
      </c>
      <c r="DL189" s="28">
        <f t="shared" si="143"/>
        <v>0</v>
      </c>
      <c r="DM189" s="28">
        <v>0</v>
      </c>
      <c r="DN189" s="28">
        <v>0</v>
      </c>
      <c r="DO189" s="28">
        <v>0</v>
      </c>
      <c r="DP189" s="28">
        <v>-0.05</v>
      </c>
      <c r="DQ189" s="28">
        <f t="shared" si="144"/>
        <v>-0.05</v>
      </c>
      <c r="DR189" s="28">
        <v>3.0000000000000001E-3</v>
      </c>
      <c r="DS189" s="28">
        <v>2E-3</v>
      </c>
      <c r="DT189" s="28">
        <v>3.0000000000000001E-3</v>
      </c>
      <c r="DU189" s="28">
        <v>0</v>
      </c>
      <c r="DV189" s="28">
        <f t="shared" si="145"/>
        <v>8.0000000000000002E-3</v>
      </c>
      <c r="DW189" s="28">
        <v>0</v>
      </c>
      <c r="DX189" s="28">
        <v>0</v>
      </c>
      <c r="DY189" s="28">
        <v>2.8200399999999998E-3</v>
      </c>
      <c r="DZ189" s="28">
        <v>3.5647500000000002E-3</v>
      </c>
      <c r="EA189" s="28">
        <f t="shared" si="148"/>
        <v>6.3847899999999996E-3</v>
      </c>
      <c r="EB189" s="28">
        <v>2.3765000000000001E-3</v>
      </c>
      <c r="EC189" s="28">
        <v>0</v>
      </c>
      <c r="ED189" s="28">
        <v>0</v>
      </c>
      <c r="EE189" s="28">
        <v>1.1882500000000009E-3</v>
      </c>
      <c r="EF189" s="28">
        <f t="shared" si="147"/>
        <v>3.5647500000000011E-3</v>
      </c>
      <c r="EG189" s="28">
        <v>0</v>
      </c>
      <c r="EH189" s="28">
        <v>0</v>
      </c>
      <c r="EI189" s="28">
        <v>0</v>
      </c>
    </row>
    <row r="190" spans="1:139" ht="15" thickTop="1" x14ac:dyDescent="0.3">
      <c r="A190" s="1" t="s">
        <v>322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f t="shared" si="140"/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f t="shared" si="141"/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f t="shared" si="142"/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f t="shared" si="143"/>
        <v>0</v>
      </c>
      <c r="DM190" s="27">
        <v>0</v>
      </c>
      <c r="DN190" s="27">
        <v>0</v>
      </c>
      <c r="DO190" s="27">
        <v>2E-3</v>
      </c>
      <c r="DP190" s="27">
        <v>0.113</v>
      </c>
      <c r="DQ190" s="27">
        <f t="shared" si="144"/>
        <v>0.115</v>
      </c>
      <c r="DR190" s="27">
        <v>0</v>
      </c>
      <c r="DS190" s="27">
        <v>2.8000000000000001E-2</v>
      </c>
      <c r="DT190" s="27">
        <v>2E-3</v>
      </c>
      <c r="DU190" s="27">
        <v>1E-3</v>
      </c>
      <c r="DV190" s="27">
        <f t="shared" si="145"/>
        <v>3.1E-2</v>
      </c>
      <c r="DW190" s="27">
        <v>5.0000000000000001E-4</v>
      </c>
      <c r="DX190" s="27">
        <v>2.7473380000000002E-2</v>
      </c>
      <c r="DY190" s="27">
        <v>8.1332999999999807E-4</v>
      </c>
      <c r="DZ190" s="27">
        <v>2.9258000000000176E-4</v>
      </c>
      <c r="EA190" s="27">
        <f t="shared" si="148"/>
        <v>2.9079290000000001E-2</v>
      </c>
      <c r="EB190" s="27">
        <v>-4.3149999999999999E-5</v>
      </c>
      <c r="EC190" s="27">
        <v>2.5304390000000003E-2</v>
      </c>
      <c r="ED190" s="27">
        <v>3.0000000000000001E-3</v>
      </c>
      <c r="EE190" s="27">
        <v>5.3746999999999758E-4</v>
      </c>
      <c r="EF190" s="27">
        <f t="shared" si="147"/>
        <v>2.8798710000000002E-2</v>
      </c>
      <c r="EG190" s="27">
        <v>-1E-8</v>
      </c>
      <c r="EH190" s="27">
        <v>2.3927480000000001E-2</v>
      </c>
      <c r="EI190" s="27">
        <v>0</v>
      </c>
    </row>
    <row r="191" spans="1:139" ht="15" thickBot="1" x14ac:dyDescent="0.35">
      <c r="A191" s="2" t="s">
        <v>370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28">
        <v>0.24175283000000003</v>
      </c>
      <c r="BK191" s="28">
        <v>0.19659733999999995</v>
      </c>
      <c r="BL191" s="28">
        <v>0.19648465999999998</v>
      </c>
      <c r="BM191" s="28">
        <v>0.40028008000000015</v>
      </c>
      <c r="BN191" s="28">
        <f t="shared" si="133"/>
        <v>1.0351149100000001</v>
      </c>
      <c r="BO191" s="28">
        <v>-1.1624949999999992E-2</v>
      </c>
      <c r="BP191" s="28">
        <v>1.9098354099999999</v>
      </c>
      <c r="BQ191" s="28">
        <v>1.1242419900000005</v>
      </c>
      <c r="BR191" s="28">
        <v>1.670857979999999</v>
      </c>
      <c r="BS191" s="28">
        <f t="shared" si="134"/>
        <v>4.6933104299999995</v>
      </c>
      <c r="BT191" s="28">
        <v>0</v>
      </c>
      <c r="BU191" s="28">
        <v>0</v>
      </c>
      <c r="BV191" s="28">
        <v>0</v>
      </c>
      <c r="BW191" s="28">
        <v>0</v>
      </c>
      <c r="BX191" s="28">
        <f t="shared" si="135"/>
        <v>0</v>
      </c>
      <c r="BY191" s="28">
        <v>0</v>
      </c>
      <c r="BZ191" s="28">
        <v>0</v>
      </c>
      <c r="CA191" s="28">
        <v>0</v>
      </c>
      <c r="CB191" s="28">
        <v>0</v>
      </c>
      <c r="CC191" s="28">
        <f t="shared" si="136"/>
        <v>0</v>
      </c>
      <c r="CD191" s="28">
        <v>0</v>
      </c>
      <c r="CE191" s="28">
        <v>0</v>
      </c>
      <c r="CF191" s="28">
        <v>0</v>
      </c>
      <c r="CG191" s="28">
        <v>0</v>
      </c>
      <c r="CH191" s="28">
        <f t="shared" si="137"/>
        <v>0</v>
      </c>
      <c r="CI191" s="28">
        <v>0</v>
      </c>
      <c r="CJ191" s="28">
        <v>0</v>
      </c>
      <c r="CK191" s="28">
        <v>0</v>
      </c>
      <c r="CL191" s="28">
        <v>0</v>
      </c>
      <c r="CM191" s="28">
        <f t="shared" si="138"/>
        <v>0</v>
      </c>
      <c r="CN191" s="28">
        <v>0</v>
      </c>
      <c r="CO191" s="28">
        <v>0</v>
      </c>
      <c r="CP191" s="28">
        <v>0</v>
      </c>
      <c r="CQ191" s="28">
        <v>0</v>
      </c>
      <c r="CR191" s="28">
        <f t="shared" si="139"/>
        <v>0</v>
      </c>
      <c r="CS191" s="28">
        <v>0</v>
      </c>
      <c r="CT191" s="28">
        <v>0</v>
      </c>
      <c r="CU191" s="28">
        <v>0</v>
      </c>
      <c r="CV191" s="28">
        <v>0</v>
      </c>
      <c r="CW191" s="28">
        <f t="shared" si="140"/>
        <v>0</v>
      </c>
      <c r="CX191" s="28">
        <v>0</v>
      </c>
      <c r="CY191" s="28">
        <v>0</v>
      </c>
      <c r="CZ191" s="28">
        <v>0</v>
      </c>
      <c r="DA191" s="28">
        <v>0</v>
      </c>
      <c r="DB191" s="28">
        <f t="shared" si="141"/>
        <v>0</v>
      </c>
      <c r="DC191" s="28">
        <v>0</v>
      </c>
      <c r="DD191" s="28">
        <v>0</v>
      </c>
      <c r="DE191" s="28">
        <v>0</v>
      </c>
      <c r="DF191" s="28">
        <v>0</v>
      </c>
      <c r="DG191" s="28">
        <f t="shared" si="142"/>
        <v>0</v>
      </c>
      <c r="DH191" s="28">
        <v>0</v>
      </c>
      <c r="DI191" s="28">
        <v>0</v>
      </c>
      <c r="DJ191" s="28">
        <v>0</v>
      </c>
      <c r="DK191" s="28">
        <v>0</v>
      </c>
      <c r="DL191" s="28">
        <f t="shared" si="143"/>
        <v>0</v>
      </c>
      <c r="DM191" s="28">
        <v>0</v>
      </c>
      <c r="DN191" s="28">
        <v>0</v>
      </c>
      <c r="DO191" s="28">
        <v>0</v>
      </c>
      <c r="DP191" s="28">
        <v>0</v>
      </c>
      <c r="DQ191" s="28">
        <f t="shared" si="144"/>
        <v>0</v>
      </c>
      <c r="DR191" s="28">
        <v>0</v>
      </c>
      <c r="DS191" s="28">
        <v>0</v>
      </c>
      <c r="DT191" s="28">
        <v>0</v>
      </c>
      <c r="DU191" s="28">
        <v>0</v>
      </c>
      <c r="DV191" s="28">
        <f t="shared" si="145"/>
        <v>0</v>
      </c>
      <c r="DW191" s="28">
        <v>0</v>
      </c>
      <c r="DX191" s="28">
        <v>0</v>
      </c>
      <c r="DY191" s="28">
        <v>0</v>
      </c>
      <c r="DZ191" s="28">
        <v>0</v>
      </c>
      <c r="EA191" s="28">
        <f t="shared" si="148"/>
        <v>0</v>
      </c>
      <c r="EB191" s="28">
        <v>0</v>
      </c>
      <c r="EC191" s="28">
        <v>0</v>
      </c>
      <c r="ED191" s="28">
        <v>0</v>
      </c>
      <c r="EE191" s="28">
        <v>0</v>
      </c>
      <c r="EF191" s="28">
        <f t="shared" si="147"/>
        <v>0</v>
      </c>
      <c r="EG191" s="28">
        <v>0</v>
      </c>
      <c r="EH191" s="28">
        <v>0</v>
      </c>
      <c r="EI191" s="28">
        <v>0</v>
      </c>
    </row>
    <row r="192" spans="1:139" ht="15" thickTop="1" x14ac:dyDescent="0.3">
      <c r="A192" s="1" t="s">
        <v>338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27">
        <v>0.79792947999999997</v>
      </c>
      <c r="BK192" s="27">
        <v>0.71505867000000001</v>
      </c>
      <c r="BL192" s="27">
        <v>0.67149858000000029</v>
      </c>
      <c r="BM192" s="27">
        <v>0.76550081999999986</v>
      </c>
      <c r="BN192" s="27">
        <f t="shared" si="133"/>
        <v>2.9499875499999999</v>
      </c>
      <c r="BO192" s="27">
        <v>0.7217347999999999</v>
      </c>
      <c r="BP192" s="27">
        <v>0.65584273000000004</v>
      </c>
      <c r="BQ192" s="27">
        <v>0.9758688499999999</v>
      </c>
      <c r="BR192" s="27">
        <v>0.985807035828</v>
      </c>
      <c r="BS192" s="27">
        <f t="shared" si="134"/>
        <v>3.3392534158279998</v>
      </c>
      <c r="BT192" s="27">
        <v>0</v>
      </c>
      <c r="BU192" s="27">
        <v>0</v>
      </c>
      <c r="BV192" s="27">
        <v>0</v>
      </c>
      <c r="BW192" s="27">
        <v>0</v>
      </c>
      <c r="BX192" s="27">
        <f t="shared" si="135"/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f t="shared" si="136"/>
        <v>0</v>
      </c>
      <c r="CD192" s="27">
        <v>0</v>
      </c>
      <c r="CE192" s="27">
        <v>0</v>
      </c>
      <c r="CF192" s="27">
        <v>0</v>
      </c>
      <c r="CG192" s="27">
        <v>0</v>
      </c>
      <c r="CH192" s="27">
        <f t="shared" si="137"/>
        <v>0</v>
      </c>
      <c r="CI192" s="27">
        <v>0</v>
      </c>
      <c r="CJ192" s="27">
        <v>0</v>
      </c>
      <c r="CK192" s="27">
        <v>0</v>
      </c>
      <c r="CL192" s="27">
        <v>0</v>
      </c>
      <c r="CM192" s="27">
        <f t="shared" si="138"/>
        <v>0</v>
      </c>
      <c r="CN192" s="27">
        <v>0</v>
      </c>
      <c r="CO192" s="27">
        <v>0</v>
      </c>
      <c r="CP192" s="27">
        <v>0</v>
      </c>
      <c r="CQ192" s="27">
        <v>0.15</v>
      </c>
      <c r="CR192" s="27">
        <f t="shared" si="139"/>
        <v>0.15</v>
      </c>
      <c r="CS192" s="27">
        <v>0</v>
      </c>
      <c r="CT192" s="27">
        <f>0.013</f>
        <v>1.2999999999999999E-2</v>
      </c>
      <c r="CU192" s="27">
        <f>0.187-CT192-CS192</f>
        <v>0.17399999999999999</v>
      </c>
      <c r="CV192" s="27">
        <f>0.217-SUM(CS192:CU192)</f>
        <v>0.03</v>
      </c>
      <c r="CW192" s="27">
        <f t="shared" si="140"/>
        <v>0.217</v>
      </c>
      <c r="CX192" s="27">
        <v>0.05</v>
      </c>
      <c r="CY192" s="27">
        <v>4.4999999999999998E-2</v>
      </c>
      <c r="CZ192" s="27">
        <v>0.154</v>
      </c>
      <c r="DA192" s="27">
        <v>1.7999999999999999E-2</v>
      </c>
      <c r="DB192" s="27">
        <f t="shared" si="141"/>
        <v>0.26700000000000002</v>
      </c>
      <c r="DC192" s="27">
        <v>3.4000000000000002E-2</v>
      </c>
      <c r="DD192" s="27">
        <v>2.5000000000000001E-2</v>
      </c>
      <c r="DE192" s="27">
        <v>0.153</v>
      </c>
      <c r="DF192" s="27">
        <v>1.2999999999999999E-2</v>
      </c>
      <c r="DG192" s="27">
        <f t="shared" si="142"/>
        <v>0.22500000000000001</v>
      </c>
      <c r="DH192" s="27">
        <v>0.01</v>
      </c>
      <c r="DI192" s="27">
        <v>1.4E-2</v>
      </c>
      <c r="DJ192" s="27">
        <v>0.25900000000000001</v>
      </c>
      <c r="DK192" s="27">
        <v>-1.7230000000000001</v>
      </c>
      <c r="DL192" s="27">
        <f t="shared" si="143"/>
        <v>-1.44</v>
      </c>
      <c r="DM192" s="27">
        <v>1.3999999999999999E-2</v>
      </c>
      <c r="DN192" s="27">
        <v>1.9000000000000003E-2</v>
      </c>
      <c r="DO192" s="27">
        <v>0.33100000000000002</v>
      </c>
      <c r="DP192" s="27">
        <v>0.47799999999999998</v>
      </c>
      <c r="DQ192" s="27">
        <f t="shared" si="144"/>
        <v>0.84199999999999997</v>
      </c>
      <c r="DR192" s="27">
        <v>5.0999999999999997E-2</v>
      </c>
      <c r="DS192" s="27">
        <v>1.7000000000000001E-2</v>
      </c>
      <c r="DT192" s="27">
        <v>0.35299999999999998</v>
      </c>
      <c r="DU192" s="27">
        <v>1.2999999999999999E-2</v>
      </c>
      <c r="DV192" s="27">
        <f t="shared" si="145"/>
        <v>0.434</v>
      </c>
      <c r="DW192" s="27">
        <v>1.4E-2</v>
      </c>
      <c r="DX192" s="27">
        <v>1.2954459999999999E-2</v>
      </c>
      <c r="DY192" s="27">
        <v>0.36879136000000001</v>
      </c>
      <c r="DZ192" s="27">
        <f>(368.809999999999+8969.81000000005)/1000000</f>
        <v>9.3386200000000492E-3</v>
      </c>
      <c r="EA192" s="27">
        <f t="shared" si="148"/>
        <v>0.4050844400000001</v>
      </c>
      <c r="EB192" s="27">
        <v>2.0973720000000001E-2</v>
      </c>
      <c r="EC192" s="27">
        <v>-5.0637700000000004E-3</v>
      </c>
      <c r="ED192" s="27">
        <v>9.1999999999999998E-2</v>
      </c>
      <c r="EE192" s="27">
        <v>0.39537465000000005</v>
      </c>
      <c r="EF192" s="27">
        <f t="shared" si="147"/>
        <v>0.50328460000000008</v>
      </c>
      <c r="EG192" s="27">
        <v>0.15357393000000003</v>
      </c>
      <c r="EH192" s="27">
        <v>-0.52204525999999996</v>
      </c>
      <c r="EI192" s="27">
        <v>0.76166783999999998</v>
      </c>
    </row>
    <row r="193" spans="1:139" ht="15" thickBot="1" x14ac:dyDescent="0.35">
      <c r="A193" s="2" t="s">
        <v>331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28">
        <v>0.82075770999999997</v>
      </c>
      <c r="BK193" s="28">
        <v>0.98085832000000017</v>
      </c>
      <c r="BL193" s="28">
        <v>0.92942846999999962</v>
      </c>
      <c r="BM193" s="28">
        <v>1.1724465200000003</v>
      </c>
      <c r="BN193" s="28">
        <f t="shared" si="133"/>
        <v>3.9034910200000001</v>
      </c>
      <c r="BO193" s="28">
        <v>1.1399931300000001</v>
      </c>
      <c r="BP193" s="28">
        <v>5.0819149999999924E-2</v>
      </c>
      <c r="BQ193" s="28">
        <v>0.64679712</v>
      </c>
      <c r="BR193" s="28">
        <v>0.89072080999999992</v>
      </c>
      <c r="BS193" s="28">
        <f t="shared" si="134"/>
        <v>2.7283302100000002</v>
      </c>
      <c r="BT193" s="28">
        <v>1.1965238300000001</v>
      </c>
      <c r="BU193" s="28">
        <v>1.0388620200000001</v>
      </c>
      <c r="BV193" s="28">
        <v>0.60895869000000014</v>
      </c>
      <c r="BW193" s="28">
        <v>0.91446695999999972</v>
      </c>
      <c r="BX193" s="28">
        <f t="shared" si="135"/>
        <v>3.7588115000000002</v>
      </c>
      <c r="BY193" s="28">
        <v>0.82316691000000008</v>
      </c>
      <c r="BZ193" s="28">
        <v>1.0991975699999998</v>
      </c>
      <c r="CA193" s="28">
        <v>0.94659750999999992</v>
      </c>
      <c r="CB193" s="28">
        <v>1.9109186200000001</v>
      </c>
      <c r="CC193" s="28">
        <f t="shared" si="136"/>
        <v>4.7798806100000002</v>
      </c>
      <c r="CD193" s="28">
        <v>0.42900886999999999</v>
      </c>
      <c r="CE193" s="28">
        <v>1.0062507699999999</v>
      </c>
      <c r="CF193" s="28">
        <v>0.86547518999999984</v>
      </c>
      <c r="CG193" s="28">
        <v>0.82176364000000046</v>
      </c>
      <c r="CH193" s="28">
        <f t="shared" si="137"/>
        <v>3.12249847</v>
      </c>
      <c r="CI193" s="28">
        <v>0.50950607999999997</v>
      </c>
      <c r="CJ193" s="28">
        <v>0.60116835999999996</v>
      </c>
      <c r="CK193" s="28">
        <v>0.41378698999999997</v>
      </c>
      <c r="CL193" s="28">
        <v>0.26755103000000013</v>
      </c>
      <c r="CM193" s="28">
        <f t="shared" si="138"/>
        <v>1.79201246</v>
      </c>
      <c r="CN193" s="28">
        <v>0.41275169</v>
      </c>
      <c r="CO193" s="28">
        <v>0.31121043000000004</v>
      </c>
      <c r="CP193" s="28">
        <v>0.28268598999999994</v>
      </c>
      <c r="CQ193" s="28">
        <f>1.045-SUM(CN193:CP193)</f>
        <v>3.8351889999999944E-2</v>
      </c>
      <c r="CR193" s="28">
        <f t="shared" si="139"/>
        <v>1.0449999999999999</v>
      </c>
      <c r="CS193" s="28">
        <v>0.19913873000000001</v>
      </c>
      <c r="CT193" s="28">
        <v>0.35127922999999994</v>
      </c>
      <c r="CU193" s="28">
        <v>0.29467268000000002</v>
      </c>
      <c r="CV193" s="28">
        <v>0.34528745999999999</v>
      </c>
      <c r="CW193" s="28">
        <f t="shared" si="140"/>
        <v>1.1903781</v>
      </c>
      <c r="CX193" s="28">
        <v>0.318</v>
      </c>
      <c r="CY193" s="28">
        <v>0.46300000000000002</v>
      </c>
      <c r="CZ193" s="28">
        <v>0.28399999999999997</v>
      </c>
      <c r="DA193" s="28">
        <v>0.25</v>
      </c>
      <c r="DB193" s="28">
        <f t="shared" si="141"/>
        <v>1.3149999999999999</v>
      </c>
      <c r="DC193" s="28">
        <v>0.35299999999999998</v>
      </c>
      <c r="DD193" s="28">
        <v>0.55800000000000005</v>
      </c>
      <c r="DE193" s="28">
        <v>0.55000000000000004</v>
      </c>
      <c r="DF193" s="28">
        <v>0.74</v>
      </c>
      <c r="DG193" s="28">
        <f t="shared" si="142"/>
        <v>2.2010000000000001</v>
      </c>
      <c r="DH193" s="28">
        <v>0.28399999999999997</v>
      </c>
      <c r="DI193" s="28">
        <v>0.52800000000000002</v>
      </c>
      <c r="DJ193" s="28">
        <v>0.154</v>
      </c>
      <c r="DK193" s="28">
        <v>0.19900000000000001</v>
      </c>
      <c r="DL193" s="28">
        <f t="shared" si="143"/>
        <v>1.165</v>
      </c>
      <c r="DM193" s="28">
        <v>0.23</v>
      </c>
      <c r="DN193" s="28">
        <v>0.38700000000000001</v>
      </c>
      <c r="DO193" s="28">
        <v>0.186</v>
      </c>
      <c r="DP193" s="28">
        <v>-3.0000000000000001E-3</v>
      </c>
      <c r="DQ193" s="28">
        <f t="shared" si="144"/>
        <v>0.79999999999999993</v>
      </c>
      <c r="DR193" s="28">
        <v>0.41499999999999998</v>
      </c>
      <c r="DS193" s="28">
        <v>0.42599999999999999</v>
      </c>
      <c r="DT193" s="28">
        <v>0.25600000000000001</v>
      </c>
      <c r="DU193" s="28">
        <v>0.748</v>
      </c>
      <c r="DV193" s="28">
        <f t="shared" si="145"/>
        <v>1.845</v>
      </c>
      <c r="DW193" s="28">
        <v>0.47799999999999998</v>
      </c>
      <c r="DX193" s="28">
        <v>0.39396087000000002</v>
      </c>
      <c r="DY193" s="28">
        <v>0.46681723000000008</v>
      </c>
      <c r="DZ193" s="28">
        <v>0.50738394999999992</v>
      </c>
      <c r="EA193" s="28">
        <f t="shared" si="148"/>
        <v>1.84616205</v>
      </c>
      <c r="EB193" s="28">
        <v>0.71184231999999992</v>
      </c>
      <c r="EC193" s="28">
        <v>0.50300347000000012</v>
      </c>
      <c r="ED193" s="28">
        <v>2.2610000000000001</v>
      </c>
      <c r="EE193" s="28">
        <v>-0.48226426000000022</v>
      </c>
      <c r="EF193" s="28">
        <f t="shared" si="147"/>
        <v>2.9935815300000002</v>
      </c>
      <c r="EG193" s="28">
        <v>0.71761989000000004</v>
      </c>
      <c r="EH193" s="28">
        <v>0.43423830999999996</v>
      </c>
      <c r="EI193" s="28">
        <v>0.81971875000000005</v>
      </c>
    </row>
    <row r="194" spans="1:139" ht="15" thickTop="1" x14ac:dyDescent="0.3">
      <c r="A194" s="1" t="s">
        <v>308</v>
      </c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27">
        <v>0</v>
      </c>
      <c r="BK194" s="27">
        <v>0</v>
      </c>
      <c r="BL194" s="27">
        <v>0</v>
      </c>
      <c r="BM194" s="27">
        <v>0</v>
      </c>
      <c r="BN194" s="27">
        <f t="shared" si="133"/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f t="shared" si="134"/>
        <v>0</v>
      </c>
      <c r="BT194" s="27">
        <v>0.2</v>
      </c>
      <c r="BU194" s="27">
        <v>0.4</v>
      </c>
      <c r="BV194" s="27">
        <v>0.3</v>
      </c>
      <c r="BW194" s="27">
        <v>2</v>
      </c>
      <c r="BX194" s="27">
        <f t="shared" si="135"/>
        <v>2.9000000000000004</v>
      </c>
      <c r="BY194" s="27">
        <v>0.4</v>
      </c>
      <c r="BZ194" s="27">
        <v>0.1</v>
      </c>
      <c r="CA194" s="27">
        <v>0.3</v>
      </c>
      <c r="CB194" s="27">
        <v>0.5</v>
      </c>
      <c r="CC194" s="27">
        <f t="shared" si="136"/>
        <v>1.3</v>
      </c>
      <c r="CD194" s="27">
        <v>-0.4</v>
      </c>
      <c r="CE194" s="27">
        <v>0.8</v>
      </c>
      <c r="CF194" s="27">
        <v>0.7</v>
      </c>
      <c r="CG194" s="27">
        <v>0.3</v>
      </c>
      <c r="CH194" s="27">
        <f t="shared" si="137"/>
        <v>1.4000000000000001</v>
      </c>
      <c r="CI194" s="27">
        <v>0</v>
      </c>
      <c r="CJ194" s="27">
        <v>0</v>
      </c>
      <c r="CK194" s="27">
        <v>0</v>
      </c>
      <c r="CL194" s="27">
        <v>6.6852719999999977E-2</v>
      </c>
      <c r="CM194" s="27">
        <f t="shared" si="138"/>
        <v>6.6852719999999977E-2</v>
      </c>
      <c r="CN194" s="27">
        <v>0</v>
      </c>
      <c r="CO194" s="27">
        <v>-2.8289950000000001E-2</v>
      </c>
      <c r="CP194" s="27">
        <v>0</v>
      </c>
      <c r="CQ194" s="27">
        <v>2.8289950000000001E-2</v>
      </c>
      <c r="CR194" s="27">
        <f t="shared" si="139"/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f t="shared" si="140"/>
        <v>0</v>
      </c>
      <c r="CX194" s="27">
        <v>0</v>
      </c>
      <c r="CY194" s="27">
        <v>0</v>
      </c>
      <c r="CZ194" s="27">
        <v>0</v>
      </c>
      <c r="DA194" s="27">
        <v>0</v>
      </c>
      <c r="DB194" s="27">
        <f t="shared" si="141"/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f t="shared" si="142"/>
        <v>0</v>
      </c>
      <c r="DH194" s="27">
        <v>0</v>
      </c>
      <c r="DI194" s="27">
        <v>0</v>
      </c>
      <c r="DJ194" s="27">
        <v>0</v>
      </c>
      <c r="DK194" s="27">
        <v>24.63</v>
      </c>
      <c r="DL194" s="27">
        <f t="shared" si="143"/>
        <v>24.63</v>
      </c>
      <c r="DM194" s="27">
        <v>0</v>
      </c>
      <c r="DN194" s="27">
        <v>0</v>
      </c>
      <c r="DO194" s="27">
        <v>0</v>
      </c>
      <c r="DP194" s="27">
        <v>0</v>
      </c>
      <c r="DQ194" s="27">
        <f t="shared" si="144"/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f t="shared" si="145"/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f t="shared" si="148"/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f t="shared" si="147"/>
        <v>0</v>
      </c>
      <c r="EG194" s="27">
        <v>0</v>
      </c>
      <c r="EH194" s="27">
        <v>0</v>
      </c>
      <c r="EI194" s="27">
        <v>0</v>
      </c>
    </row>
    <row r="195" spans="1:139" x14ac:dyDescent="0.3">
      <c r="A195" s="5" t="s">
        <v>311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29">
        <f t="shared" ref="BJ195:CW195" si="149">SUM(BJ172:BJ194)</f>
        <v>5.2978429999999994</v>
      </c>
      <c r="BK195" s="29">
        <f t="shared" si="149"/>
        <v>4.78373122</v>
      </c>
      <c r="BL195" s="29">
        <f t="shared" si="149"/>
        <v>7.4569867600000004</v>
      </c>
      <c r="BM195" s="29">
        <f t="shared" si="149"/>
        <v>7.3652710099999998</v>
      </c>
      <c r="BN195" s="29">
        <f t="shared" si="149"/>
        <v>24.90383199</v>
      </c>
      <c r="BO195" s="29">
        <f t="shared" si="149"/>
        <v>5.1042280400000006</v>
      </c>
      <c r="BP195" s="29">
        <f t="shared" si="149"/>
        <v>5.8129385400000002</v>
      </c>
      <c r="BQ195" s="29">
        <f t="shared" si="149"/>
        <v>6.886193200000001</v>
      </c>
      <c r="BR195" s="29">
        <f t="shared" si="149"/>
        <v>4.2940953858279993</v>
      </c>
      <c r="BS195" s="29">
        <f t="shared" si="149"/>
        <v>22.097455165828002</v>
      </c>
      <c r="BT195" s="29">
        <f t="shared" si="149"/>
        <v>4.5612882199999998</v>
      </c>
      <c r="BU195" s="29">
        <f t="shared" si="149"/>
        <v>5.0242835399999999</v>
      </c>
      <c r="BV195" s="29">
        <f t="shared" si="149"/>
        <v>3.5245434499999999</v>
      </c>
      <c r="BW195" s="29">
        <f t="shared" si="149"/>
        <v>41.671187685000007</v>
      </c>
      <c r="BX195" s="29">
        <f t="shared" si="149"/>
        <v>54.78130289500001</v>
      </c>
      <c r="BY195" s="29">
        <f t="shared" si="149"/>
        <v>7.24887237</v>
      </c>
      <c r="BZ195" s="29">
        <f t="shared" si="149"/>
        <v>4.3873691899999994</v>
      </c>
      <c r="CA195" s="29">
        <f t="shared" si="149"/>
        <v>5.4812416300000013</v>
      </c>
      <c r="CB195" s="29">
        <f t="shared" si="149"/>
        <v>11.702817029999999</v>
      </c>
      <c r="CC195" s="29">
        <f t="shared" si="149"/>
        <v>28.820300220000004</v>
      </c>
      <c r="CD195" s="29">
        <f t="shared" si="149"/>
        <v>9.2695801800000002</v>
      </c>
      <c r="CE195" s="29">
        <f t="shared" si="149"/>
        <v>1.1113763999999993</v>
      </c>
      <c r="CF195" s="29">
        <f t="shared" si="149"/>
        <v>6.1291090600000002</v>
      </c>
      <c r="CG195" s="29">
        <f t="shared" si="149"/>
        <v>7.2025706899999999</v>
      </c>
      <c r="CH195" s="29">
        <f t="shared" si="149"/>
        <v>23.712636329999999</v>
      </c>
      <c r="CI195" s="29">
        <f t="shared" si="149"/>
        <v>4.0016048</v>
      </c>
      <c r="CJ195" s="29">
        <f t="shared" si="149"/>
        <v>6.1248072000000002</v>
      </c>
      <c r="CK195" s="29">
        <f t="shared" si="149"/>
        <v>6.8975607399999994</v>
      </c>
      <c r="CL195" s="29">
        <f t="shared" si="149"/>
        <v>4.9082508600000008</v>
      </c>
      <c r="CM195" s="29">
        <f t="shared" si="149"/>
        <v>21.932223599999997</v>
      </c>
      <c r="CN195" s="29">
        <f t="shared" si="149"/>
        <v>5.7922071900000009</v>
      </c>
      <c r="CO195" s="29">
        <f t="shared" si="149"/>
        <v>8.9735534400000017</v>
      </c>
      <c r="CP195" s="29">
        <f t="shared" si="149"/>
        <v>6.1766317699999993</v>
      </c>
      <c r="CQ195" s="29">
        <f t="shared" si="149"/>
        <v>3.1896075999999995</v>
      </c>
      <c r="CR195" s="29">
        <f t="shared" si="149"/>
        <v>24.131999999999998</v>
      </c>
      <c r="CS195" s="29">
        <f t="shared" si="149"/>
        <v>1.8348949600000004</v>
      </c>
      <c r="CT195" s="29">
        <f t="shared" si="149"/>
        <v>1.9868886499999996</v>
      </c>
      <c r="CU195" s="29">
        <f t="shared" si="149"/>
        <v>2.94082496</v>
      </c>
      <c r="CV195" s="29">
        <f t="shared" si="149"/>
        <v>7.0492745499999989</v>
      </c>
      <c r="CW195" s="29">
        <f t="shared" si="149"/>
        <v>13.811883119999999</v>
      </c>
      <c r="CX195" s="29">
        <f>SUM(CX172:CX194)</f>
        <v>2.3919999999999999</v>
      </c>
      <c r="CY195" s="29">
        <f>SUM(CY172:CY194)</f>
        <v>6.2470000000000008</v>
      </c>
      <c r="CZ195" s="29">
        <f>SUM(CZ172:CZ194)</f>
        <v>2.7569999999999997</v>
      </c>
      <c r="DA195" s="29">
        <f t="shared" ref="DA195:DT195" si="150">SUM(DA172:DA194)</f>
        <v>5.6719999999999997</v>
      </c>
      <c r="DB195" s="29">
        <f t="shared" si="150"/>
        <v>17.068000000000001</v>
      </c>
      <c r="DC195" s="29">
        <f t="shared" si="150"/>
        <v>4.4579999999999984</v>
      </c>
      <c r="DD195" s="29">
        <f t="shared" si="150"/>
        <v>5.4280000000000008</v>
      </c>
      <c r="DE195" s="29">
        <f t="shared" si="150"/>
        <v>6.86</v>
      </c>
      <c r="DF195" s="29">
        <f t="shared" si="150"/>
        <v>19.218</v>
      </c>
      <c r="DG195" s="29">
        <f t="shared" si="150"/>
        <v>35.963999999999999</v>
      </c>
      <c r="DH195" s="29">
        <f t="shared" si="150"/>
        <v>6.9199999999999982</v>
      </c>
      <c r="DI195" s="29">
        <f t="shared" si="150"/>
        <v>8.2669999999999995</v>
      </c>
      <c r="DJ195" s="29">
        <f t="shared" si="150"/>
        <v>8.3609999999999989</v>
      </c>
      <c r="DK195" s="29">
        <f t="shared" si="150"/>
        <v>82.717999999999989</v>
      </c>
      <c r="DL195" s="29">
        <f t="shared" si="150"/>
        <v>106.26600000000002</v>
      </c>
      <c r="DM195" s="29">
        <f t="shared" si="150"/>
        <v>5.6950000000000021</v>
      </c>
      <c r="DN195" s="29">
        <f t="shared" si="150"/>
        <v>7.088000000000001</v>
      </c>
      <c r="DO195" s="29">
        <f t="shared" si="150"/>
        <v>10.040000000000001</v>
      </c>
      <c r="DP195" s="29">
        <f t="shared" si="150"/>
        <v>8.1980000000000004</v>
      </c>
      <c r="DQ195" s="29">
        <f t="shared" si="150"/>
        <v>31.020999999999997</v>
      </c>
      <c r="DR195" s="29">
        <f t="shared" si="150"/>
        <v>6.6770000000000005</v>
      </c>
      <c r="DS195" s="29">
        <f t="shared" si="150"/>
        <v>8.2989999999999995</v>
      </c>
      <c r="DT195" s="29">
        <f t="shared" si="150"/>
        <v>2.4510000000000005</v>
      </c>
      <c r="DU195" s="29">
        <f t="shared" ref="DU195:EA195" si="151">SUM(DU172:DU194)</f>
        <v>8.9909999999999979</v>
      </c>
      <c r="DV195" s="29">
        <f t="shared" si="151"/>
        <v>26.417999999999999</v>
      </c>
      <c r="DW195" s="29">
        <f t="shared" si="151"/>
        <v>4.8024999999999993</v>
      </c>
      <c r="DX195" s="29">
        <f t="shared" si="151"/>
        <v>6.3286347899999988</v>
      </c>
      <c r="DY195" s="29">
        <f t="shared" si="151"/>
        <v>5.9531121100000011</v>
      </c>
      <c r="DZ195" s="29">
        <f t="shared" si="151"/>
        <v>11.549871529999999</v>
      </c>
      <c r="EA195" s="29">
        <f t="shared" si="151"/>
        <v>28.634118430000001</v>
      </c>
      <c r="EB195" s="29">
        <f>SUM(EB172:EB194)</f>
        <v>7.59229252</v>
      </c>
      <c r="EC195" s="29">
        <f>SUM(EC172:EC194)</f>
        <v>10.935938790000002</v>
      </c>
      <c r="ED195" s="29">
        <f>SUM(ED172:ED194)</f>
        <v>9.0640000000000001</v>
      </c>
      <c r="EE195" s="29">
        <f>SUM(EE172:EE194)</f>
        <v>12.119898239999998</v>
      </c>
      <c r="EF195" s="29">
        <f t="shared" ref="EF195" si="152">SUM(EF172:EF194)</f>
        <v>39.71212955</v>
      </c>
      <c r="EG195" s="29">
        <f>SUM(EG172:EG194)</f>
        <v>7.1942254199999995</v>
      </c>
      <c r="EH195" s="29">
        <f>SUM(EH172:EH194)</f>
        <v>5.1393190099999995</v>
      </c>
      <c r="EI195" s="29">
        <f>SUM(EI172:EI194)</f>
        <v>9.466162869999998</v>
      </c>
    </row>
    <row r="196" spans="1:139" x14ac:dyDescent="0.3">
      <c r="CR196" s="33"/>
      <c r="CS196" s="4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</row>
    <row r="197" spans="1:139" x14ac:dyDescent="0.3"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DB18 CW179:CW183 CW187:CW19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9F978-B0C8-4CF3-ABB7-57A00FCABBBC}">
  <sheetPr codeName="Planilha5">
    <tabColor theme="4" tint="-0.499984740745262"/>
  </sheetPr>
  <dimension ref="A1:EI236"/>
  <sheetViews>
    <sheetView showGridLines="0" zoomScale="85" zoomScaleNormal="85" workbookViewId="0">
      <pane xSplit="61" ySplit="1" topLeftCell="DU2" activePane="bottomRight" state="frozen"/>
      <selection activeCell="EK144" sqref="EK144"/>
      <selection pane="topRight" activeCell="EK144" sqref="EK144"/>
      <selection pane="bottomLeft" activeCell="EK144" sqref="EK144"/>
      <selection pane="bottomRight" activeCell="EI1" sqref="EI1"/>
    </sheetView>
  </sheetViews>
  <sheetFormatPr defaultRowHeight="14.4" x14ac:dyDescent="0.3"/>
  <cols>
    <col min="1" max="1" width="48.77734375" customWidth="1"/>
    <col min="2" max="5" width="5.5546875" hidden="1" customWidth="1"/>
    <col min="6" max="6" width="5.21875" hidden="1" customWidth="1"/>
    <col min="7" max="10" width="5.5546875" hidden="1" customWidth="1"/>
    <col min="11" max="11" width="5.21875" hidden="1" customWidth="1"/>
    <col min="12" max="15" width="5.5546875" hidden="1" customWidth="1"/>
    <col min="16" max="16" width="5.21875" hidden="1" customWidth="1"/>
    <col min="17" max="20" width="5.5546875" hidden="1" customWidth="1"/>
    <col min="21" max="21" width="5.21875" hidden="1" customWidth="1"/>
    <col min="22" max="25" width="5.5546875" hidden="1" customWidth="1"/>
    <col min="26" max="26" width="5.21875" hidden="1" customWidth="1"/>
    <col min="27" max="30" width="5.5546875" hidden="1" customWidth="1"/>
    <col min="31" max="31" width="5.21875" hidden="1" customWidth="1"/>
    <col min="32" max="35" width="5.5546875" hidden="1" customWidth="1"/>
    <col min="36" max="36" width="5.21875" hidden="1" customWidth="1"/>
    <col min="37" max="40" width="5.5546875" hidden="1" customWidth="1"/>
    <col min="41" max="41" width="5.21875" hidden="1" customWidth="1"/>
    <col min="42" max="45" width="5.5546875" hidden="1" customWidth="1"/>
    <col min="46" max="46" width="5.21875" hidden="1" customWidth="1"/>
    <col min="47" max="50" width="5.5546875" hidden="1" customWidth="1"/>
    <col min="51" max="51" width="5.21875" hidden="1" customWidth="1"/>
    <col min="52" max="55" width="5.5546875" hidden="1" customWidth="1"/>
    <col min="56" max="56" width="5.21875" hidden="1" customWidth="1"/>
    <col min="57" max="60" width="5.5546875" hidden="1" customWidth="1"/>
    <col min="61" max="61" width="5.21875" hidden="1" customWidth="1"/>
    <col min="62" max="65" width="7" hidden="1" customWidth="1"/>
    <col min="66" max="66" width="7.77734375" hidden="1" customWidth="1"/>
    <col min="67" max="70" width="7" hidden="1" customWidth="1"/>
    <col min="71" max="71" width="8.5546875" hidden="1" customWidth="1"/>
    <col min="72" max="74" width="7" hidden="1" customWidth="1"/>
    <col min="75" max="75" width="7.77734375" hidden="1" customWidth="1"/>
    <col min="76" max="76" width="8.5546875" hidden="1" customWidth="1"/>
    <col min="77" max="80" width="7" hidden="1" customWidth="1"/>
    <col min="81" max="81" width="8.5546875" hidden="1" customWidth="1"/>
    <col min="82" max="85" width="7" hidden="1" customWidth="1"/>
    <col min="86" max="86" width="8.5546875" hidden="1" customWidth="1"/>
    <col min="87" max="90" width="7" hidden="1" customWidth="1"/>
    <col min="91" max="91" width="8.5546875" hidden="1" customWidth="1"/>
    <col min="92" max="95" width="7" hidden="1" customWidth="1"/>
    <col min="96" max="96" width="8.5546875" hidden="1" customWidth="1"/>
    <col min="97" max="100" width="7" hidden="1" customWidth="1"/>
    <col min="101" max="101" width="8.5546875" hidden="1" customWidth="1"/>
    <col min="102" max="105" width="7" hidden="1" customWidth="1"/>
    <col min="106" max="106" width="8.5546875" hidden="1" customWidth="1"/>
    <col min="107" max="110" width="7" hidden="1" customWidth="1"/>
    <col min="111" max="111" width="8.5546875" hidden="1" customWidth="1"/>
    <col min="112" max="115" width="7" hidden="1" customWidth="1"/>
    <col min="116" max="116" width="8.5546875" hidden="1" customWidth="1"/>
    <col min="117" max="120" width="7" bestFit="1" customWidth="1"/>
    <col min="121" max="121" width="8.5546875" bestFit="1" customWidth="1"/>
    <col min="122" max="122" width="7" bestFit="1" customWidth="1"/>
    <col min="123" max="133" width="8.5546875" bestFit="1" customWidth="1"/>
    <col min="134" max="135" width="9.77734375" customWidth="1"/>
    <col min="136" max="136" width="8.5546875" bestFit="1" customWidth="1"/>
  </cols>
  <sheetData>
    <row r="1" spans="1:139" x14ac:dyDescent="0.3">
      <c r="A1" s="3" t="s">
        <v>386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385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27">
        <f>COGS!B3+'SG&amp;A'!B3</f>
        <v>0</v>
      </c>
      <c r="C3" s="27">
        <f>COGS!C3+'SG&amp;A'!C3</f>
        <v>0</v>
      </c>
      <c r="D3" s="27">
        <f>COGS!D3+'SG&amp;A'!D3</f>
        <v>0</v>
      </c>
      <c r="E3" s="27">
        <f>COGS!E3+'SG&amp;A'!E3</f>
        <v>0</v>
      </c>
      <c r="F3" s="27">
        <f>COGS!F3+'SG&amp;A'!F3</f>
        <v>0</v>
      </c>
      <c r="G3" s="27">
        <f>COGS!G3+'SG&amp;A'!G3</f>
        <v>0</v>
      </c>
      <c r="H3" s="27">
        <f>COGS!H3+'SG&amp;A'!H3</f>
        <v>0</v>
      </c>
      <c r="I3" s="27">
        <f>COGS!I3+'SG&amp;A'!I3</f>
        <v>0</v>
      </c>
      <c r="J3" s="27">
        <f>COGS!J3+'SG&amp;A'!J3</f>
        <v>0</v>
      </c>
      <c r="K3" s="27">
        <f>COGS!K3+'SG&amp;A'!K3</f>
        <v>0</v>
      </c>
      <c r="L3" s="27">
        <f>COGS!L3+'SG&amp;A'!L3</f>
        <v>0</v>
      </c>
      <c r="M3" s="27">
        <f>COGS!M3+'SG&amp;A'!M3</f>
        <v>0</v>
      </c>
      <c r="N3" s="27">
        <f>COGS!N3+'SG&amp;A'!N3</f>
        <v>0</v>
      </c>
      <c r="O3" s="27">
        <f>COGS!O3+'SG&amp;A'!O3</f>
        <v>0</v>
      </c>
      <c r="P3" s="27">
        <f>COGS!P3+'SG&amp;A'!P3</f>
        <v>0</v>
      </c>
      <c r="Q3" s="27">
        <f>COGS!Q3+'SG&amp;A'!Q3</f>
        <v>0</v>
      </c>
      <c r="R3" s="27">
        <f>COGS!R3+'SG&amp;A'!R3</f>
        <v>0</v>
      </c>
      <c r="S3" s="27">
        <f>COGS!S3+'SG&amp;A'!S3</f>
        <v>0</v>
      </c>
      <c r="T3" s="27">
        <f>COGS!T3+'SG&amp;A'!T3</f>
        <v>0</v>
      </c>
      <c r="U3" s="27">
        <f>COGS!U3+'SG&amp;A'!U3</f>
        <v>0</v>
      </c>
      <c r="V3" s="27">
        <f>COGS!V3+'SG&amp;A'!V3</f>
        <v>0</v>
      </c>
      <c r="W3" s="27">
        <f>COGS!W3+'SG&amp;A'!W3</f>
        <v>0</v>
      </c>
      <c r="X3" s="27">
        <f>COGS!X3+'SG&amp;A'!X3</f>
        <v>0</v>
      </c>
      <c r="Y3" s="27">
        <f>COGS!Y3+'SG&amp;A'!Y3</f>
        <v>0</v>
      </c>
      <c r="Z3" s="27">
        <f>COGS!Z3+'SG&amp;A'!Z3</f>
        <v>0</v>
      </c>
      <c r="AA3" s="27">
        <f>COGS!AA3+'SG&amp;A'!AA3</f>
        <v>0</v>
      </c>
      <c r="AB3" s="27">
        <f>COGS!AB3+'SG&amp;A'!AB3</f>
        <v>0</v>
      </c>
      <c r="AC3" s="27">
        <f>COGS!AC3+'SG&amp;A'!AC3</f>
        <v>0</v>
      </c>
      <c r="AD3" s="27">
        <f>COGS!AD3+'SG&amp;A'!AD3</f>
        <v>0</v>
      </c>
      <c r="AE3" s="27">
        <f>COGS!AE3+'SG&amp;A'!AE3</f>
        <v>0</v>
      </c>
      <c r="AF3" s="27">
        <f>COGS!AF3+'SG&amp;A'!AF3</f>
        <v>0</v>
      </c>
      <c r="AG3" s="27">
        <f>COGS!AG3+'SG&amp;A'!AG3</f>
        <v>0</v>
      </c>
      <c r="AH3" s="27">
        <f>COGS!AH3+'SG&amp;A'!AH3</f>
        <v>0</v>
      </c>
      <c r="AI3" s="27">
        <f>COGS!AI3+'SG&amp;A'!AI3</f>
        <v>0</v>
      </c>
      <c r="AJ3" s="27">
        <f>COGS!AJ3+'SG&amp;A'!AJ3</f>
        <v>0</v>
      </c>
      <c r="AK3" s="27">
        <f>COGS!AK3+'SG&amp;A'!AK3</f>
        <v>0</v>
      </c>
      <c r="AL3" s="27">
        <f>COGS!AL3+'SG&amp;A'!AL3</f>
        <v>0</v>
      </c>
      <c r="AM3" s="27">
        <f>COGS!AM3+'SG&amp;A'!AM3</f>
        <v>0</v>
      </c>
      <c r="AN3" s="27">
        <f>COGS!AN3+'SG&amp;A'!AN3</f>
        <v>0</v>
      </c>
      <c r="AO3" s="27">
        <f>COGS!AO3+'SG&amp;A'!AO3</f>
        <v>0</v>
      </c>
      <c r="AP3" s="27">
        <f>COGS!AP3+'SG&amp;A'!AP3</f>
        <v>0</v>
      </c>
      <c r="AQ3" s="27">
        <f>COGS!AQ3+'SG&amp;A'!AQ3</f>
        <v>0</v>
      </c>
      <c r="AR3" s="27">
        <f>COGS!AR3+'SG&amp;A'!AR3</f>
        <v>0</v>
      </c>
      <c r="AS3" s="27">
        <f>COGS!AS3+'SG&amp;A'!AS3</f>
        <v>0</v>
      </c>
      <c r="AT3" s="27">
        <f>COGS!AT3+'SG&amp;A'!AT3</f>
        <v>0</v>
      </c>
      <c r="AU3" s="27">
        <f>COGS!AU3+'SG&amp;A'!AU3</f>
        <v>0</v>
      </c>
      <c r="AV3" s="27">
        <f>COGS!AV3+'SG&amp;A'!AV3</f>
        <v>0</v>
      </c>
      <c r="AW3" s="27">
        <f>COGS!AW3+'SG&amp;A'!AW3</f>
        <v>0</v>
      </c>
      <c r="AX3" s="27">
        <f>COGS!AX3+'SG&amp;A'!AX3</f>
        <v>0</v>
      </c>
      <c r="AY3" s="27">
        <f>COGS!AY3+'SG&amp;A'!AY3</f>
        <v>0</v>
      </c>
      <c r="AZ3" s="27">
        <f>COGS!AZ3+'SG&amp;A'!AZ3</f>
        <v>0</v>
      </c>
      <c r="BA3" s="27">
        <f>COGS!BA3+'SG&amp;A'!BA3</f>
        <v>0</v>
      </c>
      <c r="BB3" s="27">
        <f>COGS!BB3+'SG&amp;A'!BB3</f>
        <v>0</v>
      </c>
      <c r="BC3" s="27">
        <f>COGS!BC3+'SG&amp;A'!BC3</f>
        <v>0</v>
      </c>
      <c r="BD3" s="27">
        <f>COGS!BD3+'SG&amp;A'!BD3</f>
        <v>0</v>
      </c>
      <c r="BE3" s="27">
        <f>COGS!BE3+'SG&amp;A'!BE3</f>
        <v>0</v>
      </c>
      <c r="BF3" s="27">
        <f>COGS!BF3+'SG&amp;A'!BF3</f>
        <v>0</v>
      </c>
      <c r="BG3" s="27">
        <f>COGS!BG3+'SG&amp;A'!BG3</f>
        <v>0</v>
      </c>
      <c r="BH3" s="27">
        <f>COGS!BH3+'SG&amp;A'!BH3</f>
        <v>0</v>
      </c>
      <c r="BI3" s="27">
        <f>COGS!BI3+'SG&amp;A'!BI3</f>
        <v>0</v>
      </c>
      <c r="BJ3" s="27">
        <f>COGS!BJ3+'SG&amp;A'!BJ3</f>
        <v>31.847404350000005</v>
      </c>
      <c r="BK3" s="27">
        <f>COGS!BK3+'SG&amp;A'!BK3</f>
        <v>16.90624652</v>
      </c>
      <c r="BL3" s="27">
        <f>COGS!BL3+'SG&amp;A'!BL3</f>
        <v>19.589719489999997</v>
      </c>
      <c r="BM3" s="27">
        <f>COGS!BM3+'SG&amp;A'!BM3</f>
        <v>19.9841464</v>
      </c>
      <c r="BN3" s="27">
        <f>COGS!BN3+'SG&amp;A'!BN3</f>
        <v>88.327516760000009</v>
      </c>
      <c r="BO3" s="27">
        <f>COGS!BO3+'SG&amp;A'!BO3</f>
        <v>20.292442320000003</v>
      </c>
      <c r="BP3" s="27">
        <f>COGS!BP3+'SG&amp;A'!BP3</f>
        <v>20.419751519999998</v>
      </c>
      <c r="BQ3" s="27">
        <f>COGS!BQ3+'SG&amp;A'!BQ3</f>
        <v>25.811423380000001</v>
      </c>
      <c r="BR3" s="27">
        <f>COGS!BR3+'SG&amp;A'!BR3</f>
        <v>26.368136880000002</v>
      </c>
      <c r="BS3" s="27">
        <f>COGS!BS3+'SG&amp;A'!BS3</f>
        <v>92.891754100000014</v>
      </c>
      <c r="BT3" s="27">
        <f>COGS!BT3+'SG&amp;A'!BT3</f>
        <v>20.249012889999999</v>
      </c>
      <c r="BU3" s="27">
        <f>COGS!BU3+'SG&amp;A'!BU3</f>
        <v>26.00576616</v>
      </c>
      <c r="BV3" s="27">
        <f>COGS!BV3+'SG&amp;A'!BV3</f>
        <v>28.890840380000004</v>
      </c>
      <c r="BW3" s="27">
        <f>COGS!BW3+'SG&amp;A'!BW3</f>
        <v>30.428188270000003</v>
      </c>
      <c r="BX3" s="27">
        <f>COGS!BX3+'SG&amp;A'!BX3</f>
        <v>105.5738077</v>
      </c>
      <c r="BY3" s="27">
        <f>COGS!BY3+'SG&amp;A'!BY3</f>
        <v>24.116671099999998</v>
      </c>
      <c r="BZ3" s="27">
        <f>COGS!BZ3+'SG&amp;A'!BZ3</f>
        <v>37.549900469999997</v>
      </c>
      <c r="CA3" s="27">
        <f>COGS!CA3+'SG&amp;A'!CA3</f>
        <v>25.578409450000002</v>
      </c>
      <c r="CB3" s="27">
        <f>COGS!CB3+'SG&amp;A'!CB3</f>
        <v>33.980864190000005</v>
      </c>
      <c r="CC3" s="27">
        <f>COGS!CC3+'SG&amp;A'!CC3</f>
        <v>121.22584521000002</v>
      </c>
      <c r="CD3" s="27">
        <f>COGS!CD3+'SG&amp;A'!CD3</f>
        <v>29.409968859999999</v>
      </c>
      <c r="CE3" s="27">
        <f>COGS!CE3+'SG&amp;A'!CE3</f>
        <v>34.53525604</v>
      </c>
      <c r="CF3" s="27">
        <f>COGS!CF3+'SG&amp;A'!CF3</f>
        <v>33.54840583</v>
      </c>
      <c r="CG3" s="27">
        <f>COGS!CG3+'SG&amp;A'!CG3</f>
        <v>35.851474620000005</v>
      </c>
      <c r="CH3" s="27">
        <f>COGS!CH3+'SG&amp;A'!CH3</f>
        <v>133.34510535000001</v>
      </c>
      <c r="CI3" s="27">
        <f>COGS!CI3+'SG&amp;A'!CI3</f>
        <v>38.948496989999995</v>
      </c>
      <c r="CJ3" s="27">
        <f>COGS!CJ3+'SG&amp;A'!CJ3</f>
        <v>42.74275463</v>
      </c>
      <c r="CK3" s="27">
        <f>COGS!CK3+'SG&amp;A'!CK3</f>
        <v>36.414983599999992</v>
      </c>
      <c r="CL3" s="27">
        <f>COGS!CL3+'SG&amp;A'!CL3</f>
        <v>33.240873950000008</v>
      </c>
      <c r="CM3" s="27">
        <f>COGS!CM3+'SG&amp;A'!CM3</f>
        <v>151.34710916999998</v>
      </c>
      <c r="CN3" s="27">
        <f>COGS!CN3+'SG&amp;A'!CN3</f>
        <v>33.199606440000004</v>
      </c>
      <c r="CO3" s="27">
        <f>COGS!CO3+'SG&amp;A'!CO3</f>
        <v>26.163305990000001</v>
      </c>
      <c r="CP3" s="27">
        <f>COGS!CP3+'SG&amp;A'!CP3</f>
        <v>27.161192389999997</v>
      </c>
      <c r="CQ3" s="27">
        <f>COGS!CQ3+'SG&amp;A'!CQ3</f>
        <v>23.877895180000003</v>
      </c>
      <c r="CR3" s="27">
        <f>COGS!CR3+'SG&amp;A'!CR3</f>
        <v>110.402</v>
      </c>
      <c r="CS3" s="27">
        <f>COGS!CS3+'SG&amp;A'!CS3</f>
        <v>28.883520419999996</v>
      </c>
      <c r="CT3" s="27">
        <f>COGS!CT3+'SG&amp;A'!CT3</f>
        <v>31.554458030000006</v>
      </c>
      <c r="CU3" s="27">
        <f>COGS!CU3+'SG&amp;A'!CU3</f>
        <v>34.364068619999998</v>
      </c>
      <c r="CV3" s="27">
        <f>COGS!CV3+'SG&amp;A'!CV3</f>
        <v>37.664327479999997</v>
      </c>
      <c r="CW3" s="27">
        <f>COGS!CW3+'SG&amp;A'!CW3</f>
        <v>132.46637454999998</v>
      </c>
      <c r="CX3" s="27">
        <f>COGS!CX3+'SG&amp;A'!CX3</f>
        <v>32.922000000000004</v>
      </c>
      <c r="CY3" s="27">
        <f>COGS!CY3+'SG&amp;A'!CY3</f>
        <v>36.354999999999997</v>
      </c>
      <c r="CZ3" s="27">
        <f>COGS!CZ3+'SG&amp;A'!CZ3</f>
        <v>37.616999999999997</v>
      </c>
      <c r="DA3" s="27">
        <f>COGS!DA3+'SG&amp;A'!DA3</f>
        <v>61.928999999999995</v>
      </c>
      <c r="DB3" s="27">
        <f>COGS!DB3+'SG&amp;A'!DB3</f>
        <v>168.82299999999998</v>
      </c>
      <c r="DC3" s="27">
        <f>COGS!DC3+'SG&amp;A'!DC3</f>
        <v>31.025000000000002</v>
      </c>
      <c r="DD3" s="27">
        <f>COGS!DD3+'SG&amp;A'!DD3</f>
        <v>31.393999999999998</v>
      </c>
      <c r="DE3" s="27">
        <f>COGS!DE3+'SG&amp;A'!DE3</f>
        <v>41.652999999999999</v>
      </c>
      <c r="DF3" s="27">
        <f>COGS!DF3+'SG&amp;A'!DF3</f>
        <v>56.77</v>
      </c>
      <c r="DG3" s="27">
        <f>COGS!DG3+'SG&amp;A'!DG3</f>
        <v>160.84199999999998</v>
      </c>
      <c r="DH3" s="27">
        <f>COGS!DH3+'SG&amp;A'!DH3</f>
        <v>32.518000000000001</v>
      </c>
      <c r="DI3" s="27">
        <f>COGS!DI3+'SG&amp;A'!DI3</f>
        <v>33.567999999999998</v>
      </c>
      <c r="DJ3" s="27">
        <f>COGS!DJ3+'SG&amp;A'!DJ3</f>
        <v>35.75</v>
      </c>
      <c r="DK3" s="27">
        <f>COGS!DK3+'SG&amp;A'!DK3</f>
        <v>53.712000000000003</v>
      </c>
      <c r="DL3" s="27">
        <f>COGS!DL3+'SG&amp;A'!DL3</f>
        <v>155.548</v>
      </c>
      <c r="DM3" s="27">
        <f>COGS!DM3+'SG&amp;A'!DM3</f>
        <v>34.832999999999998</v>
      </c>
      <c r="DN3" s="27">
        <f>COGS!DN3+'SG&amp;A'!DN3</f>
        <v>38.841999999999999</v>
      </c>
      <c r="DO3" s="27">
        <f>COGS!DO3+'SG&amp;A'!DO3</f>
        <v>41.997</v>
      </c>
      <c r="DP3" s="27">
        <f>COGS!DP3+'SG&amp;A'!DP3</f>
        <v>44.95</v>
      </c>
      <c r="DQ3" s="27">
        <f>COGS!DQ3+'SG&amp;A'!DQ3</f>
        <v>160.62199999999999</v>
      </c>
      <c r="DR3" s="27">
        <f>COGS!DR3+'SG&amp;A'!DR3</f>
        <v>5.0999999999999996</v>
      </c>
      <c r="DS3" s="27">
        <f>COGS!DS3+'SG&amp;A'!DS3</f>
        <v>4.3999999999999995</v>
      </c>
      <c r="DT3" s="27">
        <f>COGS!DT3+'SG&amp;A'!DT3</f>
        <v>3.6340000000000003</v>
      </c>
      <c r="DU3" s="27">
        <f>COGS!DU3+'SG&amp;A'!DU3</f>
        <v>0.43000000000000149</v>
      </c>
      <c r="DV3" s="27">
        <f>COGS!DV3+'SG&amp;A'!DV3</f>
        <v>13.564</v>
      </c>
      <c r="DW3" s="27">
        <f>COGS!DW3+'SG&amp;A'!DW3</f>
        <v>0.68700000000000006</v>
      </c>
      <c r="DX3" s="27">
        <f>COGS!DX3+'SG&amp;A'!DX3</f>
        <v>0.14931280999999999</v>
      </c>
      <c r="DY3" s="27">
        <f>COGS!DY3+'SG&amp;A'!DY3</f>
        <v>0.34437474000000001</v>
      </c>
      <c r="DZ3" s="27">
        <f>COGS!DZ3+'SG&amp;A'!DZ3</f>
        <v>0.99698782000000008</v>
      </c>
      <c r="EA3" s="27">
        <f>COGS!EA3+'SG&amp;A'!EA3</f>
        <v>2.1776753700000002</v>
      </c>
      <c r="EB3" s="27">
        <f>COGS!EB3+'SG&amp;A'!EB3</f>
        <v>0.17637048999999999</v>
      </c>
      <c r="EC3" s="27">
        <f>COGS!EC3+'SG&amp;A'!EC3</f>
        <v>0.55428867000000004</v>
      </c>
      <c r="ED3" s="27">
        <f>COGS!ED3+'SG&amp;A'!ED3</f>
        <v>-6.7000000000000004E-2</v>
      </c>
      <c r="EE3" s="27">
        <f>COGS!EE3+'SG&amp;A'!EE3</f>
        <v>0.23963088000000002</v>
      </c>
      <c r="EF3" s="27">
        <f>COGS!EF3+'SG&amp;A'!EF3</f>
        <v>0.90329004000000013</v>
      </c>
      <c r="EG3" s="27">
        <f>COGS!EG3+'SG&amp;A'!EG3</f>
        <v>0.16024788000000001</v>
      </c>
      <c r="EH3" s="27">
        <f>COGS!EH3+'SG&amp;A'!EH3</f>
        <v>1.8080760000000008E-2</v>
      </c>
      <c r="EI3" s="27">
        <f>COGS!EI3+'SG&amp;A'!EI3</f>
        <v>0.17155677999999996</v>
      </c>
    </row>
    <row r="4" spans="1:139" ht="15" thickBot="1" x14ac:dyDescent="0.35">
      <c r="A4" s="2" t="s">
        <v>454</v>
      </c>
      <c r="B4" s="28">
        <f>COGS!B4+'SG&amp;A'!B4</f>
        <v>0</v>
      </c>
      <c r="C4" s="28">
        <f>COGS!C4+'SG&amp;A'!C4</f>
        <v>0</v>
      </c>
      <c r="D4" s="28">
        <f>COGS!D4+'SG&amp;A'!D4</f>
        <v>0</v>
      </c>
      <c r="E4" s="28">
        <f>COGS!E4+'SG&amp;A'!E4</f>
        <v>0</v>
      </c>
      <c r="F4" s="28">
        <f>COGS!F4+'SG&amp;A'!F4</f>
        <v>0</v>
      </c>
      <c r="G4" s="28">
        <f>COGS!G4+'SG&amp;A'!G4</f>
        <v>0</v>
      </c>
      <c r="H4" s="28">
        <f>COGS!H4+'SG&amp;A'!H4</f>
        <v>0</v>
      </c>
      <c r="I4" s="28">
        <f>COGS!I4+'SG&amp;A'!I4</f>
        <v>0</v>
      </c>
      <c r="J4" s="28">
        <f>COGS!J4+'SG&amp;A'!J4</f>
        <v>0</v>
      </c>
      <c r="K4" s="28">
        <f>COGS!K4+'SG&amp;A'!K4</f>
        <v>0</v>
      </c>
      <c r="L4" s="28">
        <f>COGS!L4+'SG&amp;A'!L4</f>
        <v>0</v>
      </c>
      <c r="M4" s="28">
        <f>COGS!M4+'SG&amp;A'!M4</f>
        <v>0</v>
      </c>
      <c r="N4" s="28">
        <f>COGS!N4+'SG&amp;A'!N4</f>
        <v>0</v>
      </c>
      <c r="O4" s="28">
        <f>COGS!O4+'SG&amp;A'!O4</f>
        <v>0</v>
      </c>
      <c r="P4" s="28">
        <f>COGS!P4+'SG&amp;A'!P4</f>
        <v>0</v>
      </c>
      <c r="Q4" s="28">
        <f>COGS!Q4+'SG&amp;A'!Q4</f>
        <v>0</v>
      </c>
      <c r="R4" s="28">
        <f>COGS!R4+'SG&amp;A'!R4</f>
        <v>0</v>
      </c>
      <c r="S4" s="28">
        <f>COGS!S4+'SG&amp;A'!S4</f>
        <v>0</v>
      </c>
      <c r="T4" s="28">
        <f>COGS!T4+'SG&amp;A'!T4</f>
        <v>0</v>
      </c>
      <c r="U4" s="28">
        <f>COGS!U4+'SG&amp;A'!U4</f>
        <v>0</v>
      </c>
      <c r="V4" s="28">
        <f>COGS!V4+'SG&amp;A'!V4</f>
        <v>0</v>
      </c>
      <c r="W4" s="28">
        <f>COGS!W4+'SG&amp;A'!W4</f>
        <v>0</v>
      </c>
      <c r="X4" s="28">
        <f>COGS!X4+'SG&amp;A'!X4</f>
        <v>0</v>
      </c>
      <c r="Y4" s="28">
        <f>COGS!Y4+'SG&amp;A'!Y4</f>
        <v>0</v>
      </c>
      <c r="Z4" s="28">
        <f>COGS!Z4+'SG&amp;A'!Z4</f>
        <v>0</v>
      </c>
      <c r="AA4" s="28">
        <f>COGS!AA4+'SG&amp;A'!AA4</f>
        <v>0</v>
      </c>
      <c r="AB4" s="28">
        <f>COGS!AB4+'SG&amp;A'!AB4</f>
        <v>0</v>
      </c>
      <c r="AC4" s="28">
        <f>COGS!AC4+'SG&amp;A'!AC4</f>
        <v>0</v>
      </c>
      <c r="AD4" s="28">
        <f>COGS!AD4+'SG&amp;A'!AD4</f>
        <v>0</v>
      </c>
      <c r="AE4" s="28">
        <f>COGS!AE4+'SG&amp;A'!AE4</f>
        <v>0</v>
      </c>
      <c r="AF4" s="28">
        <f>COGS!AF4+'SG&amp;A'!AF4</f>
        <v>0</v>
      </c>
      <c r="AG4" s="28">
        <f>COGS!AG4+'SG&amp;A'!AG4</f>
        <v>0</v>
      </c>
      <c r="AH4" s="28">
        <f>COGS!AH4+'SG&amp;A'!AH4</f>
        <v>0</v>
      </c>
      <c r="AI4" s="28">
        <f>COGS!AI4+'SG&amp;A'!AI4</f>
        <v>0</v>
      </c>
      <c r="AJ4" s="28">
        <f>COGS!AJ4+'SG&amp;A'!AJ4</f>
        <v>0</v>
      </c>
      <c r="AK4" s="28">
        <f>COGS!AK4+'SG&amp;A'!AK4</f>
        <v>0</v>
      </c>
      <c r="AL4" s="28">
        <f>COGS!AL4+'SG&amp;A'!AL4</f>
        <v>0</v>
      </c>
      <c r="AM4" s="28">
        <f>COGS!AM4+'SG&amp;A'!AM4</f>
        <v>0</v>
      </c>
      <c r="AN4" s="28">
        <f>COGS!AN4+'SG&amp;A'!AN4</f>
        <v>0</v>
      </c>
      <c r="AO4" s="28">
        <f>COGS!AO4+'SG&amp;A'!AO4</f>
        <v>0</v>
      </c>
      <c r="AP4" s="28">
        <f>COGS!AP4+'SG&amp;A'!AP4</f>
        <v>0</v>
      </c>
      <c r="AQ4" s="28">
        <f>COGS!AQ4+'SG&amp;A'!AQ4</f>
        <v>0</v>
      </c>
      <c r="AR4" s="28">
        <f>COGS!AR4+'SG&amp;A'!AR4</f>
        <v>0</v>
      </c>
      <c r="AS4" s="28">
        <f>COGS!AS4+'SG&amp;A'!AS4</f>
        <v>0</v>
      </c>
      <c r="AT4" s="28">
        <f>COGS!AT4+'SG&amp;A'!AT4</f>
        <v>0</v>
      </c>
      <c r="AU4" s="28">
        <f>COGS!AU4+'SG&amp;A'!AU4</f>
        <v>0</v>
      </c>
      <c r="AV4" s="28">
        <f>COGS!AV4+'SG&amp;A'!AV4</f>
        <v>0</v>
      </c>
      <c r="AW4" s="28">
        <f>COGS!AW4+'SG&amp;A'!AW4</f>
        <v>0</v>
      </c>
      <c r="AX4" s="28">
        <f>COGS!AX4+'SG&amp;A'!AX4</f>
        <v>0</v>
      </c>
      <c r="AY4" s="28">
        <f>COGS!AY4+'SG&amp;A'!AY4</f>
        <v>0</v>
      </c>
      <c r="AZ4" s="28">
        <f>COGS!AZ4+'SG&amp;A'!AZ4</f>
        <v>0</v>
      </c>
      <c r="BA4" s="28">
        <f>COGS!BA4+'SG&amp;A'!BA4</f>
        <v>0</v>
      </c>
      <c r="BB4" s="28">
        <f>COGS!BB4+'SG&amp;A'!BB4</f>
        <v>0</v>
      </c>
      <c r="BC4" s="28">
        <f>COGS!BC4+'SG&amp;A'!BC4</f>
        <v>0</v>
      </c>
      <c r="BD4" s="28">
        <f>COGS!BD4+'SG&amp;A'!BD4</f>
        <v>0</v>
      </c>
      <c r="BE4" s="28">
        <f>COGS!BE4+'SG&amp;A'!BE4</f>
        <v>0</v>
      </c>
      <c r="BF4" s="28">
        <f>COGS!BF4+'SG&amp;A'!BF4</f>
        <v>0</v>
      </c>
      <c r="BG4" s="28">
        <f>COGS!BG4+'SG&amp;A'!BG4</f>
        <v>0</v>
      </c>
      <c r="BH4" s="28">
        <f>COGS!BH4+'SG&amp;A'!BH4</f>
        <v>0</v>
      </c>
      <c r="BI4" s="28">
        <f>COGS!BI4+'SG&amp;A'!BI4</f>
        <v>0</v>
      </c>
      <c r="BJ4" s="28">
        <f>COGS!BJ4+'SG&amp;A'!BJ4</f>
        <v>15.330687599999999</v>
      </c>
      <c r="BK4" s="28">
        <f>COGS!BK4+'SG&amp;A'!BK4</f>
        <v>15.06357976</v>
      </c>
      <c r="BL4" s="28">
        <f>COGS!BL4+'SG&amp;A'!BL4</f>
        <v>16.492892560000001</v>
      </c>
      <c r="BM4" s="28">
        <f>COGS!BM4+'SG&amp;A'!BM4</f>
        <v>15.09254906</v>
      </c>
      <c r="BN4" s="28">
        <f>COGS!BN4+'SG&amp;A'!BN4</f>
        <v>61.979708979999998</v>
      </c>
      <c r="BO4" s="28">
        <f>COGS!BO4+'SG&amp;A'!BO4</f>
        <v>16.993529049999999</v>
      </c>
      <c r="BP4" s="28">
        <f>COGS!BP4+'SG&amp;A'!BP4</f>
        <v>26.168655880000003</v>
      </c>
      <c r="BQ4" s="28">
        <f>COGS!BQ4+'SG&amp;A'!BQ4</f>
        <v>21.555094290000003</v>
      </c>
      <c r="BR4" s="28">
        <f>COGS!BR4+'SG&amp;A'!BR4</f>
        <v>18.056047570000004</v>
      </c>
      <c r="BS4" s="28">
        <f>COGS!BS4+'SG&amp;A'!BS4</f>
        <v>82.773326790000013</v>
      </c>
      <c r="BT4" s="28">
        <f>COGS!BT4+'SG&amp;A'!BT4</f>
        <v>18.733118990000001</v>
      </c>
      <c r="BU4" s="28">
        <f>COGS!BU4+'SG&amp;A'!BU4</f>
        <v>21.535985799999999</v>
      </c>
      <c r="BV4" s="28">
        <f>COGS!BV4+'SG&amp;A'!BV4</f>
        <v>20.207049910000002</v>
      </c>
      <c r="BW4" s="28">
        <f>COGS!BW4+'SG&amp;A'!BW4</f>
        <v>16.663262170000003</v>
      </c>
      <c r="BX4" s="28">
        <f>COGS!BX4+'SG&amp;A'!BX4</f>
        <v>77.139416870000005</v>
      </c>
      <c r="BY4" s="28">
        <f>COGS!BY4+'SG&amp;A'!BY4</f>
        <v>17.346037800000001</v>
      </c>
      <c r="BZ4" s="28">
        <f>COGS!BZ4+'SG&amp;A'!BZ4</f>
        <v>27.650588400000004</v>
      </c>
      <c r="CA4" s="28">
        <f>COGS!CA4+'SG&amp;A'!CA4</f>
        <v>25.969726970000004</v>
      </c>
      <c r="CB4" s="28">
        <f>COGS!CB4+'SG&amp;A'!CB4</f>
        <v>31.201594700000008</v>
      </c>
      <c r="CC4" s="28">
        <f>COGS!CC4+'SG&amp;A'!CC4</f>
        <v>102.16794787000001</v>
      </c>
      <c r="CD4" s="28">
        <f>COGS!CD4+'SG&amp;A'!CD4</f>
        <v>23.263201750000004</v>
      </c>
      <c r="CE4" s="28">
        <f>COGS!CE4+'SG&amp;A'!CE4</f>
        <v>24.95068552</v>
      </c>
      <c r="CF4" s="28">
        <f>COGS!CF4+'SG&amp;A'!CF4</f>
        <v>29.549040699999999</v>
      </c>
      <c r="CG4" s="28">
        <f>COGS!CG4+'SG&amp;A'!CG4</f>
        <v>33.796047410000007</v>
      </c>
      <c r="CH4" s="28">
        <f>COGS!CH4+'SG&amp;A'!CH4</f>
        <v>111.55897538000001</v>
      </c>
      <c r="CI4" s="28">
        <f>COGS!CI4+'SG&amp;A'!CI4</f>
        <v>22.863227699999996</v>
      </c>
      <c r="CJ4" s="28">
        <f>COGS!CJ4+'SG&amp;A'!CJ4</f>
        <v>27.797095999999996</v>
      </c>
      <c r="CK4" s="28">
        <f>COGS!CK4+'SG&amp;A'!CK4</f>
        <v>30.74873427</v>
      </c>
      <c r="CL4" s="28">
        <f>COGS!CL4+'SG&amp;A'!CL4</f>
        <v>32.420353820000003</v>
      </c>
      <c r="CM4" s="28">
        <f>COGS!CM4+'SG&amp;A'!CM4</f>
        <v>113.82941178999998</v>
      </c>
      <c r="CN4" s="28">
        <f>COGS!CN4+'SG&amp;A'!CN4</f>
        <v>35.693680790000002</v>
      </c>
      <c r="CO4" s="28">
        <f>COGS!CO4+'SG&amp;A'!CO4</f>
        <v>38.307170550000002</v>
      </c>
      <c r="CP4" s="28">
        <f>COGS!CP4+'SG&amp;A'!CP4</f>
        <v>43.620121789999999</v>
      </c>
      <c r="CQ4" s="28">
        <f>COGS!CQ4+'SG&amp;A'!CQ4</f>
        <v>33.904026869999981</v>
      </c>
      <c r="CR4" s="28">
        <f>COGS!CR4+'SG&amp;A'!CR4</f>
        <v>151.52499999999998</v>
      </c>
      <c r="CS4" s="28">
        <f>COGS!CS4+'SG&amp;A'!CS4</f>
        <v>33.002035530000001</v>
      </c>
      <c r="CT4" s="28">
        <f>COGS!CT4+'SG&amp;A'!CT4</f>
        <v>44.230016489999997</v>
      </c>
      <c r="CU4" s="28">
        <f>COGS!CU4+'SG&amp;A'!CU4</f>
        <v>45.018552839999991</v>
      </c>
      <c r="CV4" s="28">
        <f>COGS!CV4+'SG&amp;A'!CV4</f>
        <v>58.390895609999987</v>
      </c>
      <c r="CW4" s="28">
        <f>COGS!CW4+'SG&amp;A'!CW4</f>
        <v>180.64150046999998</v>
      </c>
      <c r="CX4" s="28">
        <f>COGS!CX4+'SG&amp;A'!CX4</f>
        <v>42.338999999999999</v>
      </c>
      <c r="CY4" s="28">
        <f>COGS!CY4+'SG&amp;A'!CY4</f>
        <v>53.259</v>
      </c>
      <c r="CZ4" s="28">
        <f>COGS!CZ4+'SG&amp;A'!CZ4</f>
        <v>45.933</v>
      </c>
      <c r="DA4" s="28">
        <f>COGS!DA4+'SG&amp;A'!DA4</f>
        <v>50.477999999999994</v>
      </c>
      <c r="DB4" s="28">
        <f>COGS!DB4+'SG&amp;A'!DB4</f>
        <v>192.00899999999999</v>
      </c>
      <c r="DC4" s="28">
        <f>COGS!DC4+'SG&amp;A'!DC4</f>
        <v>45.591999999999999</v>
      </c>
      <c r="DD4" s="28">
        <f>COGS!DD4+'SG&amp;A'!DD4</f>
        <v>49.369</v>
      </c>
      <c r="DE4" s="28">
        <f>COGS!DE4+'SG&amp;A'!DE4</f>
        <v>47.396000000000001</v>
      </c>
      <c r="DF4" s="28">
        <f>COGS!DF4+'SG&amp;A'!DF4</f>
        <v>53.728000000000002</v>
      </c>
      <c r="DG4" s="28">
        <f>COGS!DG4+'SG&amp;A'!DG4</f>
        <v>196.08500000000001</v>
      </c>
      <c r="DH4" s="28">
        <f>COGS!DH4+'SG&amp;A'!DH4</f>
        <v>44.136000000000003</v>
      </c>
      <c r="DI4" s="28">
        <f>COGS!DI4+'SG&amp;A'!DI4</f>
        <v>50.484999999999999</v>
      </c>
      <c r="DJ4" s="28">
        <f>COGS!DJ4+'SG&amp;A'!DJ4</f>
        <v>50.424000000000007</v>
      </c>
      <c r="DK4" s="28">
        <f>COGS!DK4+'SG&amp;A'!DK4</f>
        <v>61.959000000000003</v>
      </c>
      <c r="DL4" s="28">
        <f>COGS!DL4+'SG&amp;A'!DL4</f>
        <v>207.00400000000002</v>
      </c>
      <c r="DM4" s="28">
        <f>COGS!DM4+'SG&amp;A'!DM4</f>
        <v>72.346000000000004</v>
      </c>
      <c r="DN4" s="28">
        <f>COGS!DN4+'SG&amp;A'!DN4</f>
        <v>81.066000000000003</v>
      </c>
      <c r="DO4" s="28">
        <f>COGS!DO4+'SG&amp;A'!DO4</f>
        <v>82.896000000000001</v>
      </c>
      <c r="DP4" s="28">
        <f>COGS!DP4+'SG&amp;A'!DP4</f>
        <v>88.346000000000004</v>
      </c>
      <c r="DQ4" s="28">
        <f>COGS!DQ4+'SG&amp;A'!DQ4</f>
        <v>324.654</v>
      </c>
      <c r="DR4" s="28">
        <f>COGS!DR4+'SG&amp;A'!DR4</f>
        <v>60.422999999999995</v>
      </c>
      <c r="DS4" s="28">
        <f>COGS!DS4+'SG&amp;A'!DS4</f>
        <v>61.4</v>
      </c>
      <c r="DT4" s="28">
        <f>COGS!DT4+'SG&amp;A'!DT4</f>
        <v>62.349000000000004</v>
      </c>
      <c r="DU4" s="28">
        <f>COGS!DU4+'SG&amp;A'!DU4</f>
        <v>62.707000000000001</v>
      </c>
      <c r="DV4" s="28">
        <f>COGS!DV4+'SG&amp;A'!DV4</f>
        <v>246.87899999999999</v>
      </c>
      <c r="DW4" s="28">
        <f>COGS!DW4+'SG&amp;A'!DW4</f>
        <v>66.741</v>
      </c>
      <c r="DX4" s="28">
        <f>COGS!DX4+'SG&amp;A'!DX4</f>
        <v>70.245059359999999</v>
      </c>
      <c r="DY4" s="28">
        <f>COGS!DY4+'SG&amp;A'!DY4</f>
        <v>68.863776929999972</v>
      </c>
      <c r="DZ4" s="28">
        <f>COGS!DZ4+'SG&amp;A'!DZ4</f>
        <v>71.481407759999996</v>
      </c>
      <c r="EA4" s="28">
        <f>COGS!EA4+'SG&amp;A'!EA4</f>
        <v>277.33124404999995</v>
      </c>
      <c r="EB4" s="28">
        <f>COGS!EB4+'SG&amp;A'!EB4</f>
        <v>82.030402710000004</v>
      </c>
      <c r="EC4" s="28">
        <f>COGS!EC4+'SG&amp;A'!EC4</f>
        <v>80.458805659999996</v>
      </c>
      <c r="ED4" s="28">
        <f>COGS!ED4+'SG&amp;A'!ED4</f>
        <v>86.603999999999999</v>
      </c>
      <c r="EE4" s="28">
        <f>COGS!EE4+'SG&amp;A'!EE4</f>
        <v>88.36902766</v>
      </c>
      <c r="EF4" s="28">
        <f>COGS!EF4+'SG&amp;A'!EF4</f>
        <v>337.46223602999999</v>
      </c>
      <c r="EG4" s="28">
        <f>COGS!EG4+'SG&amp;A'!EG4</f>
        <v>100.94581726999999</v>
      </c>
      <c r="EH4" s="28">
        <f>COGS!EH4+'SG&amp;A'!EH4</f>
        <v>96.216207889999993</v>
      </c>
      <c r="EI4" s="28">
        <f>COGS!EI4+'SG&amp;A'!EI4</f>
        <v>95.198492919999993</v>
      </c>
    </row>
    <row r="5" spans="1:139" ht="15" thickTop="1" x14ac:dyDescent="0.3">
      <c r="A5" s="1" t="s">
        <v>442</v>
      </c>
      <c r="B5" s="27">
        <f>COGS!B5+'SG&amp;A'!B5</f>
        <v>0</v>
      </c>
      <c r="C5" s="27">
        <f>COGS!C5+'SG&amp;A'!C5</f>
        <v>0</v>
      </c>
      <c r="D5" s="27">
        <f>COGS!D5+'SG&amp;A'!D5</f>
        <v>0</v>
      </c>
      <c r="E5" s="27">
        <f>COGS!E5+'SG&amp;A'!E5</f>
        <v>0</v>
      </c>
      <c r="F5" s="27">
        <f>COGS!F5+'SG&amp;A'!F5</f>
        <v>0</v>
      </c>
      <c r="G5" s="27">
        <f>COGS!G5+'SG&amp;A'!G5</f>
        <v>0</v>
      </c>
      <c r="H5" s="27">
        <f>COGS!H5+'SG&amp;A'!H5</f>
        <v>0</v>
      </c>
      <c r="I5" s="27">
        <f>COGS!I5+'SG&amp;A'!I5</f>
        <v>0</v>
      </c>
      <c r="J5" s="27">
        <f>COGS!J5+'SG&amp;A'!J5</f>
        <v>0</v>
      </c>
      <c r="K5" s="27">
        <f>COGS!K5+'SG&amp;A'!K5</f>
        <v>0</v>
      </c>
      <c r="L5" s="27">
        <f>COGS!L5+'SG&amp;A'!L5</f>
        <v>0</v>
      </c>
      <c r="M5" s="27">
        <f>COGS!M5+'SG&amp;A'!M5</f>
        <v>0</v>
      </c>
      <c r="N5" s="27">
        <f>COGS!N5+'SG&amp;A'!N5</f>
        <v>0</v>
      </c>
      <c r="O5" s="27">
        <f>COGS!O5+'SG&amp;A'!O5</f>
        <v>0</v>
      </c>
      <c r="P5" s="27">
        <f>COGS!P5+'SG&amp;A'!P5</f>
        <v>0</v>
      </c>
      <c r="Q5" s="27">
        <f>COGS!Q5+'SG&amp;A'!Q5</f>
        <v>0</v>
      </c>
      <c r="R5" s="27">
        <f>COGS!R5+'SG&amp;A'!R5</f>
        <v>0</v>
      </c>
      <c r="S5" s="27">
        <f>COGS!S5+'SG&amp;A'!S5</f>
        <v>0</v>
      </c>
      <c r="T5" s="27">
        <f>COGS!T5+'SG&amp;A'!T5</f>
        <v>0</v>
      </c>
      <c r="U5" s="27">
        <f>COGS!U5+'SG&amp;A'!U5</f>
        <v>0</v>
      </c>
      <c r="V5" s="27">
        <f>COGS!V5+'SG&amp;A'!V5</f>
        <v>0</v>
      </c>
      <c r="W5" s="27">
        <f>COGS!W5+'SG&amp;A'!W5</f>
        <v>0</v>
      </c>
      <c r="X5" s="27">
        <f>COGS!X5+'SG&amp;A'!X5</f>
        <v>0</v>
      </c>
      <c r="Y5" s="27">
        <f>COGS!Y5+'SG&amp;A'!Y5</f>
        <v>0</v>
      </c>
      <c r="Z5" s="27">
        <f>COGS!Z5+'SG&amp;A'!Z5</f>
        <v>0</v>
      </c>
      <c r="AA5" s="27">
        <f>COGS!AA5+'SG&amp;A'!AA5</f>
        <v>0</v>
      </c>
      <c r="AB5" s="27">
        <f>COGS!AB5+'SG&amp;A'!AB5</f>
        <v>0</v>
      </c>
      <c r="AC5" s="27">
        <f>COGS!AC5+'SG&amp;A'!AC5</f>
        <v>0</v>
      </c>
      <c r="AD5" s="27">
        <f>COGS!AD5+'SG&amp;A'!AD5</f>
        <v>0</v>
      </c>
      <c r="AE5" s="27">
        <f>COGS!AE5+'SG&amp;A'!AE5</f>
        <v>0</v>
      </c>
      <c r="AF5" s="27">
        <f>COGS!AF5+'SG&amp;A'!AF5</f>
        <v>0</v>
      </c>
      <c r="AG5" s="27">
        <f>COGS!AG5+'SG&amp;A'!AG5</f>
        <v>0</v>
      </c>
      <c r="AH5" s="27">
        <f>COGS!AH5+'SG&amp;A'!AH5</f>
        <v>0</v>
      </c>
      <c r="AI5" s="27">
        <f>COGS!AI5+'SG&amp;A'!AI5</f>
        <v>0</v>
      </c>
      <c r="AJ5" s="27">
        <f>COGS!AJ5+'SG&amp;A'!AJ5</f>
        <v>0</v>
      </c>
      <c r="AK5" s="27">
        <f>COGS!AK5+'SG&amp;A'!AK5</f>
        <v>0</v>
      </c>
      <c r="AL5" s="27">
        <f>COGS!AL5+'SG&amp;A'!AL5</f>
        <v>0</v>
      </c>
      <c r="AM5" s="27">
        <f>COGS!AM5+'SG&amp;A'!AM5</f>
        <v>0</v>
      </c>
      <c r="AN5" s="27">
        <f>COGS!AN5+'SG&amp;A'!AN5</f>
        <v>0</v>
      </c>
      <c r="AO5" s="27">
        <f>COGS!AO5+'SG&amp;A'!AO5</f>
        <v>0</v>
      </c>
      <c r="AP5" s="27">
        <f>COGS!AP5+'SG&amp;A'!AP5</f>
        <v>0</v>
      </c>
      <c r="AQ5" s="27">
        <f>COGS!AQ5+'SG&amp;A'!AQ5</f>
        <v>0</v>
      </c>
      <c r="AR5" s="27">
        <f>COGS!AR5+'SG&amp;A'!AR5</f>
        <v>0</v>
      </c>
      <c r="AS5" s="27">
        <f>COGS!AS5+'SG&amp;A'!AS5</f>
        <v>0</v>
      </c>
      <c r="AT5" s="27">
        <f>COGS!AT5+'SG&amp;A'!AT5</f>
        <v>0</v>
      </c>
      <c r="AU5" s="27">
        <f>COGS!AU5+'SG&amp;A'!AU5</f>
        <v>0</v>
      </c>
      <c r="AV5" s="27">
        <f>COGS!AV5+'SG&amp;A'!AV5</f>
        <v>0</v>
      </c>
      <c r="AW5" s="27">
        <f>COGS!AW5+'SG&amp;A'!AW5</f>
        <v>0</v>
      </c>
      <c r="AX5" s="27">
        <f>COGS!AX5+'SG&amp;A'!AX5</f>
        <v>0</v>
      </c>
      <c r="AY5" s="27">
        <f>COGS!AY5+'SG&amp;A'!AY5</f>
        <v>0</v>
      </c>
      <c r="AZ5" s="27">
        <f>COGS!AZ5+'SG&amp;A'!AZ5</f>
        <v>0</v>
      </c>
      <c r="BA5" s="27">
        <f>COGS!BA5+'SG&amp;A'!BA5</f>
        <v>0</v>
      </c>
      <c r="BB5" s="27">
        <f>COGS!BB5+'SG&amp;A'!BB5</f>
        <v>0</v>
      </c>
      <c r="BC5" s="27">
        <f>COGS!BC5+'SG&amp;A'!BC5</f>
        <v>0</v>
      </c>
      <c r="BD5" s="27">
        <f>COGS!BD5+'SG&amp;A'!BD5</f>
        <v>0</v>
      </c>
      <c r="BE5" s="27">
        <f>COGS!BE5+'SG&amp;A'!BE5</f>
        <v>0</v>
      </c>
      <c r="BF5" s="27">
        <f>COGS!BF5+'SG&amp;A'!BF5</f>
        <v>0</v>
      </c>
      <c r="BG5" s="27">
        <f>COGS!BG5+'SG&amp;A'!BG5</f>
        <v>0</v>
      </c>
      <c r="BH5" s="27">
        <f>COGS!BH5+'SG&amp;A'!BH5</f>
        <v>0</v>
      </c>
      <c r="BI5" s="27">
        <f>COGS!BI5+'SG&amp;A'!BI5</f>
        <v>0</v>
      </c>
      <c r="BJ5" s="27">
        <f>COGS!BJ5+'SG&amp;A'!BJ5</f>
        <v>59.127326890000006</v>
      </c>
      <c r="BK5" s="27">
        <f>COGS!BK5+'SG&amp;A'!BK5</f>
        <v>64.924909710000009</v>
      </c>
      <c r="BL5" s="27">
        <f>COGS!BL5+'SG&amp;A'!BL5</f>
        <v>73.936501160000006</v>
      </c>
      <c r="BM5" s="27">
        <f>COGS!BM5+'SG&amp;A'!BM5</f>
        <v>82.512492409999993</v>
      </c>
      <c r="BN5" s="27">
        <f>COGS!BN5+'SG&amp;A'!BN5</f>
        <v>280.50123016999999</v>
      </c>
      <c r="BO5" s="27">
        <f>COGS!BO5+'SG&amp;A'!BO5</f>
        <v>75.453729019999997</v>
      </c>
      <c r="BP5" s="27">
        <f>COGS!BP5+'SG&amp;A'!BP5</f>
        <v>86.290386959999992</v>
      </c>
      <c r="BQ5" s="27">
        <f>COGS!BQ5+'SG&amp;A'!BQ5</f>
        <v>93.810087180000011</v>
      </c>
      <c r="BR5" s="27">
        <f>COGS!BR5+'SG&amp;A'!BR5</f>
        <v>96.090991269999989</v>
      </c>
      <c r="BS5" s="27">
        <f>COGS!BS5+'SG&amp;A'!BS5</f>
        <v>351.64519443</v>
      </c>
      <c r="BT5" s="27">
        <f>COGS!BT5+'SG&amp;A'!BT5</f>
        <v>77.857988410000004</v>
      </c>
      <c r="BU5" s="27">
        <f>COGS!BU5+'SG&amp;A'!BU5</f>
        <v>80.416688049999991</v>
      </c>
      <c r="BV5" s="27">
        <f>COGS!BV5+'SG&amp;A'!BV5</f>
        <v>102.90501386999998</v>
      </c>
      <c r="BW5" s="27">
        <f>COGS!BW5+'SG&amp;A'!BW5</f>
        <v>116.88368777000001</v>
      </c>
      <c r="BX5" s="27">
        <f>COGS!BX5+'SG&amp;A'!BX5</f>
        <v>378.06337809999997</v>
      </c>
      <c r="BY5" s="27">
        <f>COGS!BY5+'SG&amp;A'!BY5</f>
        <v>90.89198952000001</v>
      </c>
      <c r="BZ5" s="27">
        <f>COGS!BZ5+'SG&amp;A'!BZ5</f>
        <v>119.31706367000002</v>
      </c>
      <c r="CA5" s="27">
        <f>COGS!CA5+'SG&amp;A'!CA5</f>
        <v>123.31378138999997</v>
      </c>
      <c r="CB5" s="27">
        <f>COGS!CB5+'SG&amp;A'!CB5</f>
        <v>184.25708183</v>
      </c>
      <c r="CC5" s="27">
        <f>COGS!CC5+'SG&amp;A'!CC5</f>
        <v>517.77991640999994</v>
      </c>
      <c r="CD5" s="27">
        <f>COGS!CD5+'SG&amp;A'!CD5</f>
        <v>128.22050859000001</v>
      </c>
      <c r="CE5" s="27">
        <f>COGS!CE5+'SG&amp;A'!CE5</f>
        <v>211.49346356000007</v>
      </c>
      <c r="CF5" s="27">
        <f>COGS!CF5+'SG&amp;A'!CF5</f>
        <v>152.57586244999999</v>
      </c>
      <c r="CG5" s="27">
        <f>COGS!CG5+'SG&amp;A'!CG5</f>
        <v>167.01613791</v>
      </c>
      <c r="CH5" s="27">
        <f>COGS!CH5+'SG&amp;A'!CH5</f>
        <v>659.30597251000006</v>
      </c>
      <c r="CI5" s="27">
        <f>COGS!CI5+'SG&amp;A'!CI5</f>
        <v>104.86138987</v>
      </c>
      <c r="CJ5" s="27">
        <f>COGS!CJ5+'SG&amp;A'!CJ5</f>
        <v>105.69710101999999</v>
      </c>
      <c r="CK5" s="27">
        <f>COGS!CK5+'SG&amp;A'!CK5</f>
        <v>108.53655880000001</v>
      </c>
      <c r="CL5" s="27">
        <f>COGS!CL5+'SG&amp;A'!CL5</f>
        <v>109.51513057999999</v>
      </c>
      <c r="CM5" s="27">
        <f>COGS!CM5+'SG&amp;A'!CM5</f>
        <v>428.61018027</v>
      </c>
      <c r="CN5" s="27">
        <f>COGS!CN5+'SG&amp;A'!CN5</f>
        <v>92.172082879999991</v>
      </c>
      <c r="CO5" s="27">
        <f>COGS!CO5+'SG&amp;A'!CO5</f>
        <v>109.24679533999999</v>
      </c>
      <c r="CP5" s="27">
        <f>COGS!CP5+'SG&amp;A'!CP5</f>
        <v>117.23818703999999</v>
      </c>
      <c r="CQ5" s="27">
        <f>COGS!CQ5+'SG&amp;A'!CQ5</f>
        <v>110.75793474000007</v>
      </c>
      <c r="CR5" s="27">
        <f>COGS!CR5+'SG&amp;A'!CR5</f>
        <v>429.41500000000002</v>
      </c>
      <c r="CS5" s="27">
        <f>COGS!CS5+'SG&amp;A'!CS5</f>
        <v>95.956891769999999</v>
      </c>
      <c r="CT5" s="27">
        <f>COGS!CT5+'SG&amp;A'!CT5</f>
        <v>101.45615952</v>
      </c>
      <c r="CU5" s="27">
        <f>COGS!CU5+'SG&amp;A'!CU5</f>
        <v>116.43818148</v>
      </c>
      <c r="CV5" s="27">
        <f>COGS!CV5+'SG&amp;A'!CV5</f>
        <v>117.69648451999998</v>
      </c>
      <c r="CW5" s="27">
        <f>COGS!CW5+'SG&amp;A'!CW5</f>
        <v>431.54771728999998</v>
      </c>
      <c r="CX5" s="27">
        <f>COGS!CX5+'SG&amp;A'!CX5</f>
        <v>116.557</v>
      </c>
      <c r="CY5" s="27">
        <f>COGS!CY5+'SG&amp;A'!CY5</f>
        <v>101.64399999999999</v>
      </c>
      <c r="CZ5" s="27">
        <f>COGS!CZ5+'SG&amp;A'!CZ5</f>
        <v>124.25700000000001</v>
      </c>
      <c r="DA5" s="27">
        <f>COGS!DA5+'SG&amp;A'!DA5</f>
        <v>105.58500000000001</v>
      </c>
      <c r="DB5" s="27">
        <f>COGS!DB5+'SG&amp;A'!DB5</f>
        <v>448.04300000000001</v>
      </c>
      <c r="DC5" s="27">
        <f>COGS!DC5+'SG&amp;A'!DC5</f>
        <v>123.581</v>
      </c>
      <c r="DD5" s="27">
        <f>COGS!DD5+'SG&amp;A'!DD5</f>
        <v>132.476</v>
      </c>
      <c r="DE5" s="27">
        <f>COGS!DE5+'SG&amp;A'!DE5</f>
        <v>142.89400000000001</v>
      </c>
      <c r="DF5" s="27">
        <f>COGS!DF5+'SG&amp;A'!DF5</f>
        <v>120.25700000000001</v>
      </c>
      <c r="DG5" s="27">
        <f>COGS!DG5+'SG&amp;A'!DG5</f>
        <v>519.20799999999997</v>
      </c>
      <c r="DH5" s="27">
        <f>COGS!DH5+'SG&amp;A'!DH5</f>
        <v>119.24600000000001</v>
      </c>
      <c r="DI5" s="27">
        <f>COGS!DI5+'SG&amp;A'!DI5</f>
        <v>101.771</v>
      </c>
      <c r="DJ5" s="27">
        <f>COGS!DJ5+'SG&amp;A'!DJ5</f>
        <v>111.062</v>
      </c>
      <c r="DK5" s="27">
        <f>COGS!DK5+'SG&amp;A'!DK5</f>
        <v>62.088999999999999</v>
      </c>
      <c r="DL5" s="27">
        <f>COGS!DL5+'SG&amp;A'!DL5</f>
        <v>394.16800000000001</v>
      </c>
      <c r="DM5" s="27">
        <f>COGS!DM5+'SG&amp;A'!DM5</f>
        <v>93.804000000000002</v>
      </c>
      <c r="DN5" s="27">
        <f>COGS!DN5+'SG&amp;A'!DN5</f>
        <v>95.308999999999997</v>
      </c>
      <c r="DO5" s="27">
        <f>COGS!DO5+'SG&amp;A'!DO5</f>
        <v>107.364</v>
      </c>
      <c r="DP5" s="27">
        <f>COGS!DP5+'SG&amp;A'!DP5</f>
        <v>86.467999999999989</v>
      </c>
      <c r="DQ5" s="27">
        <f>COGS!DQ5+'SG&amp;A'!DQ5</f>
        <v>382.94500000000005</v>
      </c>
      <c r="DR5" s="27">
        <f>COGS!DR5+'SG&amp;A'!DR5</f>
        <v>122.54499999999999</v>
      </c>
      <c r="DS5" s="27">
        <f>COGS!DS5+'SG&amp;A'!DS5</f>
        <v>137.511</v>
      </c>
      <c r="DT5" s="27">
        <f>COGS!DT5+'SG&amp;A'!DT5</f>
        <v>167.58599999999998</v>
      </c>
      <c r="DU5" s="27">
        <f>COGS!DU5+'SG&amp;A'!DU5</f>
        <v>161.57600000000002</v>
      </c>
      <c r="DV5" s="27">
        <f>COGS!DV5+'SG&amp;A'!DV5</f>
        <v>589.21799999999996</v>
      </c>
      <c r="DW5" s="27">
        <f>COGS!DW5+'SG&amp;A'!DW5</f>
        <v>161.38999999999999</v>
      </c>
      <c r="DX5" s="27">
        <f>COGS!DX5+'SG&amp;A'!DX5</f>
        <v>196.72290447999998</v>
      </c>
      <c r="DY5" s="27">
        <f>COGS!DY5+'SG&amp;A'!DY5</f>
        <v>194.81172452999996</v>
      </c>
      <c r="DZ5" s="27">
        <f>COGS!DZ5+'SG&amp;A'!DZ5</f>
        <v>191.81244504</v>
      </c>
      <c r="EA5" s="27">
        <f>COGS!EA5+'SG&amp;A'!EA5</f>
        <v>744.73707404999993</v>
      </c>
      <c r="EB5" s="27">
        <f>COGS!EB5+'SG&amp;A'!EB5</f>
        <v>157.05589309000001</v>
      </c>
      <c r="EC5" s="27">
        <f>COGS!EC5+'SG&amp;A'!EC5</f>
        <v>202.75704943</v>
      </c>
      <c r="ED5" s="27">
        <f>COGS!ED5+'SG&amp;A'!ED5</f>
        <v>195.583</v>
      </c>
      <c r="EE5" s="27">
        <f>COGS!EE5+'SG&amp;A'!EE5</f>
        <v>212.03237084999995</v>
      </c>
      <c r="EF5" s="27">
        <f>COGS!EF5+'SG&amp;A'!EF5</f>
        <v>767.42831337000007</v>
      </c>
      <c r="EG5" s="27">
        <f>COGS!EG5+'SG&amp;A'!EG5</f>
        <v>181.95015586</v>
      </c>
      <c r="EH5" s="27">
        <f>COGS!EH5+'SG&amp;A'!EH5</f>
        <v>216.02332599999997</v>
      </c>
      <c r="EI5" s="27">
        <f>COGS!EI5+'SG&amp;A'!EI5</f>
        <v>239.29442372000003</v>
      </c>
    </row>
    <row r="6" spans="1:139" ht="15" thickBot="1" x14ac:dyDescent="0.35">
      <c r="A6" s="2" t="s">
        <v>3</v>
      </c>
      <c r="B6" s="28">
        <f>COGS!B6+'SG&amp;A'!B6</f>
        <v>0</v>
      </c>
      <c r="C6" s="28">
        <f>COGS!C6+'SG&amp;A'!C6</f>
        <v>0</v>
      </c>
      <c r="D6" s="28">
        <f>COGS!D6+'SG&amp;A'!D6</f>
        <v>0</v>
      </c>
      <c r="E6" s="28">
        <f>COGS!E6+'SG&amp;A'!E6</f>
        <v>0</v>
      </c>
      <c r="F6" s="28">
        <f>COGS!F6+'SG&amp;A'!F6</f>
        <v>0</v>
      </c>
      <c r="G6" s="28">
        <f>COGS!G6+'SG&amp;A'!G6</f>
        <v>0</v>
      </c>
      <c r="H6" s="28">
        <f>COGS!H6+'SG&amp;A'!H6</f>
        <v>0</v>
      </c>
      <c r="I6" s="28">
        <f>COGS!I6+'SG&amp;A'!I6</f>
        <v>0</v>
      </c>
      <c r="J6" s="28">
        <f>COGS!J6+'SG&amp;A'!J6</f>
        <v>0</v>
      </c>
      <c r="K6" s="28">
        <f>COGS!K6+'SG&amp;A'!K6</f>
        <v>0</v>
      </c>
      <c r="L6" s="28">
        <f>COGS!L6+'SG&amp;A'!L6</f>
        <v>0</v>
      </c>
      <c r="M6" s="28">
        <f>COGS!M6+'SG&amp;A'!M6</f>
        <v>0</v>
      </c>
      <c r="N6" s="28">
        <f>COGS!N6+'SG&amp;A'!N6</f>
        <v>0</v>
      </c>
      <c r="O6" s="28">
        <f>COGS!O6+'SG&amp;A'!O6</f>
        <v>0</v>
      </c>
      <c r="P6" s="28">
        <f>COGS!P6+'SG&amp;A'!P6</f>
        <v>0</v>
      </c>
      <c r="Q6" s="28">
        <f>COGS!Q6+'SG&amp;A'!Q6</f>
        <v>0</v>
      </c>
      <c r="R6" s="28">
        <f>COGS!R6+'SG&amp;A'!R6</f>
        <v>0</v>
      </c>
      <c r="S6" s="28">
        <f>COGS!S6+'SG&amp;A'!S6</f>
        <v>0</v>
      </c>
      <c r="T6" s="28">
        <f>COGS!T6+'SG&amp;A'!T6</f>
        <v>0</v>
      </c>
      <c r="U6" s="28">
        <f>COGS!U6+'SG&amp;A'!U6</f>
        <v>0</v>
      </c>
      <c r="V6" s="28">
        <f>COGS!V6+'SG&amp;A'!V6</f>
        <v>0</v>
      </c>
      <c r="W6" s="28">
        <f>COGS!W6+'SG&amp;A'!W6</f>
        <v>0</v>
      </c>
      <c r="X6" s="28">
        <f>COGS!X6+'SG&amp;A'!X6</f>
        <v>0</v>
      </c>
      <c r="Y6" s="28">
        <f>COGS!Y6+'SG&amp;A'!Y6</f>
        <v>0</v>
      </c>
      <c r="Z6" s="28">
        <f>COGS!Z6+'SG&amp;A'!Z6</f>
        <v>0</v>
      </c>
      <c r="AA6" s="28">
        <f>COGS!AA6+'SG&amp;A'!AA6</f>
        <v>0</v>
      </c>
      <c r="AB6" s="28">
        <f>COGS!AB6+'SG&amp;A'!AB6</f>
        <v>0</v>
      </c>
      <c r="AC6" s="28">
        <f>COGS!AC6+'SG&amp;A'!AC6</f>
        <v>0</v>
      </c>
      <c r="AD6" s="28">
        <f>COGS!AD6+'SG&amp;A'!AD6</f>
        <v>0</v>
      </c>
      <c r="AE6" s="28">
        <f>COGS!AE6+'SG&amp;A'!AE6</f>
        <v>0</v>
      </c>
      <c r="AF6" s="28">
        <f>COGS!AF6+'SG&amp;A'!AF6</f>
        <v>0</v>
      </c>
      <c r="AG6" s="28">
        <f>COGS!AG6+'SG&amp;A'!AG6</f>
        <v>0</v>
      </c>
      <c r="AH6" s="28">
        <f>COGS!AH6+'SG&amp;A'!AH6</f>
        <v>0</v>
      </c>
      <c r="AI6" s="28">
        <f>COGS!AI6+'SG&amp;A'!AI6</f>
        <v>0</v>
      </c>
      <c r="AJ6" s="28">
        <f>COGS!AJ6+'SG&amp;A'!AJ6</f>
        <v>0</v>
      </c>
      <c r="AK6" s="28">
        <f>COGS!AK6+'SG&amp;A'!AK6</f>
        <v>0</v>
      </c>
      <c r="AL6" s="28">
        <f>COGS!AL6+'SG&amp;A'!AL6</f>
        <v>0</v>
      </c>
      <c r="AM6" s="28">
        <f>COGS!AM6+'SG&amp;A'!AM6</f>
        <v>0</v>
      </c>
      <c r="AN6" s="28">
        <f>COGS!AN6+'SG&amp;A'!AN6</f>
        <v>0</v>
      </c>
      <c r="AO6" s="28">
        <f>COGS!AO6+'SG&amp;A'!AO6</f>
        <v>0</v>
      </c>
      <c r="AP6" s="28">
        <f>COGS!AP6+'SG&amp;A'!AP6</f>
        <v>0</v>
      </c>
      <c r="AQ6" s="28">
        <f>COGS!AQ6+'SG&amp;A'!AQ6</f>
        <v>0</v>
      </c>
      <c r="AR6" s="28">
        <f>COGS!AR6+'SG&amp;A'!AR6</f>
        <v>0</v>
      </c>
      <c r="AS6" s="28">
        <f>COGS!AS6+'SG&amp;A'!AS6</f>
        <v>0</v>
      </c>
      <c r="AT6" s="28">
        <f>COGS!AT6+'SG&amp;A'!AT6</f>
        <v>0</v>
      </c>
      <c r="AU6" s="28">
        <f>COGS!AU6+'SG&amp;A'!AU6</f>
        <v>0</v>
      </c>
      <c r="AV6" s="28">
        <f>COGS!AV6+'SG&amp;A'!AV6</f>
        <v>0</v>
      </c>
      <c r="AW6" s="28">
        <f>COGS!AW6+'SG&amp;A'!AW6</f>
        <v>0</v>
      </c>
      <c r="AX6" s="28">
        <f>COGS!AX6+'SG&amp;A'!AX6</f>
        <v>0</v>
      </c>
      <c r="AY6" s="28">
        <f>COGS!AY6+'SG&amp;A'!AY6</f>
        <v>0</v>
      </c>
      <c r="AZ6" s="28">
        <f>COGS!AZ6+'SG&amp;A'!AZ6</f>
        <v>0</v>
      </c>
      <c r="BA6" s="28">
        <f>COGS!BA6+'SG&amp;A'!BA6</f>
        <v>0</v>
      </c>
      <c r="BB6" s="28">
        <f>COGS!BB6+'SG&amp;A'!BB6</f>
        <v>0</v>
      </c>
      <c r="BC6" s="28">
        <f>COGS!BC6+'SG&amp;A'!BC6</f>
        <v>0</v>
      </c>
      <c r="BD6" s="28">
        <f>COGS!BD6+'SG&amp;A'!BD6</f>
        <v>0</v>
      </c>
      <c r="BE6" s="28">
        <f>COGS!BE6+'SG&amp;A'!BE6</f>
        <v>0</v>
      </c>
      <c r="BF6" s="28">
        <f>COGS!BF6+'SG&amp;A'!BF6</f>
        <v>0</v>
      </c>
      <c r="BG6" s="28">
        <f>COGS!BG6+'SG&amp;A'!BG6</f>
        <v>0</v>
      </c>
      <c r="BH6" s="28">
        <f>COGS!BH6+'SG&amp;A'!BH6</f>
        <v>0</v>
      </c>
      <c r="BI6" s="28">
        <f>COGS!BI6+'SG&amp;A'!BI6</f>
        <v>0</v>
      </c>
      <c r="BJ6" s="28">
        <f>COGS!BJ6+'SG&amp;A'!BJ6</f>
        <v>21.059037310000001</v>
      </c>
      <c r="BK6" s="28">
        <f>COGS!BK6+'SG&amp;A'!BK6</f>
        <v>22.484293590000004</v>
      </c>
      <c r="BL6" s="28">
        <f>COGS!BL6+'SG&amp;A'!BL6</f>
        <v>21.93289575</v>
      </c>
      <c r="BM6" s="28">
        <f>COGS!BM6+'SG&amp;A'!BM6</f>
        <v>34.754562089999993</v>
      </c>
      <c r="BN6" s="28">
        <f>COGS!BN6+'SG&amp;A'!BN6</f>
        <v>100.23078874000001</v>
      </c>
      <c r="BO6" s="28">
        <f>COGS!BO6+'SG&amp;A'!BO6</f>
        <v>30.65402804</v>
      </c>
      <c r="BP6" s="28">
        <f>COGS!BP6+'SG&amp;A'!BP6</f>
        <v>32.835604359999998</v>
      </c>
      <c r="BQ6" s="28">
        <f>COGS!BQ6+'SG&amp;A'!BQ6</f>
        <v>30.151187949999997</v>
      </c>
      <c r="BR6" s="28">
        <f>COGS!BR6+'SG&amp;A'!BR6</f>
        <v>36.430024229999994</v>
      </c>
      <c r="BS6" s="28">
        <f>COGS!BS6+'SG&amp;A'!BS6</f>
        <v>130.07084458</v>
      </c>
      <c r="BT6" s="28">
        <f>COGS!BT6+'SG&amp;A'!BT6</f>
        <v>44.393246169999998</v>
      </c>
      <c r="BU6" s="28">
        <f>COGS!BU6+'SG&amp;A'!BU6</f>
        <v>35.246510239999992</v>
      </c>
      <c r="BV6" s="28">
        <f>COGS!BV6+'SG&amp;A'!BV6</f>
        <v>39.821196039999997</v>
      </c>
      <c r="BW6" s="28">
        <f>COGS!BW6+'SG&amp;A'!BW6</f>
        <v>66.930703530000017</v>
      </c>
      <c r="BX6" s="28">
        <f>COGS!BX6+'SG&amp;A'!BX6</f>
        <v>186.39165598</v>
      </c>
      <c r="BY6" s="28">
        <f>COGS!BY6+'SG&amp;A'!BY6</f>
        <v>39.240357610000004</v>
      </c>
      <c r="BZ6" s="28">
        <f>COGS!BZ6+'SG&amp;A'!BZ6</f>
        <v>50.506415709999999</v>
      </c>
      <c r="CA6" s="28">
        <f>COGS!CA6+'SG&amp;A'!CA6</f>
        <v>41.488429659999987</v>
      </c>
      <c r="CB6" s="28">
        <f>COGS!CB6+'SG&amp;A'!CB6</f>
        <v>39.559707250000002</v>
      </c>
      <c r="CC6" s="28">
        <f>COGS!CC6+'SG&amp;A'!CC6</f>
        <v>170.79491022999997</v>
      </c>
      <c r="CD6" s="28">
        <f>COGS!CD6+'SG&amp;A'!CD6</f>
        <v>38.12087313</v>
      </c>
      <c r="CE6" s="28">
        <f>COGS!CE6+'SG&amp;A'!CE6</f>
        <v>46.247148299999992</v>
      </c>
      <c r="CF6" s="28">
        <f>COGS!CF6+'SG&amp;A'!CF6</f>
        <v>41.837727719999997</v>
      </c>
      <c r="CG6" s="28">
        <f>COGS!CG6+'SG&amp;A'!CG6</f>
        <v>57.416118000000012</v>
      </c>
      <c r="CH6" s="28">
        <f>COGS!CH6+'SG&amp;A'!CH6</f>
        <v>183.62186715000001</v>
      </c>
      <c r="CI6" s="28">
        <f>COGS!CI6+'SG&amp;A'!CI6</f>
        <v>39.835632369999999</v>
      </c>
      <c r="CJ6" s="28">
        <f>COGS!CJ6+'SG&amp;A'!CJ6</f>
        <v>44.093279369999991</v>
      </c>
      <c r="CK6" s="28">
        <f>COGS!CK6+'SG&amp;A'!CK6</f>
        <v>51.335798859999983</v>
      </c>
      <c r="CL6" s="28">
        <f>COGS!CL6+'SG&amp;A'!CL6</f>
        <v>56.490805760000015</v>
      </c>
      <c r="CM6" s="28">
        <f>COGS!CM6+'SG&amp;A'!CM6</f>
        <v>191.75551636</v>
      </c>
      <c r="CN6" s="28">
        <f>COGS!CN6+'SG&amp;A'!CN6</f>
        <v>41.912435140000007</v>
      </c>
      <c r="CO6" s="28">
        <f>COGS!CO6+'SG&amp;A'!CO6</f>
        <v>47.872721260000006</v>
      </c>
      <c r="CP6" s="28">
        <f>COGS!CP6+'SG&amp;A'!CP6</f>
        <v>52.829361750000011</v>
      </c>
      <c r="CQ6" s="28">
        <f>COGS!CQ6+'SG&amp;A'!CQ6</f>
        <v>44.988481849999957</v>
      </c>
      <c r="CR6" s="28">
        <f>COGS!CR6+'SG&amp;A'!CR6</f>
        <v>187.60299999999998</v>
      </c>
      <c r="CS6" s="28">
        <f>COGS!CS6+'SG&amp;A'!CS6</f>
        <v>48.648765159999996</v>
      </c>
      <c r="CT6" s="28">
        <f>COGS!CT6+'SG&amp;A'!CT6</f>
        <v>46.713166260000001</v>
      </c>
      <c r="CU6" s="28">
        <f>COGS!CU6+'SG&amp;A'!CU6</f>
        <v>59.360931739999991</v>
      </c>
      <c r="CV6" s="28">
        <f>COGS!CV6+'SG&amp;A'!CV6</f>
        <v>82.493508599999984</v>
      </c>
      <c r="CW6" s="28">
        <f>COGS!CW6+'SG&amp;A'!CW6</f>
        <v>237.21637175999996</v>
      </c>
      <c r="CX6" s="28">
        <f>COGS!CX6+'SG&amp;A'!CX6</f>
        <v>60.628</v>
      </c>
      <c r="CY6" s="28">
        <f>COGS!CY6+'SG&amp;A'!CY6</f>
        <v>64.082999999999998</v>
      </c>
      <c r="CZ6" s="28">
        <f>COGS!CZ6+'SG&amp;A'!CZ6</f>
        <v>65.168999999999997</v>
      </c>
      <c r="DA6" s="28">
        <f>COGS!DA6+'SG&amp;A'!DA6</f>
        <v>106.17700000000001</v>
      </c>
      <c r="DB6" s="28">
        <f>COGS!DB6+'SG&amp;A'!DB6</f>
        <v>296.05699999999996</v>
      </c>
      <c r="DC6" s="28">
        <f>COGS!DC6+'SG&amp;A'!DC6</f>
        <v>49.133000000000003</v>
      </c>
      <c r="DD6" s="28">
        <f>COGS!DD6+'SG&amp;A'!DD6</f>
        <v>49.717999999999996</v>
      </c>
      <c r="DE6" s="28">
        <f>COGS!DE6+'SG&amp;A'!DE6</f>
        <v>55.684999999999995</v>
      </c>
      <c r="DF6" s="28">
        <f>COGS!DF6+'SG&amp;A'!DF6</f>
        <v>83.872</v>
      </c>
      <c r="DG6" s="28">
        <f>COGS!DG6+'SG&amp;A'!DG6</f>
        <v>238.40799999999999</v>
      </c>
      <c r="DH6" s="28">
        <f>COGS!DH6+'SG&amp;A'!DH6</f>
        <v>48.443999999999996</v>
      </c>
      <c r="DI6" s="28">
        <f>COGS!DI6+'SG&amp;A'!DI6</f>
        <v>49.427999999999997</v>
      </c>
      <c r="DJ6" s="28">
        <f>COGS!DJ6+'SG&amp;A'!DJ6</f>
        <v>51.644999999999996</v>
      </c>
      <c r="DK6" s="28">
        <f>COGS!DK6+'SG&amp;A'!DK6</f>
        <v>72.995000000000005</v>
      </c>
      <c r="DL6" s="28">
        <f>COGS!DL6+'SG&amp;A'!DL6</f>
        <v>222.51199999999997</v>
      </c>
      <c r="DM6" s="28">
        <f>COGS!DM6+'SG&amp;A'!DM6</f>
        <v>66.501999999999995</v>
      </c>
      <c r="DN6" s="28">
        <f>COGS!DN6+'SG&amp;A'!DN6</f>
        <v>74.238</v>
      </c>
      <c r="DO6" s="28">
        <f>COGS!DO6+'SG&amp;A'!DO6</f>
        <v>83.453000000000003</v>
      </c>
      <c r="DP6" s="28">
        <f>COGS!DP6+'SG&amp;A'!DP6</f>
        <v>37.745000000000005</v>
      </c>
      <c r="DQ6" s="28">
        <f>COGS!DQ6+'SG&amp;A'!DQ6</f>
        <v>261.93799999999999</v>
      </c>
      <c r="DR6" s="28">
        <f>COGS!DR6+'SG&amp;A'!DR6</f>
        <v>2.77</v>
      </c>
      <c r="DS6" s="28">
        <f>COGS!DS6+'SG&amp;A'!DS6</f>
        <v>1.6739999999999999</v>
      </c>
      <c r="DT6" s="28">
        <f>COGS!DT6+'SG&amp;A'!DT6</f>
        <v>1.381</v>
      </c>
      <c r="DU6" s="28">
        <f>COGS!DU6+'SG&amp;A'!DU6</f>
        <v>0.19199999999999995</v>
      </c>
      <c r="DV6" s="28">
        <f>COGS!DV6+'SG&amp;A'!DV6</f>
        <v>6.0170000000000003</v>
      </c>
      <c r="DW6" s="28">
        <f>COGS!DW6+'SG&amp;A'!DW6</f>
        <v>7.0999999999999994E-2</v>
      </c>
      <c r="DX6" s="28">
        <f>COGS!DX6+'SG&amp;A'!DX6</f>
        <v>3.5479123000000001</v>
      </c>
      <c r="DY6" s="28">
        <f>COGS!DY6+'SG&amp;A'!DY6</f>
        <v>0.51892548999999977</v>
      </c>
      <c r="DZ6" s="28">
        <f>COGS!DZ6+'SG&amp;A'!DZ6</f>
        <v>0.67968085000000056</v>
      </c>
      <c r="EA6" s="28">
        <f>COGS!EA6+'SG&amp;A'!EA6</f>
        <v>4.8175186400000003</v>
      </c>
      <c r="EB6" s="28">
        <f>COGS!EB6+'SG&amp;A'!EB6</f>
        <v>-0.29589140999999997</v>
      </c>
      <c r="EC6" s="28">
        <f>COGS!EC6+'SG&amp;A'!EC6</f>
        <v>0.18914323999999999</v>
      </c>
      <c r="ED6" s="28">
        <f>COGS!ED6+'SG&amp;A'!ED6</f>
        <v>0.315</v>
      </c>
      <c r="EE6" s="28">
        <f>COGS!EE6+'SG&amp;A'!EE6</f>
        <v>0.31001380999999995</v>
      </c>
      <c r="EF6" s="28">
        <f>COGS!EF6+'SG&amp;A'!EF6</f>
        <v>0.51826564000000008</v>
      </c>
      <c r="EG6" s="28">
        <f>COGS!EG6+'SG&amp;A'!EG6</f>
        <v>0.43798732000000001</v>
      </c>
      <c r="EH6" s="28">
        <f>COGS!EH6+'SG&amp;A'!EH6</f>
        <v>0.15386153999999999</v>
      </c>
      <c r="EI6" s="28">
        <f>COGS!EI6+'SG&amp;A'!EI6</f>
        <v>1.0611254399999999</v>
      </c>
    </row>
    <row r="7" spans="1:139" ht="15" thickTop="1" x14ac:dyDescent="0.3">
      <c r="A7" s="1" t="s">
        <v>443</v>
      </c>
      <c r="B7" s="27">
        <f>COGS!B7+'SG&amp;A'!B7</f>
        <v>0</v>
      </c>
      <c r="C7" s="27">
        <f>COGS!C7+'SG&amp;A'!C7</f>
        <v>0</v>
      </c>
      <c r="D7" s="27">
        <f>COGS!D7+'SG&amp;A'!D7</f>
        <v>0</v>
      </c>
      <c r="E7" s="27">
        <f>COGS!E7+'SG&amp;A'!E7</f>
        <v>0</v>
      </c>
      <c r="F7" s="27">
        <f>COGS!F7+'SG&amp;A'!F7</f>
        <v>0</v>
      </c>
      <c r="G7" s="27">
        <f>COGS!G7+'SG&amp;A'!G7</f>
        <v>0</v>
      </c>
      <c r="H7" s="27">
        <f>COGS!H7+'SG&amp;A'!H7</f>
        <v>0</v>
      </c>
      <c r="I7" s="27">
        <f>COGS!I7+'SG&amp;A'!I7</f>
        <v>0</v>
      </c>
      <c r="J7" s="27">
        <f>COGS!J7+'SG&amp;A'!J7</f>
        <v>0</v>
      </c>
      <c r="K7" s="27">
        <f>COGS!K7+'SG&amp;A'!K7</f>
        <v>0</v>
      </c>
      <c r="L7" s="27">
        <f>COGS!L7+'SG&amp;A'!L7</f>
        <v>0</v>
      </c>
      <c r="M7" s="27">
        <f>COGS!M7+'SG&amp;A'!M7</f>
        <v>0</v>
      </c>
      <c r="N7" s="27">
        <f>COGS!N7+'SG&amp;A'!N7</f>
        <v>0</v>
      </c>
      <c r="O7" s="27">
        <f>COGS!O7+'SG&amp;A'!O7</f>
        <v>0</v>
      </c>
      <c r="P7" s="27">
        <f>COGS!P7+'SG&amp;A'!P7</f>
        <v>0</v>
      </c>
      <c r="Q7" s="27">
        <f>COGS!Q7+'SG&amp;A'!Q7</f>
        <v>0</v>
      </c>
      <c r="R7" s="27">
        <f>COGS!R7+'SG&amp;A'!R7</f>
        <v>0</v>
      </c>
      <c r="S7" s="27">
        <f>COGS!S7+'SG&amp;A'!S7</f>
        <v>0</v>
      </c>
      <c r="T7" s="27">
        <f>COGS!T7+'SG&amp;A'!T7</f>
        <v>0</v>
      </c>
      <c r="U7" s="27">
        <f>COGS!U7+'SG&amp;A'!U7</f>
        <v>0</v>
      </c>
      <c r="V7" s="27">
        <f>COGS!V7+'SG&amp;A'!V7</f>
        <v>0</v>
      </c>
      <c r="W7" s="27">
        <f>COGS!W7+'SG&amp;A'!W7</f>
        <v>0</v>
      </c>
      <c r="X7" s="27">
        <f>COGS!X7+'SG&amp;A'!X7</f>
        <v>0</v>
      </c>
      <c r="Y7" s="27">
        <f>COGS!Y7+'SG&amp;A'!Y7</f>
        <v>0</v>
      </c>
      <c r="Z7" s="27">
        <f>COGS!Z7+'SG&amp;A'!Z7</f>
        <v>0</v>
      </c>
      <c r="AA7" s="27">
        <f>COGS!AA7+'SG&amp;A'!AA7</f>
        <v>0</v>
      </c>
      <c r="AB7" s="27">
        <f>COGS!AB7+'SG&amp;A'!AB7</f>
        <v>0</v>
      </c>
      <c r="AC7" s="27">
        <f>COGS!AC7+'SG&amp;A'!AC7</f>
        <v>0</v>
      </c>
      <c r="AD7" s="27">
        <f>COGS!AD7+'SG&amp;A'!AD7</f>
        <v>0</v>
      </c>
      <c r="AE7" s="27">
        <f>COGS!AE7+'SG&amp;A'!AE7</f>
        <v>0</v>
      </c>
      <c r="AF7" s="27">
        <f>COGS!AF7+'SG&amp;A'!AF7</f>
        <v>0</v>
      </c>
      <c r="AG7" s="27">
        <f>COGS!AG7+'SG&amp;A'!AG7</f>
        <v>0</v>
      </c>
      <c r="AH7" s="27">
        <f>COGS!AH7+'SG&amp;A'!AH7</f>
        <v>0</v>
      </c>
      <c r="AI7" s="27">
        <f>COGS!AI7+'SG&amp;A'!AI7</f>
        <v>0</v>
      </c>
      <c r="AJ7" s="27">
        <f>COGS!AJ7+'SG&amp;A'!AJ7</f>
        <v>0</v>
      </c>
      <c r="AK7" s="27">
        <f>COGS!AK7+'SG&amp;A'!AK7</f>
        <v>0</v>
      </c>
      <c r="AL7" s="27">
        <f>COGS!AL7+'SG&amp;A'!AL7</f>
        <v>0</v>
      </c>
      <c r="AM7" s="27">
        <f>COGS!AM7+'SG&amp;A'!AM7</f>
        <v>0</v>
      </c>
      <c r="AN7" s="27">
        <f>COGS!AN7+'SG&amp;A'!AN7</f>
        <v>0</v>
      </c>
      <c r="AO7" s="27">
        <f>COGS!AO7+'SG&amp;A'!AO7</f>
        <v>0</v>
      </c>
      <c r="AP7" s="27">
        <f>COGS!AP7+'SG&amp;A'!AP7</f>
        <v>0</v>
      </c>
      <c r="AQ7" s="27">
        <f>COGS!AQ7+'SG&amp;A'!AQ7</f>
        <v>0</v>
      </c>
      <c r="AR7" s="27">
        <f>COGS!AR7+'SG&amp;A'!AR7</f>
        <v>0</v>
      </c>
      <c r="AS7" s="27">
        <f>COGS!AS7+'SG&amp;A'!AS7</f>
        <v>0</v>
      </c>
      <c r="AT7" s="27">
        <f>COGS!AT7+'SG&amp;A'!AT7</f>
        <v>0</v>
      </c>
      <c r="AU7" s="27">
        <f>COGS!AU7+'SG&amp;A'!AU7</f>
        <v>0</v>
      </c>
      <c r="AV7" s="27">
        <f>COGS!AV7+'SG&amp;A'!AV7</f>
        <v>0</v>
      </c>
      <c r="AW7" s="27">
        <f>COGS!AW7+'SG&amp;A'!AW7</f>
        <v>0</v>
      </c>
      <c r="AX7" s="27">
        <f>COGS!AX7+'SG&amp;A'!AX7</f>
        <v>0</v>
      </c>
      <c r="AY7" s="27">
        <f>COGS!AY7+'SG&amp;A'!AY7</f>
        <v>0</v>
      </c>
      <c r="AZ7" s="27">
        <f>COGS!AZ7+'SG&amp;A'!AZ7</f>
        <v>0</v>
      </c>
      <c r="BA7" s="27">
        <f>COGS!BA7+'SG&amp;A'!BA7</f>
        <v>0</v>
      </c>
      <c r="BB7" s="27">
        <f>COGS!BB7+'SG&amp;A'!BB7</f>
        <v>0</v>
      </c>
      <c r="BC7" s="27">
        <f>COGS!BC7+'SG&amp;A'!BC7</f>
        <v>0</v>
      </c>
      <c r="BD7" s="27">
        <f>COGS!BD7+'SG&amp;A'!BD7</f>
        <v>0</v>
      </c>
      <c r="BE7" s="27">
        <f>COGS!BE7+'SG&amp;A'!BE7</f>
        <v>0</v>
      </c>
      <c r="BF7" s="27">
        <f>COGS!BF7+'SG&amp;A'!BF7</f>
        <v>0</v>
      </c>
      <c r="BG7" s="27">
        <f>COGS!BG7+'SG&amp;A'!BG7</f>
        <v>0</v>
      </c>
      <c r="BH7" s="27">
        <f>COGS!BH7+'SG&amp;A'!BH7</f>
        <v>0</v>
      </c>
      <c r="BI7" s="27">
        <f>COGS!BI7+'SG&amp;A'!BI7</f>
        <v>0</v>
      </c>
      <c r="BJ7" s="27">
        <f>COGS!BJ7+'SG&amp;A'!BJ7</f>
        <v>60.060241160000011</v>
      </c>
      <c r="BK7" s="27">
        <f>COGS!BK7+'SG&amp;A'!BK7</f>
        <v>44.226231259999999</v>
      </c>
      <c r="BL7" s="27">
        <f>COGS!BL7+'SG&amp;A'!BL7</f>
        <v>32.833620630000006</v>
      </c>
      <c r="BM7" s="27">
        <f>COGS!BM7+'SG&amp;A'!BM7</f>
        <v>34.198703539999997</v>
      </c>
      <c r="BN7" s="27">
        <f>COGS!BN7+'SG&amp;A'!BN7</f>
        <v>171.31879659000001</v>
      </c>
      <c r="BO7" s="27">
        <f>COGS!BO7+'SG&amp;A'!BO7</f>
        <v>33.84274199</v>
      </c>
      <c r="BP7" s="27">
        <f>COGS!BP7+'SG&amp;A'!BP7</f>
        <v>42.22655563</v>
      </c>
      <c r="BQ7" s="27">
        <f>COGS!BQ7+'SG&amp;A'!BQ7</f>
        <v>32.468642019999997</v>
      </c>
      <c r="BR7" s="27">
        <f>COGS!BR7+'SG&amp;A'!BR7</f>
        <v>43.157906230000002</v>
      </c>
      <c r="BS7" s="27">
        <f>COGS!BS7+'SG&amp;A'!BS7</f>
        <v>151.69584586999997</v>
      </c>
      <c r="BT7" s="27">
        <f>COGS!BT7+'SG&amp;A'!BT7</f>
        <v>34.685011480000007</v>
      </c>
      <c r="BU7" s="27">
        <f>COGS!BU7+'SG&amp;A'!BU7</f>
        <v>56.023704620000011</v>
      </c>
      <c r="BV7" s="27">
        <f>COGS!BV7+'SG&amp;A'!BV7</f>
        <v>56.089461289999988</v>
      </c>
      <c r="BW7" s="27">
        <f>COGS!BW7+'SG&amp;A'!BW7</f>
        <v>56.377075990000009</v>
      </c>
      <c r="BX7" s="27">
        <f>COGS!BX7+'SG&amp;A'!BX7</f>
        <v>203.17525338000002</v>
      </c>
      <c r="BY7" s="27">
        <f>COGS!BY7+'SG&amp;A'!BY7</f>
        <v>46.469693369999995</v>
      </c>
      <c r="BZ7" s="27">
        <f>COGS!BZ7+'SG&amp;A'!BZ7</f>
        <v>65.982168240000007</v>
      </c>
      <c r="CA7" s="27">
        <f>COGS!CA7+'SG&amp;A'!CA7</f>
        <v>77.335468470000009</v>
      </c>
      <c r="CB7" s="27">
        <f>COGS!CB7+'SG&amp;A'!CB7</f>
        <v>78.447777349999967</v>
      </c>
      <c r="CC7" s="27">
        <f>COGS!CC7+'SG&amp;A'!CC7</f>
        <v>268.23510742999997</v>
      </c>
      <c r="CD7" s="27">
        <f>COGS!CD7+'SG&amp;A'!CD7</f>
        <v>54.583377980000002</v>
      </c>
      <c r="CE7" s="27">
        <f>COGS!CE7+'SG&amp;A'!CE7</f>
        <v>73.011977049999999</v>
      </c>
      <c r="CF7" s="27">
        <f>COGS!CF7+'SG&amp;A'!CF7</f>
        <v>64.68285821000002</v>
      </c>
      <c r="CG7" s="27">
        <f>COGS!CG7+'SG&amp;A'!CG7</f>
        <v>69.719711250000003</v>
      </c>
      <c r="CH7" s="27">
        <f>COGS!CH7+'SG&amp;A'!CH7</f>
        <v>261.99792449</v>
      </c>
      <c r="CI7" s="27">
        <f>COGS!CI7+'SG&amp;A'!CI7</f>
        <v>91.738549030000001</v>
      </c>
      <c r="CJ7" s="27">
        <f>COGS!CJ7+'SG&amp;A'!CJ7</f>
        <v>77.395220710000004</v>
      </c>
      <c r="CK7" s="27">
        <f>COGS!CK7+'SG&amp;A'!CK7</f>
        <v>62.277670670000006</v>
      </c>
      <c r="CL7" s="27">
        <f>COGS!CL7+'SG&amp;A'!CL7</f>
        <v>60.608678760000018</v>
      </c>
      <c r="CM7" s="27">
        <f>COGS!CM7+'SG&amp;A'!CM7</f>
        <v>292.02011916999999</v>
      </c>
      <c r="CN7" s="27">
        <f>COGS!CN7+'SG&amp;A'!CN7</f>
        <v>44.980968580000003</v>
      </c>
      <c r="CO7" s="27">
        <f>COGS!CO7+'SG&amp;A'!CO7</f>
        <v>52.482327119999994</v>
      </c>
      <c r="CP7" s="27">
        <f>COGS!CP7+'SG&amp;A'!CP7</f>
        <v>86.122480049999993</v>
      </c>
      <c r="CQ7" s="27">
        <f>COGS!CQ7+'SG&amp;A'!CQ7</f>
        <v>50.123224249999993</v>
      </c>
      <c r="CR7" s="27">
        <f>COGS!CR7+'SG&amp;A'!CR7</f>
        <v>233.709</v>
      </c>
      <c r="CS7" s="27">
        <f>COGS!CS7+'SG&amp;A'!CS7</f>
        <v>59.106724609999993</v>
      </c>
      <c r="CT7" s="27">
        <f>COGS!CT7+'SG&amp;A'!CT7</f>
        <v>91.203790499999997</v>
      </c>
      <c r="CU7" s="27">
        <f>COGS!CU7+'SG&amp;A'!CU7</f>
        <v>97.63737848000001</v>
      </c>
      <c r="CV7" s="27">
        <f>COGS!CV7+'SG&amp;A'!CV7</f>
        <v>91.162514079999994</v>
      </c>
      <c r="CW7" s="27">
        <f>COGS!CW7+'SG&amp;A'!CW7</f>
        <v>339.11040767000003</v>
      </c>
      <c r="CX7" s="27">
        <f>COGS!CX7+'SG&amp;A'!CX7</f>
        <v>65.45</v>
      </c>
      <c r="CY7" s="27">
        <f>COGS!CY7+'SG&amp;A'!CY7</f>
        <v>46.347999999999999</v>
      </c>
      <c r="CZ7" s="27">
        <f>COGS!CZ7+'SG&amp;A'!CZ7</f>
        <v>41.286999999999999</v>
      </c>
      <c r="DA7" s="27">
        <f>COGS!DA7+'SG&amp;A'!DA7</f>
        <v>41.963999999999999</v>
      </c>
      <c r="DB7" s="27">
        <f>COGS!DB7+'SG&amp;A'!DB7</f>
        <v>195.04900000000001</v>
      </c>
      <c r="DC7" s="27">
        <f>COGS!DC7+'SG&amp;A'!DC7</f>
        <v>57.331000000000003</v>
      </c>
      <c r="DD7" s="27">
        <f>COGS!DD7+'SG&amp;A'!DD7</f>
        <v>64.465999999999994</v>
      </c>
      <c r="DE7" s="27">
        <f>COGS!DE7+'SG&amp;A'!DE7</f>
        <v>56.247999999999998</v>
      </c>
      <c r="DF7" s="27">
        <f>COGS!DF7+'SG&amp;A'!DF7</f>
        <v>36.981999999999999</v>
      </c>
      <c r="DG7" s="27">
        <f>COGS!DG7+'SG&amp;A'!DG7</f>
        <v>215.02700000000002</v>
      </c>
      <c r="DH7" s="27">
        <f>COGS!DH7+'SG&amp;A'!DH7</f>
        <v>40.516999999999996</v>
      </c>
      <c r="DI7" s="27">
        <f>COGS!DI7+'SG&amp;A'!DI7</f>
        <v>40.561</v>
      </c>
      <c r="DJ7" s="27">
        <f>COGS!DJ7+'SG&amp;A'!DJ7</f>
        <v>40.477999999999994</v>
      </c>
      <c r="DK7" s="27">
        <f>COGS!DK7+'SG&amp;A'!DK7</f>
        <v>56.534999999999997</v>
      </c>
      <c r="DL7" s="27">
        <f>COGS!DL7+'SG&amp;A'!DL7</f>
        <v>178.09099999999998</v>
      </c>
      <c r="DM7" s="27">
        <f>COGS!DM7+'SG&amp;A'!DM7</f>
        <v>48.913000000000004</v>
      </c>
      <c r="DN7" s="27">
        <f>COGS!DN7+'SG&amp;A'!DN7</f>
        <v>63.192999999999998</v>
      </c>
      <c r="DO7" s="27">
        <f>COGS!DO7+'SG&amp;A'!DO7</f>
        <v>66.50200000000001</v>
      </c>
      <c r="DP7" s="27">
        <f>COGS!DP7+'SG&amp;A'!DP7</f>
        <v>37.064999999999998</v>
      </c>
      <c r="DQ7" s="27">
        <f>COGS!DQ7+'SG&amp;A'!DQ7</f>
        <v>215.673</v>
      </c>
      <c r="DR7" s="27">
        <f>COGS!DR7+'SG&amp;A'!DR7</f>
        <v>47.475000000000001</v>
      </c>
      <c r="DS7" s="27">
        <f>COGS!DS7+'SG&amp;A'!DS7</f>
        <v>53.267000000000003</v>
      </c>
      <c r="DT7" s="27">
        <f>COGS!DT7+'SG&amp;A'!DT7</f>
        <v>72.097999999999999</v>
      </c>
      <c r="DU7" s="27">
        <f>COGS!DU7+'SG&amp;A'!DU7</f>
        <v>89.037999999999997</v>
      </c>
      <c r="DV7" s="27">
        <f>COGS!DV7+'SG&amp;A'!DV7</f>
        <v>261.87799999999999</v>
      </c>
      <c r="DW7" s="27">
        <f>COGS!DW7+'SG&amp;A'!DW7</f>
        <v>51.914999999999999</v>
      </c>
      <c r="DX7" s="27">
        <f>COGS!DX7+'SG&amp;A'!DX7</f>
        <v>63.592456810000002</v>
      </c>
      <c r="DY7" s="27">
        <f>COGS!DY7+'SG&amp;A'!DY7</f>
        <v>67.001848679999995</v>
      </c>
      <c r="DZ7" s="27">
        <f>COGS!DZ7+'SG&amp;A'!DZ7</f>
        <v>63.461171229999991</v>
      </c>
      <c r="EA7" s="27">
        <f>COGS!EA7+'SG&amp;A'!EA7</f>
        <v>245.97047672000002</v>
      </c>
      <c r="EB7" s="27">
        <f>COGS!EB7+'SG&amp;A'!EB7</f>
        <v>73.611013200000002</v>
      </c>
      <c r="EC7" s="27">
        <f>COGS!EC7+'SG&amp;A'!EC7</f>
        <v>77.232167630000006</v>
      </c>
      <c r="ED7" s="27">
        <f>COGS!ED7+'SG&amp;A'!ED7</f>
        <v>95.86</v>
      </c>
      <c r="EE7" s="27">
        <f>COGS!EE7+'SG&amp;A'!EE7</f>
        <v>122.40431408999999</v>
      </c>
      <c r="EF7" s="27">
        <f>COGS!EF7+'SG&amp;A'!EF7</f>
        <v>369.10749492000002</v>
      </c>
      <c r="EG7" s="27">
        <f>COGS!EG7+'SG&amp;A'!EG7</f>
        <v>95.225087840000015</v>
      </c>
      <c r="EH7" s="27">
        <f>COGS!EH7+'SG&amp;A'!EH7</f>
        <v>116.72080593999999</v>
      </c>
      <c r="EI7" s="27">
        <f>COGS!EI7+'SG&amp;A'!EI7</f>
        <v>89.013712240000004</v>
      </c>
    </row>
    <row r="8" spans="1:139" ht="15" thickBot="1" x14ac:dyDescent="0.35">
      <c r="A8" s="2" t="s">
        <v>481</v>
      </c>
      <c r="B8" s="28">
        <f>COGS!B8+'SG&amp;A'!B8</f>
        <v>0</v>
      </c>
      <c r="C8" s="28">
        <f>COGS!C8+'SG&amp;A'!C8</f>
        <v>0</v>
      </c>
      <c r="D8" s="28">
        <f>COGS!D8+'SG&amp;A'!D8</f>
        <v>0</v>
      </c>
      <c r="E8" s="28">
        <f>COGS!E8+'SG&amp;A'!E8</f>
        <v>0</v>
      </c>
      <c r="F8" s="28">
        <f>COGS!F8+'SG&amp;A'!F8</f>
        <v>0</v>
      </c>
      <c r="G8" s="28">
        <f>COGS!G8+'SG&amp;A'!G8</f>
        <v>0</v>
      </c>
      <c r="H8" s="28">
        <f>COGS!H8+'SG&amp;A'!H8</f>
        <v>0</v>
      </c>
      <c r="I8" s="28">
        <f>COGS!I8+'SG&amp;A'!I8</f>
        <v>0</v>
      </c>
      <c r="J8" s="28">
        <f>COGS!J8+'SG&amp;A'!J8</f>
        <v>0</v>
      </c>
      <c r="K8" s="28">
        <f>COGS!K8+'SG&amp;A'!K8</f>
        <v>0</v>
      </c>
      <c r="L8" s="28">
        <f>COGS!L8+'SG&amp;A'!L8</f>
        <v>0</v>
      </c>
      <c r="M8" s="28">
        <f>COGS!M8+'SG&amp;A'!M8</f>
        <v>0</v>
      </c>
      <c r="N8" s="28">
        <f>COGS!N8+'SG&amp;A'!N8</f>
        <v>0</v>
      </c>
      <c r="O8" s="28">
        <f>COGS!O8+'SG&amp;A'!O8</f>
        <v>0</v>
      </c>
      <c r="P8" s="28">
        <f>COGS!P8+'SG&amp;A'!P8</f>
        <v>0</v>
      </c>
      <c r="Q8" s="28">
        <f>COGS!Q8+'SG&amp;A'!Q8</f>
        <v>0</v>
      </c>
      <c r="R8" s="28">
        <f>COGS!R8+'SG&amp;A'!R8</f>
        <v>0</v>
      </c>
      <c r="S8" s="28">
        <f>COGS!S8+'SG&amp;A'!S8</f>
        <v>0</v>
      </c>
      <c r="T8" s="28">
        <f>COGS!T8+'SG&amp;A'!T8</f>
        <v>0</v>
      </c>
      <c r="U8" s="28">
        <f>COGS!U8+'SG&amp;A'!U8</f>
        <v>0</v>
      </c>
      <c r="V8" s="28">
        <f>COGS!V8+'SG&amp;A'!V8</f>
        <v>0</v>
      </c>
      <c r="W8" s="28">
        <f>COGS!W8+'SG&amp;A'!W8</f>
        <v>0</v>
      </c>
      <c r="X8" s="28">
        <f>COGS!X8+'SG&amp;A'!X8</f>
        <v>0</v>
      </c>
      <c r="Y8" s="28">
        <f>COGS!Y8+'SG&amp;A'!Y8</f>
        <v>0</v>
      </c>
      <c r="Z8" s="28">
        <f>COGS!Z8+'SG&amp;A'!Z8</f>
        <v>0</v>
      </c>
      <c r="AA8" s="28">
        <f>COGS!AA8+'SG&amp;A'!AA8</f>
        <v>0</v>
      </c>
      <c r="AB8" s="28">
        <f>COGS!AB8+'SG&amp;A'!AB8</f>
        <v>0</v>
      </c>
      <c r="AC8" s="28">
        <f>COGS!AC8+'SG&amp;A'!AC8</f>
        <v>0</v>
      </c>
      <c r="AD8" s="28">
        <f>COGS!AD8+'SG&amp;A'!AD8</f>
        <v>0</v>
      </c>
      <c r="AE8" s="28">
        <f>COGS!AE8+'SG&amp;A'!AE8</f>
        <v>0</v>
      </c>
      <c r="AF8" s="28">
        <f>COGS!AF8+'SG&amp;A'!AF8</f>
        <v>0</v>
      </c>
      <c r="AG8" s="28">
        <f>COGS!AG8+'SG&amp;A'!AG8</f>
        <v>0</v>
      </c>
      <c r="AH8" s="28">
        <f>COGS!AH8+'SG&amp;A'!AH8</f>
        <v>0</v>
      </c>
      <c r="AI8" s="28">
        <f>COGS!AI8+'SG&amp;A'!AI8</f>
        <v>0</v>
      </c>
      <c r="AJ8" s="28">
        <f>COGS!AJ8+'SG&amp;A'!AJ8</f>
        <v>0</v>
      </c>
      <c r="AK8" s="28">
        <f>COGS!AK8+'SG&amp;A'!AK8</f>
        <v>0</v>
      </c>
      <c r="AL8" s="28">
        <f>COGS!AL8+'SG&amp;A'!AL8</f>
        <v>0</v>
      </c>
      <c r="AM8" s="28">
        <f>COGS!AM8+'SG&amp;A'!AM8</f>
        <v>0</v>
      </c>
      <c r="AN8" s="28">
        <f>COGS!AN8+'SG&amp;A'!AN8</f>
        <v>0</v>
      </c>
      <c r="AO8" s="28">
        <f>COGS!AO8+'SG&amp;A'!AO8</f>
        <v>0</v>
      </c>
      <c r="AP8" s="28">
        <f>COGS!AP8+'SG&amp;A'!AP8</f>
        <v>0</v>
      </c>
      <c r="AQ8" s="28">
        <f>COGS!AQ8+'SG&amp;A'!AQ8</f>
        <v>0</v>
      </c>
      <c r="AR8" s="28">
        <f>COGS!AR8+'SG&amp;A'!AR8</f>
        <v>0</v>
      </c>
      <c r="AS8" s="28">
        <f>COGS!AS8+'SG&amp;A'!AS8</f>
        <v>0</v>
      </c>
      <c r="AT8" s="28">
        <f>COGS!AT8+'SG&amp;A'!AT8</f>
        <v>0</v>
      </c>
      <c r="AU8" s="28">
        <f>COGS!AU8+'SG&amp;A'!AU8</f>
        <v>0</v>
      </c>
      <c r="AV8" s="28">
        <f>COGS!AV8+'SG&amp;A'!AV8</f>
        <v>0</v>
      </c>
      <c r="AW8" s="28">
        <f>COGS!AW8+'SG&amp;A'!AW8</f>
        <v>0</v>
      </c>
      <c r="AX8" s="28">
        <f>COGS!AX8+'SG&amp;A'!AX8</f>
        <v>0</v>
      </c>
      <c r="AY8" s="28">
        <f>COGS!AY8+'SG&amp;A'!AY8</f>
        <v>0</v>
      </c>
      <c r="AZ8" s="28">
        <f>COGS!AZ8+'SG&amp;A'!AZ8</f>
        <v>0</v>
      </c>
      <c r="BA8" s="28">
        <f>COGS!BA8+'SG&amp;A'!BA8</f>
        <v>0</v>
      </c>
      <c r="BB8" s="28">
        <f>COGS!BB8+'SG&amp;A'!BB8</f>
        <v>0</v>
      </c>
      <c r="BC8" s="28">
        <f>COGS!BC8+'SG&amp;A'!BC8</f>
        <v>0</v>
      </c>
      <c r="BD8" s="28">
        <f>COGS!BD8+'SG&amp;A'!BD8</f>
        <v>0</v>
      </c>
      <c r="BE8" s="28">
        <f>COGS!BE8+'SG&amp;A'!BE8</f>
        <v>0</v>
      </c>
      <c r="BF8" s="28">
        <f>COGS!BF8+'SG&amp;A'!BF8</f>
        <v>0</v>
      </c>
      <c r="BG8" s="28">
        <f>COGS!BG8+'SG&amp;A'!BG8</f>
        <v>0</v>
      </c>
      <c r="BH8" s="28">
        <f>COGS!BH8+'SG&amp;A'!BH8</f>
        <v>0</v>
      </c>
      <c r="BI8" s="28">
        <f>COGS!BI8+'SG&amp;A'!BI8</f>
        <v>0</v>
      </c>
      <c r="BJ8" s="28">
        <f>COGS!BJ8+'SG&amp;A'!BJ8</f>
        <v>0</v>
      </c>
      <c r="BK8" s="28">
        <f>COGS!BK8+'SG&amp;A'!BK8</f>
        <v>0</v>
      </c>
      <c r="BL8" s="28">
        <f>COGS!BL8+'SG&amp;A'!BL8</f>
        <v>0</v>
      </c>
      <c r="BM8" s="28">
        <f>COGS!BM8+'SG&amp;A'!BM8</f>
        <v>0</v>
      </c>
      <c r="BN8" s="28">
        <f>COGS!BN8+'SG&amp;A'!BN8</f>
        <v>0</v>
      </c>
      <c r="BO8" s="28">
        <f>COGS!BO8+'SG&amp;A'!BO8</f>
        <v>0</v>
      </c>
      <c r="BP8" s="28">
        <f>COGS!BP8+'SG&amp;A'!BP8</f>
        <v>0</v>
      </c>
      <c r="BQ8" s="28">
        <f>COGS!BQ8+'SG&amp;A'!BQ8</f>
        <v>0</v>
      </c>
      <c r="BR8" s="28">
        <f>COGS!BR8+'SG&amp;A'!BR8</f>
        <v>0</v>
      </c>
      <c r="BS8" s="28">
        <f>COGS!BS8+'SG&amp;A'!BS8</f>
        <v>0</v>
      </c>
      <c r="BT8" s="28">
        <f>COGS!BT8+'SG&amp;A'!BT8</f>
        <v>0</v>
      </c>
      <c r="BU8" s="28">
        <f>COGS!BU8+'SG&amp;A'!BU8</f>
        <v>0.40365553000000004</v>
      </c>
      <c r="BV8" s="28">
        <f>COGS!BV8+'SG&amp;A'!BV8</f>
        <v>1.5996749499999998</v>
      </c>
      <c r="BW8" s="28">
        <f>COGS!BW8+'SG&amp;A'!BW8</f>
        <v>1.9718802900000001</v>
      </c>
      <c r="BX8" s="28">
        <f>COGS!BX8+'SG&amp;A'!BX8</f>
        <v>3.9752107699999999</v>
      </c>
      <c r="BY8" s="28">
        <f>COGS!BY8+'SG&amp;A'!BY8</f>
        <v>3.3533082699999994</v>
      </c>
      <c r="BZ8" s="28">
        <f>COGS!BZ8+'SG&amp;A'!BZ8</f>
        <v>4.46014336</v>
      </c>
      <c r="CA8" s="28">
        <f>COGS!CA8+'SG&amp;A'!CA8</f>
        <v>19.523262389999999</v>
      </c>
      <c r="CB8" s="28">
        <f>COGS!CB8+'SG&amp;A'!CB8</f>
        <v>33.042825049999998</v>
      </c>
      <c r="CC8" s="28">
        <f>COGS!CC8+'SG&amp;A'!CC8</f>
        <v>60.379539069999993</v>
      </c>
      <c r="CD8" s="28">
        <f>COGS!CD8+'SG&amp;A'!CD8</f>
        <v>49.950916829999997</v>
      </c>
      <c r="CE8" s="28">
        <f>COGS!CE8+'SG&amp;A'!CE8</f>
        <v>149.82041594000003</v>
      </c>
      <c r="CF8" s="28">
        <f>COGS!CF8+'SG&amp;A'!CF8</f>
        <v>45.785398219999962</v>
      </c>
      <c r="CG8" s="28">
        <f>COGS!CG8+'SG&amp;A'!CG8</f>
        <v>40.151446370000002</v>
      </c>
      <c r="CH8" s="28">
        <f>COGS!CH8+'SG&amp;A'!CH8</f>
        <v>285.70817736000004</v>
      </c>
      <c r="CI8" s="28">
        <f>COGS!CI8+'SG&amp;A'!CI8</f>
        <v>41.060510719999996</v>
      </c>
      <c r="CJ8" s="28">
        <f>COGS!CJ8+'SG&amp;A'!CJ8</f>
        <v>58.562197350000005</v>
      </c>
      <c r="CK8" s="28">
        <f>COGS!CK8+'SG&amp;A'!CK8</f>
        <v>64.86244532000002</v>
      </c>
      <c r="CL8" s="28">
        <f>COGS!CL8+'SG&amp;A'!CL8</f>
        <v>54.783466860000004</v>
      </c>
      <c r="CM8" s="28">
        <f>COGS!CM8+'SG&amp;A'!CM8</f>
        <v>219.26862025</v>
      </c>
      <c r="CN8" s="28">
        <f>COGS!CN8+'SG&amp;A'!CN8</f>
        <v>40.463026259999999</v>
      </c>
      <c r="CO8" s="28">
        <f>COGS!CO8+'SG&amp;A'!CO8</f>
        <v>45.827492229999997</v>
      </c>
      <c r="CP8" s="28">
        <f>COGS!CP8+'SG&amp;A'!CP8</f>
        <v>59.726260389999993</v>
      </c>
      <c r="CQ8" s="28">
        <f>COGS!CQ8+'SG&amp;A'!CQ8</f>
        <v>62.307221120000008</v>
      </c>
      <c r="CR8" s="28">
        <f>COGS!CR8+'SG&amp;A'!CR8</f>
        <v>208.32399999999998</v>
      </c>
      <c r="CS8" s="28">
        <f>COGS!CS8+'SG&amp;A'!CS8</f>
        <v>47.521390109999999</v>
      </c>
      <c r="CT8" s="28">
        <f>COGS!CT8+'SG&amp;A'!CT8</f>
        <v>55.669779290000001</v>
      </c>
      <c r="CU8" s="28">
        <f>COGS!CU8+'SG&amp;A'!CU8</f>
        <v>55.448799550000011</v>
      </c>
      <c r="CV8" s="28">
        <f>COGS!CV8+'SG&amp;A'!CV8</f>
        <v>53.468594339999981</v>
      </c>
      <c r="CW8" s="28">
        <f>COGS!CW8+'SG&amp;A'!CW8</f>
        <v>212.10856329000001</v>
      </c>
      <c r="CX8" s="28">
        <f>COGS!CX8+'SG&amp;A'!CX8</f>
        <v>77.632999999999996</v>
      </c>
      <c r="CY8" s="28">
        <f>COGS!CY8+'SG&amp;A'!CY8</f>
        <v>85.501000000000005</v>
      </c>
      <c r="CZ8" s="28">
        <f>COGS!CZ8+'SG&amp;A'!CZ8</f>
        <v>75.454000000000008</v>
      </c>
      <c r="DA8" s="28">
        <f>COGS!DA8+'SG&amp;A'!DA8</f>
        <v>82.238</v>
      </c>
      <c r="DB8" s="28">
        <f>COGS!DB8+'SG&amp;A'!DB8</f>
        <v>320.82599999999996</v>
      </c>
      <c r="DC8" s="28">
        <f>COGS!DC8+'SG&amp;A'!DC8</f>
        <v>86.271000000000001</v>
      </c>
      <c r="DD8" s="28">
        <f>COGS!DD8+'SG&amp;A'!DD8</f>
        <v>94.89</v>
      </c>
      <c r="DE8" s="28">
        <f>COGS!DE8+'SG&amp;A'!DE8</f>
        <v>111.15299999999999</v>
      </c>
      <c r="DF8" s="28">
        <f>COGS!DF8+'SG&amp;A'!DF8</f>
        <v>124.131</v>
      </c>
      <c r="DG8" s="28">
        <f>COGS!DG8+'SG&amp;A'!DG8</f>
        <v>416.44499999999999</v>
      </c>
      <c r="DH8" s="28">
        <f>COGS!DH8+'SG&amp;A'!DH8</f>
        <v>89.576999999999998</v>
      </c>
      <c r="DI8" s="28">
        <f>COGS!DI8+'SG&amp;A'!DI8</f>
        <v>73.888999999999996</v>
      </c>
      <c r="DJ8" s="28">
        <f>COGS!DJ8+'SG&amp;A'!DJ8</f>
        <v>72.811999999999998</v>
      </c>
      <c r="DK8" s="28">
        <f>COGS!DK8+'SG&amp;A'!DK8</f>
        <v>133.68299999999999</v>
      </c>
      <c r="DL8" s="28">
        <f>COGS!DL8+'SG&amp;A'!DL8</f>
        <v>369.96100000000001</v>
      </c>
      <c r="DM8" s="28">
        <f>COGS!DM8+'SG&amp;A'!DM8</f>
        <v>87.103000000000009</v>
      </c>
      <c r="DN8" s="28">
        <f>COGS!DN8+'SG&amp;A'!DN8</f>
        <v>112.68</v>
      </c>
      <c r="DO8" s="28">
        <f>COGS!DO8+'SG&amp;A'!DO8</f>
        <v>132.74600000000001</v>
      </c>
      <c r="DP8" s="28">
        <f>COGS!DP8+'SG&amp;A'!DP8</f>
        <v>117.589</v>
      </c>
      <c r="DQ8" s="28">
        <f>COGS!DQ8+'SG&amp;A'!DQ8</f>
        <v>450.11800000000005</v>
      </c>
      <c r="DR8" s="28">
        <f>COGS!DR8+'SG&amp;A'!DR8</f>
        <v>117.43599999999999</v>
      </c>
      <c r="DS8" s="28">
        <f>COGS!DS8+'SG&amp;A'!DS8</f>
        <v>134.50300000000001</v>
      </c>
      <c r="DT8" s="28">
        <f>COGS!DT8+'SG&amp;A'!DT8</f>
        <v>149.37799999999999</v>
      </c>
      <c r="DU8" s="28">
        <f>COGS!DU8+'SG&amp;A'!DU8</f>
        <v>102.27699999999999</v>
      </c>
      <c r="DV8" s="28">
        <f>COGS!DV8+'SG&amp;A'!DV8</f>
        <v>503.59399999999999</v>
      </c>
      <c r="DW8" s="28">
        <f>COGS!DW8+'SG&amp;A'!DW8</f>
        <v>109.953</v>
      </c>
      <c r="DX8" s="28">
        <f>COGS!DX8+'SG&amp;A'!DX8</f>
        <v>119.59668809</v>
      </c>
      <c r="DY8" s="28">
        <f>COGS!DY8+'SG&amp;A'!DY8</f>
        <v>117.96894639999998</v>
      </c>
      <c r="DZ8" s="28">
        <f>COGS!DZ8+'SG&amp;A'!DZ8</f>
        <v>113.82236175000001</v>
      </c>
      <c r="EA8" s="28">
        <f>COGS!EA8+'SG&amp;A'!EA8</f>
        <v>461.34099624000004</v>
      </c>
      <c r="EB8" s="28">
        <f>COGS!EB8+'SG&amp;A'!EB8</f>
        <v>114.92232105000001</v>
      </c>
      <c r="EC8" s="28">
        <f>COGS!EC8+'SG&amp;A'!EC8</f>
        <v>145.31572158999998</v>
      </c>
      <c r="ED8" s="28">
        <f>COGS!ED8+'SG&amp;A'!ED8</f>
        <v>119.828</v>
      </c>
      <c r="EE8" s="28">
        <f>COGS!EE8+'SG&amp;A'!EE8</f>
        <v>137.82438986999998</v>
      </c>
      <c r="EF8" s="28">
        <f>COGS!EF8+'SG&amp;A'!EF8</f>
        <v>517.89043250999998</v>
      </c>
      <c r="EG8" s="28">
        <f>COGS!EG8+'SG&amp;A'!EG8</f>
        <v>116.5985656</v>
      </c>
      <c r="EH8" s="28">
        <f>COGS!EH8+'SG&amp;A'!EH8</f>
        <v>113.10046893000002</v>
      </c>
      <c r="EI8" s="28">
        <f>COGS!EI8+'SG&amp;A'!EI8</f>
        <v>130.60699203000001</v>
      </c>
    </row>
    <row r="9" spans="1:139" ht="15" thickTop="1" x14ac:dyDescent="0.3">
      <c r="A9" s="1" t="s">
        <v>445</v>
      </c>
      <c r="B9" s="27">
        <f>COGS!B9+'SG&amp;A'!B9</f>
        <v>0</v>
      </c>
      <c r="C9" s="27">
        <f>COGS!C9+'SG&amp;A'!C9</f>
        <v>0</v>
      </c>
      <c r="D9" s="27">
        <f>COGS!D9+'SG&amp;A'!D9</f>
        <v>0</v>
      </c>
      <c r="E9" s="27">
        <f>COGS!E9+'SG&amp;A'!E9</f>
        <v>0</v>
      </c>
      <c r="F9" s="27">
        <f>COGS!F9+'SG&amp;A'!F9</f>
        <v>0</v>
      </c>
      <c r="G9" s="27">
        <f>COGS!G9+'SG&amp;A'!G9</f>
        <v>0</v>
      </c>
      <c r="H9" s="27">
        <f>COGS!H9+'SG&amp;A'!H9</f>
        <v>0</v>
      </c>
      <c r="I9" s="27">
        <f>COGS!I9+'SG&amp;A'!I9</f>
        <v>0</v>
      </c>
      <c r="J9" s="27">
        <f>COGS!J9+'SG&amp;A'!J9</f>
        <v>0</v>
      </c>
      <c r="K9" s="27">
        <f>COGS!K9+'SG&amp;A'!K9</f>
        <v>0</v>
      </c>
      <c r="L9" s="27">
        <f>COGS!L9+'SG&amp;A'!L9</f>
        <v>0</v>
      </c>
      <c r="M9" s="27">
        <f>COGS!M9+'SG&amp;A'!M9</f>
        <v>0</v>
      </c>
      <c r="N9" s="27">
        <f>COGS!N9+'SG&amp;A'!N9</f>
        <v>0</v>
      </c>
      <c r="O9" s="27">
        <f>COGS!O9+'SG&amp;A'!O9</f>
        <v>0</v>
      </c>
      <c r="P9" s="27">
        <f>COGS!P9+'SG&amp;A'!P9</f>
        <v>0</v>
      </c>
      <c r="Q9" s="27">
        <f>COGS!Q9+'SG&amp;A'!Q9</f>
        <v>0</v>
      </c>
      <c r="R9" s="27">
        <f>COGS!R9+'SG&amp;A'!R9</f>
        <v>0</v>
      </c>
      <c r="S9" s="27">
        <f>COGS!S9+'SG&amp;A'!S9</f>
        <v>0</v>
      </c>
      <c r="T9" s="27">
        <f>COGS!T9+'SG&amp;A'!T9</f>
        <v>0</v>
      </c>
      <c r="U9" s="27">
        <f>COGS!U9+'SG&amp;A'!U9</f>
        <v>0</v>
      </c>
      <c r="V9" s="27">
        <f>COGS!V9+'SG&amp;A'!V9</f>
        <v>0</v>
      </c>
      <c r="W9" s="27">
        <f>COGS!W9+'SG&amp;A'!W9</f>
        <v>0</v>
      </c>
      <c r="X9" s="27">
        <f>COGS!X9+'SG&amp;A'!X9</f>
        <v>0</v>
      </c>
      <c r="Y9" s="27">
        <f>COGS!Y9+'SG&amp;A'!Y9</f>
        <v>0</v>
      </c>
      <c r="Z9" s="27">
        <f>COGS!Z9+'SG&amp;A'!Z9</f>
        <v>0</v>
      </c>
      <c r="AA9" s="27">
        <f>COGS!AA9+'SG&amp;A'!AA9</f>
        <v>0</v>
      </c>
      <c r="AB9" s="27">
        <f>COGS!AB9+'SG&amp;A'!AB9</f>
        <v>0</v>
      </c>
      <c r="AC9" s="27">
        <f>COGS!AC9+'SG&amp;A'!AC9</f>
        <v>0</v>
      </c>
      <c r="AD9" s="27">
        <f>COGS!AD9+'SG&amp;A'!AD9</f>
        <v>0</v>
      </c>
      <c r="AE9" s="27">
        <f>COGS!AE9+'SG&amp;A'!AE9</f>
        <v>0</v>
      </c>
      <c r="AF9" s="27">
        <f>COGS!AF9+'SG&amp;A'!AF9</f>
        <v>0</v>
      </c>
      <c r="AG9" s="27">
        <f>COGS!AG9+'SG&amp;A'!AG9</f>
        <v>0</v>
      </c>
      <c r="AH9" s="27">
        <f>COGS!AH9+'SG&amp;A'!AH9</f>
        <v>0</v>
      </c>
      <c r="AI9" s="27">
        <f>COGS!AI9+'SG&amp;A'!AI9</f>
        <v>0</v>
      </c>
      <c r="AJ9" s="27">
        <f>COGS!AJ9+'SG&amp;A'!AJ9</f>
        <v>0</v>
      </c>
      <c r="AK9" s="27">
        <f>COGS!AK9+'SG&amp;A'!AK9</f>
        <v>0</v>
      </c>
      <c r="AL9" s="27">
        <f>COGS!AL9+'SG&amp;A'!AL9</f>
        <v>0</v>
      </c>
      <c r="AM9" s="27">
        <f>COGS!AM9+'SG&amp;A'!AM9</f>
        <v>0</v>
      </c>
      <c r="AN9" s="27">
        <f>COGS!AN9+'SG&amp;A'!AN9</f>
        <v>0</v>
      </c>
      <c r="AO9" s="27">
        <f>COGS!AO9+'SG&amp;A'!AO9</f>
        <v>0</v>
      </c>
      <c r="AP9" s="27">
        <f>COGS!AP9+'SG&amp;A'!AP9</f>
        <v>0</v>
      </c>
      <c r="AQ9" s="27">
        <f>COGS!AQ9+'SG&amp;A'!AQ9</f>
        <v>0</v>
      </c>
      <c r="AR9" s="27">
        <f>COGS!AR9+'SG&amp;A'!AR9</f>
        <v>0</v>
      </c>
      <c r="AS9" s="27">
        <f>COGS!AS9+'SG&amp;A'!AS9</f>
        <v>0</v>
      </c>
      <c r="AT9" s="27">
        <f>COGS!AT9+'SG&amp;A'!AT9</f>
        <v>0</v>
      </c>
      <c r="AU9" s="27">
        <f>COGS!AU9+'SG&amp;A'!AU9</f>
        <v>0</v>
      </c>
      <c r="AV9" s="27">
        <f>COGS!AV9+'SG&amp;A'!AV9</f>
        <v>0</v>
      </c>
      <c r="AW9" s="27">
        <f>COGS!AW9+'SG&amp;A'!AW9</f>
        <v>0</v>
      </c>
      <c r="AX9" s="27">
        <f>COGS!AX9+'SG&amp;A'!AX9</f>
        <v>0</v>
      </c>
      <c r="AY9" s="27">
        <f>COGS!AY9+'SG&amp;A'!AY9</f>
        <v>0</v>
      </c>
      <c r="AZ9" s="27">
        <f>COGS!AZ9+'SG&amp;A'!AZ9</f>
        <v>0</v>
      </c>
      <c r="BA9" s="27">
        <f>COGS!BA9+'SG&amp;A'!BA9</f>
        <v>0</v>
      </c>
      <c r="BB9" s="27">
        <f>COGS!BB9+'SG&amp;A'!BB9</f>
        <v>0</v>
      </c>
      <c r="BC9" s="27">
        <f>COGS!BC9+'SG&amp;A'!BC9</f>
        <v>0</v>
      </c>
      <c r="BD9" s="27">
        <f>COGS!BD9+'SG&amp;A'!BD9</f>
        <v>0</v>
      </c>
      <c r="BE9" s="27">
        <f>COGS!BE9+'SG&amp;A'!BE9</f>
        <v>0</v>
      </c>
      <c r="BF9" s="27">
        <f>COGS!BF9+'SG&amp;A'!BF9</f>
        <v>0</v>
      </c>
      <c r="BG9" s="27">
        <f>COGS!BG9+'SG&amp;A'!BG9</f>
        <v>0</v>
      </c>
      <c r="BH9" s="27">
        <f>COGS!BH9+'SG&amp;A'!BH9</f>
        <v>0</v>
      </c>
      <c r="BI9" s="27">
        <f>COGS!BI9+'SG&amp;A'!BI9</f>
        <v>0</v>
      </c>
      <c r="BJ9" s="27">
        <f>COGS!BJ9+'SG&amp;A'!BJ9</f>
        <v>0</v>
      </c>
      <c r="BK9" s="27">
        <f>COGS!BK9+'SG&amp;A'!BK9</f>
        <v>0</v>
      </c>
      <c r="BL9" s="27">
        <f>COGS!BL9+'SG&amp;A'!BL9</f>
        <v>0</v>
      </c>
      <c r="BM9" s="27">
        <f>COGS!BM9+'SG&amp;A'!BM9</f>
        <v>0</v>
      </c>
      <c r="BN9" s="27">
        <f>COGS!BN9+'SG&amp;A'!BN9</f>
        <v>0</v>
      </c>
      <c r="BO9" s="27">
        <f>COGS!BO9+'SG&amp;A'!BO9</f>
        <v>0</v>
      </c>
      <c r="BP9" s="27">
        <f>COGS!BP9+'SG&amp;A'!BP9</f>
        <v>0</v>
      </c>
      <c r="BQ9" s="27">
        <f>COGS!BQ9+'SG&amp;A'!BQ9</f>
        <v>0</v>
      </c>
      <c r="BR9" s="27">
        <f>COGS!BR9+'SG&amp;A'!BR9</f>
        <v>0</v>
      </c>
      <c r="BS9" s="27">
        <f>COGS!BS9+'SG&amp;A'!BS9</f>
        <v>0</v>
      </c>
      <c r="BT9" s="27">
        <f>COGS!BT9+'SG&amp;A'!BT9</f>
        <v>0</v>
      </c>
      <c r="BU9" s="27">
        <f>COGS!BU9+'SG&amp;A'!BU9</f>
        <v>0</v>
      </c>
      <c r="BV9" s="27">
        <f>COGS!BV9+'SG&amp;A'!BV9</f>
        <v>0</v>
      </c>
      <c r="BW9" s="27">
        <f>COGS!BW9+'SG&amp;A'!BW9</f>
        <v>0</v>
      </c>
      <c r="BX9" s="27">
        <f>COGS!BX9+'SG&amp;A'!BX9</f>
        <v>0</v>
      </c>
      <c r="BY9" s="27">
        <f>COGS!BY9+'SG&amp;A'!BY9</f>
        <v>0</v>
      </c>
      <c r="BZ9" s="27">
        <f>COGS!BZ9+'SG&amp;A'!BZ9</f>
        <v>0</v>
      </c>
      <c r="CA9" s="27">
        <f>COGS!CA9+'SG&amp;A'!CA9</f>
        <v>0</v>
      </c>
      <c r="CB9" s="27">
        <f>COGS!CB9+'SG&amp;A'!CB9</f>
        <v>0</v>
      </c>
      <c r="CC9" s="27">
        <f>COGS!CC9+'SG&amp;A'!CC9</f>
        <v>0</v>
      </c>
      <c r="CD9" s="27">
        <f>COGS!CD9+'SG&amp;A'!CD9</f>
        <v>0</v>
      </c>
      <c r="CE9" s="27">
        <f>COGS!CE9+'SG&amp;A'!CE9</f>
        <v>0</v>
      </c>
      <c r="CF9" s="27">
        <f>COGS!CF9+'SG&amp;A'!CF9</f>
        <v>0</v>
      </c>
      <c r="CG9" s="27">
        <f>COGS!CG9+'SG&amp;A'!CG9</f>
        <v>0</v>
      </c>
      <c r="CH9" s="27">
        <f>COGS!CH9+'SG&amp;A'!CH9</f>
        <v>0</v>
      </c>
      <c r="CI9" s="27">
        <f>COGS!CI9+'SG&amp;A'!CI9</f>
        <v>0</v>
      </c>
      <c r="CJ9" s="27">
        <f>COGS!CJ9+'SG&amp;A'!CJ9</f>
        <v>4.2408998200000001</v>
      </c>
      <c r="CK9" s="27">
        <f>COGS!CK9+'SG&amp;A'!CK9</f>
        <v>12.20949856</v>
      </c>
      <c r="CL9" s="27">
        <f>COGS!CL9+'SG&amp;A'!CL9</f>
        <v>21.401758559999998</v>
      </c>
      <c r="CM9" s="27">
        <f>COGS!CM9+'SG&amp;A'!CM9</f>
        <v>37.85215694</v>
      </c>
      <c r="CN9" s="27">
        <f>COGS!CN9+'SG&amp;A'!CN9</f>
        <v>20.289064509999999</v>
      </c>
      <c r="CO9" s="27">
        <f>COGS!CO9+'SG&amp;A'!CO9</f>
        <v>25.850301439999999</v>
      </c>
      <c r="CP9" s="27">
        <f>COGS!CP9+'SG&amp;A'!CP9</f>
        <v>26.742243590000001</v>
      </c>
      <c r="CQ9" s="27">
        <f>COGS!CQ9+'SG&amp;A'!CQ9</f>
        <v>36.876390459999996</v>
      </c>
      <c r="CR9" s="27">
        <f>COGS!CR9+'SG&amp;A'!CR9</f>
        <v>109.758</v>
      </c>
      <c r="CS9" s="27">
        <f>COGS!CS9+'SG&amp;A'!CS9</f>
        <v>36.393089349999997</v>
      </c>
      <c r="CT9" s="27">
        <f>COGS!CT9+'SG&amp;A'!CT9</f>
        <v>45.017910649999997</v>
      </c>
      <c r="CU9" s="27">
        <f>COGS!CU9+'SG&amp;A'!CU9</f>
        <v>36.156272789999989</v>
      </c>
      <c r="CV9" s="27">
        <f>COGS!CV9+'SG&amp;A'!CV9</f>
        <v>36.360032060000023</v>
      </c>
      <c r="CW9" s="27">
        <f>COGS!CW9+'SG&amp;A'!CW9</f>
        <v>153.92730485000001</v>
      </c>
      <c r="CX9" s="27">
        <f>COGS!CX9+'SG&amp;A'!CX9</f>
        <v>14.593</v>
      </c>
      <c r="CY9" s="27">
        <f>COGS!CY9+'SG&amp;A'!CY9</f>
        <v>19.145</v>
      </c>
      <c r="CZ9" s="27">
        <f>COGS!CZ9+'SG&amp;A'!CZ9</f>
        <v>34.07</v>
      </c>
      <c r="DA9" s="27">
        <f>COGS!DA9+'SG&amp;A'!DA9</f>
        <v>51.385000000000005</v>
      </c>
      <c r="DB9" s="27">
        <f>COGS!DB9+'SG&amp;A'!DB9</f>
        <v>119.19300000000001</v>
      </c>
      <c r="DC9" s="27">
        <f>COGS!DC9+'SG&amp;A'!DC9</f>
        <v>62.683999999999997</v>
      </c>
      <c r="DD9" s="27">
        <f>COGS!DD9+'SG&amp;A'!DD9</f>
        <v>88.417000000000002</v>
      </c>
      <c r="DE9" s="27">
        <f>COGS!DE9+'SG&amp;A'!DE9</f>
        <v>84.371000000000009</v>
      </c>
      <c r="DF9" s="27">
        <f>COGS!DF9+'SG&amp;A'!DF9</f>
        <v>89.798999999999992</v>
      </c>
      <c r="DG9" s="27">
        <f>COGS!DG9+'SG&amp;A'!DG9</f>
        <v>325.27100000000002</v>
      </c>
      <c r="DH9" s="27">
        <f>COGS!DH9+'SG&amp;A'!DH9</f>
        <v>63.018999999999998</v>
      </c>
      <c r="DI9" s="27">
        <f>COGS!DI9+'SG&amp;A'!DI9</f>
        <v>43.070999999999998</v>
      </c>
      <c r="DJ9" s="27">
        <f>COGS!DJ9+'SG&amp;A'!DJ9</f>
        <v>47.851999999999997</v>
      </c>
      <c r="DK9" s="27">
        <f>COGS!DK9+'SG&amp;A'!DK9</f>
        <v>48.268999999999998</v>
      </c>
      <c r="DL9" s="27">
        <f>COGS!DL9+'SG&amp;A'!DL9</f>
        <v>202.21100000000001</v>
      </c>
      <c r="DM9" s="27">
        <f>COGS!DM9+'SG&amp;A'!DM9</f>
        <v>33.088999999999999</v>
      </c>
      <c r="DN9" s="27">
        <f>COGS!DN9+'SG&amp;A'!DN9</f>
        <v>26.097999999999999</v>
      </c>
      <c r="DO9" s="27">
        <f>COGS!DO9+'SG&amp;A'!DO9</f>
        <v>23.093</v>
      </c>
      <c r="DP9" s="27">
        <f>COGS!DP9+'SG&amp;A'!DP9</f>
        <v>16.146000000000001</v>
      </c>
      <c r="DQ9" s="27">
        <f>COGS!DQ9+'SG&amp;A'!DQ9</f>
        <v>98.425999999999988</v>
      </c>
      <c r="DR9" s="27">
        <f>COGS!DR9+'SG&amp;A'!DR9</f>
        <v>31.681999999999999</v>
      </c>
      <c r="DS9" s="27">
        <f>COGS!DS9+'SG&amp;A'!DS9</f>
        <v>25.070999999999998</v>
      </c>
      <c r="DT9" s="27">
        <f>COGS!DT9+'SG&amp;A'!DT9</f>
        <v>21.600999999999999</v>
      </c>
      <c r="DU9" s="27">
        <f>COGS!DU9+'SG&amp;A'!DU9</f>
        <v>13.4</v>
      </c>
      <c r="DV9" s="27">
        <f>COGS!DV9+'SG&amp;A'!DV9</f>
        <v>91.753999999999991</v>
      </c>
      <c r="DW9" s="27">
        <f>COGS!DW9+'SG&amp;A'!DW9</f>
        <v>22.916</v>
      </c>
      <c r="DX9" s="27">
        <f>COGS!DX9+'SG&amp;A'!DX9</f>
        <v>24.172262</v>
      </c>
      <c r="DY9" s="27">
        <f>COGS!DY9+'SG&amp;A'!DY9</f>
        <v>32.88985563</v>
      </c>
      <c r="DZ9" s="27">
        <f>COGS!DZ9+'SG&amp;A'!DZ9</f>
        <v>28.994555299999991</v>
      </c>
      <c r="EA9" s="27">
        <f>COGS!EA9+'SG&amp;A'!EA9</f>
        <v>108.97267293</v>
      </c>
      <c r="EB9" s="27">
        <f>COGS!EB9+'SG&amp;A'!EB9</f>
        <v>36.975636739999999</v>
      </c>
      <c r="EC9" s="27">
        <f>COGS!EC9+'SG&amp;A'!EC9</f>
        <v>42.501745099999994</v>
      </c>
      <c r="ED9" s="27">
        <f>COGS!ED9+'SG&amp;A'!ED9</f>
        <v>39.205999999999996</v>
      </c>
      <c r="EE9" s="27">
        <f>COGS!EE9+'SG&amp;A'!EE9</f>
        <v>39.490633320000001</v>
      </c>
      <c r="EF9" s="27">
        <f>COGS!EF9+'SG&amp;A'!EF9</f>
        <v>158.17401515999998</v>
      </c>
      <c r="EG9" s="27">
        <f>COGS!EG9+'SG&amp;A'!EG9</f>
        <v>33.428901549999999</v>
      </c>
      <c r="EH9" s="27">
        <f>COGS!EH9+'SG&amp;A'!EH9</f>
        <v>45.219620820000003</v>
      </c>
      <c r="EI9" s="27">
        <f>COGS!EI9+'SG&amp;A'!EI9</f>
        <v>34.94072559</v>
      </c>
    </row>
    <row r="10" spans="1:139" ht="15" thickBot="1" x14ac:dyDescent="0.35">
      <c r="A10" s="2" t="s">
        <v>444</v>
      </c>
      <c r="B10" s="28">
        <f>COGS!B10+'SG&amp;A'!B10</f>
        <v>0</v>
      </c>
      <c r="C10" s="28">
        <f>COGS!C10+'SG&amp;A'!C10</f>
        <v>0</v>
      </c>
      <c r="D10" s="28">
        <f>COGS!D10+'SG&amp;A'!D10</f>
        <v>0</v>
      </c>
      <c r="E10" s="28">
        <f>COGS!E10+'SG&amp;A'!E10</f>
        <v>0</v>
      </c>
      <c r="F10" s="28">
        <f>COGS!F10+'SG&amp;A'!F10</f>
        <v>0</v>
      </c>
      <c r="G10" s="28">
        <f>COGS!G10+'SG&amp;A'!G10</f>
        <v>0</v>
      </c>
      <c r="H10" s="28">
        <f>COGS!H10+'SG&amp;A'!H10</f>
        <v>0</v>
      </c>
      <c r="I10" s="28">
        <f>COGS!I10+'SG&amp;A'!I10</f>
        <v>0</v>
      </c>
      <c r="J10" s="28">
        <f>COGS!J10+'SG&amp;A'!J10</f>
        <v>0</v>
      </c>
      <c r="K10" s="28">
        <f>COGS!K10+'SG&amp;A'!K10</f>
        <v>0</v>
      </c>
      <c r="L10" s="28">
        <f>COGS!L10+'SG&amp;A'!L10</f>
        <v>0</v>
      </c>
      <c r="M10" s="28">
        <f>COGS!M10+'SG&amp;A'!M10</f>
        <v>0</v>
      </c>
      <c r="N10" s="28">
        <f>COGS!N10+'SG&amp;A'!N10</f>
        <v>0</v>
      </c>
      <c r="O10" s="28">
        <f>COGS!O10+'SG&amp;A'!O10</f>
        <v>0</v>
      </c>
      <c r="P10" s="28">
        <f>COGS!P10+'SG&amp;A'!P10</f>
        <v>0</v>
      </c>
      <c r="Q10" s="28">
        <f>COGS!Q10+'SG&amp;A'!Q10</f>
        <v>0</v>
      </c>
      <c r="R10" s="28">
        <f>COGS!R10+'SG&amp;A'!R10</f>
        <v>0</v>
      </c>
      <c r="S10" s="28">
        <f>COGS!S10+'SG&amp;A'!S10</f>
        <v>0</v>
      </c>
      <c r="T10" s="28">
        <f>COGS!T10+'SG&amp;A'!T10</f>
        <v>0</v>
      </c>
      <c r="U10" s="28">
        <f>COGS!U10+'SG&amp;A'!U10</f>
        <v>0</v>
      </c>
      <c r="V10" s="28">
        <f>COGS!V10+'SG&amp;A'!V10</f>
        <v>0</v>
      </c>
      <c r="W10" s="28">
        <f>COGS!W10+'SG&amp;A'!W10</f>
        <v>0</v>
      </c>
      <c r="X10" s="28">
        <f>COGS!X10+'SG&amp;A'!X10</f>
        <v>0</v>
      </c>
      <c r="Y10" s="28">
        <f>COGS!Y10+'SG&amp;A'!Y10</f>
        <v>0</v>
      </c>
      <c r="Z10" s="28">
        <f>COGS!Z10+'SG&amp;A'!Z10</f>
        <v>0</v>
      </c>
      <c r="AA10" s="28">
        <f>COGS!AA10+'SG&amp;A'!AA10</f>
        <v>0</v>
      </c>
      <c r="AB10" s="28">
        <f>COGS!AB10+'SG&amp;A'!AB10</f>
        <v>0</v>
      </c>
      <c r="AC10" s="28">
        <f>COGS!AC10+'SG&amp;A'!AC10</f>
        <v>0</v>
      </c>
      <c r="AD10" s="28">
        <f>COGS!AD10+'SG&amp;A'!AD10</f>
        <v>0</v>
      </c>
      <c r="AE10" s="28">
        <f>COGS!AE10+'SG&amp;A'!AE10</f>
        <v>0</v>
      </c>
      <c r="AF10" s="28">
        <f>COGS!AF10+'SG&amp;A'!AF10</f>
        <v>0</v>
      </c>
      <c r="AG10" s="28">
        <f>COGS!AG10+'SG&amp;A'!AG10</f>
        <v>0</v>
      </c>
      <c r="AH10" s="28">
        <f>COGS!AH10+'SG&amp;A'!AH10</f>
        <v>0</v>
      </c>
      <c r="AI10" s="28">
        <f>COGS!AI10+'SG&amp;A'!AI10</f>
        <v>0</v>
      </c>
      <c r="AJ10" s="28">
        <f>COGS!AJ10+'SG&amp;A'!AJ10</f>
        <v>0</v>
      </c>
      <c r="AK10" s="28">
        <f>COGS!AK10+'SG&amp;A'!AK10</f>
        <v>0</v>
      </c>
      <c r="AL10" s="28">
        <f>COGS!AL10+'SG&amp;A'!AL10</f>
        <v>0</v>
      </c>
      <c r="AM10" s="28">
        <f>COGS!AM10+'SG&amp;A'!AM10</f>
        <v>0</v>
      </c>
      <c r="AN10" s="28">
        <f>COGS!AN10+'SG&amp;A'!AN10</f>
        <v>0</v>
      </c>
      <c r="AO10" s="28">
        <f>COGS!AO10+'SG&amp;A'!AO10</f>
        <v>0</v>
      </c>
      <c r="AP10" s="28">
        <f>COGS!AP10+'SG&amp;A'!AP10</f>
        <v>0</v>
      </c>
      <c r="AQ10" s="28">
        <f>COGS!AQ10+'SG&amp;A'!AQ10</f>
        <v>0</v>
      </c>
      <c r="AR10" s="28">
        <f>COGS!AR10+'SG&amp;A'!AR10</f>
        <v>0</v>
      </c>
      <c r="AS10" s="28">
        <f>COGS!AS10+'SG&amp;A'!AS10</f>
        <v>0</v>
      </c>
      <c r="AT10" s="28">
        <f>COGS!AT10+'SG&amp;A'!AT10</f>
        <v>0</v>
      </c>
      <c r="AU10" s="28">
        <f>COGS!AU10+'SG&amp;A'!AU10</f>
        <v>0</v>
      </c>
      <c r="AV10" s="28">
        <f>COGS!AV10+'SG&amp;A'!AV10</f>
        <v>0</v>
      </c>
      <c r="AW10" s="28">
        <f>COGS!AW10+'SG&amp;A'!AW10</f>
        <v>0</v>
      </c>
      <c r="AX10" s="28">
        <f>COGS!AX10+'SG&amp;A'!AX10</f>
        <v>0</v>
      </c>
      <c r="AY10" s="28">
        <f>COGS!AY10+'SG&amp;A'!AY10</f>
        <v>0</v>
      </c>
      <c r="AZ10" s="28">
        <f>COGS!AZ10+'SG&amp;A'!AZ10</f>
        <v>0</v>
      </c>
      <c r="BA10" s="28">
        <f>COGS!BA10+'SG&amp;A'!BA10</f>
        <v>0</v>
      </c>
      <c r="BB10" s="28">
        <f>COGS!BB10+'SG&amp;A'!BB10</f>
        <v>0</v>
      </c>
      <c r="BC10" s="28">
        <f>COGS!BC10+'SG&amp;A'!BC10</f>
        <v>0</v>
      </c>
      <c r="BD10" s="28">
        <f>COGS!BD10+'SG&amp;A'!BD10</f>
        <v>0</v>
      </c>
      <c r="BE10" s="28">
        <f>COGS!BE10+'SG&amp;A'!BE10</f>
        <v>0</v>
      </c>
      <c r="BF10" s="28">
        <f>COGS!BF10+'SG&amp;A'!BF10</f>
        <v>0</v>
      </c>
      <c r="BG10" s="28">
        <f>COGS!BG10+'SG&amp;A'!BG10</f>
        <v>0</v>
      </c>
      <c r="BH10" s="28">
        <f>COGS!BH10+'SG&amp;A'!BH10</f>
        <v>0</v>
      </c>
      <c r="BI10" s="28">
        <f>COGS!BI10+'SG&amp;A'!BI10</f>
        <v>0</v>
      </c>
      <c r="BJ10" s="28">
        <f>COGS!BJ10+'SG&amp;A'!BJ10</f>
        <v>0</v>
      </c>
      <c r="BK10" s="28">
        <f>COGS!BK10+'SG&amp;A'!BK10</f>
        <v>0</v>
      </c>
      <c r="BL10" s="28">
        <f>COGS!BL10+'SG&amp;A'!BL10</f>
        <v>0</v>
      </c>
      <c r="BM10" s="28">
        <f>COGS!BM10+'SG&amp;A'!BM10</f>
        <v>0</v>
      </c>
      <c r="BN10" s="28">
        <f>COGS!BN10+'SG&amp;A'!BN10</f>
        <v>0</v>
      </c>
      <c r="BO10" s="28">
        <f>COGS!BO10+'SG&amp;A'!BO10</f>
        <v>0</v>
      </c>
      <c r="BP10" s="28">
        <f>COGS!BP10+'SG&amp;A'!BP10</f>
        <v>0</v>
      </c>
      <c r="BQ10" s="28">
        <f>COGS!BQ10+'SG&amp;A'!BQ10</f>
        <v>0</v>
      </c>
      <c r="BR10" s="28">
        <f>COGS!BR10+'SG&amp;A'!BR10</f>
        <v>0</v>
      </c>
      <c r="BS10" s="28">
        <f>COGS!BS10+'SG&amp;A'!BS10</f>
        <v>0</v>
      </c>
      <c r="BT10" s="28">
        <f>COGS!BT10+'SG&amp;A'!BT10</f>
        <v>0</v>
      </c>
      <c r="BU10" s="28">
        <f>COGS!BU10+'SG&amp;A'!BU10</f>
        <v>0</v>
      </c>
      <c r="BV10" s="28">
        <f>COGS!BV10+'SG&amp;A'!BV10</f>
        <v>0</v>
      </c>
      <c r="BW10" s="28">
        <f>COGS!BW10+'SG&amp;A'!BW10</f>
        <v>0</v>
      </c>
      <c r="BX10" s="28">
        <f>COGS!BX10+'SG&amp;A'!BX10</f>
        <v>0</v>
      </c>
      <c r="BY10" s="28">
        <f>COGS!BY10+'SG&amp;A'!BY10</f>
        <v>0</v>
      </c>
      <c r="BZ10" s="28">
        <f>COGS!BZ10+'SG&amp;A'!BZ10</f>
        <v>0</v>
      </c>
      <c r="CA10" s="28">
        <f>COGS!CA10+'SG&amp;A'!CA10</f>
        <v>0</v>
      </c>
      <c r="CB10" s="28">
        <f>COGS!CB10+'SG&amp;A'!CB10</f>
        <v>0</v>
      </c>
      <c r="CC10" s="28">
        <f>COGS!CC10+'SG&amp;A'!CC10</f>
        <v>0</v>
      </c>
      <c r="CD10" s="28">
        <f>COGS!CD10+'SG&amp;A'!CD10</f>
        <v>0</v>
      </c>
      <c r="CE10" s="28">
        <f>COGS!CE10+'SG&amp;A'!CE10</f>
        <v>0</v>
      </c>
      <c r="CF10" s="28">
        <f>COGS!CF10+'SG&amp;A'!CF10</f>
        <v>0</v>
      </c>
      <c r="CG10" s="28">
        <f>COGS!CG10+'SG&amp;A'!CG10</f>
        <v>0</v>
      </c>
      <c r="CH10" s="28">
        <f>COGS!CH10+'SG&amp;A'!CH10</f>
        <v>0</v>
      </c>
      <c r="CI10" s="28">
        <f>COGS!CI10+'SG&amp;A'!CI10</f>
        <v>0</v>
      </c>
      <c r="CJ10" s="28">
        <f>COGS!CJ10+'SG&amp;A'!CJ10</f>
        <v>0</v>
      </c>
      <c r="CK10" s="28">
        <f>COGS!CK10+'SG&amp;A'!CK10</f>
        <v>0</v>
      </c>
      <c r="CL10" s="28">
        <f>COGS!CL10+'SG&amp;A'!CL10</f>
        <v>0</v>
      </c>
      <c r="CM10" s="28">
        <f>COGS!CM10+'SG&amp;A'!CM10</f>
        <v>0</v>
      </c>
      <c r="CN10" s="28">
        <f>COGS!CN10+'SG&amp;A'!CN10</f>
        <v>0</v>
      </c>
      <c r="CO10" s="28">
        <f>COGS!CO10+'SG&amp;A'!CO10</f>
        <v>0</v>
      </c>
      <c r="CP10" s="28">
        <f>COGS!CP10+'SG&amp;A'!CP10</f>
        <v>0</v>
      </c>
      <c r="CQ10" s="28">
        <f>COGS!CQ10+'SG&amp;A'!CQ10</f>
        <v>0</v>
      </c>
      <c r="CR10" s="28">
        <f>COGS!CR10+'SG&amp;A'!CR10</f>
        <v>0</v>
      </c>
      <c r="CS10" s="28">
        <f>COGS!CS10+'SG&amp;A'!CS10</f>
        <v>0</v>
      </c>
      <c r="CT10" s="28">
        <f>COGS!CT10+'SG&amp;A'!CT10</f>
        <v>0</v>
      </c>
      <c r="CU10" s="28">
        <f>COGS!CU10+'SG&amp;A'!CU10</f>
        <v>0</v>
      </c>
      <c r="CV10" s="28">
        <f>COGS!CV10+'SG&amp;A'!CV10</f>
        <v>0</v>
      </c>
      <c r="CW10" s="28">
        <f>COGS!CW10+'SG&amp;A'!CW10</f>
        <v>0</v>
      </c>
      <c r="CX10" s="28">
        <f>COGS!CX10+'SG&amp;A'!CX10</f>
        <v>0</v>
      </c>
      <c r="CY10" s="28">
        <f>COGS!CY10+'SG&amp;A'!CY10</f>
        <v>0</v>
      </c>
      <c r="CZ10" s="28">
        <f>COGS!CZ10+'SG&amp;A'!CZ10</f>
        <v>0</v>
      </c>
      <c r="DA10" s="28">
        <f>COGS!DA10+'SG&amp;A'!DA10</f>
        <v>0</v>
      </c>
      <c r="DB10" s="28">
        <f>COGS!DB10+'SG&amp;A'!DB10</f>
        <v>0</v>
      </c>
      <c r="DC10" s="28">
        <f>COGS!DC10+'SG&amp;A'!DC10</f>
        <v>0</v>
      </c>
      <c r="DD10" s="28">
        <f>COGS!DD10+'SG&amp;A'!DD10</f>
        <v>61.932000000000002</v>
      </c>
      <c r="DE10" s="28">
        <f>COGS!DE10+'SG&amp;A'!DE10</f>
        <v>24.591999999999999</v>
      </c>
      <c r="DF10" s="28">
        <f>COGS!DF10+'SG&amp;A'!DF10</f>
        <v>87.274000000000001</v>
      </c>
      <c r="DG10" s="28">
        <f>COGS!DG10+'SG&amp;A'!DG10</f>
        <v>173.79799999999997</v>
      </c>
      <c r="DH10" s="28">
        <f>COGS!DH10+'SG&amp;A'!DH10</f>
        <v>85.141000000000005</v>
      </c>
      <c r="DI10" s="28">
        <f>COGS!DI10+'SG&amp;A'!DI10</f>
        <v>71.055000000000007</v>
      </c>
      <c r="DJ10" s="28">
        <f>COGS!DJ10+'SG&amp;A'!DJ10</f>
        <v>74.774000000000001</v>
      </c>
      <c r="DK10" s="28">
        <f>COGS!DK10+'SG&amp;A'!DK10</f>
        <v>86.637</v>
      </c>
      <c r="DL10" s="28">
        <f>COGS!DL10+'SG&amp;A'!DL10</f>
        <v>317.60700000000008</v>
      </c>
      <c r="DM10" s="28">
        <f>COGS!DM10+'SG&amp;A'!DM10</f>
        <v>66.073999999999998</v>
      </c>
      <c r="DN10" s="28">
        <f>COGS!DN10+'SG&amp;A'!DN10</f>
        <v>101.61</v>
      </c>
      <c r="DO10" s="28">
        <f>COGS!DO10+'SG&amp;A'!DO10</f>
        <v>113.7</v>
      </c>
      <c r="DP10" s="28">
        <f>COGS!DP10+'SG&amp;A'!DP10</f>
        <v>102.974</v>
      </c>
      <c r="DQ10" s="28">
        <f>COGS!DQ10+'SG&amp;A'!DQ10</f>
        <v>384.35800000000006</v>
      </c>
      <c r="DR10" s="28">
        <f>COGS!DR10+'SG&amp;A'!DR10</f>
        <v>75.694999999999993</v>
      </c>
      <c r="DS10" s="28">
        <f>COGS!DS10+'SG&amp;A'!DS10</f>
        <v>71.842999999999989</v>
      </c>
      <c r="DT10" s="28">
        <f>COGS!DT10+'SG&amp;A'!DT10</f>
        <v>114.13800000000001</v>
      </c>
      <c r="DU10" s="28">
        <f>COGS!DU10+'SG&amp;A'!DU10</f>
        <v>139.464</v>
      </c>
      <c r="DV10" s="28">
        <f>COGS!DV10+'SG&amp;A'!DV10</f>
        <v>401.14</v>
      </c>
      <c r="DW10" s="28">
        <f>COGS!DW10+'SG&amp;A'!DW10</f>
        <v>73.346999999999994</v>
      </c>
      <c r="DX10" s="28">
        <f>COGS!DX10+'SG&amp;A'!DX10</f>
        <v>98.133918309999999</v>
      </c>
      <c r="DY10" s="28">
        <f>COGS!DY10+'SG&amp;A'!DY10</f>
        <v>120.64875245000002</v>
      </c>
      <c r="DZ10" s="28">
        <f>COGS!DZ10+'SG&amp;A'!DZ10</f>
        <v>122.55527620999996</v>
      </c>
      <c r="EA10" s="28">
        <f>COGS!EA10+'SG&amp;A'!EA10</f>
        <v>414.68494696999994</v>
      </c>
      <c r="EB10" s="28">
        <f>COGS!EB10+'SG&amp;A'!EB10</f>
        <v>106.78084475999999</v>
      </c>
      <c r="EC10" s="28">
        <f>COGS!EC10+'SG&amp;A'!EC10</f>
        <v>131.92498262000001</v>
      </c>
      <c r="ED10" s="28">
        <f>COGS!ED10+'SG&amp;A'!ED10</f>
        <v>123.199</v>
      </c>
      <c r="EE10" s="28">
        <f>COGS!EE10+'SG&amp;A'!EE10</f>
        <v>123.84813889999995</v>
      </c>
      <c r="EF10" s="28">
        <f>COGS!EF10+'SG&amp;A'!EF10</f>
        <v>485.7529662799999</v>
      </c>
      <c r="EG10" s="28">
        <f>COGS!EG10+'SG&amp;A'!EG10</f>
        <v>95.844418779999998</v>
      </c>
      <c r="EH10" s="28">
        <f>COGS!EH10+'SG&amp;A'!EH10</f>
        <v>93.594053189999997</v>
      </c>
      <c r="EI10" s="28">
        <f>COGS!EI10+'SG&amp;A'!EI10</f>
        <v>112.19391223000002</v>
      </c>
    </row>
    <row r="11" spans="1:139" ht="15" thickTop="1" x14ac:dyDescent="0.3">
      <c r="A11" s="1" t="s">
        <v>456</v>
      </c>
      <c r="B11" s="27">
        <f>COGS!B11+'SG&amp;A'!B11</f>
        <v>0</v>
      </c>
      <c r="C11" s="27">
        <f>COGS!C11+'SG&amp;A'!C11</f>
        <v>0</v>
      </c>
      <c r="D11" s="27">
        <f>COGS!D11+'SG&amp;A'!D11</f>
        <v>0</v>
      </c>
      <c r="E11" s="27">
        <f>COGS!E11+'SG&amp;A'!E11</f>
        <v>0</v>
      </c>
      <c r="F11" s="27">
        <f>COGS!F11+'SG&amp;A'!F11</f>
        <v>0</v>
      </c>
      <c r="G11" s="27">
        <f>COGS!G11+'SG&amp;A'!G11</f>
        <v>0</v>
      </c>
      <c r="H11" s="27">
        <f>COGS!H11+'SG&amp;A'!H11</f>
        <v>0</v>
      </c>
      <c r="I11" s="27">
        <f>COGS!I11+'SG&amp;A'!I11</f>
        <v>0</v>
      </c>
      <c r="J11" s="27">
        <f>COGS!J11+'SG&amp;A'!J11</f>
        <v>0</v>
      </c>
      <c r="K11" s="27">
        <f>COGS!K11+'SG&amp;A'!K11</f>
        <v>0</v>
      </c>
      <c r="L11" s="27">
        <f>COGS!L11+'SG&amp;A'!L11</f>
        <v>0</v>
      </c>
      <c r="M11" s="27">
        <f>COGS!M11+'SG&amp;A'!M11</f>
        <v>0</v>
      </c>
      <c r="N11" s="27">
        <f>COGS!N11+'SG&amp;A'!N11</f>
        <v>0</v>
      </c>
      <c r="O11" s="27">
        <f>COGS!O11+'SG&amp;A'!O11</f>
        <v>0</v>
      </c>
      <c r="P11" s="27">
        <f>COGS!P11+'SG&amp;A'!P11</f>
        <v>0</v>
      </c>
      <c r="Q11" s="27">
        <f>COGS!Q11+'SG&amp;A'!Q11</f>
        <v>0</v>
      </c>
      <c r="R11" s="27">
        <f>COGS!R11+'SG&amp;A'!R11</f>
        <v>0</v>
      </c>
      <c r="S11" s="27">
        <f>COGS!S11+'SG&amp;A'!S11</f>
        <v>0</v>
      </c>
      <c r="T11" s="27">
        <f>COGS!T11+'SG&amp;A'!T11</f>
        <v>0</v>
      </c>
      <c r="U11" s="27">
        <f>COGS!U11+'SG&amp;A'!U11</f>
        <v>0</v>
      </c>
      <c r="V11" s="27">
        <f>COGS!V11+'SG&amp;A'!V11</f>
        <v>0</v>
      </c>
      <c r="W11" s="27">
        <f>COGS!W11+'SG&amp;A'!W11</f>
        <v>0</v>
      </c>
      <c r="X11" s="27">
        <f>COGS!X11+'SG&amp;A'!X11</f>
        <v>0</v>
      </c>
      <c r="Y11" s="27">
        <f>COGS!Y11+'SG&amp;A'!Y11</f>
        <v>0</v>
      </c>
      <c r="Z11" s="27">
        <f>COGS!Z11+'SG&amp;A'!Z11</f>
        <v>0</v>
      </c>
      <c r="AA11" s="27">
        <f>COGS!AA11+'SG&amp;A'!AA11</f>
        <v>0</v>
      </c>
      <c r="AB11" s="27">
        <f>COGS!AB11+'SG&amp;A'!AB11</f>
        <v>0</v>
      </c>
      <c r="AC11" s="27">
        <f>COGS!AC11+'SG&amp;A'!AC11</f>
        <v>0</v>
      </c>
      <c r="AD11" s="27">
        <f>COGS!AD11+'SG&amp;A'!AD11</f>
        <v>0</v>
      </c>
      <c r="AE11" s="27">
        <f>COGS!AE11+'SG&amp;A'!AE11</f>
        <v>0</v>
      </c>
      <c r="AF11" s="27">
        <f>COGS!AF11+'SG&amp;A'!AF11</f>
        <v>0</v>
      </c>
      <c r="AG11" s="27">
        <f>COGS!AG11+'SG&amp;A'!AG11</f>
        <v>0</v>
      </c>
      <c r="AH11" s="27">
        <f>COGS!AH11+'SG&amp;A'!AH11</f>
        <v>0</v>
      </c>
      <c r="AI11" s="27">
        <f>COGS!AI11+'SG&amp;A'!AI11</f>
        <v>0</v>
      </c>
      <c r="AJ11" s="27">
        <f>COGS!AJ11+'SG&amp;A'!AJ11</f>
        <v>0</v>
      </c>
      <c r="AK11" s="27">
        <f>COGS!AK11+'SG&amp;A'!AK11</f>
        <v>0</v>
      </c>
      <c r="AL11" s="27">
        <f>COGS!AL11+'SG&amp;A'!AL11</f>
        <v>0</v>
      </c>
      <c r="AM11" s="27">
        <f>COGS!AM11+'SG&amp;A'!AM11</f>
        <v>0</v>
      </c>
      <c r="AN11" s="27">
        <f>COGS!AN11+'SG&amp;A'!AN11</f>
        <v>0</v>
      </c>
      <c r="AO11" s="27">
        <f>COGS!AO11+'SG&amp;A'!AO11</f>
        <v>0</v>
      </c>
      <c r="AP11" s="27">
        <f>COGS!AP11+'SG&amp;A'!AP11</f>
        <v>0</v>
      </c>
      <c r="AQ11" s="27">
        <f>COGS!AQ11+'SG&amp;A'!AQ11</f>
        <v>0</v>
      </c>
      <c r="AR11" s="27">
        <f>COGS!AR11+'SG&amp;A'!AR11</f>
        <v>0</v>
      </c>
      <c r="AS11" s="27">
        <f>COGS!AS11+'SG&amp;A'!AS11</f>
        <v>0</v>
      </c>
      <c r="AT11" s="27">
        <f>COGS!AT11+'SG&amp;A'!AT11</f>
        <v>0</v>
      </c>
      <c r="AU11" s="27">
        <f>COGS!AU11+'SG&amp;A'!AU11</f>
        <v>0</v>
      </c>
      <c r="AV11" s="27">
        <f>COGS!AV11+'SG&amp;A'!AV11</f>
        <v>0</v>
      </c>
      <c r="AW11" s="27">
        <f>COGS!AW11+'SG&amp;A'!AW11</f>
        <v>0</v>
      </c>
      <c r="AX11" s="27">
        <f>COGS!AX11+'SG&amp;A'!AX11</f>
        <v>0</v>
      </c>
      <c r="AY11" s="27">
        <f>COGS!AY11+'SG&amp;A'!AY11</f>
        <v>0</v>
      </c>
      <c r="AZ11" s="27">
        <f>COGS!AZ11+'SG&amp;A'!AZ11</f>
        <v>0</v>
      </c>
      <c r="BA11" s="27">
        <f>COGS!BA11+'SG&amp;A'!BA11</f>
        <v>0</v>
      </c>
      <c r="BB11" s="27">
        <f>COGS!BB11+'SG&amp;A'!BB11</f>
        <v>0</v>
      </c>
      <c r="BC11" s="27">
        <f>COGS!BC11+'SG&amp;A'!BC11</f>
        <v>0</v>
      </c>
      <c r="BD11" s="27">
        <f>COGS!BD11+'SG&amp;A'!BD11</f>
        <v>0</v>
      </c>
      <c r="BE11" s="27">
        <f>COGS!BE11+'SG&amp;A'!BE11</f>
        <v>0</v>
      </c>
      <c r="BF11" s="27">
        <f>COGS!BF11+'SG&amp;A'!BF11</f>
        <v>0</v>
      </c>
      <c r="BG11" s="27">
        <f>COGS!BG11+'SG&amp;A'!BG11</f>
        <v>0</v>
      </c>
      <c r="BH11" s="27">
        <f>COGS!BH11+'SG&amp;A'!BH11</f>
        <v>0</v>
      </c>
      <c r="BI11" s="27">
        <f>COGS!BI11+'SG&amp;A'!BI11</f>
        <v>0</v>
      </c>
      <c r="BJ11" s="27">
        <f>COGS!BJ11+'SG&amp;A'!BJ11</f>
        <v>0</v>
      </c>
      <c r="BK11" s="27">
        <f>COGS!BK11+'SG&amp;A'!BK11</f>
        <v>0</v>
      </c>
      <c r="BL11" s="27">
        <f>COGS!BL11+'SG&amp;A'!BL11</f>
        <v>0</v>
      </c>
      <c r="BM11" s="27">
        <f>COGS!BM11+'SG&amp;A'!BM11</f>
        <v>0</v>
      </c>
      <c r="BN11" s="27">
        <f>COGS!BN11+'SG&amp;A'!BN11</f>
        <v>0</v>
      </c>
      <c r="BO11" s="27">
        <f>COGS!BO11+'SG&amp;A'!BO11</f>
        <v>0</v>
      </c>
      <c r="BP11" s="27">
        <f>COGS!BP11+'SG&amp;A'!BP11</f>
        <v>0</v>
      </c>
      <c r="BQ11" s="27">
        <f>COGS!BQ11+'SG&amp;A'!BQ11</f>
        <v>0</v>
      </c>
      <c r="BR11" s="27">
        <f>COGS!BR11+'SG&amp;A'!BR11</f>
        <v>0</v>
      </c>
      <c r="BS11" s="27">
        <f>COGS!BS11+'SG&amp;A'!BS11</f>
        <v>0</v>
      </c>
      <c r="BT11" s="27">
        <f>COGS!BT11+'SG&amp;A'!BT11</f>
        <v>0</v>
      </c>
      <c r="BU11" s="27">
        <f>COGS!BU11+'SG&amp;A'!BU11</f>
        <v>0</v>
      </c>
      <c r="BV11" s="27">
        <f>COGS!BV11+'SG&amp;A'!BV11</f>
        <v>0</v>
      </c>
      <c r="BW11" s="27">
        <f>COGS!BW11+'SG&amp;A'!BW11</f>
        <v>0</v>
      </c>
      <c r="BX11" s="27">
        <f>COGS!BX11+'SG&amp;A'!BX11</f>
        <v>0</v>
      </c>
      <c r="BY11" s="27">
        <f>COGS!BY11+'SG&amp;A'!BY11</f>
        <v>0</v>
      </c>
      <c r="BZ11" s="27">
        <f>COGS!BZ11+'SG&amp;A'!BZ11</f>
        <v>0</v>
      </c>
      <c r="CA11" s="27">
        <f>COGS!CA11+'SG&amp;A'!CA11</f>
        <v>0</v>
      </c>
      <c r="CB11" s="27">
        <f>COGS!CB11+'SG&amp;A'!CB11</f>
        <v>0</v>
      </c>
      <c r="CC11" s="27">
        <f>COGS!CC11+'SG&amp;A'!CC11</f>
        <v>0</v>
      </c>
      <c r="CD11" s="27">
        <f>COGS!CD11+'SG&amp;A'!CD11</f>
        <v>0</v>
      </c>
      <c r="CE11" s="27">
        <f>COGS!CE11+'SG&amp;A'!CE11</f>
        <v>0</v>
      </c>
      <c r="CF11" s="27">
        <f>COGS!CF11+'SG&amp;A'!CF11</f>
        <v>0</v>
      </c>
      <c r="CG11" s="27">
        <f>COGS!CG11+'SG&amp;A'!CG11</f>
        <v>0</v>
      </c>
      <c r="CH11" s="27">
        <f>COGS!CH11+'SG&amp;A'!CH11</f>
        <v>0</v>
      </c>
      <c r="CI11" s="27">
        <f>COGS!CI11+'SG&amp;A'!CI11</f>
        <v>0</v>
      </c>
      <c r="CJ11" s="27">
        <f>COGS!CJ11+'SG&amp;A'!CJ11</f>
        <v>0</v>
      </c>
      <c r="CK11" s="27">
        <f>COGS!CK11+'SG&amp;A'!CK11</f>
        <v>0</v>
      </c>
      <c r="CL11" s="27">
        <f>COGS!CL11+'SG&amp;A'!CL11</f>
        <v>0</v>
      </c>
      <c r="CM11" s="27">
        <f>COGS!CM11+'SG&amp;A'!CM11</f>
        <v>0</v>
      </c>
      <c r="CN11" s="27">
        <f>COGS!CN11+'SG&amp;A'!CN11</f>
        <v>0</v>
      </c>
      <c r="CO11" s="27">
        <f>COGS!CO11+'SG&amp;A'!CO11</f>
        <v>0</v>
      </c>
      <c r="CP11" s="27">
        <f>COGS!CP11+'SG&amp;A'!CP11</f>
        <v>0</v>
      </c>
      <c r="CQ11" s="27">
        <f>COGS!CQ11+'SG&amp;A'!CQ11</f>
        <v>0</v>
      </c>
      <c r="CR11" s="27">
        <f>COGS!CR11+'SG&amp;A'!CR11</f>
        <v>0</v>
      </c>
      <c r="CS11" s="27">
        <f>COGS!CS11+'SG&amp;A'!CS11</f>
        <v>0</v>
      </c>
      <c r="CT11" s="27">
        <f>COGS!CT11+'SG&amp;A'!CT11</f>
        <v>0</v>
      </c>
      <c r="CU11" s="27">
        <f>COGS!CU11+'SG&amp;A'!CU11</f>
        <v>0</v>
      </c>
      <c r="CV11" s="27">
        <f>COGS!CV11+'SG&amp;A'!CV11</f>
        <v>0</v>
      </c>
      <c r="CW11" s="27">
        <f>COGS!CW11+'SG&amp;A'!CW11</f>
        <v>0</v>
      </c>
      <c r="CX11" s="27">
        <f>COGS!CX11+'SG&amp;A'!CX11</f>
        <v>0</v>
      </c>
      <c r="CY11" s="27">
        <f>COGS!CY11+'SG&amp;A'!CY11</f>
        <v>0.45500000000000002</v>
      </c>
      <c r="CZ11" s="27">
        <f>COGS!CZ11+'SG&amp;A'!CZ11</f>
        <v>4.4619999999999997</v>
      </c>
      <c r="DA11" s="27">
        <f>COGS!DA11+'SG&amp;A'!DA11</f>
        <v>60.51</v>
      </c>
      <c r="DB11" s="27">
        <f>COGS!DB11+'SG&amp;A'!DB11</f>
        <v>65.427000000000007</v>
      </c>
      <c r="DC11" s="27">
        <f>COGS!DC11+'SG&amp;A'!DC11</f>
        <v>80.282000000000011</v>
      </c>
      <c r="DD11" s="27">
        <f>COGS!DD11+'SG&amp;A'!DD11</f>
        <v>39.582000000000001</v>
      </c>
      <c r="DE11" s="27">
        <f>COGS!DE11+'SG&amp;A'!DE11</f>
        <v>23.9</v>
      </c>
      <c r="DF11" s="27">
        <f>COGS!DF11+'SG&amp;A'!DF11</f>
        <v>34.783999999999999</v>
      </c>
      <c r="DG11" s="27">
        <f>COGS!DG11+'SG&amp;A'!DG11</f>
        <v>178.548</v>
      </c>
      <c r="DH11" s="27">
        <f>COGS!DH11+'SG&amp;A'!DH11</f>
        <v>29.242999999999999</v>
      </c>
      <c r="DI11" s="27">
        <f>COGS!DI11+'SG&amp;A'!DI11</f>
        <v>35.840000000000003</v>
      </c>
      <c r="DJ11" s="27">
        <f>COGS!DJ11+'SG&amp;A'!DJ11</f>
        <v>41.661000000000001</v>
      </c>
      <c r="DK11" s="27">
        <f>COGS!DK11+'SG&amp;A'!DK11</f>
        <v>27.245000000000001</v>
      </c>
      <c r="DL11" s="27">
        <f>COGS!DL11+'SG&amp;A'!DL11</f>
        <v>133.989</v>
      </c>
      <c r="DM11" s="27">
        <f>COGS!DM11+'SG&amp;A'!DM11</f>
        <v>28.737000000000002</v>
      </c>
      <c r="DN11" s="27">
        <f>COGS!DN11+'SG&amp;A'!DN11</f>
        <v>44.385999999999996</v>
      </c>
      <c r="DO11" s="27">
        <f>COGS!DO11+'SG&amp;A'!DO11</f>
        <v>69.442000000000007</v>
      </c>
      <c r="DP11" s="27">
        <f>COGS!DP11+'SG&amp;A'!DP11</f>
        <v>137.46100000000001</v>
      </c>
      <c r="DQ11" s="27">
        <f>COGS!DQ11+'SG&amp;A'!DQ11</f>
        <v>280.02600000000001</v>
      </c>
      <c r="DR11" s="27">
        <f>COGS!DR11+'SG&amp;A'!DR11</f>
        <v>105.89800000000001</v>
      </c>
      <c r="DS11" s="27">
        <f>COGS!DS11+'SG&amp;A'!DS11</f>
        <v>116.14100000000001</v>
      </c>
      <c r="DT11" s="27">
        <f>COGS!DT11+'SG&amp;A'!DT11</f>
        <v>153.25900000000001</v>
      </c>
      <c r="DU11" s="27">
        <f>COGS!DU11+'SG&amp;A'!DU11</f>
        <v>175.274</v>
      </c>
      <c r="DV11" s="27">
        <f>COGS!DV11+'SG&amp;A'!DV11</f>
        <v>550.572</v>
      </c>
      <c r="DW11" s="27">
        <f>COGS!DW11+'SG&amp;A'!DW11</f>
        <v>103.86499999999999</v>
      </c>
      <c r="DX11" s="27">
        <f>COGS!DX11+'SG&amp;A'!DX11</f>
        <v>182.77596464000001</v>
      </c>
      <c r="DY11" s="27">
        <f>COGS!DY11+'SG&amp;A'!DY11</f>
        <v>301.00548380000004</v>
      </c>
      <c r="DZ11" s="27">
        <f>COGS!DZ11+'SG&amp;A'!DZ11</f>
        <v>302.61368037000005</v>
      </c>
      <c r="EA11" s="27">
        <f>COGS!EA11+'SG&amp;A'!EA11</f>
        <v>890.26012881000008</v>
      </c>
      <c r="EB11" s="27">
        <f>COGS!EB11+'SG&amp;A'!EB11</f>
        <v>140.55711846000003</v>
      </c>
      <c r="EC11" s="27">
        <f>COGS!EC11+'SG&amp;A'!EC11</f>
        <v>193.04274653000002</v>
      </c>
      <c r="ED11" s="27">
        <f>COGS!ED11+'SG&amp;A'!ED11</f>
        <v>245.846</v>
      </c>
      <c r="EE11" s="27">
        <f>COGS!EE11+'SG&amp;A'!EE11</f>
        <v>293.30900422999991</v>
      </c>
      <c r="EF11" s="27">
        <f>COGS!EF11+'SG&amp;A'!EF11</f>
        <v>872.75486921999993</v>
      </c>
      <c r="EG11" s="27">
        <f>COGS!EG11+'SG&amp;A'!EG11</f>
        <v>136.70150176000001</v>
      </c>
      <c r="EH11" s="27">
        <f>COGS!EH11+'SG&amp;A'!EH11</f>
        <v>161.18975357999997</v>
      </c>
      <c r="EI11" s="27">
        <f>COGS!EI11+'SG&amp;A'!EI11</f>
        <v>187.90615732000001</v>
      </c>
    </row>
    <row r="12" spans="1:139" ht="15" thickBot="1" x14ac:dyDescent="0.35">
      <c r="A12" s="2" t="s">
        <v>446</v>
      </c>
      <c r="B12" s="28">
        <f>COGS!B12+'SG&amp;A'!B12</f>
        <v>0</v>
      </c>
      <c r="C12" s="28">
        <f>COGS!C12+'SG&amp;A'!C12</f>
        <v>0</v>
      </c>
      <c r="D12" s="28">
        <f>COGS!D12+'SG&amp;A'!D12</f>
        <v>0</v>
      </c>
      <c r="E12" s="28">
        <f>COGS!E12+'SG&amp;A'!E12</f>
        <v>0</v>
      </c>
      <c r="F12" s="28">
        <f>COGS!F12+'SG&amp;A'!F12</f>
        <v>0</v>
      </c>
      <c r="G12" s="28">
        <f>COGS!G12+'SG&amp;A'!G12</f>
        <v>0</v>
      </c>
      <c r="H12" s="28">
        <f>COGS!H12+'SG&amp;A'!H12</f>
        <v>0</v>
      </c>
      <c r="I12" s="28">
        <f>COGS!I12+'SG&amp;A'!I12</f>
        <v>0</v>
      </c>
      <c r="J12" s="28">
        <f>COGS!J12+'SG&amp;A'!J12</f>
        <v>0</v>
      </c>
      <c r="K12" s="28">
        <f>COGS!K12+'SG&amp;A'!K12</f>
        <v>0</v>
      </c>
      <c r="L12" s="28">
        <f>COGS!L12+'SG&amp;A'!L12</f>
        <v>0</v>
      </c>
      <c r="M12" s="28">
        <f>COGS!M12+'SG&amp;A'!M12</f>
        <v>0</v>
      </c>
      <c r="N12" s="28">
        <f>COGS!N12+'SG&amp;A'!N12</f>
        <v>0</v>
      </c>
      <c r="O12" s="28">
        <f>COGS!O12+'SG&amp;A'!O12</f>
        <v>0</v>
      </c>
      <c r="P12" s="28">
        <f>COGS!P12+'SG&amp;A'!P12</f>
        <v>0</v>
      </c>
      <c r="Q12" s="28">
        <f>COGS!Q12+'SG&amp;A'!Q12</f>
        <v>0</v>
      </c>
      <c r="R12" s="28">
        <f>COGS!R12+'SG&amp;A'!R12</f>
        <v>0</v>
      </c>
      <c r="S12" s="28">
        <f>COGS!S12+'SG&amp;A'!S12</f>
        <v>0</v>
      </c>
      <c r="T12" s="28">
        <f>COGS!T12+'SG&amp;A'!T12</f>
        <v>0</v>
      </c>
      <c r="U12" s="28">
        <f>COGS!U12+'SG&amp;A'!U12</f>
        <v>0</v>
      </c>
      <c r="V12" s="28">
        <f>COGS!V12+'SG&amp;A'!V12</f>
        <v>0</v>
      </c>
      <c r="W12" s="28">
        <f>COGS!W12+'SG&amp;A'!W12</f>
        <v>0</v>
      </c>
      <c r="X12" s="28">
        <f>COGS!X12+'SG&amp;A'!X12</f>
        <v>0</v>
      </c>
      <c r="Y12" s="28">
        <f>COGS!Y12+'SG&amp;A'!Y12</f>
        <v>0</v>
      </c>
      <c r="Z12" s="28">
        <f>COGS!Z12+'SG&amp;A'!Z12</f>
        <v>0</v>
      </c>
      <c r="AA12" s="28">
        <f>COGS!AA12+'SG&amp;A'!AA12</f>
        <v>0</v>
      </c>
      <c r="AB12" s="28">
        <f>COGS!AB12+'SG&amp;A'!AB12</f>
        <v>0</v>
      </c>
      <c r="AC12" s="28">
        <f>COGS!AC12+'SG&amp;A'!AC12</f>
        <v>0</v>
      </c>
      <c r="AD12" s="28">
        <f>COGS!AD12+'SG&amp;A'!AD12</f>
        <v>0</v>
      </c>
      <c r="AE12" s="28">
        <f>COGS!AE12+'SG&amp;A'!AE12</f>
        <v>0</v>
      </c>
      <c r="AF12" s="28">
        <f>COGS!AF12+'SG&amp;A'!AF12</f>
        <v>0</v>
      </c>
      <c r="AG12" s="28">
        <f>COGS!AG12+'SG&amp;A'!AG12</f>
        <v>0</v>
      </c>
      <c r="AH12" s="28">
        <f>COGS!AH12+'SG&amp;A'!AH12</f>
        <v>0</v>
      </c>
      <c r="AI12" s="28">
        <f>COGS!AI12+'SG&amp;A'!AI12</f>
        <v>0</v>
      </c>
      <c r="AJ12" s="28">
        <f>COGS!AJ12+'SG&amp;A'!AJ12</f>
        <v>0</v>
      </c>
      <c r="AK12" s="28">
        <f>COGS!AK12+'SG&amp;A'!AK12</f>
        <v>0</v>
      </c>
      <c r="AL12" s="28">
        <f>COGS!AL12+'SG&amp;A'!AL12</f>
        <v>0</v>
      </c>
      <c r="AM12" s="28">
        <f>COGS!AM12+'SG&amp;A'!AM12</f>
        <v>0</v>
      </c>
      <c r="AN12" s="28">
        <f>COGS!AN12+'SG&amp;A'!AN12</f>
        <v>0</v>
      </c>
      <c r="AO12" s="28">
        <f>COGS!AO12+'SG&amp;A'!AO12</f>
        <v>0</v>
      </c>
      <c r="AP12" s="28">
        <f>COGS!AP12+'SG&amp;A'!AP12</f>
        <v>0</v>
      </c>
      <c r="AQ12" s="28">
        <f>COGS!AQ12+'SG&amp;A'!AQ12</f>
        <v>0</v>
      </c>
      <c r="AR12" s="28">
        <f>COGS!AR12+'SG&amp;A'!AR12</f>
        <v>0</v>
      </c>
      <c r="AS12" s="28">
        <f>COGS!AS12+'SG&amp;A'!AS12</f>
        <v>0</v>
      </c>
      <c r="AT12" s="28">
        <f>COGS!AT12+'SG&amp;A'!AT12</f>
        <v>0</v>
      </c>
      <c r="AU12" s="28">
        <f>COGS!AU12+'SG&amp;A'!AU12</f>
        <v>0</v>
      </c>
      <c r="AV12" s="28">
        <f>COGS!AV12+'SG&amp;A'!AV12</f>
        <v>0</v>
      </c>
      <c r="AW12" s="28">
        <f>COGS!AW12+'SG&amp;A'!AW12</f>
        <v>0</v>
      </c>
      <c r="AX12" s="28">
        <f>COGS!AX12+'SG&amp;A'!AX12</f>
        <v>0</v>
      </c>
      <c r="AY12" s="28">
        <f>COGS!AY12+'SG&amp;A'!AY12</f>
        <v>0</v>
      </c>
      <c r="AZ12" s="28">
        <f>COGS!AZ12+'SG&amp;A'!AZ12</f>
        <v>0</v>
      </c>
      <c r="BA12" s="28">
        <f>COGS!BA12+'SG&amp;A'!BA12</f>
        <v>0</v>
      </c>
      <c r="BB12" s="28">
        <f>COGS!BB12+'SG&amp;A'!BB12</f>
        <v>0</v>
      </c>
      <c r="BC12" s="28">
        <f>COGS!BC12+'SG&amp;A'!BC12</f>
        <v>0</v>
      </c>
      <c r="BD12" s="28">
        <f>COGS!BD12+'SG&amp;A'!BD12</f>
        <v>0</v>
      </c>
      <c r="BE12" s="28">
        <f>COGS!BE12+'SG&amp;A'!BE12</f>
        <v>0</v>
      </c>
      <c r="BF12" s="28">
        <f>COGS!BF12+'SG&amp;A'!BF12</f>
        <v>0</v>
      </c>
      <c r="BG12" s="28">
        <f>COGS!BG12+'SG&amp;A'!BG12</f>
        <v>0</v>
      </c>
      <c r="BH12" s="28">
        <f>COGS!BH12+'SG&amp;A'!BH12</f>
        <v>0</v>
      </c>
      <c r="BI12" s="28">
        <f>COGS!BI12+'SG&amp;A'!BI12</f>
        <v>0</v>
      </c>
      <c r="BJ12" s="28">
        <f>COGS!BJ12+'SG&amp;A'!BJ12</f>
        <v>0</v>
      </c>
      <c r="BK12" s="28">
        <f>COGS!BK12+'SG&amp;A'!BK12</f>
        <v>0</v>
      </c>
      <c r="BL12" s="28">
        <f>COGS!BL12+'SG&amp;A'!BL12</f>
        <v>0</v>
      </c>
      <c r="BM12" s="28">
        <f>COGS!BM12+'SG&amp;A'!BM12</f>
        <v>0</v>
      </c>
      <c r="BN12" s="28">
        <f>COGS!BN12+'SG&amp;A'!BN12</f>
        <v>0</v>
      </c>
      <c r="BO12" s="28">
        <f>COGS!BO12+'SG&amp;A'!BO12</f>
        <v>0</v>
      </c>
      <c r="BP12" s="28">
        <f>COGS!BP12+'SG&amp;A'!BP12</f>
        <v>0</v>
      </c>
      <c r="BQ12" s="28">
        <f>COGS!BQ12+'SG&amp;A'!BQ12</f>
        <v>0</v>
      </c>
      <c r="BR12" s="28">
        <f>COGS!BR12+'SG&amp;A'!BR12</f>
        <v>0</v>
      </c>
      <c r="BS12" s="28">
        <f>COGS!BS12+'SG&amp;A'!BS12</f>
        <v>0</v>
      </c>
      <c r="BT12" s="28">
        <f>COGS!BT12+'SG&amp;A'!BT12</f>
        <v>0</v>
      </c>
      <c r="BU12" s="28">
        <f>COGS!BU12+'SG&amp;A'!BU12</f>
        <v>0</v>
      </c>
      <c r="BV12" s="28">
        <f>COGS!BV12+'SG&amp;A'!BV12</f>
        <v>0</v>
      </c>
      <c r="BW12" s="28">
        <f>COGS!BW12+'SG&amp;A'!BW12</f>
        <v>0</v>
      </c>
      <c r="BX12" s="28">
        <f>COGS!BX12+'SG&amp;A'!BX12</f>
        <v>0</v>
      </c>
      <c r="BY12" s="28">
        <f>COGS!BY12+'SG&amp;A'!BY12</f>
        <v>0</v>
      </c>
      <c r="BZ12" s="28">
        <f>COGS!BZ12+'SG&amp;A'!BZ12</f>
        <v>0</v>
      </c>
      <c r="CA12" s="28">
        <f>COGS!CA12+'SG&amp;A'!CA12</f>
        <v>0</v>
      </c>
      <c r="CB12" s="28">
        <f>COGS!CB12+'SG&amp;A'!CB12</f>
        <v>0</v>
      </c>
      <c r="CC12" s="28">
        <f>COGS!CC12+'SG&amp;A'!CC12</f>
        <v>0</v>
      </c>
      <c r="CD12" s="28">
        <f>COGS!CD12+'SG&amp;A'!CD12</f>
        <v>0</v>
      </c>
      <c r="CE12" s="28">
        <f>COGS!CE12+'SG&amp;A'!CE12</f>
        <v>0</v>
      </c>
      <c r="CF12" s="28">
        <f>COGS!CF12+'SG&amp;A'!CF12</f>
        <v>0</v>
      </c>
      <c r="CG12" s="28">
        <f>COGS!CG12+'SG&amp;A'!CG12</f>
        <v>0</v>
      </c>
      <c r="CH12" s="28">
        <f>COGS!CH12+'SG&amp;A'!CH12</f>
        <v>0</v>
      </c>
      <c r="CI12" s="28">
        <f>COGS!CI12+'SG&amp;A'!CI12</f>
        <v>0</v>
      </c>
      <c r="CJ12" s="28">
        <f>COGS!CJ12+'SG&amp;A'!CJ12</f>
        <v>0</v>
      </c>
      <c r="CK12" s="28">
        <f>COGS!CK12+'SG&amp;A'!CK12</f>
        <v>0</v>
      </c>
      <c r="CL12" s="28">
        <f>COGS!CL12+'SG&amp;A'!CL12</f>
        <v>0</v>
      </c>
      <c r="CM12" s="28">
        <f>COGS!CM12+'SG&amp;A'!CM12</f>
        <v>0</v>
      </c>
      <c r="CN12" s="28">
        <f>COGS!CN12+'SG&amp;A'!CN12</f>
        <v>0</v>
      </c>
      <c r="CO12" s="28">
        <f>COGS!CO12+'SG&amp;A'!CO12</f>
        <v>0</v>
      </c>
      <c r="CP12" s="28">
        <f>COGS!CP12+'SG&amp;A'!CP12</f>
        <v>0</v>
      </c>
      <c r="CQ12" s="28">
        <f>COGS!CQ12+'SG&amp;A'!CQ12</f>
        <v>0</v>
      </c>
      <c r="CR12" s="28">
        <f>COGS!CR12+'SG&amp;A'!CR12</f>
        <v>0</v>
      </c>
      <c r="CS12" s="28">
        <f>COGS!CS12+'SG&amp;A'!CS12</f>
        <v>0</v>
      </c>
      <c r="CT12" s="28">
        <f>COGS!CT12+'SG&amp;A'!CT12</f>
        <v>0</v>
      </c>
      <c r="CU12" s="28">
        <f>COGS!CU12+'SG&amp;A'!CU12</f>
        <v>0</v>
      </c>
      <c r="CV12" s="28">
        <f>COGS!CV12+'SG&amp;A'!CV12</f>
        <v>0</v>
      </c>
      <c r="CW12" s="28">
        <f>COGS!CW12+'SG&amp;A'!CW12</f>
        <v>0</v>
      </c>
      <c r="CX12" s="28">
        <f>COGS!CX12+'SG&amp;A'!CX12</f>
        <v>0</v>
      </c>
      <c r="CY12" s="28">
        <f>COGS!CY12+'SG&amp;A'!CY12</f>
        <v>0</v>
      </c>
      <c r="CZ12" s="28">
        <f>COGS!CZ12+'SG&amp;A'!CZ12</f>
        <v>0</v>
      </c>
      <c r="DA12" s="28">
        <f>COGS!DA12+'SG&amp;A'!DA12</f>
        <v>0</v>
      </c>
      <c r="DB12" s="28">
        <f>COGS!DB12+'SG&amp;A'!DB12</f>
        <v>0</v>
      </c>
      <c r="DC12" s="28">
        <f>COGS!DC12+'SG&amp;A'!DC12</f>
        <v>0</v>
      </c>
      <c r="DD12" s="28">
        <f>COGS!DD12+'SG&amp;A'!DD12</f>
        <v>0</v>
      </c>
      <c r="DE12" s="28">
        <f>COGS!DE12+'SG&amp;A'!DE12</f>
        <v>0</v>
      </c>
      <c r="DF12" s="28">
        <f>COGS!DF12+'SG&amp;A'!DF12</f>
        <v>1.4999999999999999E-2</v>
      </c>
      <c r="DG12" s="28">
        <f>COGS!DG12+'SG&amp;A'!DG12</f>
        <v>1.4999999999999999E-2</v>
      </c>
      <c r="DH12" s="28">
        <f>COGS!DH12+'SG&amp;A'!DH12</f>
        <v>3.4540000000000002</v>
      </c>
      <c r="DI12" s="28">
        <f>COGS!DI12+'SG&amp;A'!DI12</f>
        <v>102.41300000000001</v>
      </c>
      <c r="DJ12" s="28">
        <f>COGS!DJ12+'SG&amp;A'!DJ12</f>
        <v>116.94200000000001</v>
      </c>
      <c r="DK12" s="28">
        <f>COGS!DK12+'SG&amp;A'!DK12</f>
        <v>66.019000000000005</v>
      </c>
      <c r="DL12" s="28">
        <f>COGS!DL12+'SG&amp;A'!DL12</f>
        <v>288.82800000000003</v>
      </c>
      <c r="DM12" s="28">
        <f>COGS!DM12+'SG&amp;A'!DM12</f>
        <v>46.11</v>
      </c>
      <c r="DN12" s="28">
        <f>COGS!DN12+'SG&amp;A'!DN12</f>
        <v>46.203000000000003</v>
      </c>
      <c r="DO12" s="28">
        <f>COGS!DO12+'SG&amp;A'!DO12</f>
        <v>53.949000000000005</v>
      </c>
      <c r="DP12" s="28">
        <f>COGS!DP12+'SG&amp;A'!DP12</f>
        <v>113.50200000000001</v>
      </c>
      <c r="DQ12" s="28">
        <f>COGS!DQ12+'SG&amp;A'!DQ12</f>
        <v>259.76400000000001</v>
      </c>
      <c r="DR12" s="28">
        <f>COGS!DR12+'SG&amp;A'!DR12</f>
        <v>103.88200000000001</v>
      </c>
      <c r="DS12" s="28">
        <f>COGS!DS12+'SG&amp;A'!DS12</f>
        <v>89.509</v>
      </c>
      <c r="DT12" s="28">
        <f>COGS!DT12+'SG&amp;A'!DT12</f>
        <v>119.75200000000001</v>
      </c>
      <c r="DU12" s="28">
        <f>COGS!DU12+'SG&amp;A'!DU12</f>
        <v>134.977</v>
      </c>
      <c r="DV12" s="28">
        <f>COGS!DV12+'SG&amp;A'!DV12</f>
        <v>448.12</v>
      </c>
      <c r="DW12" s="28">
        <f>COGS!DW12+'SG&amp;A'!DW12</f>
        <v>90.108999999999995</v>
      </c>
      <c r="DX12" s="28">
        <f>COGS!DX12+'SG&amp;A'!DX12</f>
        <v>58.218117210000003</v>
      </c>
      <c r="DY12" s="28">
        <f>COGS!DY12+'SG&amp;A'!DY12</f>
        <v>62.471792139999991</v>
      </c>
      <c r="DZ12" s="28">
        <f>COGS!DZ12+'SG&amp;A'!DZ12</f>
        <v>121.99375868</v>
      </c>
      <c r="EA12" s="28">
        <f>COGS!EA12+'SG&amp;A'!EA12</f>
        <v>332.79266802999996</v>
      </c>
      <c r="EB12" s="28">
        <f>COGS!EB12+'SG&amp;A'!EB12</f>
        <v>109.79801433999999</v>
      </c>
      <c r="EC12" s="28">
        <f>COGS!EC12+'SG&amp;A'!EC12</f>
        <v>108.54428007</v>
      </c>
      <c r="ED12" s="28">
        <f>COGS!ED12+'SG&amp;A'!ED12</f>
        <v>115.532</v>
      </c>
      <c r="EE12" s="28">
        <f>COGS!EE12+'SG&amp;A'!EE12</f>
        <v>110.6930619</v>
      </c>
      <c r="EF12" s="28">
        <f>COGS!EF12+'SG&amp;A'!EF12</f>
        <v>444.56735631000004</v>
      </c>
      <c r="EG12" s="28">
        <f>COGS!EG12+'SG&amp;A'!EG12</f>
        <v>114.21624215</v>
      </c>
      <c r="EH12" s="28">
        <f>COGS!EH12+'SG&amp;A'!EH12</f>
        <v>103.66862293</v>
      </c>
      <c r="EI12" s="28">
        <f>COGS!EI12+'SG&amp;A'!EI12</f>
        <v>83.014357470000022</v>
      </c>
    </row>
    <row r="13" spans="1:139" ht="15" thickTop="1" x14ac:dyDescent="0.3">
      <c r="A13" s="1" t="s">
        <v>447</v>
      </c>
      <c r="B13" s="27">
        <f>COGS!B13+'SG&amp;A'!B13</f>
        <v>0</v>
      </c>
      <c r="C13" s="27">
        <f>COGS!C13+'SG&amp;A'!C13</f>
        <v>0</v>
      </c>
      <c r="D13" s="27">
        <f>COGS!D13+'SG&amp;A'!D13</f>
        <v>0</v>
      </c>
      <c r="E13" s="27">
        <f>COGS!E13+'SG&amp;A'!E13</f>
        <v>0</v>
      </c>
      <c r="F13" s="27">
        <f>COGS!F13+'SG&amp;A'!F13</f>
        <v>0</v>
      </c>
      <c r="G13" s="27">
        <f>COGS!G13+'SG&amp;A'!G13</f>
        <v>0</v>
      </c>
      <c r="H13" s="27">
        <f>COGS!H13+'SG&amp;A'!H13</f>
        <v>0</v>
      </c>
      <c r="I13" s="27">
        <f>COGS!I13+'SG&amp;A'!I13</f>
        <v>0</v>
      </c>
      <c r="J13" s="27">
        <f>COGS!J13+'SG&amp;A'!J13</f>
        <v>0</v>
      </c>
      <c r="K13" s="27">
        <f>COGS!K13+'SG&amp;A'!K13</f>
        <v>0</v>
      </c>
      <c r="L13" s="27">
        <f>COGS!L13+'SG&amp;A'!L13</f>
        <v>0</v>
      </c>
      <c r="M13" s="27">
        <f>COGS!M13+'SG&amp;A'!M13</f>
        <v>0</v>
      </c>
      <c r="N13" s="27">
        <f>COGS!N13+'SG&amp;A'!N13</f>
        <v>0</v>
      </c>
      <c r="O13" s="27">
        <f>COGS!O13+'SG&amp;A'!O13</f>
        <v>0</v>
      </c>
      <c r="P13" s="27">
        <f>COGS!P13+'SG&amp;A'!P13</f>
        <v>0</v>
      </c>
      <c r="Q13" s="27">
        <f>COGS!Q13+'SG&amp;A'!Q13</f>
        <v>0</v>
      </c>
      <c r="R13" s="27">
        <f>COGS!R13+'SG&amp;A'!R13</f>
        <v>0</v>
      </c>
      <c r="S13" s="27">
        <f>COGS!S13+'SG&amp;A'!S13</f>
        <v>0</v>
      </c>
      <c r="T13" s="27">
        <f>COGS!T13+'SG&amp;A'!T13</f>
        <v>0</v>
      </c>
      <c r="U13" s="27">
        <f>COGS!U13+'SG&amp;A'!U13</f>
        <v>0</v>
      </c>
      <c r="V13" s="27">
        <f>COGS!V13+'SG&amp;A'!V13</f>
        <v>0</v>
      </c>
      <c r="W13" s="27">
        <f>COGS!W13+'SG&amp;A'!W13</f>
        <v>0</v>
      </c>
      <c r="X13" s="27">
        <f>COGS!X13+'SG&amp;A'!X13</f>
        <v>0</v>
      </c>
      <c r="Y13" s="27">
        <f>COGS!Y13+'SG&amp;A'!Y13</f>
        <v>0</v>
      </c>
      <c r="Z13" s="27">
        <f>COGS!Z13+'SG&amp;A'!Z13</f>
        <v>0</v>
      </c>
      <c r="AA13" s="27">
        <f>COGS!AA13+'SG&amp;A'!AA13</f>
        <v>0</v>
      </c>
      <c r="AB13" s="27">
        <f>COGS!AB13+'SG&amp;A'!AB13</f>
        <v>0</v>
      </c>
      <c r="AC13" s="27">
        <f>COGS!AC13+'SG&amp;A'!AC13</f>
        <v>0</v>
      </c>
      <c r="AD13" s="27">
        <f>COGS!AD13+'SG&amp;A'!AD13</f>
        <v>0</v>
      </c>
      <c r="AE13" s="27">
        <f>COGS!AE13+'SG&amp;A'!AE13</f>
        <v>0</v>
      </c>
      <c r="AF13" s="27">
        <f>COGS!AF13+'SG&amp;A'!AF13</f>
        <v>0</v>
      </c>
      <c r="AG13" s="27">
        <f>COGS!AG13+'SG&amp;A'!AG13</f>
        <v>0</v>
      </c>
      <c r="AH13" s="27">
        <f>COGS!AH13+'SG&amp;A'!AH13</f>
        <v>0</v>
      </c>
      <c r="AI13" s="27">
        <f>COGS!AI13+'SG&amp;A'!AI13</f>
        <v>0</v>
      </c>
      <c r="AJ13" s="27">
        <f>COGS!AJ13+'SG&amp;A'!AJ13</f>
        <v>0</v>
      </c>
      <c r="AK13" s="27">
        <f>COGS!AK13+'SG&amp;A'!AK13</f>
        <v>0</v>
      </c>
      <c r="AL13" s="27">
        <f>COGS!AL13+'SG&amp;A'!AL13</f>
        <v>0</v>
      </c>
      <c r="AM13" s="27">
        <f>COGS!AM13+'SG&amp;A'!AM13</f>
        <v>0</v>
      </c>
      <c r="AN13" s="27">
        <f>COGS!AN13+'SG&amp;A'!AN13</f>
        <v>0</v>
      </c>
      <c r="AO13" s="27">
        <f>COGS!AO13+'SG&amp;A'!AO13</f>
        <v>0</v>
      </c>
      <c r="AP13" s="27">
        <f>COGS!AP13+'SG&amp;A'!AP13</f>
        <v>0</v>
      </c>
      <c r="AQ13" s="27">
        <f>COGS!AQ13+'SG&amp;A'!AQ13</f>
        <v>0</v>
      </c>
      <c r="AR13" s="27">
        <f>COGS!AR13+'SG&amp;A'!AR13</f>
        <v>0</v>
      </c>
      <c r="AS13" s="27">
        <f>COGS!AS13+'SG&amp;A'!AS13</f>
        <v>0</v>
      </c>
      <c r="AT13" s="27">
        <f>COGS!AT13+'SG&amp;A'!AT13</f>
        <v>0</v>
      </c>
      <c r="AU13" s="27">
        <f>COGS!AU13+'SG&amp;A'!AU13</f>
        <v>0</v>
      </c>
      <c r="AV13" s="27">
        <f>COGS!AV13+'SG&amp;A'!AV13</f>
        <v>0</v>
      </c>
      <c r="AW13" s="27">
        <f>COGS!AW13+'SG&amp;A'!AW13</f>
        <v>0</v>
      </c>
      <c r="AX13" s="27">
        <f>COGS!AX13+'SG&amp;A'!AX13</f>
        <v>0</v>
      </c>
      <c r="AY13" s="27">
        <f>COGS!AY13+'SG&amp;A'!AY13</f>
        <v>0</v>
      </c>
      <c r="AZ13" s="27">
        <f>COGS!AZ13+'SG&amp;A'!AZ13</f>
        <v>0</v>
      </c>
      <c r="BA13" s="27">
        <f>COGS!BA13+'SG&amp;A'!BA13</f>
        <v>0</v>
      </c>
      <c r="BB13" s="27">
        <f>COGS!BB13+'SG&amp;A'!BB13</f>
        <v>0</v>
      </c>
      <c r="BC13" s="27">
        <f>COGS!BC13+'SG&amp;A'!BC13</f>
        <v>0</v>
      </c>
      <c r="BD13" s="27">
        <f>COGS!BD13+'SG&amp;A'!BD13</f>
        <v>0</v>
      </c>
      <c r="BE13" s="27">
        <f>COGS!BE13+'SG&amp;A'!BE13</f>
        <v>0</v>
      </c>
      <c r="BF13" s="27">
        <f>COGS!BF13+'SG&amp;A'!BF13</f>
        <v>0</v>
      </c>
      <c r="BG13" s="27">
        <f>COGS!BG13+'SG&amp;A'!BG13</f>
        <v>0</v>
      </c>
      <c r="BH13" s="27">
        <f>COGS!BH13+'SG&amp;A'!BH13</f>
        <v>0</v>
      </c>
      <c r="BI13" s="27">
        <f>COGS!BI13+'SG&amp;A'!BI13</f>
        <v>0</v>
      </c>
      <c r="BJ13" s="27">
        <f>COGS!BJ13+'SG&amp;A'!BJ13</f>
        <v>0</v>
      </c>
      <c r="BK13" s="27">
        <f>COGS!BK13+'SG&amp;A'!BK13</f>
        <v>0</v>
      </c>
      <c r="BL13" s="27">
        <f>COGS!BL13+'SG&amp;A'!BL13</f>
        <v>0</v>
      </c>
      <c r="BM13" s="27">
        <f>COGS!BM13+'SG&amp;A'!BM13</f>
        <v>0</v>
      </c>
      <c r="BN13" s="27">
        <f>COGS!BN13+'SG&amp;A'!BN13</f>
        <v>0</v>
      </c>
      <c r="BO13" s="27">
        <f>COGS!BO13+'SG&amp;A'!BO13</f>
        <v>0</v>
      </c>
      <c r="BP13" s="27">
        <f>COGS!BP13+'SG&amp;A'!BP13</f>
        <v>0</v>
      </c>
      <c r="BQ13" s="27">
        <f>COGS!BQ13+'SG&amp;A'!BQ13</f>
        <v>0</v>
      </c>
      <c r="BR13" s="27">
        <f>COGS!BR13+'SG&amp;A'!BR13</f>
        <v>0</v>
      </c>
      <c r="BS13" s="27">
        <f>COGS!BS13+'SG&amp;A'!BS13</f>
        <v>0</v>
      </c>
      <c r="BT13" s="27">
        <f>COGS!BT13+'SG&amp;A'!BT13</f>
        <v>0</v>
      </c>
      <c r="BU13" s="27">
        <f>COGS!BU13+'SG&amp;A'!BU13</f>
        <v>0</v>
      </c>
      <c r="BV13" s="27">
        <f>COGS!BV13+'SG&amp;A'!BV13</f>
        <v>0</v>
      </c>
      <c r="BW13" s="27">
        <f>COGS!BW13+'SG&amp;A'!BW13</f>
        <v>0</v>
      </c>
      <c r="BX13" s="27">
        <f>COGS!BX13+'SG&amp;A'!BX13</f>
        <v>0</v>
      </c>
      <c r="BY13" s="27">
        <f>COGS!BY13+'SG&amp;A'!BY13</f>
        <v>0</v>
      </c>
      <c r="BZ13" s="27">
        <f>COGS!BZ13+'SG&amp;A'!BZ13</f>
        <v>0</v>
      </c>
      <c r="CA13" s="27">
        <f>COGS!CA13+'SG&amp;A'!CA13</f>
        <v>0</v>
      </c>
      <c r="CB13" s="27">
        <f>COGS!CB13+'SG&amp;A'!CB13</f>
        <v>0</v>
      </c>
      <c r="CC13" s="27">
        <f>COGS!CC13+'SG&amp;A'!CC13</f>
        <v>0</v>
      </c>
      <c r="CD13" s="27">
        <f>COGS!CD13+'SG&amp;A'!CD13</f>
        <v>0</v>
      </c>
      <c r="CE13" s="27">
        <f>COGS!CE13+'SG&amp;A'!CE13</f>
        <v>0</v>
      </c>
      <c r="CF13" s="27">
        <f>COGS!CF13+'SG&amp;A'!CF13</f>
        <v>0</v>
      </c>
      <c r="CG13" s="27">
        <f>COGS!CG13+'SG&amp;A'!CG13</f>
        <v>0</v>
      </c>
      <c r="CH13" s="27">
        <f>COGS!CH13+'SG&amp;A'!CH13</f>
        <v>0</v>
      </c>
      <c r="CI13" s="27">
        <f>COGS!CI13+'SG&amp;A'!CI13</f>
        <v>0</v>
      </c>
      <c r="CJ13" s="27">
        <f>COGS!CJ13+'SG&amp;A'!CJ13</f>
        <v>0</v>
      </c>
      <c r="CK13" s="27">
        <f>COGS!CK13+'SG&amp;A'!CK13</f>
        <v>0</v>
      </c>
      <c r="CL13" s="27">
        <f>COGS!CL13+'SG&amp;A'!CL13</f>
        <v>0</v>
      </c>
      <c r="CM13" s="27">
        <f>COGS!CM13+'SG&amp;A'!CM13</f>
        <v>0</v>
      </c>
      <c r="CN13" s="27">
        <f>COGS!CN13+'SG&amp;A'!CN13</f>
        <v>0</v>
      </c>
      <c r="CO13" s="27">
        <f>COGS!CO13+'SG&amp;A'!CO13</f>
        <v>0</v>
      </c>
      <c r="CP13" s="27">
        <f>COGS!CP13+'SG&amp;A'!CP13</f>
        <v>0</v>
      </c>
      <c r="CQ13" s="27">
        <f>COGS!CQ13+'SG&amp;A'!CQ13</f>
        <v>0</v>
      </c>
      <c r="CR13" s="27">
        <f>COGS!CR13+'SG&amp;A'!CR13</f>
        <v>0</v>
      </c>
      <c r="CS13" s="27">
        <f>COGS!CS13+'SG&amp;A'!CS13</f>
        <v>0</v>
      </c>
      <c r="CT13" s="27">
        <f>COGS!CT13+'SG&amp;A'!CT13</f>
        <v>0</v>
      </c>
      <c r="CU13" s="27">
        <f>COGS!CU13+'SG&amp;A'!CU13</f>
        <v>0</v>
      </c>
      <c r="CV13" s="27">
        <f>COGS!CV13+'SG&amp;A'!CV13</f>
        <v>0</v>
      </c>
      <c r="CW13" s="27">
        <f>COGS!CW13+'SG&amp;A'!CW13</f>
        <v>0</v>
      </c>
      <c r="CX13" s="27">
        <f>COGS!CX13+'SG&amp;A'!CX13</f>
        <v>0</v>
      </c>
      <c r="CY13" s="27">
        <f>COGS!CY13+'SG&amp;A'!CY13</f>
        <v>0</v>
      </c>
      <c r="CZ13" s="27">
        <f>COGS!CZ13+'SG&amp;A'!CZ13</f>
        <v>0</v>
      </c>
      <c r="DA13" s="27">
        <f>COGS!DA13+'SG&amp;A'!DA13</f>
        <v>0</v>
      </c>
      <c r="DB13" s="27">
        <f>COGS!DB13+'SG&amp;A'!DB13</f>
        <v>0</v>
      </c>
      <c r="DC13" s="27">
        <f>COGS!DC13+'SG&amp;A'!DC13</f>
        <v>0</v>
      </c>
      <c r="DD13" s="27">
        <f>COGS!DD13+'SG&amp;A'!DD13</f>
        <v>0</v>
      </c>
      <c r="DE13" s="27">
        <f>COGS!DE13+'SG&amp;A'!DE13</f>
        <v>0</v>
      </c>
      <c r="DF13" s="27">
        <f>COGS!DF13+'SG&amp;A'!DF13</f>
        <v>0</v>
      </c>
      <c r="DG13" s="27">
        <f>COGS!DG13+'SG&amp;A'!DG13</f>
        <v>0</v>
      </c>
      <c r="DH13" s="27">
        <f>COGS!DH13+'SG&amp;A'!DH13</f>
        <v>0</v>
      </c>
      <c r="DI13" s="27">
        <f>COGS!DI13+'SG&amp;A'!DI13</f>
        <v>0</v>
      </c>
      <c r="DJ13" s="27">
        <f>COGS!DJ13+'SG&amp;A'!DJ13</f>
        <v>0</v>
      </c>
      <c r="DK13" s="27">
        <f>COGS!DK13+'SG&amp;A'!DK13</f>
        <v>0</v>
      </c>
      <c r="DL13" s="27">
        <f>COGS!DL13+'SG&amp;A'!DL13</f>
        <v>0</v>
      </c>
      <c r="DM13" s="27">
        <f>COGS!DM13+'SG&amp;A'!DM13</f>
        <v>0</v>
      </c>
      <c r="DN13" s="27">
        <f>COGS!DN13+'SG&amp;A'!DN13</f>
        <v>0</v>
      </c>
      <c r="DO13" s="27">
        <f>COGS!DO13+'SG&amp;A'!DO13</f>
        <v>0.90900000000000003</v>
      </c>
      <c r="DP13" s="27">
        <f>COGS!DP13+'SG&amp;A'!DP13</f>
        <v>30.228000000000002</v>
      </c>
      <c r="DQ13" s="27">
        <f>COGS!DQ13+'SG&amp;A'!DQ13</f>
        <v>31.137</v>
      </c>
      <c r="DR13" s="27">
        <f>COGS!DR13+'SG&amp;A'!DR13</f>
        <v>74.856999999999999</v>
      </c>
      <c r="DS13" s="27">
        <f>COGS!DS13+'SG&amp;A'!DS13</f>
        <v>279.28899999999999</v>
      </c>
      <c r="DT13" s="27">
        <f>COGS!DT13+'SG&amp;A'!DT13</f>
        <v>325.06200000000001</v>
      </c>
      <c r="DU13" s="27">
        <f>COGS!DU13+'SG&amp;A'!DU13</f>
        <v>197.96099999999998</v>
      </c>
      <c r="DV13" s="27">
        <f>COGS!DV13+'SG&amp;A'!DV13</f>
        <v>877.16899999999998</v>
      </c>
      <c r="DW13" s="27">
        <f>COGS!DW13+'SG&amp;A'!DW13</f>
        <v>113.06100000000001</v>
      </c>
      <c r="DX13" s="27">
        <f>COGS!DX13+'SG&amp;A'!DX13</f>
        <v>140.1380881</v>
      </c>
      <c r="DY13" s="27">
        <f>COGS!DY13+'SG&amp;A'!DY13</f>
        <v>168.22434074</v>
      </c>
      <c r="DZ13" s="27">
        <f>COGS!DZ13+'SG&amp;A'!DZ13</f>
        <v>178.24861564999998</v>
      </c>
      <c r="EA13" s="27">
        <f>COGS!EA13+'SG&amp;A'!EA13</f>
        <v>599.67204449000008</v>
      </c>
      <c r="EB13" s="27">
        <f>COGS!EB13+'SG&amp;A'!EB13</f>
        <v>106.0353874</v>
      </c>
      <c r="EC13" s="27">
        <f>COGS!EC13+'SG&amp;A'!EC13</f>
        <v>125.21595250999999</v>
      </c>
      <c r="ED13" s="27">
        <f>COGS!ED13+'SG&amp;A'!ED13</f>
        <v>186.51500000000001</v>
      </c>
      <c r="EE13" s="27">
        <f>COGS!EE13+'SG&amp;A'!EE13</f>
        <v>222.00779983999996</v>
      </c>
      <c r="EF13" s="27">
        <f>COGS!EF13+'SG&amp;A'!EF13</f>
        <v>639.77413975000002</v>
      </c>
      <c r="EG13" s="27">
        <f>COGS!EG13+'SG&amp;A'!EG13</f>
        <v>83.779000249999996</v>
      </c>
      <c r="EH13" s="27">
        <f>COGS!EH13+'SG&amp;A'!EH13</f>
        <v>96.084707850000015</v>
      </c>
      <c r="EI13" s="27">
        <f>COGS!EI13+'SG&amp;A'!EI13</f>
        <v>127.80484560000001</v>
      </c>
    </row>
    <row r="14" spans="1:139" ht="15" thickBot="1" x14ac:dyDescent="0.35">
      <c r="A14" s="2" t="s">
        <v>448</v>
      </c>
      <c r="B14" s="28">
        <f>COGS!B14+'SG&amp;A'!B14</f>
        <v>0</v>
      </c>
      <c r="C14" s="28">
        <f>COGS!C14+'SG&amp;A'!C14</f>
        <v>0</v>
      </c>
      <c r="D14" s="28">
        <f>COGS!D14+'SG&amp;A'!D14</f>
        <v>0</v>
      </c>
      <c r="E14" s="28">
        <f>COGS!E14+'SG&amp;A'!E14</f>
        <v>0</v>
      </c>
      <c r="F14" s="28">
        <f>COGS!F14+'SG&amp;A'!F14</f>
        <v>0</v>
      </c>
      <c r="G14" s="28">
        <f>COGS!G14+'SG&amp;A'!G14</f>
        <v>0</v>
      </c>
      <c r="H14" s="28">
        <f>COGS!H14+'SG&amp;A'!H14</f>
        <v>0</v>
      </c>
      <c r="I14" s="28">
        <f>COGS!I14+'SG&amp;A'!I14</f>
        <v>0</v>
      </c>
      <c r="J14" s="28">
        <f>COGS!J14+'SG&amp;A'!J14</f>
        <v>0</v>
      </c>
      <c r="K14" s="28">
        <f>COGS!K14+'SG&amp;A'!K14</f>
        <v>0</v>
      </c>
      <c r="L14" s="28">
        <f>COGS!L14+'SG&amp;A'!L14</f>
        <v>0</v>
      </c>
      <c r="M14" s="28">
        <f>COGS!M14+'SG&amp;A'!M14</f>
        <v>0</v>
      </c>
      <c r="N14" s="28">
        <f>COGS!N14+'SG&amp;A'!N14</f>
        <v>0</v>
      </c>
      <c r="O14" s="28">
        <f>COGS!O14+'SG&amp;A'!O14</f>
        <v>0</v>
      </c>
      <c r="P14" s="28">
        <f>COGS!P14+'SG&amp;A'!P14</f>
        <v>0</v>
      </c>
      <c r="Q14" s="28">
        <f>COGS!Q14+'SG&amp;A'!Q14</f>
        <v>0</v>
      </c>
      <c r="R14" s="28">
        <f>COGS!R14+'SG&amp;A'!R14</f>
        <v>0</v>
      </c>
      <c r="S14" s="28">
        <f>COGS!S14+'SG&amp;A'!S14</f>
        <v>0</v>
      </c>
      <c r="T14" s="28">
        <f>COGS!T14+'SG&amp;A'!T14</f>
        <v>0</v>
      </c>
      <c r="U14" s="28">
        <f>COGS!U14+'SG&amp;A'!U14</f>
        <v>0</v>
      </c>
      <c r="V14" s="28">
        <f>COGS!V14+'SG&amp;A'!V14</f>
        <v>0</v>
      </c>
      <c r="W14" s="28">
        <f>COGS!W14+'SG&amp;A'!W14</f>
        <v>0</v>
      </c>
      <c r="X14" s="28">
        <f>COGS!X14+'SG&amp;A'!X14</f>
        <v>0</v>
      </c>
      <c r="Y14" s="28">
        <f>COGS!Y14+'SG&amp;A'!Y14</f>
        <v>0</v>
      </c>
      <c r="Z14" s="28">
        <f>COGS!Z14+'SG&amp;A'!Z14</f>
        <v>0</v>
      </c>
      <c r="AA14" s="28">
        <f>COGS!AA14+'SG&amp;A'!AA14</f>
        <v>0</v>
      </c>
      <c r="AB14" s="28">
        <f>COGS!AB14+'SG&amp;A'!AB14</f>
        <v>0</v>
      </c>
      <c r="AC14" s="28">
        <f>COGS!AC14+'SG&amp;A'!AC14</f>
        <v>0</v>
      </c>
      <c r="AD14" s="28">
        <f>COGS!AD14+'SG&amp;A'!AD14</f>
        <v>0</v>
      </c>
      <c r="AE14" s="28">
        <f>COGS!AE14+'SG&amp;A'!AE14</f>
        <v>0</v>
      </c>
      <c r="AF14" s="28">
        <f>COGS!AF14+'SG&amp;A'!AF14</f>
        <v>0</v>
      </c>
      <c r="AG14" s="28">
        <f>COGS!AG14+'SG&amp;A'!AG14</f>
        <v>0</v>
      </c>
      <c r="AH14" s="28">
        <f>COGS!AH14+'SG&amp;A'!AH14</f>
        <v>0</v>
      </c>
      <c r="AI14" s="28">
        <f>COGS!AI14+'SG&amp;A'!AI14</f>
        <v>0</v>
      </c>
      <c r="AJ14" s="28">
        <f>COGS!AJ14+'SG&amp;A'!AJ14</f>
        <v>0</v>
      </c>
      <c r="AK14" s="28">
        <f>COGS!AK14+'SG&amp;A'!AK14</f>
        <v>0</v>
      </c>
      <c r="AL14" s="28">
        <f>COGS!AL14+'SG&amp;A'!AL14</f>
        <v>0</v>
      </c>
      <c r="AM14" s="28">
        <f>COGS!AM14+'SG&amp;A'!AM14</f>
        <v>0</v>
      </c>
      <c r="AN14" s="28">
        <f>COGS!AN14+'SG&amp;A'!AN14</f>
        <v>0</v>
      </c>
      <c r="AO14" s="28">
        <f>COGS!AO14+'SG&amp;A'!AO14</f>
        <v>0</v>
      </c>
      <c r="AP14" s="28">
        <f>COGS!AP14+'SG&amp;A'!AP14</f>
        <v>0</v>
      </c>
      <c r="AQ14" s="28">
        <f>COGS!AQ14+'SG&amp;A'!AQ14</f>
        <v>0</v>
      </c>
      <c r="AR14" s="28">
        <f>COGS!AR14+'SG&amp;A'!AR14</f>
        <v>0</v>
      </c>
      <c r="AS14" s="28">
        <f>COGS!AS14+'SG&amp;A'!AS14</f>
        <v>0</v>
      </c>
      <c r="AT14" s="28">
        <f>COGS!AT14+'SG&amp;A'!AT14</f>
        <v>0</v>
      </c>
      <c r="AU14" s="28">
        <f>COGS!AU14+'SG&amp;A'!AU14</f>
        <v>0</v>
      </c>
      <c r="AV14" s="28">
        <f>COGS!AV14+'SG&amp;A'!AV14</f>
        <v>0</v>
      </c>
      <c r="AW14" s="28">
        <f>COGS!AW14+'SG&amp;A'!AW14</f>
        <v>0</v>
      </c>
      <c r="AX14" s="28">
        <f>COGS!AX14+'SG&amp;A'!AX14</f>
        <v>0</v>
      </c>
      <c r="AY14" s="28">
        <f>COGS!AY14+'SG&amp;A'!AY14</f>
        <v>0</v>
      </c>
      <c r="AZ14" s="28">
        <f>COGS!AZ14+'SG&amp;A'!AZ14</f>
        <v>0</v>
      </c>
      <c r="BA14" s="28">
        <f>COGS!BA14+'SG&amp;A'!BA14</f>
        <v>0</v>
      </c>
      <c r="BB14" s="28">
        <f>COGS!BB14+'SG&amp;A'!BB14</f>
        <v>0</v>
      </c>
      <c r="BC14" s="28">
        <f>COGS!BC14+'SG&amp;A'!BC14</f>
        <v>0</v>
      </c>
      <c r="BD14" s="28">
        <f>COGS!BD14+'SG&amp;A'!BD14</f>
        <v>0</v>
      </c>
      <c r="BE14" s="28">
        <f>COGS!BE14+'SG&amp;A'!BE14</f>
        <v>0</v>
      </c>
      <c r="BF14" s="28">
        <f>COGS!BF14+'SG&amp;A'!BF14</f>
        <v>0</v>
      </c>
      <c r="BG14" s="28">
        <f>COGS!BG14+'SG&amp;A'!BG14</f>
        <v>0</v>
      </c>
      <c r="BH14" s="28">
        <f>COGS!BH14+'SG&amp;A'!BH14</f>
        <v>0</v>
      </c>
      <c r="BI14" s="28">
        <f>COGS!BI14+'SG&amp;A'!BI14</f>
        <v>0</v>
      </c>
      <c r="BJ14" s="28">
        <f>COGS!BJ14+'SG&amp;A'!BJ14</f>
        <v>0</v>
      </c>
      <c r="BK14" s="28">
        <f>COGS!BK14+'SG&amp;A'!BK14</f>
        <v>0</v>
      </c>
      <c r="BL14" s="28">
        <f>COGS!BL14+'SG&amp;A'!BL14</f>
        <v>0</v>
      </c>
      <c r="BM14" s="28">
        <f>COGS!BM14+'SG&amp;A'!BM14</f>
        <v>0</v>
      </c>
      <c r="BN14" s="28">
        <f>COGS!BN14+'SG&amp;A'!BN14</f>
        <v>0</v>
      </c>
      <c r="BO14" s="28">
        <f>COGS!BO14+'SG&amp;A'!BO14</f>
        <v>0</v>
      </c>
      <c r="BP14" s="28">
        <f>COGS!BP14+'SG&amp;A'!BP14</f>
        <v>0</v>
      </c>
      <c r="BQ14" s="28">
        <f>COGS!BQ14+'SG&amp;A'!BQ14</f>
        <v>0</v>
      </c>
      <c r="BR14" s="28">
        <f>COGS!BR14+'SG&amp;A'!BR14</f>
        <v>0</v>
      </c>
      <c r="BS14" s="28">
        <f>COGS!BS14+'SG&amp;A'!BS14</f>
        <v>0</v>
      </c>
      <c r="BT14" s="28">
        <f>COGS!BT14+'SG&amp;A'!BT14</f>
        <v>0</v>
      </c>
      <c r="BU14" s="28">
        <f>COGS!BU14+'SG&amp;A'!BU14</f>
        <v>0</v>
      </c>
      <c r="BV14" s="28">
        <f>COGS!BV14+'SG&amp;A'!BV14</f>
        <v>0</v>
      </c>
      <c r="BW14" s="28">
        <f>COGS!BW14+'SG&amp;A'!BW14</f>
        <v>0</v>
      </c>
      <c r="BX14" s="28">
        <f>COGS!BX14+'SG&amp;A'!BX14</f>
        <v>0</v>
      </c>
      <c r="BY14" s="28">
        <f>COGS!BY14+'SG&amp;A'!BY14</f>
        <v>0</v>
      </c>
      <c r="BZ14" s="28">
        <f>COGS!BZ14+'SG&amp;A'!BZ14</f>
        <v>0</v>
      </c>
      <c r="CA14" s="28">
        <f>COGS!CA14+'SG&amp;A'!CA14</f>
        <v>0</v>
      </c>
      <c r="CB14" s="28">
        <f>COGS!CB14+'SG&amp;A'!CB14</f>
        <v>0</v>
      </c>
      <c r="CC14" s="28">
        <f>COGS!CC14+'SG&amp;A'!CC14</f>
        <v>0</v>
      </c>
      <c r="CD14" s="28">
        <f>COGS!CD14+'SG&amp;A'!CD14</f>
        <v>0</v>
      </c>
      <c r="CE14" s="28">
        <f>COGS!CE14+'SG&amp;A'!CE14</f>
        <v>0</v>
      </c>
      <c r="CF14" s="28">
        <f>COGS!CF14+'SG&amp;A'!CF14</f>
        <v>0</v>
      </c>
      <c r="CG14" s="28">
        <f>COGS!CG14+'SG&amp;A'!CG14</f>
        <v>0</v>
      </c>
      <c r="CH14" s="28">
        <f>COGS!CH14+'SG&amp;A'!CH14</f>
        <v>0</v>
      </c>
      <c r="CI14" s="28">
        <f>COGS!CI14+'SG&amp;A'!CI14</f>
        <v>0</v>
      </c>
      <c r="CJ14" s="28">
        <f>COGS!CJ14+'SG&amp;A'!CJ14</f>
        <v>0</v>
      </c>
      <c r="CK14" s="28">
        <f>COGS!CK14+'SG&amp;A'!CK14</f>
        <v>0</v>
      </c>
      <c r="CL14" s="28">
        <f>COGS!CL14+'SG&amp;A'!CL14</f>
        <v>0</v>
      </c>
      <c r="CM14" s="28">
        <f>COGS!CM14+'SG&amp;A'!CM14</f>
        <v>0</v>
      </c>
      <c r="CN14" s="28">
        <f>COGS!CN14+'SG&amp;A'!CN14</f>
        <v>0</v>
      </c>
      <c r="CO14" s="28">
        <f>COGS!CO14+'SG&amp;A'!CO14</f>
        <v>0</v>
      </c>
      <c r="CP14" s="28">
        <f>COGS!CP14+'SG&amp;A'!CP14</f>
        <v>0</v>
      </c>
      <c r="CQ14" s="28">
        <f>COGS!CQ14+'SG&amp;A'!CQ14</f>
        <v>0</v>
      </c>
      <c r="CR14" s="28">
        <f>COGS!CR14+'SG&amp;A'!CR14</f>
        <v>0</v>
      </c>
      <c r="CS14" s="28">
        <f>COGS!CS14+'SG&amp;A'!CS14</f>
        <v>0</v>
      </c>
      <c r="CT14" s="28">
        <f>COGS!CT14+'SG&amp;A'!CT14</f>
        <v>0</v>
      </c>
      <c r="CU14" s="28">
        <f>COGS!CU14+'SG&amp;A'!CU14</f>
        <v>0</v>
      </c>
      <c r="CV14" s="28">
        <f>COGS!CV14+'SG&amp;A'!CV14</f>
        <v>0</v>
      </c>
      <c r="CW14" s="28">
        <f>COGS!CW14+'SG&amp;A'!CW14</f>
        <v>0</v>
      </c>
      <c r="CX14" s="28">
        <f>COGS!CX14+'SG&amp;A'!CX14</f>
        <v>0</v>
      </c>
      <c r="CY14" s="28">
        <f>COGS!CY14+'SG&amp;A'!CY14</f>
        <v>0</v>
      </c>
      <c r="CZ14" s="28">
        <f>COGS!CZ14+'SG&amp;A'!CZ14</f>
        <v>0</v>
      </c>
      <c r="DA14" s="28">
        <f>COGS!DA14+'SG&amp;A'!DA14</f>
        <v>0</v>
      </c>
      <c r="DB14" s="28">
        <f>COGS!DB14+'SG&amp;A'!DB14</f>
        <v>0</v>
      </c>
      <c r="DC14" s="28">
        <f>COGS!DC14+'SG&amp;A'!DC14</f>
        <v>0</v>
      </c>
      <c r="DD14" s="28">
        <f>COGS!DD14+'SG&amp;A'!DD14</f>
        <v>0</v>
      </c>
      <c r="DE14" s="28">
        <f>COGS!DE14+'SG&amp;A'!DE14</f>
        <v>0</v>
      </c>
      <c r="DF14" s="28">
        <f>COGS!DF14+'SG&amp;A'!DF14</f>
        <v>0</v>
      </c>
      <c r="DG14" s="28">
        <f>COGS!DG14+'SG&amp;A'!DG14</f>
        <v>0</v>
      </c>
      <c r="DH14" s="28">
        <f>COGS!DH14+'SG&amp;A'!DH14</f>
        <v>0</v>
      </c>
      <c r="DI14" s="28">
        <f>COGS!DI14+'SG&amp;A'!DI14</f>
        <v>0</v>
      </c>
      <c r="DJ14" s="28">
        <f>COGS!DJ14+'SG&amp;A'!DJ14</f>
        <v>0</v>
      </c>
      <c r="DK14" s="28">
        <f>COGS!DK14+'SG&amp;A'!DK14</f>
        <v>0</v>
      </c>
      <c r="DL14" s="28">
        <f>COGS!DL14+'SG&amp;A'!DL14</f>
        <v>0</v>
      </c>
      <c r="DM14" s="28">
        <f>COGS!DM14+'SG&amp;A'!DM14</f>
        <v>0</v>
      </c>
      <c r="DN14" s="28">
        <f>COGS!DN14+'SG&amp;A'!DN14</f>
        <v>0</v>
      </c>
      <c r="DO14" s="28">
        <f>COGS!DO14+'SG&amp;A'!DO14</f>
        <v>0</v>
      </c>
      <c r="DP14" s="28">
        <f>COGS!DP14+'SG&amp;A'!DP14</f>
        <v>0</v>
      </c>
      <c r="DQ14" s="28">
        <f>COGS!DQ14+'SG&amp;A'!DQ14</f>
        <v>0</v>
      </c>
      <c r="DR14" s="28">
        <f>COGS!DR14+'SG&amp;A'!DR14</f>
        <v>0</v>
      </c>
      <c r="DS14" s="28">
        <f>COGS!DS14+'SG&amp;A'!DS14</f>
        <v>0</v>
      </c>
      <c r="DT14" s="28">
        <f>COGS!DT14+'SG&amp;A'!DT14</f>
        <v>2.5390000000000001</v>
      </c>
      <c r="DU14" s="28">
        <f>COGS!DU14+'SG&amp;A'!DU14</f>
        <v>99.146000000000001</v>
      </c>
      <c r="DV14" s="28">
        <f>COGS!DV14+'SG&amp;A'!DV14</f>
        <v>101.685</v>
      </c>
      <c r="DW14" s="28">
        <f>COGS!DW14+'SG&amp;A'!DW14</f>
        <v>147.65600000000001</v>
      </c>
      <c r="DX14" s="28">
        <f>COGS!DX14+'SG&amp;A'!DX14</f>
        <v>255.42652244999999</v>
      </c>
      <c r="DY14" s="28">
        <f>COGS!DY14+'SG&amp;A'!DY14</f>
        <v>433.09537527000003</v>
      </c>
      <c r="DZ14" s="28">
        <f>COGS!DZ14+'SG&amp;A'!DZ14</f>
        <v>365.43909094000009</v>
      </c>
      <c r="EA14" s="28">
        <f>COGS!EA14+'SG&amp;A'!EA14</f>
        <v>1201.6169886600001</v>
      </c>
      <c r="EB14" s="28">
        <f>COGS!EB14+'SG&amp;A'!EB14</f>
        <v>157.27424699999997</v>
      </c>
      <c r="EC14" s="28">
        <f>COGS!EC14+'SG&amp;A'!EC14</f>
        <v>193.98130869999997</v>
      </c>
      <c r="ED14" s="28">
        <f>COGS!ED14+'SG&amp;A'!ED14</f>
        <v>200.98499999999999</v>
      </c>
      <c r="EE14" s="28">
        <f>COGS!EE14+'SG&amp;A'!EE14</f>
        <v>269.69685130999994</v>
      </c>
      <c r="EF14" s="28">
        <f>COGS!EF14+'SG&amp;A'!EF14</f>
        <v>821.93740700999979</v>
      </c>
      <c r="EG14" s="28">
        <f>COGS!EG14+'SG&amp;A'!EG14</f>
        <v>252.53157648999999</v>
      </c>
      <c r="EH14" s="28">
        <f>COGS!EH14+'SG&amp;A'!EH14</f>
        <v>368.19366410000003</v>
      </c>
      <c r="EI14" s="28">
        <f>COGS!EI14+'SG&amp;A'!EI14</f>
        <v>418.30040803999998</v>
      </c>
    </row>
    <row r="15" spans="1:139" ht="15" thickTop="1" x14ac:dyDescent="0.3">
      <c r="A15" s="1" t="s">
        <v>449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>
        <f>COGS!BJ15+'SG&amp;A'!BJ15</f>
        <v>0</v>
      </c>
      <c r="BK15" s="27">
        <f>COGS!BK15+'SG&amp;A'!BK15</f>
        <v>0</v>
      </c>
      <c r="BL15" s="27">
        <f>COGS!BL15+'SG&amp;A'!BL15</f>
        <v>0</v>
      </c>
      <c r="BM15" s="27">
        <f>COGS!BM15+'SG&amp;A'!BM15</f>
        <v>0</v>
      </c>
      <c r="BN15" s="27">
        <f>COGS!BN15+'SG&amp;A'!BN15</f>
        <v>0</v>
      </c>
      <c r="BO15" s="27">
        <f>COGS!BO15+'SG&amp;A'!BO15</f>
        <v>0</v>
      </c>
      <c r="BP15" s="27">
        <f>COGS!BP15+'SG&amp;A'!BP15</f>
        <v>0</v>
      </c>
      <c r="BQ15" s="27">
        <f>COGS!BQ15+'SG&amp;A'!BQ15</f>
        <v>0</v>
      </c>
      <c r="BR15" s="27">
        <f>COGS!BR15+'SG&amp;A'!BR15</f>
        <v>0</v>
      </c>
      <c r="BS15" s="27">
        <f>COGS!BS15+'SG&amp;A'!BS15</f>
        <v>0</v>
      </c>
      <c r="BT15" s="27">
        <f>COGS!BT15+'SG&amp;A'!BT15</f>
        <v>0</v>
      </c>
      <c r="BU15" s="27">
        <f>COGS!BU15+'SG&amp;A'!BU15</f>
        <v>0</v>
      </c>
      <c r="BV15" s="27">
        <f>COGS!BV15+'SG&amp;A'!BV15</f>
        <v>0</v>
      </c>
      <c r="BW15" s="27">
        <f>COGS!BW15+'SG&amp;A'!BW15</f>
        <v>0</v>
      </c>
      <c r="BX15" s="27">
        <f>COGS!BX15+'SG&amp;A'!BX15</f>
        <v>0</v>
      </c>
      <c r="BY15" s="27">
        <f>COGS!BY15+'SG&amp;A'!BY15</f>
        <v>0</v>
      </c>
      <c r="BZ15" s="27">
        <f>COGS!BZ15+'SG&amp;A'!BZ15</f>
        <v>0</v>
      </c>
      <c r="CA15" s="27">
        <f>COGS!CA15+'SG&amp;A'!CA15</f>
        <v>0</v>
      </c>
      <c r="CB15" s="27">
        <f>COGS!CB15+'SG&amp;A'!CB15</f>
        <v>0</v>
      </c>
      <c r="CC15" s="27">
        <f>COGS!CC15+'SG&amp;A'!CC15</f>
        <v>0</v>
      </c>
      <c r="CD15" s="27">
        <f>COGS!CD15+'SG&amp;A'!CD15</f>
        <v>0</v>
      </c>
      <c r="CE15" s="27">
        <f>COGS!CE15+'SG&amp;A'!CE15</f>
        <v>0</v>
      </c>
      <c r="CF15" s="27">
        <f>COGS!CF15+'SG&amp;A'!CF15</f>
        <v>0</v>
      </c>
      <c r="CG15" s="27">
        <f>COGS!CG15+'SG&amp;A'!CG15</f>
        <v>0</v>
      </c>
      <c r="CH15" s="27">
        <f>COGS!CH15+'SG&amp;A'!CH15</f>
        <v>0</v>
      </c>
      <c r="CI15" s="27">
        <f>COGS!CI15+'SG&amp;A'!CI15</f>
        <v>0</v>
      </c>
      <c r="CJ15" s="27">
        <f>COGS!CJ15+'SG&amp;A'!CJ15</f>
        <v>0</v>
      </c>
      <c r="CK15" s="27">
        <f>COGS!CK15+'SG&amp;A'!CK15</f>
        <v>0</v>
      </c>
      <c r="CL15" s="27">
        <f>COGS!CL15+'SG&amp;A'!CL15</f>
        <v>0</v>
      </c>
      <c r="CM15" s="27">
        <f>COGS!CM15+'SG&amp;A'!CM15</f>
        <v>0</v>
      </c>
      <c r="CN15" s="27">
        <f>COGS!CN15+'SG&amp;A'!CN15</f>
        <v>0</v>
      </c>
      <c r="CO15" s="27">
        <f>COGS!CO15+'SG&amp;A'!CO15</f>
        <v>0</v>
      </c>
      <c r="CP15" s="27">
        <f>COGS!CP15+'SG&amp;A'!CP15</f>
        <v>0</v>
      </c>
      <c r="CQ15" s="27">
        <f>COGS!CQ15+'SG&amp;A'!CQ15</f>
        <v>0</v>
      </c>
      <c r="CR15" s="27">
        <f>COGS!CR15+'SG&amp;A'!CR15</f>
        <v>0</v>
      </c>
      <c r="CS15" s="27">
        <f>COGS!CS15+'SG&amp;A'!CS15</f>
        <v>0</v>
      </c>
      <c r="CT15" s="27">
        <f>COGS!CT15+'SG&amp;A'!CT15</f>
        <v>0</v>
      </c>
      <c r="CU15" s="27">
        <f>COGS!CU15+'SG&amp;A'!CU15</f>
        <v>0</v>
      </c>
      <c r="CV15" s="27">
        <f>COGS!CV15+'SG&amp;A'!CV15</f>
        <v>0</v>
      </c>
      <c r="CW15" s="27">
        <f>COGS!CW15+'SG&amp;A'!CW15</f>
        <v>0</v>
      </c>
      <c r="CX15" s="27">
        <f>COGS!CX15+'SG&amp;A'!CX15</f>
        <v>0</v>
      </c>
      <c r="CY15" s="27">
        <f>COGS!CY15+'SG&amp;A'!CY15</f>
        <v>0</v>
      </c>
      <c r="CZ15" s="27">
        <f>COGS!CZ15+'SG&amp;A'!CZ15</f>
        <v>0</v>
      </c>
      <c r="DA15" s="27">
        <f>COGS!DA15+'SG&amp;A'!DA15</f>
        <v>0</v>
      </c>
      <c r="DB15" s="27">
        <f>COGS!DB15+'SG&amp;A'!DB15</f>
        <v>0</v>
      </c>
      <c r="DC15" s="27">
        <f>COGS!DC15+'SG&amp;A'!DC15</f>
        <v>0</v>
      </c>
      <c r="DD15" s="27">
        <f>COGS!DD15+'SG&amp;A'!DD15</f>
        <v>0</v>
      </c>
      <c r="DE15" s="27">
        <f>COGS!DE15+'SG&amp;A'!DE15</f>
        <v>0</v>
      </c>
      <c r="DF15" s="27">
        <f>COGS!DF15+'SG&amp;A'!DF15</f>
        <v>0</v>
      </c>
      <c r="DG15" s="27">
        <f>COGS!DG15+'SG&amp;A'!DG15</f>
        <v>0</v>
      </c>
      <c r="DH15" s="27">
        <f>COGS!DH15+'SG&amp;A'!DH15</f>
        <v>0</v>
      </c>
      <c r="DI15" s="27">
        <f>COGS!DI15+'SG&amp;A'!DI15</f>
        <v>0</v>
      </c>
      <c r="DJ15" s="27">
        <f>COGS!DJ15+'SG&amp;A'!DJ15</f>
        <v>0</v>
      </c>
      <c r="DK15" s="27">
        <f>COGS!DK15+'SG&amp;A'!DK15</f>
        <v>0</v>
      </c>
      <c r="DL15" s="27">
        <f>COGS!DL15+'SG&amp;A'!DL15</f>
        <v>0</v>
      </c>
      <c r="DM15" s="27">
        <f>COGS!DM15+'SG&amp;A'!DM15</f>
        <v>0</v>
      </c>
      <c r="DN15" s="27">
        <f>COGS!DN15+'SG&amp;A'!DN15</f>
        <v>0</v>
      </c>
      <c r="DO15" s="27">
        <f>COGS!DO15+'SG&amp;A'!DO15</f>
        <v>0</v>
      </c>
      <c r="DP15" s="27">
        <f>COGS!DP15+'SG&amp;A'!DP15</f>
        <v>0</v>
      </c>
      <c r="DQ15" s="27">
        <f>COGS!DQ15+'SG&amp;A'!DQ15</f>
        <v>0</v>
      </c>
      <c r="DR15" s="27">
        <f>COGS!DR15+'SG&amp;A'!DR15</f>
        <v>0</v>
      </c>
      <c r="DS15" s="27">
        <f>COGS!DS15+'SG&amp;A'!DS15</f>
        <v>0</v>
      </c>
      <c r="DT15" s="27">
        <f>COGS!DT15+'SG&amp;A'!DT15</f>
        <v>0</v>
      </c>
      <c r="DU15" s="27">
        <f>COGS!DU15+'SG&amp;A'!DU15</f>
        <v>0</v>
      </c>
      <c r="DV15" s="27">
        <f>COGS!DV15+'SG&amp;A'!DV15</f>
        <v>0</v>
      </c>
      <c r="DW15" s="27">
        <f>COGS!DW15+'SG&amp;A'!DW15</f>
        <v>0</v>
      </c>
      <c r="DX15" s="27">
        <f>COGS!DX15+'SG&amp;A'!DX15</f>
        <v>37.454548509999995</v>
      </c>
      <c r="DY15" s="27">
        <f>COGS!DY15+'SG&amp;A'!DY15</f>
        <v>110.04402907999999</v>
      </c>
      <c r="DZ15" s="27">
        <f>COGS!DZ15+'SG&amp;A'!DZ15</f>
        <v>145.50523801000003</v>
      </c>
      <c r="EA15" s="27">
        <f>COGS!EA15+'SG&amp;A'!EA15</f>
        <v>293.00381560000005</v>
      </c>
      <c r="EB15" s="27">
        <f>COGS!EB15+'SG&amp;A'!EB15</f>
        <v>133.76127266</v>
      </c>
      <c r="EC15" s="27">
        <f>COGS!EC15+'SG&amp;A'!EC15</f>
        <v>170.0626986</v>
      </c>
      <c r="ED15" s="27">
        <f>COGS!ED15+'SG&amp;A'!ED15</f>
        <v>120.374</v>
      </c>
      <c r="EE15" s="27">
        <f>COGS!EE15+'SG&amp;A'!EE15</f>
        <v>161.40773646999992</v>
      </c>
      <c r="EF15" s="27">
        <f>COGS!EF15+'SG&amp;A'!EF15</f>
        <v>585.60570772999984</v>
      </c>
      <c r="EG15" s="27">
        <f>COGS!EG15+'SG&amp;A'!EG15</f>
        <v>226.61481166999999</v>
      </c>
      <c r="EH15" s="27">
        <f>COGS!EH15+'SG&amp;A'!EH15</f>
        <v>207.23082091999996</v>
      </c>
      <c r="EI15" s="27">
        <f>COGS!EI15+'SG&amp;A'!EI15</f>
        <v>239.17592220000006</v>
      </c>
    </row>
    <row r="16" spans="1:139" ht="15" thickBot="1" x14ac:dyDescent="0.35">
      <c r="A16" s="2" t="s">
        <v>460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>
        <f>COGS!EE16+'SG&amp;A'!EE16</f>
        <v>0</v>
      </c>
      <c r="EF16" s="28">
        <f>COGS!EF16+'SG&amp;A'!EF16</f>
        <v>0</v>
      </c>
      <c r="EG16" s="28">
        <f>COGS!EG16+'SG&amp;A'!EG16</f>
        <v>9.6681000000000007E-3</v>
      </c>
      <c r="EH16" s="28">
        <f>COGS!EH16+'SG&amp;A'!EH16</f>
        <v>40.966937940000001</v>
      </c>
      <c r="EI16" s="28">
        <f>COGS!EI16+'SG&amp;A'!EI16</f>
        <v>60.232742100000003</v>
      </c>
    </row>
    <row r="17" spans="1:139" ht="15" thickTop="1" x14ac:dyDescent="0.3">
      <c r="A17" s="1" t="s">
        <v>304</v>
      </c>
      <c r="B17" s="27">
        <f>COGS!B17+'SG&amp;A'!B17</f>
        <v>0</v>
      </c>
      <c r="C17" s="27">
        <f>COGS!C17+'SG&amp;A'!C17</f>
        <v>0</v>
      </c>
      <c r="D17" s="27">
        <f>COGS!D17+'SG&amp;A'!D17</f>
        <v>0</v>
      </c>
      <c r="E17" s="27">
        <f>COGS!E17+'SG&amp;A'!E17</f>
        <v>0</v>
      </c>
      <c r="F17" s="27">
        <f>COGS!F17+'SG&amp;A'!F17</f>
        <v>0</v>
      </c>
      <c r="G17" s="27">
        <f>COGS!G17+'SG&amp;A'!G17</f>
        <v>0</v>
      </c>
      <c r="H17" s="27">
        <f>COGS!H17+'SG&amp;A'!H17</f>
        <v>0</v>
      </c>
      <c r="I17" s="27">
        <f>COGS!I17+'SG&amp;A'!I17</f>
        <v>0</v>
      </c>
      <c r="J17" s="27">
        <f>COGS!J17+'SG&amp;A'!J17</f>
        <v>0</v>
      </c>
      <c r="K17" s="27">
        <f>COGS!K17+'SG&amp;A'!K17</f>
        <v>0</v>
      </c>
      <c r="L17" s="27">
        <f>COGS!L17+'SG&amp;A'!L17</f>
        <v>0</v>
      </c>
      <c r="M17" s="27">
        <f>COGS!M17+'SG&amp;A'!M17</f>
        <v>0</v>
      </c>
      <c r="N17" s="27">
        <f>COGS!N17+'SG&amp;A'!N17</f>
        <v>0</v>
      </c>
      <c r="O17" s="27">
        <f>COGS!O17+'SG&amp;A'!O17</f>
        <v>0</v>
      </c>
      <c r="P17" s="27">
        <f>COGS!P17+'SG&amp;A'!P17</f>
        <v>0</v>
      </c>
      <c r="Q17" s="27">
        <f>COGS!Q17+'SG&amp;A'!Q17</f>
        <v>0</v>
      </c>
      <c r="R17" s="27">
        <f>COGS!R17+'SG&amp;A'!R17</f>
        <v>0</v>
      </c>
      <c r="S17" s="27">
        <f>COGS!S17+'SG&amp;A'!S17</f>
        <v>0</v>
      </c>
      <c r="T17" s="27">
        <f>COGS!T17+'SG&amp;A'!T17</f>
        <v>0</v>
      </c>
      <c r="U17" s="27">
        <f>COGS!U17+'SG&amp;A'!U17</f>
        <v>0</v>
      </c>
      <c r="V17" s="27">
        <f>COGS!V17+'SG&amp;A'!V17</f>
        <v>0</v>
      </c>
      <c r="W17" s="27">
        <f>COGS!W17+'SG&amp;A'!W17</f>
        <v>0</v>
      </c>
      <c r="X17" s="27">
        <f>COGS!X17+'SG&amp;A'!X17</f>
        <v>0</v>
      </c>
      <c r="Y17" s="27">
        <f>COGS!Y17+'SG&amp;A'!Y17</f>
        <v>0</v>
      </c>
      <c r="Z17" s="27">
        <f>COGS!Z17+'SG&amp;A'!Z17</f>
        <v>0</v>
      </c>
      <c r="AA17" s="27">
        <f>COGS!AA17+'SG&amp;A'!AA17</f>
        <v>0</v>
      </c>
      <c r="AB17" s="27">
        <f>COGS!AB17+'SG&amp;A'!AB17</f>
        <v>0</v>
      </c>
      <c r="AC17" s="27">
        <f>COGS!AC17+'SG&amp;A'!AC17</f>
        <v>0</v>
      </c>
      <c r="AD17" s="27">
        <f>COGS!AD17+'SG&amp;A'!AD17</f>
        <v>0</v>
      </c>
      <c r="AE17" s="27">
        <f>COGS!AE17+'SG&amp;A'!AE17</f>
        <v>0</v>
      </c>
      <c r="AF17" s="27">
        <f>COGS!AF17+'SG&amp;A'!AF17</f>
        <v>0</v>
      </c>
      <c r="AG17" s="27">
        <f>COGS!AG17+'SG&amp;A'!AG17</f>
        <v>0</v>
      </c>
      <c r="AH17" s="27">
        <f>COGS!AH17+'SG&amp;A'!AH17</f>
        <v>0</v>
      </c>
      <c r="AI17" s="27">
        <f>COGS!AI17+'SG&amp;A'!AI17</f>
        <v>0</v>
      </c>
      <c r="AJ17" s="27">
        <f>COGS!AJ17+'SG&amp;A'!AJ17</f>
        <v>0</v>
      </c>
      <c r="AK17" s="27">
        <f>COGS!AK17+'SG&amp;A'!AK17</f>
        <v>0</v>
      </c>
      <c r="AL17" s="27">
        <f>COGS!AL17+'SG&amp;A'!AL17</f>
        <v>0</v>
      </c>
      <c r="AM17" s="27">
        <f>COGS!AM17+'SG&amp;A'!AM17</f>
        <v>0</v>
      </c>
      <c r="AN17" s="27">
        <f>COGS!AN17+'SG&amp;A'!AN17</f>
        <v>0</v>
      </c>
      <c r="AO17" s="27">
        <f>COGS!AO17+'SG&amp;A'!AO17</f>
        <v>0</v>
      </c>
      <c r="AP17" s="27">
        <f>COGS!AP17+'SG&amp;A'!AP17</f>
        <v>0</v>
      </c>
      <c r="AQ17" s="27">
        <f>COGS!AQ17+'SG&amp;A'!AQ17</f>
        <v>0</v>
      </c>
      <c r="AR17" s="27">
        <f>COGS!AR17+'SG&amp;A'!AR17</f>
        <v>0</v>
      </c>
      <c r="AS17" s="27">
        <f>COGS!AS17+'SG&amp;A'!AS17</f>
        <v>0</v>
      </c>
      <c r="AT17" s="27">
        <f>COGS!AT17+'SG&amp;A'!AT17</f>
        <v>0</v>
      </c>
      <c r="AU17" s="27">
        <f>COGS!AU17+'SG&amp;A'!AU17</f>
        <v>0</v>
      </c>
      <c r="AV17" s="27">
        <f>COGS!AV17+'SG&amp;A'!AV17</f>
        <v>0</v>
      </c>
      <c r="AW17" s="27">
        <f>COGS!AW17+'SG&amp;A'!AW17</f>
        <v>0</v>
      </c>
      <c r="AX17" s="27">
        <f>COGS!AX17+'SG&amp;A'!AX17</f>
        <v>0</v>
      </c>
      <c r="AY17" s="27">
        <f>COGS!AY17+'SG&amp;A'!AY17</f>
        <v>0</v>
      </c>
      <c r="AZ17" s="27">
        <f>COGS!AZ17+'SG&amp;A'!AZ17</f>
        <v>0</v>
      </c>
      <c r="BA17" s="27">
        <f>COGS!BA17+'SG&amp;A'!BA17</f>
        <v>0</v>
      </c>
      <c r="BB17" s="27">
        <f>COGS!BB17+'SG&amp;A'!BB17</f>
        <v>0</v>
      </c>
      <c r="BC17" s="27">
        <f>COGS!BC17+'SG&amp;A'!BC17</f>
        <v>0</v>
      </c>
      <c r="BD17" s="27">
        <f>COGS!BD17+'SG&amp;A'!BD17</f>
        <v>0</v>
      </c>
      <c r="BE17" s="27">
        <f>COGS!BE17+'SG&amp;A'!BE17</f>
        <v>0</v>
      </c>
      <c r="BF17" s="27">
        <f>COGS!BF17+'SG&amp;A'!BF17</f>
        <v>0</v>
      </c>
      <c r="BG17" s="27">
        <f>COGS!BG17+'SG&amp;A'!BG17</f>
        <v>0</v>
      </c>
      <c r="BH17" s="27">
        <f>COGS!BH17+'SG&amp;A'!BH17</f>
        <v>0</v>
      </c>
      <c r="BI17" s="27">
        <f>COGS!BI17+'SG&amp;A'!BI17</f>
        <v>0</v>
      </c>
      <c r="BJ17" s="27">
        <f>COGS!BJ17+'SG&amp;A'!BJ17</f>
        <v>0</v>
      </c>
      <c r="BK17" s="27">
        <f>COGS!BK17+'SG&amp;A'!BK17</f>
        <v>0</v>
      </c>
      <c r="BL17" s="27">
        <f>COGS!BL17+'SG&amp;A'!BL17</f>
        <v>0</v>
      </c>
      <c r="BM17" s="27">
        <f>COGS!BM17+'SG&amp;A'!BM17</f>
        <v>0</v>
      </c>
      <c r="BN17" s="27">
        <f>COGS!BN17+'SG&amp;A'!BN17</f>
        <v>0</v>
      </c>
      <c r="BO17" s="27">
        <f>COGS!BO17+'SG&amp;A'!BO17</f>
        <v>0</v>
      </c>
      <c r="BP17" s="27">
        <f>COGS!BP17+'SG&amp;A'!BP17</f>
        <v>0</v>
      </c>
      <c r="BQ17" s="27">
        <f>COGS!BQ17+'SG&amp;A'!BQ17</f>
        <v>0</v>
      </c>
      <c r="BR17" s="27">
        <f>COGS!BR17+'SG&amp;A'!BR17</f>
        <v>0</v>
      </c>
      <c r="BS17" s="27">
        <f>COGS!BS17+'SG&amp;A'!BS17</f>
        <v>0</v>
      </c>
      <c r="BT17" s="27">
        <f>COGS!BT17+'SG&amp;A'!BT17</f>
        <v>0</v>
      </c>
      <c r="BU17" s="27">
        <f>COGS!BU17+'SG&amp;A'!BU17</f>
        <v>35.666871160000014</v>
      </c>
      <c r="BV17" s="27">
        <f>COGS!BV17+'SG&amp;A'!BV17</f>
        <v>97.112085070000006</v>
      </c>
      <c r="BW17" s="27">
        <f>COGS!BW17+'SG&amp;A'!BW17</f>
        <v>164.83439673999999</v>
      </c>
      <c r="BX17" s="27">
        <f>COGS!BX17+'SG&amp;A'!BX17</f>
        <v>297.61335296999999</v>
      </c>
      <c r="BY17" s="27">
        <f>COGS!BY17+'SG&amp;A'!BY17</f>
        <v>95.338469070000002</v>
      </c>
      <c r="BZ17" s="27">
        <f>COGS!BZ17+'SG&amp;A'!BZ17</f>
        <v>96.780223379999995</v>
      </c>
      <c r="CA17" s="27">
        <f>COGS!CA17+'SG&amp;A'!CA17</f>
        <v>116.10838258999996</v>
      </c>
      <c r="CB17" s="27">
        <f>COGS!CB17+'SG&amp;A'!CB17</f>
        <v>147.17175747000002</v>
      </c>
      <c r="CC17" s="27">
        <f>COGS!CC17+'SG&amp;A'!CC17</f>
        <v>455.39883250999998</v>
      </c>
      <c r="CD17" s="27">
        <f>COGS!CD17+'SG&amp;A'!CD17</f>
        <v>89.461511279999996</v>
      </c>
      <c r="CE17" s="27">
        <f>COGS!CE17+'SG&amp;A'!CE17</f>
        <v>98.085315099999988</v>
      </c>
      <c r="CF17" s="27">
        <f>COGS!CF17+'SG&amp;A'!CF17</f>
        <v>97.018086610000012</v>
      </c>
      <c r="CG17" s="27">
        <f>COGS!CG17+'SG&amp;A'!CG17</f>
        <v>90.573297449999984</v>
      </c>
      <c r="CH17" s="27">
        <f>COGS!CH17+'SG&amp;A'!CH17</f>
        <v>375.13821043999997</v>
      </c>
      <c r="CI17" s="27">
        <f>COGS!CI17+'SG&amp;A'!CI17</f>
        <v>90.737572159999985</v>
      </c>
      <c r="CJ17" s="27">
        <f>COGS!CJ17+'SG&amp;A'!CJ17</f>
        <v>93.695651179999999</v>
      </c>
      <c r="CK17" s="27">
        <f>COGS!CK17+'SG&amp;A'!CK17</f>
        <v>87.034569520000019</v>
      </c>
      <c r="CL17" s="27">
        <f>COGS!CL17+'SG&amp;A'!CL17</f>
        <v>73.789463839999996</v>
      </c>
      <c r="CM17" s="27">
        <f>COGS!CM17+'SG&amp;A'!CM17</f>
        <v>345.25725670000003</v>
      </c>
      <c r="CN17" s="27">
        <f>COGS!CN17+'SG&amp;A'!CN17</f>
        <v>67.299771620000001</v>
      </c>
      <c r="CO17" s="27">
        <f>COGS!CO17+'SG&amp;A'!CO17</f>
        <v>80.274812819999994</v>
      </c>
      <c r="CP17" s="27">
        <f>COGS!CP17+'SG&amp;A'!CP17</f>
        <v>80.283113659999998</v>
      </c>
      <c r="CQ17" s="27">
        <f>COGS!CQ17+'SG&amp;A'!CQ17</f>
        <v>86.949301899999995</v>
      </c>
      <c r="CR17" s="27">
        <f>COGS!CR17+'SG&amp;A'!CR17</f>
        <v>314.80700000000002</v>
      </c>
      <c r="CS17" s="27">
        <f>COGS!CS17+'SG&amp;A'!CS17</f>
        <v>35.676999999999992</v>
      </c>
      <c r="CT17" s="27">
        <f>COGS!CT17+'SG&amp;A'!CT17</f>
        <v>36.75500000000001</v>
      </c>
      <c r="CU17" s="27">
        <f>COGS!CU17+'SG&amp;A'!CU17</f>
        <v>35.900000000000006</v>
      </c>
      <c r="CV17" s="27">
        <f>COGS!CV17+'SG&amp;A'!CV17</f>
        <v>42.111999999999988</v>
      </c>
      <c r="CW17" s="27">
        <f>COGS!CW17+'SG&amp;A'!CW17</f>
        <v>150.44399999999999</v>
      </c>
      <c r="CX17" s="27">
        <f>COGS!CX17+'SG&amp;A'!CX17</f>
        <v>35.228999999999999</v>
      </c>
      <c r="CY17" s="27">
        <f>COGS!CY17+'SG&amp;A'!CY17</f>
        <v>39.808</v>
      </c>
      <c r="CZ17" s="27">
        <f>COGS!CZ17+'SG&amp;A'!CZ17</f>
        <v>37.951000000000001</v>
      </c>
      <c r="DA17" s="27">
        <f>COGS!DA17+'SG&amp;A'!DA17</f>
        <v>39.739000000000004</v>
      </c>
      <c r="DB17" s="27">
        <f>COGS!DB17+'SG&amp;A'!DB17</f>
        <v>152.727</v>
      </c>
      <c r="DC17" s="27">
        <f>COGS!DC17+'SG&amp;A'!DC17</f>
        <v>41.427</v>
      </c>
      <c r="DD17" s="27">
        <f>COGS!DD17+'SG&amp;A'!DD17</f>
        <v>49.363</v>
      </c>
      <c r="DE17" s="27">
        <f>COGS!DE17+'SG&amp;A'!DE17</f>
        <v>46.140999999999998</v>
      </c>
      <c r="DF17" s="27">
        <f>COGS!DF17+'SG&amp;A'!DF17</f>
        <v>57.305</v>
      </c>
      <c r="DG17" s="27">
        <f>COGS!DG17+'SG&amp;A'!DG17</f>
        <v>194.23599999999999</v>
      </c>
      <c r="DH17" s="27">
        <f>COGS!DH17+'SG&amp;A'!DH17</f>
        <v>43.064999999999998</v>
      </c>
      <c r="DI17" s="27">
        <f>COGS!DI17+'SG&amp;A'!DI17</f>
        <v>40.266000000000005</v>
      </c>
      <c r="DJ17" s="27">
        <f>COGS!DJ17+'SG&amp;A'!DJ17</f>
        <v>42.585999999999999</v>
      </c>
      <c r="DK17" s="27">
        <f>COGS!DK17+'SG&amp;A'!DK17</f>
        <v>48.076999999999998</v>
      </c>
      <c r="DL17" s="27">
        <f>COGS!DL17+'SG&amp;A'!DL17</f>
        <v>173.994</v>
      </c>
      <c r="DM17" s="27">
        <f>COGS!DM17+'SG&amp;A'!DM17</f>
        <v>48.652000000000001</v>
      </c>
      <c r="DN17" s="27">
        <f>COGS!DN17+'SG&amp;A'!DN17</f>
        <v>56.170999999999999</v>
      </c>
      <c r="DO17" s="27">
        <f>COGS!DO17+'SG&amp;A'!DO17</f>
        <v>61.236999999999995</v>
      </c>
      <c r="DP17" s="27">
        <f>COGS!DP17+'SG&amp;A'!DP17</f>
        <v>60.64</v>
      </c>
      <c r="DQ17" s="27">
        <f>COGS!DQ17+'SG&amp;A'!DQ17</f>
        <v>226.7</v>
      </c>
      <c r="DR17" s="27">
        <f>COGS!DR17+'SG&amp;A'!DR17</f>
        <v>62.983999999999995</v>
      </c>
      <c r="DS17" s="27">
        <f>COGS!DS17+'SG&amp;A'!DS17</f>
        <v>72.634</v>
      </c>
      <c r="DT17" s="27">
        <f>COGS!DT17+'SG&amp;A'!DT17</f>
        <v>79.49499999999999</v>
      </c>
      <c r="DU17" s="27">
        <f>COGS!DU17+'SG&amp;A'!DU17</f>
        <v>89.778999999999996</v>
      </c>
      <c r="DV17" s="27">
        <f>COGS!DV17+'SG&amp;A'!DV17</f>
        <v>304.892</v>
      </c>
      <c r="DW17" s="27">
        <f>COGS!DW17+'SG&amp;A'!DW17</f>
        <v>85.343000000000004</v>
      </c>
      <c r="DX17" s="27">
        <f>COGS!DX17+'SG&amp;A'!DX17</f>
        <v>83.679156700000007</v>
      </c>
      <c r="DY17" s="27">
        <f>COGS!DY17+'SG&amp;A'!DY17</f>
        <v>80.987894929999996</v>
      </c>
      <c r="DZ17" s="27">
        <f>COGS!DZ17+'SG&amp;A'!DZ17</f>
        <v>72.646573740000008</v>
      </c>
      <c r="EA17" s="27">
        <f>COGS!EA17+'SG&amp;A'!EA17</f>
        <v>322.65662537000003</v>
      </c>
      <c r="EB17" s="27">
        <f>COGS!EB17+'SG&amp;A'!EB17</f>
        <v>67.839816649999989</v>
      </c>
      <c r="EC17" s="27">
        <f>COGS!EC17+'SG&amp;A'!EC17</f>
        <v>68.344166170000008</v>
      </c>
      <c r="ED17" s="27">
        <f>COGS!ED17+'SG&amp;A'!ED17</f>
        <v>68.260000000000005</v>
      </c>
      <c r="EE17" s="27">
        <f>COGS!EE17+'SG&amp;A'!EE17</f>
        <v>85.988258500000029</v>
      </c>
      <c r="EF17" s="27">
        <f>COGS!EF17+'SG&amp;A'!EF17</f>
        <v>290.43224132000006</v>
      </c>
      <c r="EG17" s="27">
        <f>COGS!EG17+'SG&amp;A'!EG17</f>
        <v>74.274037390000004</v>
      </c>
      <c r="EH17" s="27">
        <f>COGS!EH17+'SG&amp;A'!EH17</f>
        <v>72.929534749999988</v>
      </c>
      <c r="EI17" s="27">
        <f>COGS!EI17+'SG&amp;A'!EI17</f>
        <v>76.608042510000004</v>
      </c>
    </row>
    <row r="18" spans="1:139" ht="15" thickBot="1" x14ac:dyDescent="0.35">
      <c r="A18" s="2" t="s">
        <v>305</v>
      </c>
      <c r="B18" s="28">
        <f>COGS!B18+'SG&amp;A'!B18</f>
        <v>0</v>
      </c>
      <c r="C18" s="28">
        <f>COGS!C18+'SG&amp;A'!C18</f>
        <v>0</v>
      </c>
      <c r="D18" s="28">
        <f>COGS!D18+'SG&amp;A'!D18</f>
        <v>0</v>
      </c>
      <c r="E18" s="28">
        <f>COGS!E18+'SG&amp;A'!E18</f>
        <v>0</v>
      </c>
      <c r="F18" s="28">
        <f>COGS!F18+'SG&amp;A'!F18</f>
        <v>0</v>
      </c>
      <c r="G18" s="28">
        <f>COGS!G18+'SG&amp;A'!G18</f>
        <v>0</v>
      </c>
      <c r="H18" s="28">
        <f>COGS!H18+'SG&amp;A'!H18</f>
        <v>0</v>
      </c>
      <c r="I18" s="28">
        <f>COGS!I18+'SG&amp;A'!I18</f>
        <v>0</v>
      </c>
      <c r="J18" s="28">
        <f>COGS!J18+'SG&amp;A'!J18</f>
        <v>0</v>
      </c>
      <c r="K18" s="28">
        <f>COGS!K18+'SG&amp;A'!K18</f>
        <v>0</v>
      </c>
      <c r="L18" s="28">
        <f>COGS!L18+'SG&amp;A'!L18</f>
        <v>0</v>
      </c>
      <c r="M18" s="28">
        <f>COGS!M18+'SG&amp;A'!M18</f>
        <v>0</v>
      </c>
      <c r="N18" s="28">
        <f>COGS!N18+'SG&amp;A'!N18</f>
        <v>0</v>
      </c>
      <c r="O18" s="28">
        <f>COGS!O18+'SG&amp;A'!O18</f>
        <v>0</v>
      </c>
      <c r="P18" s="28">
        <f>COGS!P18+'SG&amp;A'!P18</f>
        <v>0</v>
      </c>
      <c r="Q18" s="28">
        <f>COGS!Q18+'SG&amp;A'!Q18</f>
        <v>0</v>
      </c>
      <c r="R18" s="28">
        <f>COGS!R18+'SG&amp;A'!R18</f>
        <v>0</v>
      </c>
      <c r="S18" s="28">
        <f>COGS!S18+'SG&amp;A'!S18</f>
        <v>0</v>
      </c>
      <c r="T18" s="28">
        <f>COGS!T18+'SG&amp;A'!T18</f>
        <v>0</v>
      </c>
      <c r="U18" s="28">
        <f>COGS!U18+'SG&amp;A'!U18</f>
        <v>0</v>
      </c>
      <c r="V18" s="28">
        <f>COGS!V18+'SG&amp;A'!V18</f>
        <v>0</v>
      </c>
      <c r="W18" s="28">
        <f>COGS!W18+'SG&amp;A'!W18</f>
        <v>0</v>
      </c>
      <c r="X18" s="28">
        <f>COGS!X18+'SG&amp;A'!X18</f>
        <v>0</v>
      </c>
      <c r="Y18" s="28">
        <f>COGS!Y18+'SG&amp;A'!Y18</f>
        <v>0</v>
      </c>
      <c r="Z18" s="28">
        <f>COGS!Z18+'SG&amp;A'!Z18</f>
        <v>0</v>
      </c>
      <c r="AA18" s="28">
        <f>COGS!AA18+'SG&amp;A'!AA18</f>
        <v>0</v>
      </c>
      <c r="AB18" s="28">
        <f>COGS!AB18+'SG&amp;A'!AB18</f>
        <v>0</v>
      </c>
      <c r="AC18" s="28">
        <f>COGS!AC18+'SG&amp;A'!AC18</f>
        <v>0</v>
      </c>
      <c r="AD18" s="28">
        <f>COGS!AD18+'SG&amp;A'!AD18</f>
        <v>0</v>
      </c>
      <c r="AE18" s="28">
        <f>COGS!AE18+'SG&amp;A'!AE18</f>
        <v>0</v>
      </c>
      <c r="AF18" s="28">
        <f>COGS!AF18+'SG&amp;A'!AF18</f>
        <v>0</v>
      </c>
      <c r="AG18" s="28">
        <f>COGS!AG18+'SG&amp;A'!AG18</f>
        <v>0</v>
      </c>
      <c r="AH18" s="28">
        <f>COGS!AH18+'SG&amp;A'!AH18</f>
        <v>0</v>
      </c>
      <c r="AI18" s="28">
        <f>COGS!AI18+'SG&amp;A'!AI18</f>
        <v>0</v>
      </c>
      <c r="AJ18" s="28">
        <f>COGS!AJ18+'SG&amp;A'!AJ18</f>
        <v>0</v>
      </c>
      <c r="AK18" s="28">
        <f>COGS!AK18+'SG&amp;A'!AK18</f>
        <v>0</v>
      </c>
      <c r="AL18" s="28">
        <f>COGS!AL18+'SG&amp;A'!AL18</f>
        <v>0</v>
      </c>
      <c r="AM18" s="28">
        <f>COGS!AM18+'SG&amp;A'!AM18</f>
        <v>0</v>
      </c>
      <c r="AN18" s="28">
        <f>COGS!AN18+'SG&amp;A'!AN18</f>
        <v>0</v>
      </c>
      <c r="AO18" s="28">
        <f>COGS!AO18+'SG&amp;A'!AO18</f>
        <v>0</v>
      </c>
      <c r="AP18" s="28">
        <f>COGS!AP18+'SG&amp;A'!AP18</f>
        <v>0</v>
      </c>
      <c r="AQ18" s="28">
        <f>COGS!AQ18+'SG&amp;A'!AQ18</f>
        <v>0</v>
      </c>
      <c r="AR18" s="28">
        <f>COGS!AR18+'SG&amp;A'!AR18</f>
        <v>0</v>
      </c>
      <c r="AS18" s="28">
        <f>COGS!AS18+'SG&amp;A'!AS18</f>
        <v>0</v>
      </c>
      <c r="AT18" s="28">
        <f>COGS!AT18+'SG&amp;A'!AT18</f>
        <v>0</v>
      </c>
      <c r="AU18" s="28">
        <f>COGS!AU18+'SG&amp;A'!AU18</f>
        <v>0</v>
      </c>
      <c r="AV18" s="28">
        <f>COGS!AV18+'SG&amp;A'!AV18</f>
        <v>0</v>
      </c>
      <c r="AW18" s="28">
        <f>COGS!AW18+'SG&amp;A'!AW18</f>
        <v>0</v>
      </c>
      <c r="AX18" s="28">
        <f>COGS!AX18+'SG&amp;A'!AX18</f>
        <v>0</v>
      </c>
      <c r="AY18" s="28">
        <f>COGS!AY18+'SG&amp;A'!AY18</f>
        <v>0</v>
      </c>
      <c r="AZ18" s="28">
        <f>COGS!AZ18+'SG&amp;A'!AZ18</f>
        <v>0</v>
      </c>
      <c r="BA18" s="28">
        <f>COGS!BA18+'SG&amp;A'!BA18</f>
        <v>0</v>
      </c>
      <c r="BB18" s="28">
        <f>COGS!BB18+'SG&amp;A'!BB18</f>
        <v>0</v>
      </c>
      <c r="BC18" s="28">
        <f>COGS!BC18+'SG&amp;A'!BC18</f>
        <v>0</v>
      </c>
      <c r="BD18" s="28">
        <f>COGS!BD18+'SG&amp;A'!BD18</f>
        <v>0</v>
      </c>
      <c r="BE18" s="28">
        <f>COGS!BE18+'SG&amp;A'!BE18</f>
        <v>0</v>
      </c>
      <c r="BF18" s="28">
        <f>COGS!BF18+'SG&amp;A'!BF18</f>
        <v>0</v>
      </c>
      <c r="BG18" s="28">
        <f>COGS!BG18+'SG&amp;A'!BG18</f>
        <v>0</v>
      </c>
      <c r="BH18" s="28">
        <f>COGS!BH18+'SG&amp;A'!BH18</f>
        <v>0</v>
      </c>
      <c r="BI18" s="28">
        <f>COGS!BI18+'SG&amp;A'!BI18</f>
        <v>0</v>
      </c>
      <c r="BJ18" s="28">
        <f>COGS!BJ18+'SG&amp;A'!BJ18</f>
        <v>0</v>
      </c>
      <c r="BK18" s="28">
        <f>COGS!BK18+'SG&amp;A'!BK18</f>
        <v>0</v>
      </c>
      <c r="BL18" s="28">
        <f>COGS!BL18+'SG&amp;A'!BL18</f>
        <v>0</v>
      </c>
      <c r="BM18" s="28">
        <f>COGS!BM18+'SG&amp;A'!BM18</f>
        <v>0</v>
      </c>
      <c r="BN18" s="28">
        <f>COGS!BN18+'SG&amp;A'!BN18</f>
        <v>0</v>
      </c>
      <c r="BO18" s="28">
        <f>COGS!BO18+'SG&amp;A'!BO18</f>
        <v>0</v>
      </c>
      <c r="BP18" s="28">
        <f>COGS!BP18+'SG&amp;A'!BP18</f>
        <v>0</v>
      </c>
      <c r="BQ18" s="28">
        <f>COGS!BQ18+'SG&amp;A'!BQ18</f>
        <v>0</v>
      </c>
      <c r="BR18" s="28">
        <f>COGS!BR18+'SG&amp;A'!BR18</f>
        <v>0</v>
      </c>
      <c r="BS18" s="28">
        <f>COGS!BS18+'SG&amp;A'!BS18</f>
        <v>0</v>
      </c>
      <c r="BT18" s="28">
        <f>COGS!BT18+'SG&amp;A'!BT18</f>
        <v>0</v>
      </c>
      <c r="BU18" s="28">
        <f>COGS!BU18+'SG&amp;A'!BU18</f>
        <v>0</v>
      </c>
      <c r="BV18" s="28">
        <f>COGS!BV18+'SG&amp;A'!BV18</f>
        <v>0</v>
      </c>
      <c r="BW18" s="28">
        <f>COGS!BW18+'SG&amp;A'!BW18</f>
        <v>0</v>
      </c>
      <c r="BX18" s="28">
        <f>COGS!BX18+'SG&amp;A'!BX18</f>
        <v>0</v>
      </c>
      <c r="BY18" s="28">
        <f>COGS!BY18+'SG&amp;A'!BY18</f>
        <v>0</v>
      </c>
      <c r="BZ18" s="28">
        <f>COGS!BZ18+'SG&amp;A'!BZ18</f>
        <v>0</v>
      </c>
      <c r="CA18" s="28">
        <f>COGS!CA18+'SG&amp;A'!CA18</f>
        <v>0</v>
      </c>
      <c r="CB18" s="28">
        <f>COGS!CB18+'SG&amp;A'!CB18</f>
        <v>0</v>
      </c>
      <c r="CC18" s="28">
        <f>COGS!CC18+'SG&amp;A'!CC18</f>
        <v>0</v>
      </c>
      <c r="CD18" s="28">
        <f>COGS!CD18+'SG&amp;A'!CD18</f>
        <v>0</v>
      </c>
      <c r="CE18" s="28">
        <f>COGS!CE18+'SG&amp;A'!CE18</f>
        <v>0</v>
      </c>
      <c r="CF18" s="28">
        <f>COGS!CF18+'SG&amp;A'!CF18</f>
        <v>0</v>
      </c>
      <c r="CG18" s="28">
        <f>COGS!CG18+'SG&amp;A'!CG18</f>
        <v>0</v>
      </c>
      <c r="CH18" s="28">
        <f>COGS!CH18+'SG&amp;A'!CH18</f>
        <v>0</v>
      </c>
      <c r="CI18" s="28">
        <f>COGS!CI18+'SG&amp;A'!CI18</f>
        <v>0</v>
      </c>
      <c r="CJ18" s="28">
        <f>COGS!CJ18+'SG&amp;A'!CJ18</f>
        <v>0</v>
      </c>
      <c r="CK18" s="28">
        <f>COGS!CK18+'SG&amp;A'!CK18</f>
        <v>0</v>
      </c>
      <c r="CL18" s="28">
        <f>COGS!CL18+'SG&amp;A'!CL18</f>
        <v>0</v>
      </c>
      <c r="CM18" s="28">
        <f>COGS!CM18+'SG&amp;A'!CM18</f>
        <v>0</v>
      </c>
      <c r="CN18" s="28">
        <f>COGS!CN18+'SG&amp;A'!CN18</f>
        <v>0</v>
      </c>
      <c r="CO18" s="28">
        <f>COGS!CO18+'SG&amp;A'!CO18</f>
        <v>0</v>
      </c>
      <c r="CP18" s="28">
        <f>COGS!CP18+'SG&amp;A'!CP18</f>
        <v>0</v>
      </c>
      <c r="CQ18" s="28">
        <f>COGS!CQ18+'SG&amp;A'!CQ18</f>
        <v>0</v>
      </c>
      <c r="CR18" s="28">
        <f>COGS!CR18+'SG&amp;A'!CR18</f>
        <v>0</v>
      </c>
      <c r="CS18" s="28">
        <f>COGS!CS18+'SG&amp;A'!CS18</f>
        <v>0</v>
      </c>
      <c r="CT18" s="28">
        <f>COGS!CT18+'SG&amp;A'!CT18</f>
        <v>0</v>
      </c>
      <c r="CU18" s="28">
        <f>COGS!CU18+'SG&amp;A'!CU18</f>
        <v>0</v>
      </c>
      <c r="CV18" s="28">
        <f>COGS!CV18+'SG&amp;A'!CV18</f>
        <v>0</v>
      </c>
      <c r="CW18" s="28">
        <f>COGS!CW18+'SG&amp;A'!CW18</f>
        <v>0</v>
      </c>
      <c r="CX18" s="28">
        <f>COGS!CX18+'SG&amp;A'!CX18</f>
        <v>0</v>
      </c>
      <c r="CY18" s="28">
        <f>COGS!CY18+'SG&amp;A'!CY18</f>
        <v>0</v>
      </c>
      <c r="CZ18" s="28">
        <f>COGS!CZ18+'SG&amp;A'!CZ18</f>
        <v>0</v>
      </c>
      <c r="DA18" s="28">
        <f>COGS!DA18+'SG&amp;A'!DA18</f>
        <v>0</v>
      </c>
      <c r="DB18" s="28">
        <f>COGS!DB18+'SG&amp;A'!DB18</f>
        <v>0</v>
      </c>
      <c r="DC18" s="28">
        <f>COGS!DC18+'SG&amp;A'!DC18</f>
        <v>7.3369999999999997</v>
      </c>
      <c r="DD18" s="28">
        <f>COGS!DD18+'SG&amp;A'!DD18</f>
        <v>6.0419999999999998</v>
      </c>
      <c r="DE18" s="28">
        <f>COGS!DE18+'SG&amp;A'!DE18</f>
        <v>5.5109999999999992</v>
      </c>
      <c r="DF18" s="28">
        <f>COGS!DF18+'SG&amp;A'!DF18</f>
        <v>5.0519999999999996</v>
      </c>
      <c r="DG18" s="28">
        <f>COGS!DG18+'SG&amp;A'!DG18</f>
        <v>23.942</v>
      </c>
      <c r="DH18" s="28">
        <f>COGS!DH18+'SG&amp;A'!DH18</f>
        <v>5.0049999999999999</v>
      </c>
      <c r="DI18" s="28">
        <f>COGS!DI18+'SG&amp;A'!DI18</f>
        <v>6.7650000000000006</v>
      </c>
      <c r="DJ18" s="28">
        <f>COGS!DJ18+'SG&amp;A'!DJ18</f>
        <v>6.8140000000000001</v>
      </c>
      <c r="DK18" s="28">
        <f>COGS!DK18+'SG&amp;A'!DK18</f>
        <v>6.2480000000000002</v>
      </c>
      <c r="DL18" s="28">
        <f>COGS!DL18+'SG&amp;A'!DL18</f>
        <v>24.832000000000001</v>
      </c>
      <c r="DM18" s="28">
        <f>COGS!DM18+'SG&amp;A'!DM18</f>
        <v>6.1780000000000008</v>
      </c>
      <c r="DN18" s="28">
        <f>COGS!DN18+'SG&amp;A'!DN18</f>
        <v>7.1139999999999999</v>
      </c>
      <c r="DO18" s="28">
        <f>COGS!DO18+'SG&amp;A'!DO18</f>
        <v>6.2450000000000001</v>
      </c>
      <c r="DP18" s="28">
        <f>COGS!DP18+'SG&amp;A'!DP18</f>
        <v>5.49</v>
      </c>
      <c r="DQ18" s="28">
        <f>COGS!DQ18+'SG&amp;A'!DQ18</f>
        <v>25.027000000000001</v>
      </c>
      <c r="DR18" s="28">
        <f>COGS!DR18+'SG&amp;A'!DR18</f>
        <v>5.7390000000000008</v>
      </c>
      <c r="DS18" s="28">
        <f>COGS!DS18+'SG&amp;A'!DS18</f>
        <v>6.7949999999999999</v>
      </c>
      <c r="DT18" s="28">
        <f>COGS!DT18+'SG&amp;A'!DT18</f>
        <v>6.3280000000000003</v>
      </c>
      <c r="DU18" s="28">
        <f>COGS!DU18+'SG&amp;A'!DU18</f>
        <v>5.5649999999999995</v>
      </c>
      <c r="DV18" s="28">
        <f>COGS!DV18+'SG&amp;A'!DV18</f>
        <v>24.427</v>
      </c>
      <c r="DW18" s="28">
        <f>COGS!DW18+'SG&amp;A'!DW18</f>
        <v>5.7329999999999997</v>
      </c>
      <c r="DX18" s="28">
        <f>COGS!DX18+'SG&amp;A'!DX18</f>
        <v>6.5887997700000005</v>
      </c>
      <c r="DY18" s="28">
        <f>COGS!DY18+'SG&amp;A'!DY18</f>
        <v>7.1066088799999996</v>
      </c>
      <c r="DZ18" s="28">
        <f>COGS!DZ18+'SG&amp;A'!DZ18</f>
        <v>7.376827200000001</v>
      </c>
      <c r="EA18" s="28">
        <f>COGS!EA18+'SG&amp;A'!EA18</f>
        <v>26.805235849999999</v>
      </c>
      <c r="EB18" s="28">
        <f>COGS!EB18+'SG&amp;A'!EB18</f>
        <v>7.2136969099999995</v>
      </c>
      <c r="EC18" s="28">
        <f>COGS!EC18+'SG&amp;A'!EC18</f>
        <v>8.0771872600000005</v>
      </c>
      <c r="ED18" s="28">
        <f>COGS!ED18+'SG&amp;A'!ED18</f>
        <v>7.9580000000000002</v>
      </c>
      <c r="EE18" s="28">
        <f>COGS!EE18+'SG&amp;A'!EE18</f>
        <v>31.484387070000004</v>
      </c>
      <c r="EF18" s="28">
        <f>COGS!EF18+'SG&amp;A'!EF18</f>
        <v>54.733271240000001</v>
      </c>
      <c r="EG18" s="28">
        <f>COGS!EG18+'SG&amp;A'!EG18</f>
        <v>7.4860653999999993</v>
      </c>
      <c r="EH18" s="28">
        <f>COGS!EH18+'SG&amp;A'!EH18</f>
        <v>8.60920664</v>
      </c>
      <c r="EI18" s="28">
        <f>COGS!EI18+'SG&amp;A'!EI18</f>
        <v>8.4848496000000004</v>
      </c>
    </row>
    <row r="19" spans="1:139" ht="15" thickTop="1" x14ac:dyDescent="0.3">
      <c r="A19" s="1" t="s">
        <v>306</v>
      </c>
      <c r="B19" s="27">
        <f>COGS!B19+'SG&amp;A'!B19</f>
        <v>0</v>
      </c>
      <c r="C19" s="27">
        <f>COGS!C19+'SG&amp;A'!C19</f>
        <v>0</v>
      </c>
      <c r="D19" s="27">
        <f>COGS!D19+'SG&amp;A'!D19</f>
        <v>0</v>
      </c>
      <c r="E19" s="27">
        <f>COGS!E19+'SG&amp;A'!E19</f>
        <v>0</v>
      </c>
      <c r="F19" s="27">
        <f>COGS!F19+'SG&amp;A'!F19</f>
        <v>0</v>
      </c>
      <c r="G19" s="27">
        <f>COGS!G19+'SG&amp;A'!G19</f>
        <v>0</v>
      </c>
      <c r="H19" s="27">
        <f>COGS!H19+'SG&amp;A'!H19</f>
        <v>0</v>
      </c>
      <c r="I19" s="27">
        <f>COGS!I19+'SG&amp;A'!I19</f>
        <v>0</v>
      </c>
      <c r="J19" s="27">
        <f>COGS!J19+'SG&amp;A'!J19</f>
        <v>0</v>
      </c>
      <c r="K19" s="27">
        <f>COGS!K19+'SG&amp;A'!K19</f>
        <v>0</v>
      </c>
      <c r="L19" s="27">
        <f>COGS!L19+'SG&amp;A'!L19</f>
        <v>0</v>
      </c>
      <c r="M19" s="27">
        <f>COGS!M19+'SG&amp;A'!M19</f>
        <v>0</v>
      </c>
      <c r="N19" s="27">
        <f>COGS!N19+'SG&amp;A'!N19</f>
        <v>0</v>
      </c>
      <c r="O19" s="27">
        <f>COGS!O19+'SG&amp;A'!O19</f>
        <v>0</v>
      </c>
      <c r="P19" s="27">
        <f>COGS!P19+'SG&amp;A'!P19</f>
        <v>0</v>
      </c>
      <c r="Q19" s="27">
        <f>COGS!Q19+'SG&amp;A'!Q19</f>
        <v>0</v>
      </c>
      <c r="R19" s="27">
        <f>COGS!R19+'SG&amp;A'!R19</f>
        <v>0</v>
      </c>
      <c r="S19" s="27">
        <f>COGS!S19+'SG&amp;A'!S19</f>
        <v>0</v>
      </c>
      <c r="T19" s="27">
        <f>COGS!T19+'SG&amp;A'!T19</f>
        <v>0</v>
      </c>
      <c r="U19" s="27">
        <f>COGS!U19+'SG&amp;A'!U19</f>
        <v>0</v>
      </c>
      <c r="V19" s="27">
        <f>COGS!V19+'SG&amp;A'!V19</f>
        <v>0</v>
      </c>
      <c r="W19" s="27">
        <f>COGS!W19+'SG&amp;A'!W19</f>
        <v>0</v>
      </c>
      <c r="X19" s="27">
        <f>COGS!X19+'SG&amp;A'!X19</f>
        <v>0</v>
      </c>
      <c r="Y19" s="27">
        <f>COGS!Y19+'SG&amp;A'!Y19</f>
        <v>0</v>
      </c>
      <c r="Z19" s="27">
        <f>COGS!Z19+'SG&amp;A'!Z19</f>
        <v>0</v>
      </c>
      <c r="AA19" s="27">
        <f>COGS!AA19+'SG&amp;A'!AA19</f>
        <v>0</v>
      </c>
      <c r="AB19" s="27">
        <f>COGS!AB19+'SG&amp;A'!AB19</f>
        <v>0</v>
      </c>
      <c r="AC19" s="27">
        <f>COGS!AC19+'SG&amp;A'!AC19</f>
        <v>0</v>
      </c>
      <c r="AD19" s="27">
        <f>COGS!AD19+'SG&amp;A'!AD19</f>
        <v>0</v>
      </c>
      <c r="AE19" s="27">
        <f>COGS!AE19+'SG&amp;A'!AE19</f>
        <v>0</v>
      </c>
      <c r="AF19" s="27">
        <f>COGS!AF19+'SG&amp;A'!AF19</f>
        <v>0</v>
      </c>
      <c r="AG19" s="27">
        <f>COGS!AG19+'SG&amp;A'!AG19</f>
        <v>0</v>
      </c>
      <c r="AH19" s="27">
        <f>COGS!AH19+'SG&amp;A'!AH19</f>
        <v>0</v>
      </c>
      <c r="AI19" s="27">
        <f>COGS!AI19+'SG&amp;A'!AI19</f>
        <v>0</v>
      </c>
      <c r="AJ19" s="27">
        <f>COGS!AJ19+'SG&amp;A'!AJ19</f>
        <v>0</v>
      </c>
      <c r="AK19" s="27">
        <f>COGS!AK19+'SG&amp;A'!AK19</f>
        <v>0</v>
      </c>
      <c r="AL19" s="27">
        <f>COGS!AL19+'SG&amp;A'!AL19</f>
        <v>0</v>
      </c>
      <c r="AM19" s="27">
        <f>COGS!AM19+'SG&amp;A'!AM19</f>
        <v>0</v>
      </c>
      <c r="AN19" s="27">
        <f>COGS!AN19+'SG&amp;A'!AN19</f>
        <v>0</v>
      </c>
      <c r="AO19" s="27">
        <f>COGS!AO19+'SG&amp;A'!AO19</f>
        <v>0</v>
      </c>
      <c r="AP19" s="27">
        <f>COGS!AP19+'SG&amp;A'!AP19</f>
        <v>0</v>
      </c>
      <c r="AQ19" s="27">
        <f>COGS!AQ19+'SG&amp;A'!AQ19</f>
        <v>0</v>
      </c>
      <c r="AR19" s="27">
        <f>COGS!AR19+'SG&amp;A'!AR19</f>
        <v>0</v>
      </c>
      <c r="AS19" s="27">
        <f>COGS!AS19+'SG&amp;A'!AS19</f>
        <v>0</v>
      </c>
      <c r="AT19" s="27">
        <f>COGS!AT19+'SG&amp;A'!AT19</f>
        <v>0</v>
      </c>
      <c r="AU19" s="27">
        <f>COGS!AU19+'SG&amp;A'!AU19</f>
        <v>0</v>
      </c>
      <c r="AV19" s="27">
        <f>COGS!AV19+'SG&amp;A'!AV19</f>
        <v>0</v>
      </c>
      <c r="AW19" s="27">
        <f>COGS!AW19+'SG&amp;A'!AW19</f>
        <v>0</v>
      </c>
      <c r="AX19" s="27">
        <f>COGS!AX19+'SG&amp;A'!AX19</f>
        <v>0</v>
      </c>
      <c r="AY19" s="27">
        <f>COGS!AY19+'SG&amp;A'!AY19</f>
        <v>0</v>
      </c>
      <c r="AZ19" s="27">
        <f>COGS!AZ19+'SG&amp;A'!AZ19</f>
        <v>0</v>
      </c>
      <c r="BA19" s="27">
        <f>COGS!BA19+'SG&amp;A'!BA19</f>
        <v>0</v>
      </c>
      <c r="BB19" s="27">
        <f>COGS!BB19+'SG&amp;A'!BB19</f>
        <v>0</v>
      </c>
      <c r="BC19" s="27">
        <f>COGS!BC19+'SG&amp;A'!BC19</f>
        <v>0</v>
      </c>
      <c r="BD19" s="27">
        <f>COGS!BD19+'SG&amp;A'!BD19</f>
        <v>0</v>
      </c>
      <c r="BE19" s="27">
        <f>COGS!BE19+'SG&amp;A'!BE19</f>
        <v>0</v>
      </c>
      <c r="BF19" s="27">
        <f>COGS!BF19+'SG&amp;A'!BF19</f>
        <v>0</v>
      </c>
      <c r="BG19" s="27">
        <f>COGS!BG19+'SG&amp;A'!BG19</f>
        <v>0</v>
      </c>
      <c r="BH19" s="27">
        <f>COGS!BH19+'SG&amp;A'!BH19</f>
        <v>0</v>
      </c>
      <c r="BI19" s="27">
        <f>COGS!BI19+'SG&amp;A'!BI19</f>
        <v>0</v>
      </c>
      <c r="BJ19" s="27">
        <f>COGS!BJ19+'SG&amp;A'!BJ19</f>
        <v>16.084267449999999</v>
      </c>
      <c r="BK19" s="27">
        <f>COGS!BK19+'SG&amp;A'!BK19</f>
        <v>16.454971360000002</v>
      </c>
      <c r="BL19" s="27">
        <f>COGS!BL19+'SG&amp;A'!BL19</f>
        <v>17.509979239999996</v>
      </c>
      <c r="BM19" s="27">
        <f>COGS!BM19+'SG&amp;A'!BM19</f>
        <v>15.899522489999995</v>
      </c>
      <c r="BN19" s="27">
        <f>COGS!BN19+'SG&amp;A'!BN19</f>
        <v>65.948740539999989</v>
      </c>
      <c r="BO19" s="27">
        <f>COGS!BO19+'SG&amp;A'!BO19</f>
        <v>12.29412063</v>
      </c>
      <c r="BP19" s="27">
        <f>COGS!BP19+'SG&amp;A'!BP19</f>
        <v>13.036745430000002</v>
      </c>
      <c r="BQ19" s="27">
        <f>COGS!BQ19+'SG&amp;A'!BQ19</f>
        <v>12.70346975</v>
      </c>
      <c r="BR19" s="27">
        <f>COGS!BR19+'SG&amp;A'!BR19</f>
        <v>14.469289800000006</v>
      </c>
      <c r="BS19" s="27">
        <f>COGS!BS19+'SG&amp;A'!BS19</f>
        <v>52.503625610000007</v>
      </c>
      <c r="BT19" s="27">
        <f>COGS!BT19+'SG&amp;A'!BT19</f>
        <v>14.69928599</v>
      </c>
      <c r="BU19" s="27">
        <f>COGS!BU19+'SG&amp;A'!BU19</f>
        <v>14.440107400000002</v>
      </c>
      <c r="BV19" s="27">
        <f>COGS!BV19+'SG&amp;A'!BV19</f>
        <v>16.396364260000002</v>
      </c>
      <c r="BW19" s="27">
        <f>COGS!BW19+'SG&amp;A'!BW19</f>
        <v>18.475349350000005</v>
      </c>
      <c r="BX19" s="27">
        <f>COGS!BX19+'SG&amp;A'!BX19</f>
        <v>64.01110700000001</v>
      </c>
      <c r="BY19" s="27">
        <f>COGS!BY19+'SG&amp;A'!BY19</f>
        <v>17.354971839999997</v>
      </c>
      <c r="BZ19" s="27">
        <f>COGS!BZ19+'SG&amp;A'!BZ19</f>
        <v>19.024860010000005</v>
      </c>
      <c r="CA19" s="27">
        <f>COGS!CA19+'SG&amp;A'!CA19</f>
        <v>19.814058169999996</v>
      </c>
      <c r="CB19" s="27">
        <f>COGS!CB19+'SG&amp;A'!CB19</f>
        <v>28.512411269999998</v>
      </c>
      <c r="CC19" s="27">
        <f>COGS!CC19+'SG&amp;A'!CC19</f>
        <v>84.706301289999999</v>
      </c>
      <c r="CD19" s="27">
        <f>COGS!CD19+'SG&amp;A'!CD19</f>
        <v>22.563351500000003</v>
      </c>
      <c r="CE19" s="27">
        <f>COGS!CE19+'SG&amp;A'!CE19</f>
        <v>31.60875425</v>
      </c>
      <c r="CF19" s="27">
        <f>COGS!CF19+'SG&amp;A'!CF19</f>
        <v>34.097303350000004</v>
      </c>
      <c r="CG19" s="27">
        <f>COGS!CG19+'SG&amp;A'!CG19</f>
        <v>39.564149870000001</v>
      </c>
      <c r="CH19" s="27">
        <f>COGS!CH19+'SG&amp;A'!CH19</f>
        <v>127.83355897000001</v>
      </c>
      <c r="CI19" s="27">
        <f>COGS!CI19+'SG&amp;A'!CI19</f>
        <v>30.824231120000004</v>
      </c>
      <c r="CJ19" s="27">
        <f>COGS!CJ19+'SG&amp;A'!CJ19</f>
        <v>34.838224550000007</v>
      </c>
      <c r="CK19" s="27">
        <f>COGS!CK19+'SG&amp;A'!CK19</f>
        <v>35.41223875</v>
      </c>
      <c r="CL19" s="27">
        <f>COGS!CL19+'SG&amp;A'!CL19</f>
        <v>36.037549260000006</v>
      </c>
      <c r="CM19" s="27">
        <f>COGS!CM19+'SG&amp;A'!CM19</f>
        <v>137.11224368000003</v>
      </c>
      <c r="CN19" s="27">
        <f>COGS!CN19+'SG&amp;A'!CN19</f>
        <v>28.061925579999997</v>
      </c>
      <c r="CO19" s="27">
        <f>COGS!CO19+'SG&amp;A'!CO19</f>
        <v>30.497947970000006</v>
      </c>
      <c r="CP19" s="27">
        <f>COGS!CP19+'SG&amp;A'!CP19</f>
        <v>34.541601540000002</v>
      </c>
      <c r="CQ19" s="27">
        <f>COGS!CQ19+'SG&amp;A'!CQ19</f>
        <v>42.503524909999996</v>
      </c>
      <c r="CR19" s="27">
        <f>COGS!CR19+'SG&amp;A'!CR19</f>
        <v>135.60499999999999</v>
      </c>
      <c r="CS19" s="27">
        <f>COGS!CS19+'SG&amp;A'!CS19</f>
        <v>39.38043906</v>
      </c>
      <c r="CT19" s="27">
        <f>COGS!CT19+'SG&amp;A'!CT19</f>
        <v>40.680348659999993</v>
      </c>
      <c r="CU19" s="27">
        <f>COGS!CU19+'SG&amp;A'!CU19</f>
        <v>40.700529450000005</v>
      </c>
      <c r="CV19" s="27">
        <f>COGS!CV19+'SG&amp;A'!CV19</f>
        <v>42.50888805999999</v>
      </c>
      <c r="CW19" s="27">
        <f>COGS!CW19+'SG&amp;A'!CW19</f>
        <v>163.27020522999999</v>
      </c>
      <c r="CX19" s="27">
        <f>COGS!CX19+'SG&amp;A'!CX19</f>
        <v>34.001000000000005</v>
      </c>
      <c r="CY19" s="27">
        <f>COGS!CY19+'SG&amp;A'!CY19</f>
        <v>35.942</v>
      </c>
      <c r="CZ19" s="27">
        <f>COGS!CZ19+'SG&amp;A'!CZ19</f>
        <v>38.566000000000003</v>
      </c>
      <c r="DA19" s="27">
        <f>COGS!DA19+'SG&amp;A'!DA19</f>
        <v>52.096000000000004</v>
      </c>
      <c r="DB19" s="27">
        <f>COGS!DB19+'SG&amp;A'!DB19</f>
        <v>160.60500000000002</v>
      </c>
      <c r="DC19" s="27">
        <f>COGS!DC19+'SG&amp;A'!DC19</f>
        <v>42.161999999999999</v>
      </c>
      <c r="DD19" s="27">
        <f>COGS!DD19+'SG&amp;A'!DD19</f>
        <v>40.337000000000003</v>
      </c>
      <c r="DE19" s="27">
        <f>COGS!DE19+'SG&amp;A'!DE19</f>
        <v>47.521000000000001</v>
      </c>
      <c r="DF19" s="27">
        <f>COGS!DF19+'SG&amp;A'!DF19</f>
        <v>53.695999999999998</v>
      </c>
      <c r="DG19" s="27">
        <f>COGS!DG19+'SG&amp;A'!DG19</f>
        <v>183.71600000000001</v>
      </c>
      <c r="DH19" s="27">
        <f>COGS!DH19+'SG&amp;A'!DH19</f>
        <v>52.759</v>
      </c>
      <c r="DI19" s="27">
        <f>COGS!DI19+'SG&amp;A'!DI19</f>
        <v>49.882999999999996</v>
      </c>
      <c r="DJ19" s="27">
        <f>COGS!DJ19+'SG&amp;A'!DJ19</f>
        <v>57.414000000000001</v>
      </c>
      <c r="DK19" s="27">
        <f>COGS!DK19+'SG&amp;A'!DK19</f>
        <v>53.802</v>
      </c>
      <c r="DL19" s="27">
        <f>COGS!DL19+'SG&amp;A'!DL19</f>
        <v>213.858</v>
      </c>
      <c r="DM19" s="27">
        <f>COGS!DM19+'SG&amp;A'!DM19</f>
        <v>52.673999999999999</v>
      </c>
      <c r="DN19" s="27">
        <f>COGS!DN19+'SG&amp;A'!DN19</f>
        <v>52.548999999999999</v>
      </c>
      <c r="DO19" s="27">
        <f>COGS!DO19+'SG&amp;A'!DO19</f>
        <v>63.942</v>
      </c>
      <c r="DP19" s="27">
        <f>COGS!DP19+'SG&amp;A'!DP19</f>
        <v>76.947000000000003</v>
      </c>
      <c r="DQ19" s="27">
        <f>COGS!DQ19+'SG&amp;A'!DQ19</f>
        <v>246.11200000000002</v>
      </c>
      <c r="DR19" s="27">
        <f>COGS!DR19+'SG&amp;A'!DR19</f>
        <v>71.004000000000005</v>
      </c>
      <c r="DS19" s="27">
        <f>COGS!DS19+'SG&amp;A'!DS19</f>
        <v>68.634</v>
      </c>
      <c r="DT19" s="27">
        <f>COGS!DT19+'SG&amp;A'!DT19</f>
        <v>64.616</v>
      </c>
      <c r="DU19" s="27">
        <f>COGS!DU19+'SG&amp;A'!DU19</f>
        <v>92.546999999999997</v>
      </c>
      <c r="DV19" s="27">
        <f>COGS!DV19+'SG&amp;A'!DV19</f>
        <v>296.80100000000004</v>
      </c>
      <c r="DW19" s="27">
        <f>COGS!DW19+'SG&amp;A'!DW19</f>
        <v>71.266000000000005</v>
      </c>
      <c r="DX19" s="27">
        <f>COGS!DX19+'SG&amp;A'!DX19</f>
        <v>61.756066159999996</v>
      </c>
      <c r="DY19" s="27">
        <f>COGS!DY19+'SG&amp;A'!DY19</f>
        <v>74.339151829999992</v>
      </c>
      <c r="DZ19" s="27">
        <f>COGS!DZ19+'SG&amp;A'!DZ19</f>
        <v>80.094065510000007</v>
      </c>
      <c r="EA19" s="27">
        <f>COGS!EA19+'SG&amp;A'!EA19</f>
        <v>287.45528350000001</v>
      </c>
      <c r="EB19" s="27">
        <f>COGS!EB19+'SG&amp;A'!EB19</f>
        <v>79.857800389999994</v>
      </c>
      <c r="EC19" s="27">
        <f>COGS!EC19+'SG&amp;A'!EC19</f>
        <v>82.484681440000003</v>
      </c>
      <c r="ED19" s="27">
        <f>COGS!ED19+'SG&amp;A'!ED19</f>
        <v>92.509999999999991</v>
      </c>
      <c r="EE19" s="27">
        <f>COGS!EE19+'SG&amp;A'!EE19</f>
        <v>92.827980440000033</v>
      </c>
      <c r="EF19" s="27">
        <f>COGS!EF19+'SG&amp;A'!EF19</f>
        <v>347.68046227000002</v>
      </c>
      <c r="EG19" s="27">
        <f>COGS!EG19+'SG&amp;A'!EG19</f>
        <v>89.432884739999992</v>
      </c>
      <c r="EH19" s="27">
        <f>COGS!EH19+'SG&amp;A'!EH19</f>
        <v>93.400060809999999</v>
      </c>
      <c r="EI19" s="27">
        <f>COGS!EI19+'SG&amp;A'!EI19</f>
        <v>101.48975311999999</v>
      </c>
    </row>
    <row r="20" spans="1:139" ht="15" thickBot="1" x14ac:dyDescent="0.35">
      <c r="A20" s="2" t="s">
        <v>323</v>
      </c>
      <c r="B20" s="28">
        <f>COGS!B20+'SG&amp;A'!B20</f>
        <v>0</v>
      </c>
      <c r="C20" s="28">
        <f>COGS!C20+'SG&amp;A'!C20</f>
        <v>0</v>
      </c>
      <c r="D20" s="28">
        <f>COGS!D20+'SG&amp;A'!D20</f>
        <v>0</v>
      </c>
      <c r="E20" s="28">
        <f>COGS!E20+'SG&amp;A'!E20</f>
        <v>0</v>
      </c>
      <c r="F20" s="28">
        <f>COGS!F20+'SG&amp;A'!F20</f>
        <v>0</v>
      </c>
      <c r="G20" s="28">
        <f>COGS!G20+'SG&amp;A'!G20</f>
        <v>0</v>
      </c>
      <c r="H20" s="28">
        <f>COGS!H20+'SG&amp;A'!H20</f>
        <v>0</v>
      </c>
      <c r="I20" s="28">
        <f>COGS!I20+'SG&amp;A'!I20</f>
        <v>0</v>
      </c>
      <c r="J20" s="28">
        <f>COGS!J20+'SG&amp;A'!J20</f>
        <v>0</v>
      </c>
      <c r="K20" s="28">
        <f>COGS!K20+'SG&amp;A'!K20</f>
        <v>0</v>
      </c>
      <c r="L20" s="28">
        <f>COGS!L20+'SG&amp;A'!L20</f>
        <v>0</v>
      </c>
      <c r="M20" s="28">
        <f>COGS!M20+'SG&amp;A'!M20</f>
        <v>0</v>
      </c>
      <c r="N20" s="28">
        <f>COGS!N20+'SG&amp;A'!N20</f>
        <v>0</v>
      </c>
      <c r="O20" s="28">
        <f>COGS!O20+'SG&amp;A'!O20</f>
        <v>0</v>
      </c>
      <c r="P20" s="28">
        <f>COGS!P20+'SG&amp;A'!P20</f>
        <v>0</v>
      </c>
      <c r="Q20" s="28">
        <f>COGS!Q20+'SG&amp;A'!Q20</f>
        <v>0</v>
      </c>
      <c r="R20" s="28">
        <f>COGS!R20+'SG&amp;A'!R20</f>
        <v>0</v>
      </c>
      <c r="S20" s="28">
        <f>COGS!S20+'SG&amp;A'!S20</f>
        <v>0</v>
      </c>
      <c r="T20" s="28">
        <f>COGS!T20+'SG&amp;A'!T20</f>
        <v>0</v>
      </c>
      <c r="U20" s="28">
        <f>COGS!U20+'SG&amp;A'!U20</f>
        <v>0</v>
      </c>
      <c r="V20" s="28">
        <f>COGS!V20+'SG&amp;A'!V20</f>
        <v>0</v>
      </c>
      <c r="W20" s="28">
        <f>COGS!W20+'SG&amp;A'!W20</f>
        <v>0</v>
      </c>
      <c r="X20" s="28">
        <f>COGS!X20+'SG&amp;A'!X20</f>
        <v>0</v>
      </c>
      <c r="Y20" s="28">
        <f>COGS!Y20+'SG&amp;A'!Y20</f>
        <v>0</v>
      </c>
      <c r="Z20" s="28">
        <f>COGS!Z20+'SG&amp;A'!Z20</f>
        <v>0</v>
      </c>
      <c r="AA20" s="28">
        <f>COGS!AA20+'SG&amp;A'!AA20</f>
        <v>0</v>
      </c>
      <c r="AB20" s="28">
        <f>COGS!AB20+'SG&amp;A'!AB20</f>
        <v>0</v>
      </c>
      <c r="AC20" s="28">
        <f>COGS!AC20+'SG&amp;A'!AC20</f>
        <v>0</v>
      </c>
      <c r="AD20" s="28">
        <f>COGS!AD20+'SG&amp;A'!AD20</f>
        <v>0</v>
      </c>
      <c r="AE20" s="28">
        <f>COGS!AE20+'SG&amp;A'!AE20</f>
        <v>0</v>
      </c>
      <c r="AF20" s="28">
        <f>COGS!AF20+'SG&amp;A'!AF20</f>
        <v>0</v>
      </c>
      <c r="AG20" s="28">
        <f>COGS!AG20+'SG&amp;A'!AG20</f>
        <v>0</v>
      </c>
      <c r="AH20" s="28">
        <f>COGS!AH20+'SG&amp;A'!AH20</f>
        <v>0</v>
      </c>
      <c r="AI20" s="28">
        <f>COGS!AI20+'SG&amp;A'!AI20</f>
        <v>0</v>
      </c>
      <c r="AJ20" s="28">
        <f>COGS!AJ20+'SG&amp;A'!AJ20</f>
        <v>0</v>
      </c>
      <c r="AK20" s="28">
        <f>COGS!AK20+'SG&amp;A'!AK20</f>
        <v>0</v>
      </c>
      <c r="AL20" s="28">
        <f>COGS!AL20+'SG&amp;A'!AL20</f>
        <v>0</v>
      </c>
      <c r="AM20" s="28">
        <f>COGS!AM20+'SG&amp;A'!AM20</f>
        <v>0</v>
      </c>
      <c r="AN20" s="28">
        <f>COGS!AN20+'SG&amp;A'!AN20</f>
        <v>0</v>
      </c>
      <c r="AO20" s="28">
        <f>COGS!AO20+'SG&amp;A'!AO20</f>
        <v>0</v>
      </c>
      <c r="AP20" s="28">
        <f>COGS!AP20+'SG&amp;A'!AP20</f>
        <v>0</v>
      </c>
      <c r="AQ20" s="28">
        <f>COGS!AQ20+'SG&amp;A'!AQ20</f>
        <v>0</v>
      </c>
      <c r="AR20" s="28">
        <f>COGS!AR20+'SG&amp;A'!AR20</f>
        <v>0</v>
      </c>
      <c r="AS20" s="28">
        <f>COGS!AS20+'SG&amp;A'!AS20</f>
        <v>0</v>
      </c>
      <c r="AT20" s="28">
        <f>COGS!AT20+'SG&amp;A'!AT20</f>
        <v>0</v>
      </c>
      <c r="AU20" s="28">
        <f>COGS!AU20+'SG&amp;A'!AU20</f>
        <v>0</v>
      </c>
      <c r="AV20" s="28">
        <f>COGS!AV20+'SG&amp;A'!AV20</f>
        <v>0</v>
      </c>
      <c r="AW20" s="28">
        <f>COGS!AW20+'SG&amp;A'!AW20</f>
        <v>0</v>
      </c>
      <c r="AX20" s="28">
        <f>COGS!AX20+'SG&amp;A'!AX20</f>
        <v>0</v>
      </c>
      <c r="AY20" s="28">
        <f>COGS!AY20+'SG&amp;A'!AY20</f>
        <v>0</v>
      </c>
      <c r="AZ20" s="28">
        <f>COGS!AZ20+'SG&amp;A'!AZ20</f>
        <v>0</v>
      </c>
      <c r="BA20" s="28">
        <f>COGS!BA20+'SG&amp;A'!BA20</f>
        <v>0</v>
      </c>
      <c r="BB20" s="28">
        <f>COGS!BB20+'SG&amp;A'!BB20</f>
        <v>0</v>
      </c>
      <c r="BC20" s="28">
        <f>COGS!BC20+'SG&amp;A'!BC20</f>
        <v>0</v>
      </c>
      <c r="BD20" s="28">
        <f>COGS!BD20+'SG&amp;A'!BD20</f>
        <v>0</v>
      </c>
      <c r="BE20" s="28">
        <f>COGS!BE20+'SG&amp;A'!BE20</f>
        <v>0</v>
      </c>
      <c r="BF20" s="28">
        <f>COGS!BF20+'SG&amp;A'!BF20</f>
        <v>0</v>
      </c>
      <c r="BG20" s="28">
        <f>COGS!BG20+'SG&amp;A'!BG20</f>
        <v>0</v>
      </c>
      <c r="BH20" s="28">
        <f>COGS!BH20+'SG&amp;A'!BH20</f>
        <v>0</v>
      </c>
      <c r="BI20" s="28">
        <f>COGS!BI20+'SG&amp;A'!BI20</f>
        <v>0</v>
      </c>
      <c r="BJ20" s="28">
        <f>COGS!BJ20+'SG&amp;A'!BJ20</f>
        <v>0</v>
      </c>
      <c r="BK20" s="28">
        <f>COGS!BK20+'SG&amp;A'!BK20</f>
        <v>0</v>
      </c>
      <c r="BL20" s="28">
        <f>COGS!BL20+'SG&amp;A'!BL20</f>
        <v>0</v>
      </c>
      <c r="BM20" s="28">
        <f>COGS!BM20+'SG&amp;A'!BM20</f>
        <v>0</v>
      </c>
      <c r="BN20" s="28">
        <f>COGS!BN20+'SG&amp;A'!BN20</f>
        <v>0</v>
      </c>
      <c r="BO20" s="28">
        <f>COGS!BO20+'SG&amp;A'!BO20</f>
        <v>0</v>
      </c>
      <c r="BP20" s="28">
        <f>COGS!BP20+'SG&amp;A'!BP20</f>
        <v>0</v>
      </c>
      <c r="BQ20" s="28">
        <f>COGS!BQ20+'SG&amp;A'!BQ20</f>
        <v>0</v>
      </c>
      <c r="BR20" s="28">
        <f>COGS!BR20+'SG&amp;A'!BR20</f>
        <v>0</v>
      </c>
      <c r="BS20" s="28">
        <f>COGS!BS20+'SG&amp;A'!BS20</f>
        <v>0</v>
      </c>
      <c r="BT20" s="28">
        <f>COGS!BT20+'SG&amp;A'!BT20</f>
        <v>0</v>
      </c>
      <c r="BU20" s="28">
        <f>COGS!BU20+'SG&amp;A'!BU20</f>
        <v>0</v>
      </c>
      <c r="BV20" s="28">
        <f>COGS!BV20+'SG&amp;A'!BV20</f>
        <v>0</v>
      </c>
      <c r="BW20" s="28">
        <f>COGS!BW20+'SG&amp;A'!BW20</f>
        <v>0</v>
      </c>
      <c r="BX20" s="28">
        <f>COGS!BX20+'SG&amp;A'!BX20</f>
        <v>0</v>
      </c>
      <c r="BY20" s="28">
        <f>COGS!BY20+'SG&amp;A'!BY20</f>
        <v>0</v>
      </c>
      <c r="BZ20" s="28">
        <f>COGS!BZ20+'SG&amp;A'!BZ20</f>
        <v>0</v>
      </c>
      <c r="CA20" s="28">
        <f>COGS!CA20+'SG&amp;A'!CA20</f>
        <v>0</v>
      </c>
      <c r="CB20" s="28">
        <f>COGS!CB20+'SG&amp;A'!CB20</f>
        <v>0</v>
      </c>
      <c r="CC20" s="28">
        <f>COGS!CC20+'SG&amp;A'!CC20</f>
        <v>0</v>
      </c>
      <c r="CD20" s="28">
        <f>COGS!CD20+'SG&amp;A'!CD20</f>
        <v>0</v>
      </c>
      <c r="CE20" s="28">
        <f>COGS!CE20+'SG&amp;A'!CE20</f>
        <v>0</v>
      </c>
      <c r="CF20" s="28">
        <f>COGS!CF20+'SG&amp;A'!CF20</f>
        <v>0</v>
      </c>
      <c r="CG20" s="28">
        <f>COGS!CG20+'SG&amp;A'!CG20</f>
        <v>0</v>
      </c>
      <c r="CH20" s="28">
        <f>COGS!CH20+'SG&amp;A'!CH20</f>
        <v>0</v>
      </c>
      <c r="CI20" s="28">
        <f>COGS!CI20+'SG&amp;A'!CI20</f>
        <v>0</v>
      </c>
      <c r="CJ20" s="28">
        <f>COGS!CJ20+'SG&amp;A'!CJ20</f>
        <v>0</v>
      </c>
      <c r="CK20" s="28">
        <f>COGS!CK20+'SG&amp;A'!CK20</f>
        <v>0</v>
      </c>
      <c r="CL20" s="28">
        <f>COGS!CL20+'SG&amp;A'!CL20</f>
        <v>0</v>
      </c>
      <c r="CM20" s="28">
        <f>COGS!CM20+'SG&amp;A'!CM20</f>
        <v>0</v>
      </c>
      <c r="CN20" s="28">
        <f>COGS!CN20+'SG&amp;A'!CN20</f>
        <v>0</v>
      </c>
      <c r="CO20" s="28">
        <f>COGS!CO20+'SG&amp;A'!CO20</f>
        <v>0</v>
      </c>
      <c r="CP20" s="28">
        <f>COGS!CP20+'SG&amp;A'!CP20</f>
        <v>0</v>
      </c>
      <c r="CQ20" s="28">
        <f>COGS!CQ20+'SG&amp;A'!CQ20</f>
        <v>0</v>
      </c>
      <c r="CR20" s="28">
        <f>COGS!CR20+'SG&amp;A'!CR20</f>
        <v>0</v>
      </c>
      <c r="CS20" s="28">
        <f>COGS!CS20+'SG&amp;A'!CS20</f>
        <v>0</v>
      </c>
      <c r="CT20" s="28">
        <f>COGS!CT20+'SG&amp;A'!CT20</f>
        <v>0</v>
      </c>
      <c r="CU20" s="28">
        <f>COGS!CU20+'SG&amp;A'!CU20</f>
        <v>0</v>
      </c>
      <c r="CV20" s="28">
        <f>COGS!CV20+'SG&amp;A'!CV20</f>
        <v>0</v>
      </c>
      <c r="CW20" s="28">
        <f>COGS!CW20+'SG&amp;A'!CW20</f>
        <v>0</v>
      </c>
      <c r="CX20" s="28">
        <f>COGS!CX20+'SG&amp;A'!CX20</f>
        <v>0</v>
      </c>
      <c r="CY20" s="28">
        <f>COGS!CY20+'SG&amp;A'!CY20</f>
        <v>0</v>
      </c>
      <c r="CZ20" s="28">
        <f>COGS!CZ20+'SG&amp;A'!CZ20</f>
        <v>0</v>
      </c>
      <c r="DA20" s="28">
        <f>COGS!DA20+'SG&amp;A'!DA20</f>
        <v>0</v>
      </c>
      <c r="DB20" s="28">
        <f>COGS!DB20+'SG&amp;A'!DB20</f>
        <v>0</v>
      </c>
      <c r="DC20" s="28">
        <f>COGS!DC20+'SG&amp;A'!DC20</f>
        <v>0</v>
      </c>
      <c r="DD20" s="28">
        <f>COGS!DD20+'SG&amp;A'!DD20</f>
        <v>0</v>
      </c>
      <c r="DE20" s="28">
        <f>COGS!DE20+'SG&amp;A'!DE20</f>
        <v>0</v>
      </c>
      <c r="DF20" s="28">
        <f>COGS!DF20+'SG&amp;A'!DF20</f>
        <v>0</v>
      </c>
      <c r="DG20" s="28">
        <f>COGS!DG20+'SG&amp;A'!DG20</f>
        <v>0</v>
      </c>
      <c r="DH20" s="28">
        <f>COGS!DH20+'SG&amp;A'!DH20</f>
        <v>0</v>
      </c>
      <c r="DI20" s="28">
        <f>COGS!DI20+'SG&amp;A'!DI20</f>
        <v>2.3E-2</v>
      </c>
      <c r="DJ20" s="28">
        <f>COGS!DJ20+'SG&amp;A'!DJ20</f>
        <v>-5.0000000000000001E-3</v>
      </c>
      <c r="DK20" s="28">
        <f>COGS!DK20+'SG&amp;A'!DK20</f>
        <v>0</v>
      </c>
      <c r="DL20" s="28">
        <f>COGS!DL20+'SG&amp;A'!DL20</f>
        <v>1.7999999999999999E-2</v>
      </c>
      <c r="DM20" s="28">
        <f>COGS!DM20+'SG&amp;A'!DM20</f>
        <v>1.4E-2</v>
      </c>
      <c r="DN20" s="28">
        <f>COGS!DN20+'SG&amp;A'!DN20</f>
        <v>4.0000000000000001E-3</v>
      </c>
      <c r="DO20" s="28">
        <f>COGS!DO20+'SG&amp;A'!DO20</f>
        <v>5.0000000000000001E-3</v>
      </c>
      <c r="DP20" s="28">
        <f>COGS!DP20+'SG&amp;A'!DP20</f>
        <v>-4.2999999999999997E-2</v>
      </c>
      <c r="DQ20" s="28">
        <f>COGS!DQ20+'SG&amp;A'!DQ20</f>
        <v>-1.9999999999999993E-2</v>
      </c>
      <c r="DR20" s="28">
        <f>COGS!DR20+'SG&amp;A'!DR20</f>
        <v>0.01</v>
      </c>
      <c r="DS20" s="28">
        <f>COGS!DS20+'SG&amp;A'!DS20</f>
        <v>3.0000000000000001E-3</v>
      </c>
      <c r="DT20" s="28">
        <f>COGS!DT20+'SG&amp;A'!DT20</f>
        <v>5.0000000000000001E-3</v>
      </c>
      <c r="DU20" s="28">
        <f>COGS!DU20+'SG&amp;A'!DU20</f>
        <v>0</v>
      </c>
      <c r="DV20" s="28">
        <f>COGS!DV20+'SG&amp;A'!DV20</f>
        <v>1.8000000000000002E-2</v>
      </c>
      <c r="DW20" s="28">
        <f>COGS!DW20+'SG&amp;A'!DW20</f>
        <v>7.0000000000000001E-3</v>
      </c>
      <c r="DX20" s="28">
        <f>COGS!DX20+'SG&amp;A'!DX20</f>
        <v>2.2400000000000002E-3</v>
      </c>
      <c r="DY20" s="28">
        <f>COGS!DY20+'SG&amp;A'!DY20</f>
        <v>2.8200400000000011E-3</v>
      </c>
      <c r="DZ20" s="28">
        <f>COGS!DZ20+'SG&amp;A'!DZ20</f>
        <v>5.6647499999999996E-3</v>
      </c>
      <c r="EA20" s="28">
        <f>COGS!EA20+'SG&amp;A'!EA20</f>
        <v>1.7724790000000001E-2</v>
      </c>
      <c r="EB20" s="28">
        <f>COGS!EB20+'SG&amp;A'!EB20</f>
        <v>1.31545E-2</v>
      </c>
      <c r="EC20" s="28">
        <f>COGS!EC20+'SG&amp;A'!EC20</f>
        <v>0</v>
      </c>
      <c r="ED20" s="28">
        <f>COGS!ED20+'SG&amp;A'!ED20</f>
        <v>0</v>
      </c>
      <c r="EE20" s="28">
        <f>COGS!EE20+'SG&amp;A'!EE20</f>
        <v>2.32825E-3</v>
      </c>
      <c r="EF20" s="28">
        <f>COGS!EF20+'SG&amp;A'!EF20</f>
        <v>1.548275E-2</v>
      </c>
      <c r="EG20" s="28">
        <f>COGS!EG20+'SG&amp;A'!EG20</f>
        <v>1.0723999999999999E-2</v>
      </c>
      <c r="EH20" s="28">
        <f>COGS!EH20+'SG&amp;A'!EH20</f>
        <v>8.9326300000000004E-3</v>
      </c>
      <c r="EI20" s="28">
        <f>COGS!EI20+'SG&amp;A'!EI20</f>
        <v>0</v>
      </c>
    </row>
    <row r="21" spans="1:139" ht="15" thickTop="1" x14ac:dyDescent="0.3">
      <c r="A21" s="1" t="s">
        <v>322</v>
      </c>
      <c r="B21" s="27">
        <f>COGS!B21+'SG&amp;A'!B21</f>
        <v>0</v>
      </c>
      <c r="C21" s="27">
        <f>COGS!C21+'SG&amp;A'!C21</f>
        <v>0</v>
      </c>
      <c r="D21" s="27">
        <f>COGS!D21+'SG&amp;A'!D21</f>
        <v>0</v>
      </c>
      <c r="E21" s="27">
        <f>COGS!E21+'SG&amp;A'!E21</f>
        <v>0</v>
      </c>
      <c r="F21" s="27">
        <f>COGS!F21+'SG&amp;A'!F21</f>
        <v>0</v>
      </c>
      <c r="G21" s="27">
        <f>COGS!G21+'SG&amp;A'!G21</f>
        <v>0</v>
      </c>
      <c r="H21" s="27">
        <f>COGS!H21+'SG&amp;A'!H21</f>
        <v>0</v>
      </c>
      <c r="I21" s="27">
        <f>COGS!I21+'SG&amp;A'!I21</f>
        <v>0</v>
      </c>
      <c r="J21" s="27">
        <f>COGS!J21+'SG&amp;A'!J21</f>
        <v>0</v>
      </c>
      <c r="K21" s="27">
        <f>COGS!K21+'SG&amp;A'!K21</f>
        <v>0</v>
      </c>
      <c r="L21" s="27">
        <f>COGS!L21+'SG&amp;A'!L21</f>
        <v>0</v>
      </c>
      <c r="M21" s="27">
        <f>COGS!M21+'SG&amp;A'!M21</f>
        <v>0</v>
      </c>
      <c r="N21" s="27">
        <f>COGS!N21+'SG&amp;A'!N21</f>
        <v>0</v>
      </c>
      <c r="O21" s="27">
        <f>COGS!O21+'SG&amp;A'!O21</f>
        <v>0</v>
      </c>
      <c r="P21" s="27">
        <f>COGS!P21+'SG&amp;A'!P21</f>
        <v>0</v>
      </c>
      <c r="Q21" s="27">
        <f>COGS!Q21+'SG&amp;A'!Q21</f>
        <v>0</v>
      </c>
      <c r="R21" s="27">
        <f>COGS!R21+'SG&amp;A'!R21</f>
        <v>0</v>
      </c>
      <c r="S21" s="27">
        <f>COGS!S21+'SG&amp;A'!S21</f>
        <v>0</v>
      </c>
      <c r="T21" s="27">
        <f>COGS!T21+'SG&amp;A'!T21</f>
        <v>0</v>
      </c>
      <c r="U21" s="27">
        <f>COGS!U21+'SG&amp;A'!U21</f>
        <v>0</v>
      </c>
      <c r="V21" s="27">
        <f>COGS!V21+'SG&amp;A'!V21</f>
        <v>0</v>
      </c>
      <c r="W21" s="27">
        <f>COGS!W21+'SG&amp;A'!W21</f>
        <v>0</v>
      </c>
      <c r="X21" s="27">
        <f>COGS!X21+'SG&amp;A'!X21</f>
        <v>0</v>
      </c>
      <c r="Y21" s="27">
        <f>COGS!Y21+'SG&amp;A'!Y21</f>
        <v>0</v>
      </c>
      <c r="Z21" s="27">
        <f>COGS!Z21+'SG&amp;A'!Z21</f>
        <v>0</v>
      </c>
      <c r="AA21" s="27">
        <f>COGS!AA21+'SG&amp;A'!AA21</f>
        <v>0</v>
      </c>
      <c r="AB21" s="27">
        <f>COGS!AB21+'SG&amp;A'!AB21</f>
        <v>0</v>
      </c>
      <c r="AC21" s="27">
        <f>COGS!AC21+'SG&amp;A'!AC21</f>
        <v>0</v>
      </c>
      <c r="AD21" s="27">
        <f>COGS!AD21+'SG&amp;A'!AD21</f>
        <v>0</v>
      </c>
      <c r="AE21" s="27">
        <f>COGS!AE21+'SG&amp;A'!AE21</f>
        <v>0</v>
      </c>
      <c r="AF21" s="27">
        <f>COGS!AF21+'SG&amp;A'!AF21</f>
        <v>0</v>
      </c>
      <c r="AG21" s="27">
        <f>COGS!AG21+'SG&amp;A'!AG21</f>
        <v>0</v>
      </c>
      <c r="AH21" s="27">
        <f>COGS!AH21+'SG&amp;A'!AH21</f>
        <v>0</v>
      </c>
      <c r="AI21" s="27">
        <f>COGS!AI21+'SG&amp;A'!AI21</f>
        <v>0</v>
      </c>
      <c r="AJ21" s="27">
        <f>COGS!AJ21+'SG&amp;A'!AJ21</f>
        <v>0</v>
      </c>
      <c r="AK21" s="27">
        <f>COGS!AK21+'SG&amp;A'!AK21</f>
        <v>0</v>
      </c>
      <c r="AL21" s="27">
        <f>COGS!AL21+'SG&amp;A'!AL21</f>
        <v>0</v>
      </c>
      <c r="AM21" s="27">
        <f>COGS!AM21+'SG&amp;A'!AM21</f>
        <v>0</v>
      </c>
      <c r="AN21" s="27">
        <f>COGS!AN21+'SG&amp;A'!AN21</f>
        <v>0</v>
      </c>
      <c r="AO21" s="27">
        <f>COGS!AO21+'SG&amp;A'!AO21</f>
        <v>0</v>
      </c>
      <c r="AP21" s="27">
        <f>COGS!AP21+'SG&amp;A'!AP21</f>
        <v>0</v>
      </c>
      <c r="AQ21" s="27">
        <f>COGS!AQ21+'SG&amp;A'!AQ21</f>
        <v>0</v>
      </c>
      <c r="AR21" s="27">
        <f>COGS!AR21+'SG&amp;A'!AR21</f>
        <v>0</v>
      </c>
      <c r="AS21" s="27">
        <f>COGS!AS21+'SG&amp;A'!AS21</f>
        <v>0</v>
      </c>
      <c r="AT21" s="27">
        <f>COGS!AT21+'SG&amp;A'!AT21</f>
        <v>0</v>
      </c>
      <c r="AU21" s="27">
        <f>COGS!AU21+'SG&amp;A'!AU21</f>
        <v>0</v>
      </c>
      <c r="AV21" s="27">
        <f>COGS!AV21+'SG&amp;A'!AV21</f>
        <v>0</v>
      </c>
      <c r="AW21" s="27">
        <f>COGS!AW21+'SG&amp;A'!AW21</f>
        <v>0</v>
      </c>
      <c r="AX21" s="27">
        <f>COGS!AX21+'SG&amp;A'!AX21</f>
        <v>0</v>
      </c>
      <c r="AY21" s="27">
        <f>COGS!AY21+'SG&amp;A'!AY21</f>
        <v>0</v>
      </c>
      <c r="AZ21" s="27">
        <f>COGS!AZ21+'SG&amp;A'!AZ21</f>
        <v>0</v>
      </c>
      <c r="BA21" s="27">
        <f>COGS!BA21+'SG&amp;A'!BA21</f>
        <v>0</v>
      </c>
      <c r="BB21" s="27">
        <f>COGS!BB21+'SG&amp;A'!BB21</f>
        <v>0</v>
      </c>
      <c r="BC21" s="27">
        <f>COGS!BC21+'SG&amp;A'!BC21</f>
        <v>0</v>
      </c>
      <c r="BD21" s="27">
        <f>COGS!BD21+'SG&amp;A'!BD21</f>
        <v>0</v>
      </c>
      <c r="BE21" s="27">
        <f>COGS!BE21+'SG&amp;A'!BE21</f>
        <v>0</v>
      </c>
      <c r="BF21" s="27">
        <f>COGS!BF21+'SG&amp;A'!BF21</f>
        <v>0</v>
      </c>
      <c r="BG21" s="27">
        <f>COGS!BG21+'SG&amp;A'!BG21</f>
        <v>0</v>
      </c>
      <c r="BH21" s="27">
        <f>COGS!BH21+'SG&amp;A'!BH21</f>
        <v>0</v>
      </c>
      <c r="BI21" s="27">
        <f>COGS!BI21+'SG&amp;A'!BI21</f>
        <v>0</v>
      </c>
      <c r="BJ21" s="27">
        <f>COGS!BJ21+'SG&amp;A'!BJ21</f>
        <v>0</v>
      </c>
      <c r="BK21" s="27">
        <f>COGS!BK21+'SG&amp;A'!BK21</f>
        <v>0</v>
      </c>
      <c r="BL21" s="27">
        <f>COGS!BL21+'SG&amp;A'!BL21</f>
        <v>0</v>
      </c>
      <c r="BM21" s="27">
        <f>COGS!BM21+'SG&amp;A'!BM21</f>
        <v>0</v>
      </c>
      <c r="BN21" s="27">
        <f>COGS!BN21+'SG&amp;A'!BN21</f>
        <v>0</v>
      </c>
      <c r="BO21" s="27">
        <f>COGS!BO21+'SG&amp;A'!BO21</f>
        <v>0</v>
      </c>
      <c r="BP21" s="27">
        <f>COGS!BP21+'SG&amp;A'!BP21</f>
        <v>0</v>
      </c>
      <c r="BQ21" s="27">
        <f>COGS!BQ21+'SG&amp;A'!BQ21</f>
        <v>0</v>
      </c>
      <c r="BR21" s="27">
        <f>COGS!BR21+'SG&amp;A'!BR21</f>
        <v>0</v>
      </c>
      <c r="BS21" s="27">
        <f>COGS!BS21+'SG&amp;A'!BS21</f>
        <v>0</v>
      </c>
      <c r="BT21" s="27">
        <f>COGS!BT21+'SG&amp;A'!BT21</f>
        <v>0</v>
      </c>
      <c r="BU21" s="27">
        <f>COGS!BU21+'SG&amp;A'!BU21</f>
        <v>0</v>
      </c>
      <c r="BV21" s="27">
        <f>COGS!BV21+'SG&amp;A'!BV21</f>
        <v>0</v>
      </c>
      <c r="BW21" s="27">
        <f>COGS!BW21+'SG&amp;A'!BW21</f>
        <v>0</v>
      </c>
      <c r="BX21" s="27">
        <f>COGS!BX21+'SG&amp;A'!BX21</f>
        <v>0</v>
      </c>
      <c r="BY21" s="27">
        <f>COGS!BY21+'SG&amp;A'!BY21</f>
        <v>0</v>
      </c>
      <c r="BZ21" s="27">
        <f>COGS!BZ21+'SG&amp;A'!BZ21</f>
        <v>0</v>
      </c>
      <c r="CA21" s="27">
        <f>COGS!CA21+'SG&amp;A'!CA21</f>
        <v>0</v>
      </c>
      <c r="CB21" s="27">
        <f>COGS!CB21+'SG&amp;A'!CB21</f>
        <v>0</v>
      </c>
      <c r="CC21" s="27">
        <f>COGS!CC21+'SG&amp;A'!CC21</f>
        <v>0</v>
      </c>
      <c r="CD21" s="27">
        <f>COGS!CD21+'SG&amp;A'!CD21</f>
        <v>0</v>
      </c>
      <c r="CE21" s="27">
        <f>COGS!CE21+'SG&amp;A'!CE21</f>
        <v>0</v>
      </c>
      <c r="CF21" s="27">
        <f>COGS!CF21+'SG&amp;A'!CF21</f>
        <v>0</v>
      </c>
      <c r="CG21" s="27">
        <f>COGS!CG21+'SG&amp;A'!CG21</f>
        <v>0</v>
      </c>
      <c r="CH21" s="27">
        <f>COGS!CH21+'SG&amp;A'!CH21</f>
        <v>0</v>
      </c>
      <c r="CI21" s="27">
        <f>COGS!CI21+'SG&amp;A'!CI21</f>
        <v>0</v>
      </c>
      <c r="CJ21" s="27">
        <f>COGS!CJ21+'SG&amp;A'!CJ21</f>
        <v>0</v>
      </c>
      <c r="CK21" s="27">
        <f>COGS!CK21+'SG&amp;A'!CK21</f>
        <v>0</v>
      </c>
      <c r="CL21" s="27">
        <f>COGS!CL21+'SG&amp;A'!CL21</f>
        <v>0</v>
      </c>
      <c r="CM21" s="27">
        <f>COGS!CM21+'SG&amp;A'!CM21</f>
        <v>0</v>
      </c>
      <c r="CN21" s="27">
        <f>COGS!CN21+'SG&amp;A'!CN21</f>
        <v>0</v>
      </c>
      <c r="CO21" s="27">
        <f>COGS!CO21+'SG&amp;A'!CO21</f>
        <v>0</v>
      </c>
      <c r="CP21" s="27">
        <f>COGS!CP21+'SG&amp;A'!CP21</f>
        <v>0</v>
      </c>
      <c r="CQ21" s="27">
        <f>COGS!CQ21+'SG&amp;A'!CQ21</f>
        <v>0</v>
      </c>
      <c r="CR21" s="27">
        <f>COGS!CR21+'SG&amp;A'!CR21</f>
        <v>0</v>
      </c>
      <c r="CS21" s="27">
        <f>COGS!CS21+'SG&amp;A'!CS21</f>
        <v>0</v>
      </c>
      <c r="CT21" s="27">
        <f>COGS!CT21+'SG&amp;A'!CT21</f>
        <v>0</v>
      </c>
      <c r="CU21" s="27">
        <f>COGS!CU21+'SG&amp;A'!CU21</f>
        <v>0</v>
      </c>
      <c r="CV21" s="27">
        <f>COGS!CV21+'SG&amp;A'!CV21</f>
        <v>0</v>
      </c>
      <c r="CW21" s="27">
        <f>COGS!CW21+'SG&amp;A'!CW21</f>
        <v>0</v>
      </c>
      <c r="CX21" s="27">
        <f>COGS!CX21+'SG&amp;A'!CX21</f>
        <v>0</v>
      </c>
      <c r="CY21" s="27">
        <f>COGS!CY21+'SG&amp;A'!CY21</f>
        <v>0</v>
      </c>
      <c r="CZ21" s="27">
        <f>COGS!CZ21+'SG&amp;A'!CZ21</f>
        <v>0</v>
      </c>
      <c r="DA21" s="27">
        <f>COGS!DA21+'SG&amp;A'!DA21</f>
        <v>0</v>
      </c>
      <c r="DB21" s="27">
        <f>COGS!DB21+'SG&amp;A'!DB21</f>
        <v>0</v>
      </c>
      <c r="DC21" s="27">
        <f>COGS!DC21+'SG&amp;A'!DC21</f>
        <v>0</v>
      </c>
      <c r="DD21" s="27">
        <f>COGS!DD21+'SG&amp;A'!DD21</f>
        <v>0</v>
      </c>
      <c r="DE21" s="27">
        <f>COGS!DE21+'SG&amp;A'!DE21</f>
        <v>0</v>
      </c>
      <c r="DF21" s="27">
        <f>COGS!DF21+'SG&amp;A'!DF21</f>
        <v>0</v>
      </c>
      <c r="DG21" s="27">
        <f>COGS!DG21+'SG&amp;A'!DG21</f>
        <v>0</v>
      </c>
      <c r="DH21" s="27">
        <f>COGS!DH21+'SG&amp;A'!DH21</f>
        <v>0</v>
      </c>
      <c r="DI21" s="27">
        <f>COGS!DI21+'SG&amp;A'!DI21</f>
        <v>0</v>
      </c>
      <c r="DJ21" s="27">
        <f>COGS!DJ21+'SG&amp;A'!DJ21</f>
        <v>0</v>
      </c>
      <c r="DK21" s="27">
        <f>COGS!DK21+'SG&amp;A'!DK21</f>
        <v>0</v>
      </c>
      <c r="DL21" s="27">
        <f>COGS!DL21+'SG&amp;A'!DL21</f>
        <v>0</v>
      </c>
      <c r="DM21" s="27">
        <f>COGS!DM21+'SG&amp;A'!DM21</f>
        <v>0</v>
      </c>
      <c r="DN21" s="27">
        <f>COGS!DN21+'SG&amp;A'!DN21</f>
        <v>0</v>
      </c>
      <c r="DO21" s="27">
        <f>COGS!DO21+'SG&amp;A'!DO21</f>
        <v>0.28399999999999997</v>
      </c>
      <c r="DP21" s="27">
        <f>COGS!DP21+'SG&amp;A'!DP21</f>
        <v>0.61799999999999999</v>
      </c>
      <c r="DQ21" s="27">
        <f>COGS!DQ21+'SG&amp;A'!DQ21</f>
        <v>0.90199999999999991</v>
      </c>
      <c r="DR21" s="27">
        <f>COGS!DR21+'SG&amp;A'!DR21</f>
        <v>0.38700000000000001</v>
      </c>
      <c r="DS21" s="27">
        <f>COGS!DS21+'SG&amp;A'!DS21</f>
        <v>0.23400000000000001</v>
      </c>
      <c r="DT21" s="27">
        <f>COGS!DT21+'SG&amp;A'!DT21</f>
        <v>0.17299999999999999</v>
      </c>
      <c r="DU21" s="27">
        <f>COGS!DU21+'SG&amp;A'!DU21</f>
        <v>0.187</v>
      </c>
      <c r="DV21" s="27">
        <f>COGS!DV21+'SG&amp;A'!DV21</f>
        <v>0.98100000000000009</v>
      </c>
      <c r="DW21" s="27">
        <f>COGS!DW21+'SG&amp;A'!DW21</f>
        <v>0.22</v>
      </c>
      <c r="DX21" s="27">
        <f>COGS!DX21+'SG&amp;A'!DX21</f>
        <v>0.21192511999999999</v>
      </c>
      <c r="DY21" s="27">
        <f>COGS!DY21+'SG&amp;A'!DY21</f>
        <v>0.19152461000000004</v>
      </c>
      <c r="DZ21" s="27">
        <f>COGS!DZ21+'SG&amp;A'!DZ21</f>
        <v>0.19016935999999998</v>
      </c>
      <c r="EA21" s="27">
        <f>COGS!EA21+'SG&amp;A'!EA21</f>
        <v>0.81361908999999999</v>
      </c>
      <c r="EB21" s="27">
        <f>COGS!EB21+'SG&amp;A'!EB21</f>
        <v>0.23195170000000001</v>
      </c>
      <c r="EC21" s="27">
        <f>COGS!EC21+'SG&amp;A'!EC21</f>
        <v>0.22861464999999997</v>
      </c>
      <c r="ED21" s="27">
        <f>COGS!ED21+'SG&amp;A'!ED21</f>
        <v>0.20799999999999999</v>
      </c>
      <c r="EE21" s="27">
        <f>COGS!EE21+'SG&amp;A'!EE21</f>
        <v>0.21820985999999998</v>
      </c>
      <c r="EF21" s="27">
        <f>COGS!EF21+'SG&amp;A'!EF21</f>
        <v>0.88677620999999995</v>
      </c>
      <c r="EG21" s="27">
        <f>COGS!EG21+'SG&amp;A'!EG21</f>
        <v>0.22522325000000001</v>
      </c>
      <c r="EH21" s="27">
        <f>COGS!EH21+'SG&amp;A'!EH21</f>
        <v>0.22239879999999998</v>
      </c>
      <c r="EI21" s="27">
        <f>COGS!EI21+'SG&amp;A'!EI21</f>
        <v>-0.16684362</v>
      </c>
    </row>
    <row r="22" spans="1:139" ht="15" thickBot="1" x14ac:dyDescent="0.35">
      <c r="A22" s="2" t="s">
        <v>370</v>
      </c>
      <c r="B22" s="28">
        <f>COGS!B22+'SG&amp;A'!B22</f>
        <v>0</v>
      </c>
      <c r="C22" s="28">
        <f>COGS!C22+'SG&amp;A'!C22</f>
        <v>0</v>
      </c>
      <c r="D22" s="28">
        <f>COGS!D22+'SG&amp;A'!D22</f>
        <v>0</v>
      </c>
      <c r="E22" s="28">
        <f>COGS!E22+'SG&amp;A'!E22</f>
        <v>0</v>
      </c>
      <c r="F22" s="28">
        <f>COGS!F22+'SG&amp;A'!F22</f>
        <v>0</v>
      </c>
      <c r="G22" s="28">
        <f>COGS!G22+'SG&amp;A'!G22</f>
        <v>0</v>
      </c>
      <c r="H22" s="28">
        <f>COGS!H22+'SG&amp;A'!H22</f>
        <v>0</v>
      </c>
      <c r="I22" s="28">
        <f>COGS!I22+'SG&amp;A'!I22</f>
        <v>0</v>
      </c>
      <c r="J22" s="28">
        <f>COGS!J22+'SG&amp;A'!J22</f>
        <v>0</v>
      </c>
      <c r="K22" s="28">
        <f>COGS!K22+'SG&amp;A'!K22</f>
        <v>0</v>
      </c>
      <c r="L22" s="28">
        <f>COGS!L22+'SG&amp;A'!L22</f>
        <v>0</v>
      </c>
      <c r="M22" s="28">
        <f>COGS!M22+'SG&amp;A'!M22</f>
        <v>0</v>
      </c>
      <c r="N22" s="28">
        <f>COGS!N22+'SG&amp;A'!N22</f>
        <v>0</v>
      </c>
      <c r="O22" s="28">
        <f>COGS!O22+'SG&amp;A'!O22</f>
        <v>0</v>
      </c>
      <c r="P22" s="28">
        <f>COGS!P22+'SG&amp;A'!P22</f>
        <v>0</v>
      </c>
      <c r="Q22" s="28">
        <f>COGS!Q22+'SG&amp;A'!Q22</f>
        <v>0</v>
      </c>
      <c r="R22" s="28">
        <f>COGS!R22+'SG&amp;A'!R22</f>
        <v>0</v>
      </c>
      <c r="S22" s="28">
        <f>COGS!S22+'SG&amp;A'!S22</f>
        <v>0</v>
      </c>
      <c r="T22" s="28">
        <f>COGS!T22+'SG&amp;A'!T22</f>
        <v>0</v>
      </c>
      <c r="U22" s="28">
        <f>COGS!U22+'SG&amp;A'!U22</f>
        <v>0</v>
      </c>
      <c r="V22" s="28">
        <f>COGS!V22+'SG&amp;A'!V22</f>
        <v>0</v>
      </c>
      <c r="W22" s="28">
        <f>COGS!W22+'SG&amp;A'!W22</f>
        <v>0</v>
      </c>
      <c r="X22" s="28">
        <f>COGS!X22+'SG&amp;A'!X22</f>
        <v>0</v>
      </c>
      <c r="Y22" s="28">
        <f>COGS!Y22+'SG&amp;A'!Y22</f>
        <v>0</v>
      </c>
      <c r="Z22" s="28">
        <f>COGS!Z22+'SG&amp;A'!Z22</f>
        <v>0</v>
      </c>
      <c r="AA22" s="28">
        <f>COGS!AA22+'SG&amp;A'!AA22</f>
        <v>0</v>
      </c>
      <c r="AB22" s="28">
        <f>COGS!AB22+'SG&amp;A'!AB22</f>
        <v>0</v>
      </c>
      <c r="AC22" s="28">
        <f>COGS!AC22+'SG&amp;A'!AC22</f>
        <v>0</v>
      </c>
      <c r="AD22" s="28">
        <f>COGS!AD22+'SG&amp;A'!AD22</f>
        <v>0</v>
      </c>
      <c r="AE22" s="28">
        <f>COGS!AE22+'SG&amp;A'!AE22</f>
        <v>0</v>
      </c>
      <c r="AF22" s="28">
        <f>COGS!AF22+'SG&amp;A'!AF22</f>
        <v>0</v>
      </c>
      <c r="AG22" s="28">
        <f>COGS!AG22+'SG&amp;A'!AG22</f>
        <v>0</v>
      </c>
      <c r="AH22" s="28">
        <f>COGS!AH22+'SG&amp;A'!AH22</f>
        <v>0</v>
      </c>
      <c r="AI22" s="28">
        <f>COGS!AI22+'SG&amp;A'!AI22</f>
        <v>0</v>
      </c>
      <c r="AJ22" s="28">
        <f>COGS!AJ22+'SG&amp;A'!AJ22</f>
        <v>0</v>
      </c>
      <c r="AK22" s="28">
        <f>COGS!AK22+'SG&amp;A'!AK22</f>
        <v>0</v>
      </c>
      <c r="AL22" s="28">
        <f>COGS!AL22+'SG&amp;A'!AL22</f>
        <v>0</v>
      </c>
      <c r="AM22" s="28">
        <f>COGS!AM22+'SG&amp;A'!AM22</f>
        <v>0</v>
      </c>
      <c r="AN22" s="28">
        <f>COGS!AN22+'SG&amp;A'!AN22</f>
        <v>0</v>
      </c>
      <c r="AO22" s="28">
        <f>COGS!AO22+'SG&amp;A'!AO22</f>
        <v>0</v>
      </c>
      <c r="AP22" s="28">
        <f>COGS!AP22+'SG&amp;A'!AP22</f>
        <v>0</v>
      </c>
      <c r="AQ22" s="28">
        <f>COGS!AQ22+'SG&amp;A'!AQ22</f>
        <v>0</v>
      </c>
      <c r="AR22" s="28">
        <f>COGS!AR22+'SG&amp;A'!AR22</f>
        <v>0</v>
      </c>
      <c r="AS22" s="28">
        <f>COGS!AS22+'SG&amp;A'!AS22</f>
        <v>0</v>
      </c>
      <c r="AT22" s="28">
        <f>COGS!AT22+'SG&amp;A'!AT22</f>
        <v>0</v>
      </c>
      <c r="AU22" s="28">
        <f>COGS!AU22+'SG&amp;A'!AU22</f>
        <v>0</v>
      </c>
      <c r="AV22" s="28">
        <f>COGS!AV22+'SG&amp;A'!AV22</f>
        <v>0</v>
      </c>
      <c r="AW22" s="28">
        <f>COGS!AW22+'SG&amp;A'!AW22</f>
        <v>0</v>
      </c>
      <c r="AX22" s="28">
        <f>COGS!AX22+'SG&amp;A'!AX22</f>
        <v>0</v>
      </c>
      <c r="AY22" s="28">
        <f>COGS!AY22+'SG&amp;A'!AY22</f>
        <v>0</v>
      </c>
      <c r="AZ22" s="28">
        <f>COGS!AZ22+'SG&amp;A'!AZ22</f>
        <v>0</v>
      </c>
      <c r="BA22" s="28">
        <f>COGS!BA22+'SG&amp;A'!BA22</f>
        <v>0</v>
      </c>
      <c r="BB22" s="28">
        <f>COGS!BB22+'SG&amp;A'!BB22</f>
        <v>0</v>
      </c>
      <c r="BC22" s="28">
        <f>COGS!BC22+'SG&amp;A'!BC22</f>
        <v>0</v>
      </c>
      <c r="BD22" s="28">
        <f>COGS!BD22+'SG&amp;A'!BD22</f>
        <v>0</v>
      </c>
      <c r="BE22" s="28">
        <f>COGS!BE22+'SG&amp;A'!BE22</f>
        <v>0</v>
      </c>
      <c r="BF22" s="28">
        <f>COGS!BF22+'SG&amp;A'!BF22</f>
        <v>0</v>
      </c>
      <c r="BG22" s="28">
        <f>COGS!BG22+'SG&amp;A'!BG22</f>
        <v>0</v>
      </c>
      <c r="BH22" s="28">
        <f>COGS!BH22+'SG&amp;A'!BH22</f>
        <v>0</v>
      </c>
      <c r="BI22" s="28">
        <f>COGS!BI22+'SG&amp;A'!BI22</f>
        <v>0</v>
      </c>
      <c r="BJ22" s="28">
        <f>COGS!BJ22+'SG&amp;A'!BJ22</f>
        <v>5.58446351</v>
      </c>
      <c r="BK22" s="28">
        <f>COGS!BK22+'SG&amp;A'!BK22</f>
        <v>6.75150103</v>
      </c>
      <c r="BL22" s="28">
        <f>COGS!BL22+'SG&amp;A'!BL22</f>
        <v>11.676978540000002</v>
      </c>
      <c r="BM22" s="28">
        <f>COGS!BM22+'SG&amp;A'!BM22</f>
        <v>9.7494293399999989</v>
      </c>
      <c r="BN22" s="28">
        <f>COGS!BN22+'SG&amp;A'!BN22</f>
        <v>33.762372420000005</v>
      </c>
      <c r="BO22" s="28">
        <f>COGS!BO22+'SG&amp;A'!BO22</f>
        <v>62.346533360000002</v>
      </c>
      <c r="BP22" s="28">
        <f>COGS!BP22+'SG&amp;A'!BP22</f>
        <v>63.104187119999999</v>
      </c>
      <c r="BQ22" s="28">
        <f>COGS!BQ22+'SG&amp;A'!BQ22</f>
        <v>73.214083469999991</v>
      </c>
      <c r="BR22" s="28">
        <f>COGS!BR22+'SG&amp;A'!BR22</f>
        <v>71.813916499999991</v>
      </c>
      <c r="BS22" s="28">
        <f>COGS!BS22+'SG&amp;A'!BS22</f>
        <v>270.47872044999997</v>
      </c>
      <c r="BT22" s="28">
        <f>COGS!BT22+'SG&amp;A'!BT22</f>
        <v>0</v>
      </c>
      <c r="BU22" s="28">
        <f>COGS!BU22+'SG&amp;A'!BU22</f>
        <v>0</v>
      </c>
      <c r="BV22" s="28">
        <f>COGS!BV22+'SG&amp;A'!BV22</f>
        <v>0</v>
      </c>
      <c r="BW22" s="28">
        <f>COGS!BW22+'SG&amp;A'!BW22</f>
        <v>0</v>
      </c>
      <c r="BX22" s="28">
        <f>COGS!BX22+'SG&amp;A'!BX22</f>
        <v>0</v>
      </c>
      <c r="BY22" s="28">
        <f>COGS!BY22+'SG&amp;A'!BY22</f>
        <v>0</v>
      </c>
      <c r="BZ22" s="28">
        <f>COGS!BZ22+'SG&amp;A'!BZ22</f>
        <v>0</v>
      </c>
      <c r="CA22" s="28">
        <f>COGS!CA22+'SG&amp;A'!CA22</f>
        <v>0</v>
      </c>
      <c r="CB22" s="28">
        <f>COGS!CB22+'SG&amp;A'!CB22</f>
        <v>0</v>
      </c>
      <c r="CC22" s="28">
        <f>COGS!CC22+'SG&amp;A'!CC22</f>
        <v>0</v>
      </c>
      <c r="CD22" s="28">
        <f>COGS!CD22+'SG&amp;A'!CD22</f>
        <v>0</v>
      </c>
      <c r="CE22" s="28">
        <f>COGS!CE22+'SG&amp;A'!CE22</f>
        <v>0</v>
      </c>
      <c r="CF22" s="28">
        <f>COGS!CF22+'SG&amp;A'!CF22</f>
        <v>0</v>
      </c>
      <c r="CG22" s="28">
        <f>COGS!CG22+'SG&amp;A'!CG22</f>
        <v>0</v>
      </c>
      <c r="CH22" s="28">
        <f>COGS!CH22+'SG&amp;A'!CH22</f>
        <v>0</v>
      </c>
      <c r="CI22" s="28">
        <f>COGS!CI22+'SG&amp;A'!CI22</f>
        <v>0</v>
      </c>
      <c r="CJ22" s="28">
        <f>COGS!CJ22+'SG&amp;A'!CJ22</f>
        <v>0</v>
      </c>
      <c r="CK22" s="28">
        <f>COGS!CK22+'SG&amp;A'!CK22</f>
        <v>0</v>
      </c>
      <c r="CL22" s="28">
        <f>COGS!CL22+'SG&amp;A'!CL22</f>
        <v>0</v>
      </c>
      <c r="CM22" s="28">
        <f>COGS!CM22+'SG&amp;A'!CM22</f>
        <v>0</v>
      </c>
      <c r="CN22" s="28">
        <f>COGS!CN22+'SG&amp;A'!CN22</f>
        <v>0</v>
      </c>
      <c r="CO22" s="28">
        <f>COGS!CO22+'SG&amp;A'!CO22</f>
        <v>0</v>
      </c>
      <c r="CP22" s="28">
        <f>COGS!CP22+'SG&amp;A'!CP22</f>
        <v>0</v>
      </c>
      <c r="CQ22" s="28">
        <f>COGS!CQ22+'SG&amp;A'!CQ22</f>
        <v>0</v>
      </c>
      <c r="CR22" s="28">
        <f>COGS!CR22+'SG&amp;A'!CR22</f>
        <v>0</v>
      </c>
      <c r="CS22" s="28">
        <f>COGS!CS22+'SG&amp;A'!CS22</f>
        <v>0</v>
      </c>
      <c r="CT22" s="28">
        <f>COGS!CT22+'SG&amp;A'!CT22</f>
        <v>0</v>
      </c>
      <c r="CU22" s="28">
        <f>COGS!CU22+'SG&amp;A'!CU22</f>
        <v>0</v>
      </c>
      <c r="CV22" s="28">
        <f>COGS!CV22+'SG&amp;A'!CV22</f>
        <v>0</v>
      </c>
      <c r="CW22" s="28">
        <f>COGS!CW22+'SG&amp;A'!CW22</f>
        <v>0</v>
      </c>
      <c r="CX22" s="28">
        <f>COGS!CX22+'SG&amp;A'!CX22</f>
        <v>0</v>
      </c>
      <c r="CY22" s="28">
        <f>COGS!CY22+'SG&amp;A'!CY22</f>
        <v>0</v>
      </c>
      <c r="CZ22" s="28">
        <f>COGS!CZ22+'SG&amp;A'!CZ22</f>
        <v>0</v>
      </c>
      <c r="DA22" s="28">
        <f>COGS!DA22+'SG&amp;A'!DA22</f>
        <v>0</v>
      </c>
      <c r="DB22" s="28">
        <f>COGS!DB22+'SG&amp;A'!DB22</f>
        <v>0</v>
      </c>
      <c r="DC22" s="28">
        <f>COGS!DC22+'SG&amp;A'!DC22</f>
        <v>0</v>
      </c>
      <c r="DD22" s="28">
        <f>COGS!DD22+'SG&amp;A'!DD22</f>
        <v>0</v>
      </c>
      <c r="DE22" s="28">
        <f>COGS!DE22+'SG&amp;A'!DE22</f>
        <v>0</v>
      </c>
      <c r="DF22" s="28">
        <f>COGS!DF22+'SG&amp;A'!DF22</f>
        <v>0</v>
      </c>
      <c r="DG22" s="28">
        <f>COGS!DG22+'SG&amp;A'!DG22</f>
        <v>0</v>
      </c>
      <c r="DH22" s="28">
        <f>COGS!DH22+'SG&amp;A'!DH22</f>
        <v>0</v>
      </c>
      <c r="DI22" s="28">
        <f>COGS!DI22+'SG&amp;A'!DI22</f>
        <v>0</v>
      </c>
      <c r="DJ22" s="28">
        <f>COGS!DJ22+'SG&amp;A'!DJ22</f>
        <v>0</v>
      </c>
      <c r="DK22" s="28">
        <f>COGS!DK22+'SG&amp;A'!DK22</f>
        <v>0</v>
      </c>
      <c r="DL22" s="28">
        <f>COGS!DL22+'SG&amp;A'!DL22</f>
        <v>0</v>
      </c>
      <c r="DM22" s="28">
        <f>COGS!DM22+'SG&amp;A'!DM22</f>
        <v>0</v>
      </c>
      <c r="DN22" s="28">
        <f>COGS!DN22+'SG&amp;A'!DN22</f>
        <v>0</v>
      </c>
      <c r="DO22" s="28">
        <f>COGS!DO22+'SG&amp;A'!DO22</f>
        <v>0</v>
      </c>
      <c r="DP22" s="28">
        <f>COGS!DP22+'SG&amp;A'!DP22</f>
        <v>0</v>
      </c>
      <c r="DQ22" s="28">
        <f>COGS!DQ22+'SG&amp;A'!DQ22</f>
        <v>0</v>
      </c>
      <c r="DR22" s="28">
        <f>COGS!DR22+'SG&amp;A'!DR22</f>
        <v>0</v>
      </c>
      <c r="DS22" s="28">
        <f>COGS!DS22+'SG&amp;A'!DS22</f>
        <v>0</v>
      </c>
      <c r="DT22" s="28">
        <f>COGS!DT22+'SG&amp;A'!DT22</f>
        <v>0</v>
      </c>
      <c r="DU22" s="28">
        <f>COGS!DU22+'SG&amp;A'!DU22</f>
        <v>0</v>
      </c>
      <c r="DV22" s="28">
        <f>COGS!DV22+'SG&amp;A'!DV22</f>
        <v>0</v>
      </c>
      <c r="DW22" s="28">
        <f>COGS!DW22+'SG&amp;A'!DW22</f>
        <v>0</v>
      </c>
      <c r="DX22" s="28">
        <f>COGS!DX22+'SG&amp;A'!DX22</f>
        <v>0</v>
      </c>
      <c r="DY22" s="28">
        <f>COGS!DY22+'SG&amp;A'!DY22</f>
        <v>0</v>
      </c>
      <c r="DZ22" s="28">
        <f>COGS!DZ22+'SG&amp;A'!DZ22</f>
        <v>0</v>
      </c>
      <c r="EA22" s="28">
        <f>COGS!EA22+'SG&amp;A'!EA22</f>
        <v>0</v>
      </c>
      <c r="EB22" s="28">
        <f>COGS!EB22+'SG&amp;A'!EB22</f>
        <v>0</v>
      </c>
      <c r="EC22" s="28">
        <f>COGS!EC22+'SG&amp;A'!EC22</f>
        <v>0</v>
      </c>
      <c r="ED22" s="28">
        <f>COGS!ED22+'SG&amp;A'!ED22</f>
        <v>0</v>
      </c>
      <c r="EE22" s="28">
        <f>COGS!EE22+'SG&amp;A'!EE22</f>
        <v>0</v>
      </c>
      <c r="EF22" s="28">
        <f>COGS!EF22+'SG&amp;A'!EF22</f>
        <v>0</v>
      </c>
      <c r="EG22" s="28">
        <f>COGS!EG22+'SG&amp;A'!EG22</f>
        <v>0</v>
      </c>
      <c r="EH22" s="28">
        <f>COGS!EH22+'SG&amp;A'!EH22</f>
        <v>0</v>
      </c>
      <c r="EI22" s="28">
        <f>COGS!EI22+'SG&amp;A'!EI22</f>
        <v>0</v>
      </c>
    </row>
    <row r="23" spans="1:139" ht="15" thickTop="1" x14ac:dyDescent="0.3">
      <c r="A23" s="1" t="s">
        <v>338</v>
      </c>
      <c r="B23" s="27">
        <f>COGS!B23+'SG&amp;A'!B23</f>
        <v>0</v>
      </c>
      <c r="C23" s="27">
        <f>COGS!C23+'SG&amp;A'!C23</f>
        <v>0</v>
      </c>
      <c r="D23" s="27">
        <f>COGS!D23+'SG&amp;A'!D23</f>
        <v>0</v>
      </c>
      <c r="E23" s="27">
        <f>COGS!E23+'SG&amp;A'!E23</f>
        <v>0</v>
      </c>
      <c r="F23" s="27">
        <f>COGS!F23+'SG&amp;A'!F23</f>
        <v>0</v>
      </c>
      <c r="G23" s="27">
        <f>COGS!G23+'SG&amp;A'!G23</f>
        <v>0</v>
      </c>
      <c r="H23" s="27">
        <f>COGS!H23+'SG&amp;A'!H23</f>
        <v>0</v>
      </c>
      <c r="I23" s="27">
        <f>COGS!I23+'SG&amp;A'!I23</f>
        <v>0</v>
      </c>
      <c r="J23" s="27">
        <f>COGS!J23+'SG&amp;A'!J23</f>
        <v>0</v>
      </c>
      <c r="K23" s="27">
        <f>COGS!K23+'SG&amp;A'!K23</f>
        <v>0</v>
      </c>
      <c r="L23" s="27">
        <f>COGS!L23+'SG&amp;A'!L23</f>
        <v>0</v>
      </c>
      <c r="M23" s="27">
        <f>COGS!M23+'SG&amp;A'!M23</f>
        <v>0</v>
      </c>
      <c r="N23" s="27">
        <f>COGS!N23+'SG&amp;A'!N23</f>
        <v>0</v>
      </c>
      <c r="O23" s="27">
        <f>COGS!O23+'SG&amp;A'!O23</f>
        <v>0</v>
      </c>
      <c r="P23" s="27">
        <f>COGS!P23+'SG&amp;A'!P23</f>
        <v>0</v>
      </c>
      <c r="Q23" s="27">
        <f>COGS!Q23+'SG&amp;A'!Q23</f>
        <v>0</v>
      </c>
      <c r="R23" s="27">
        <f>COGS!R23+'SG&amp;A'!R23</f>
        <v>0</v>
      </c>
      <c r="S23" s="27">
        <f>COGS!S23+'SG&amp;A'!S23</f>
        <v>0</v>
      </c>
      <c r="T23" s="27">
        <f>COGS!T23+'SG&amp;A'!T23</f>
        <v>0</v>
      </c>
      <c r="U23" s="27">
        <f>COGS!U23+'SG&amp;A'!U23</f>
        <v>0</v>
      </c>
      <c r="V23" s="27">
        <f>COGS!V23+'SG&amp;A'!V23</f>
        <v>0</v>
      </c>
      <c r="W23" s="27">
        <f>COGS!W23+'SG&amp;A'!W23</f>
        <v>0</v>
      </c>
      <c r="X23" s="27">
        <f>COGS!X23+'SG&amp;A'!X23</f>
        <v>0</v>
      </c>
      <c r="Y23" s="27">
        <f>COGS!Y23+'SG&amp;A'!Y23</f>
        <v>0</v>
      </c>
      <c r="Z23" s="27">
        <f>COGS!Z23+'SG&amp;A'!Z23</f>
        <v>0</v>
      </c>
      <c r="AA23" s="27">
        <f>COGS!AA23+'SG&amp;A'!AA23</f>
        <v>0</v>
      </c>
      <c r="AB23" s="27">
        <f>COGS!AB23+'SG&amp;A'!AB23</f>
        <v>0</v>
      </c>
      <c r="AC23" s="27">
        <f>COGS!AC23+'SG&amp;A'!AC23</f>
        <v>0</v>
      </c>
      <c r="AD23" s="27">
        <f>COGS!AD23+'SG&amp;A'!AD23</f>
        <v>0</v>
      </c>
      <c r="AE23" s="27">
        <f>COGS!AE23+'SG&amp;A'!AE23</f>
        <v>0</v>
      </c>
      <c r="AF23" s="27">
        <f>COGS!AF23+'SG&amp;A'!AF23</f>
        <v>0</v>
      </c>
      <c r="AG23" s="27">
        <f>COGS!AG23+'SG&amp;A'!AG23</f>
        <v>0</v>
      </c>
      <c r="AH23" s="27">
        <f>COGS!AH23+'SG&amp;A'!AH23</f>
        <v>0</v>
      </c>
      <c r="AI23" s="27">
        <f>COGS!AI23+'SG&amp;A'!AI23</f>
        <v>0</v>
      </c>
      <c r="AJ23" s="27">
        <f>COGS!AJ23+'SG&amp;A'!AJ23</f>
        <v>0</v>
      </c>
      <c r="AK23" s="27">
        <f>COGS!AK23+'SG&amp;A'!AK23</f>
        <v>0</v>
      </c>
      <c r="AL23" s="27">
        <f>COGS!AL23+'SG&amp;A'!AL23</f>
        <v>0</v>
      </c>
      <c r="AM23" s="27">
        <f>COGS!AM23+'SG&amp;A'!AM23</f>
        <v>0</v>
      </c>
      <c r="AN23" s="27">
        <f>COGS!AN23+'SG&amp;A'!AN23</f>
        <v>0</v>
      </c>
      <c r="AO23" s="27">
        <f>COGS!AO23+'SG&amp;A'!AO23</f>
        <v>0</v>
      </c>
      <c r="AP23" s="27">
        <f>COGS!AP23+'SG&amp;A'!AP23</f>
        <v>0</v>
      </c>
      <c r="AQ23" s="27">
        <f>COGS!AQ23+'SG&amp;A'!AQ23</f>
        <v>0</v>
      </c>
      <c r="AR23" s="27">
        <f>COGS!AR23+'SG&amp;A'!AR23</f>
        <v>0</v>
      </c>
      <c r="AS23" s="27">
        <f>COGS!AS23+'SG&amp;A'!AS23</f>
        <v>0</v>
      </c>
      <c r="AT23" s="27">
        <f>COGS!AT23+'SG&amp;A'!AT23</f>
        <v>0</v>
      </c>
      <c r="AU23" s="27">
        <f>COGS!AU23+'SG&amp;A'!AU23</f>
        <v>0</v>
      </c>
      <c r="AV23" s="27">
        <f>COGS!AV23+'SG&amp;A'!AV23</f>
        <v>0</v>
      </c>
      <c r="AW23" s="27">
        <f>COGS!AW23+'SG&amp;A'!AW23</f>
        <v>0</v>
      </c>
      <c r="AX23" s="27">
        <f>COGS!AX23+'SG&amp;A'!AX23</f>
        <v>0</v>
      </c>
      <c r="AY23" s="27">
        <f>COGS!AY23+'SG&amp;A'!AY23</f>
        <v>0</v>
      </c>
      <c r="AZ23" s="27">
        <f>COGS!AZ23+'SG&amp;A'!AZ23</f>
        <v>0</v>
      </c>
      <c r="BA23" s="27">
        <f>COGS!BA23+'SG&amp;A'!BA23</f>
        <v>0</v>
      </c>
      <c r="BB23" s="27">
        <f>COGS!BB23+'SG&amp;A'!BB23</f>
        <v>0</v>
      </c>
      <c r="BC23" s="27">
        <f>COGS!BC23+'SG&amp;A'!BC23</f>
        <v>0</v>
      </c>
      <c r="BD23" s="27">
        <f>COGS!BD23+'SG&amp;A'!BD23</f>
        <v>0</v>
      </c>
      <c r="BE23" s="27">
        <f>COGS!BE23+'SG&amp;A'!BE23</f>
        <v>0</v>
      </c>
      <c r="BF23" s="27">
        <f>COGS!BF23+'SG&amp;A'!BF23</f>
        <v>0</v>
      </c>
      <c r="BG23" s="27">
        <f>COGS!BG23+'SG&amp;A'!BG23</f>
        <v>0</v>
      </c>
      <c r="BH23" s="27">
        <f>COGS!BH23+'SG&amp;A'!BH23</f>
        <v>0</v>
      </c>
      <c r="BI23" s="27">
        <f>COGS!BI23+'SG&amp;A'!BI23</f>
        <v>0</v>
      </c>
      <c r="BJ23" s="27">
        <f>COGS!BJ23+'SG&amp;A'!BJ23</f>
        <v>5.8136090800000009</v>
      </c>
      <c r="BK23" s="27">
        <f>COGS!BK23+'SG&amp;A'!BK23</f>
        <v>4.9574833799999993</v>
      </c>
      <c r="BL23" s="27">
        <f>COGS!BL23+'SG&amp;A'!BL23</f>
        <v>5.32097525</v>
      </c>
      <c r="BM23" s="27">
        <f>COGS!BM23+'SG&amp;A'!BM23</f>
        <v>6.2156279200000011</v>
      </c>
      <c r="BN23" s="27">
        <f>COGS!BN23+'SG&amp;A'!BN23</f>
        <v>22.307695629999998</v>
      </c>
      <c r="BO23" s="27">
        <f>COGS!BO23+'SG&amp;A'!BO23</f>
        <v>5.9250152699999994</v>
      </c>
      <c r="BP23" s="27">
        <f>COGS!BP23+'SG&amp;A'!BP23</f>
        <v>5.9983177599999991</v>
      </c>
      <c r="BQ23" s="27">
        <f>COGS!BQ23+'SG&amp;A'!BQ23</f>
        <v>7.16927995</v>
      </c>
      <c r="BR23" s="27">
        <f>COGS!BR23+'SG&amp;A'!BR23</f>
        <v>7.8289474999999999</v>
      </c>
      <c r="BS23" s="27">
        <f>COGS!BS23+'SG&amp;A'!BS23</f>
        <v>26.92156048</v>
      </c>
      <c r="BT23" s="27">
        <f>COGS!BT23+'SG&amp;A'!BT23</f>
        <v>0</v>
      </c>
      <c r="BU23" s="27">
        <f>COGS!BU23+'SG&amp;A'!BU23</f>
        <v>0</v>
      </c>
      <c r="BV23" s="27">
        <f>COGS!BV23+'SG&amp;A'!BV23</f>
        <v>0</v>
      </c>
      <c r="BW23" s="27">
        <f>COGS!BW23+'SG&amp;A'!BW23</f>
        <v>0</v>
      </c>
      <c r="BX23" s="27">
        <f>COGS!BX23+'SG&amp;A'!BX23</f>
        <v>0</v>
      </c>
      <c r="BY23" s="27">
        <f>COGS!BY23+'SG&amp;A'!BY23</f>
        <v>0</v>
      </c>
      <c r="BZ23" s="27">
        <f>COGS!BZ23+'SG&amp;A'!BZ23</f>
        <v>0</v>
      </c>
      <c r="CA23" s="27">
        <f>COGS!CA23+'SG&amp;A'!CA23</f>
        <v>0</v>
      </c>
      <c r="CB23" s="27">
        <f>COGS!CB23+'SG&amp;A'!CB23</f>
        <v>0</v>
      </c>
      <c r="CC23" s="27">
        <f>COGS!CC23+'SG&amp;A'!CC23</f>
        <v>0</v>
      </c>
      <c r="CD23" s="27">
        <f>COGS!CD23+'SG&amp;A'!CD23</f>
        <v>0</v>
      </c>
      <c r="CE23" s="27">
        <f>COGS!CE23+'SG&amp;A'!CE23</f>
        <v>0</v>
      </c>
      <c r="CF23" s="27">
        <f>COGS!CF23+'SG&amp;A'!CF23</f>
        <v>0</v>
      </c>
      <c r="CG23" s="27">
        <f>COGS!CG23+'SG&amp;A'!CG23</f>
        <v>0</v>
      </c>
      <c r="CH23" s="27">
        <f>COGS!CH23+'SG&amp;A'!CH23</f>
        <v>0</v>
      </c>
      <c r="CI23" s="27">
        <f>COGS!CI23+'SG&amp;A'!CI23</f>
        <v>0</v>
      </c>
      <c r="CJ23" s="27">
        <f>COGS!CJ23+'SG&amp;A'!CJ23</f>
        <v>0</v>
      </c>
      <c r="CK23" s="27">
        <f>COGS!CK23+'SG&amp;A'!CK23</f>
        <v>0</v>
      </c>
      <c r="CL23" s="27">
        <f>COGS!CL23+'SG&amp;A'!CL23</f>
        <v>0</v>
      </c>
      <c r="CM23" s="27">
        <f>COGS!CM23+'SG&amp;A'!CM23</f>
        <v>0</v>
      </c>
      <c r="CN23" s="27">
        <f>COGS!CN23+'SG&amp;A'!CN23</f>
        <v>0</v>
      </c>
      <c r="CO23" s="27">
        <f>COGS!CO23+'SG&amp;A'!CO23</f>
        <v>0</v>
      </c>
      <c r="CP23" s="27">
        <f>COGS!CP23+'SG&amp;A'!CP23</f>
        <v>0</v>
      </c>
      <c r="CQ23" s="27">
        <f>COGS!CQ23+'SG&amp;A'!CQ23</f>
        <v>1.5469999999999999</v>
      </c>
      <c r="CR23" s="27">
        <f>COGS!CR23+'SG&amp;A'!CR23</f>
        <v>1.5469999999999999</v>
      </c>
      <c r="CS23" s="27">
        <f>COGS!CS23+'SG&amp;A'!CS23</f>
        <v>0.374</v>
      </c>
      <c r="CT23" s="27">
        <f>COGS!CT23+'SG&amp;A'!CT23</f>
        <v>0.34799999999999998</v>
      </c>
      <c r="CU23" s="27">
        <f>COGS!CU23+'SG&amp;A'!CU23</f>
        <v>0.51</v>
      </c>
      <c r="CV23" s="27">
        <f>COGS!CV23+'SG&amp;A'!CV23</f>
        <v>0.59600000000000009</v>
      </c>
      <c r="CW23" s="27">
        <f>COGS!CW23+'SG&amp;A'!CW23</f>
        <v>1.8280000000000001</v>
      </c>
      <c r="CX23" s="27">
        <f>COGS!CX23+'SG&amp;A'!CX23</f>
        <v>0.42099999999999999</v>
      </c>
      <c r="CY23" s="27">
        <f>COGS!CY23+'SG&amp;A'!CY23</f>
        <v>0.38599999999999995</v>
      </c>
      <c r="CZ23" s="27">
        <f>COGS!CZ23+'SG&amp;A'!CZ23</f>
        <v>0.51100000000000001</v>
      </c>
      <c r="DA23" s="27">
        <f>COGS!DA23+'SG&amp;A'!DA23</f>
        <v>0.60799999999999998</v>
      </c>
      <c r="DB23" s="27">
        <f>COGS!DB23+'SG&amp;A'!DB23</f>
        <v>1.9259999999999999</v>
      </c>
      <c r="DC23" s="27">
        <f>COGS!DC23+'SG&amp;A'!DC23</f>
        <v>0.46</v>
      </c>
      <c r="DD23" s="27">
        <f>COGS!DD23+'SG&amp;A'!DD23</f>
        <v>0.66199999999999992</v>
      </c>
      <c r="DE23" s="27">
        <f>COGS!DE23+'SG&amp;A'!DE23</f>
        <v>0.61099999999999999</v>
      </c>
      <c r="DF23" s="27">
        <f>COGS!DF23+'SG&amp;A'!DF23</f>
        <v>0.63500000000000001</v>
      </c>
      <c r="DG23" s="27">
        <f>COGS!DG23+'SG&amp;A'!DG23</f>
        <v>2.3679999999999999</v>
      </c>
      <c r="DH23" s="27">
        <f>COGS!DH23+'SG&amp;A'!DH23</f>
        <v>0.56699999999999995</v>
      </c>
      <c r="DI23" s="27">
        <f>COGS!DI23+'SG&amp;A'!DI23</f>
        <v>0.40099999999999997</v>
      </c>
      <c r="DJ23" s="27">
        <f>COGS!DJ23+'SG&amp;A'!DJ23</f>
        <v>0.57700000000000007</v>
      </c>
      <c r="DK23" s="27">
        <f>COGS!DK23+'SG&amp;A'!DK23</f>
        <v>-1.173</v>
      </c>
      <c r="DL23" s="27">
        <f>COGS!DL23+'SG&amp;A'!DL23</f>
        <v>0.37199999999999989</v>
      </c>
      <c r="DM23" s="27">
        <f>COGS!DM23+'SG&amp;A'!DM23</f>
        <v>0.36499999999999999</v>
      </c>
      <c r="DN23" s="27">
        <f>COGS!DN23+'SG&amp;A'!DN23</f>
        <v>0.627</v>
      </c>
      <c r="DO23" s="27">
        <f>COGS!DO23+'SG&amp;A'!DO23</f>
        <v>0.70799999999999996</v>
      </c>
      <c r="DP23" s="27">
        <f>COGS!DP23+'SG&amp;A'!DP23</f>
        <v>0.90100000000000002</v>
      </c>
      <c r="DQ23" s="27">
        <f>COGS!DQ23+'SG&amp;A'!DQ23</f>
        <v>2.601</v>
      </c>
      <c r="DR23" s="27">
        <f>COGS!DR23+'SG&amp;A'!DR23</f>
        <v>0.50900000000000001</v>
      </c>
      <c r="DS23" s="27">
        <f>COGS!DS23+'SG&amp;A'!DS23</f>
        <v>0.433</v>
      </c>
      <c r="DT23" s="27">
        <f>COGS!DT23+'SG&amp;A'!DT23</f>
        <v>0.81499999999999995</v>
      </c>
      <c r="DU23" s="27">
        <f>COGS!DU23+'SG&amp;A'!DU23</f>
        <v>0.47899999999999998</v>
      </c>
      <c r="DV23" s="27">
        <f>COGS!DV23+'SG&amp;A'!DV23</f>
        <v>2.2359999999999998</v>
      </c>
      <c r="DW23" s="27">
        <f>COGS!DW23+'SG&amp;A'!DW23</f>
        <v>0.44500000000000001</v>
      </c>
      <c r="DX23" s="27">
        <f>COGS!DX23+'SG&amp;A'!DX23</f>
        <v>0.18812960999999997</v>
      </c>
      <c r="DY23" s="27">
        <f>COGS!DY23+'SG&amp;A'!DY23</f>
        <v>0.88133145999999973</v>
      </c>
      <c r="DZ23" s="27">
        <f>COGS!DZ23+'SG&amp;A'!DZ23</f>
        <v>0.53702794000000009</v>
      </c>
      <c r="EA23" s="27">
        <f>COGS!EA23+'SG&amp;A'!EA23</f>
        <v>2.0514890100000001</v>
      </c>
      <c r="EB23" s="27">
        <f>COGS!EB23+'SG&amp;A'!EB23</f>
        <v>0.52077823999999995</v>
      </c>
      <c r="EC23" s="27">
        <f>COGS!EC23+'SG&amp;A'!EC23</f>
        <v>0.44974056000000001</v>
      </c>
      <c r="ED23" s="27">
        <f>COGS!ED23+'SG&amp;A'!ED23</f>
        <v>0.45600000000000002</v>
      </c>
      <c r="EE23" s="27">
        <f>COGS!EE23+'SG&amp;A'!EE23</f>
        <v>0.86568866000000011</v>
      </c>
      <c r="EF23" s="27">
        <f>COGS!EF23+'SG&amp;A'!EF23</f>
        <v>2.2922074600000002</v>
      </c>
      <c r="EG23" s="27">
        <f>COGS!EG23+'SG&amp;A'!EG23</f>
        <v>0.57092385000000001</v>
      </c>
      <c r="EH23" s="27">
        <f>COGS!EH23+'SG&amp;A'!EH23</f>
        <v>-8.3446980000000004E-2</v>
      </c>
      <c r="EI23" s="27">
        <f>COGS!EI23+'SG&amp;A'!EI23</f>
        <v>1.5460749500000002</v>
      </c>
    </row>
    <row r="24" spans="1:139" ht="15" thickBot="1" x14ac:dyDescent="0.35">
      <c r="A24" s="2" t="s">
        <v>331</v>
      </c>
      <c r="B24" s="28">
        <f>COGS!B24+'SG&amp;A'!B24</f>
        <v>0</v>
      </c>
      <c r="C24" s="28">
        <f>COGS!C24+'SG&amp;A'!C24</f>
        <v>0</v>
      </c>
      <c r="D24" s="28">
        <f>COGS!D24+'SG&amp;A'!D24</f>
        <v>0</v>
      </c>
      <c r="E24" s="28">
        <f>COGS!E24+'SG&amp;A'!E24</f>
        <v>0</v>
      </c>
      <c r="F24" s="28">
        <f>COGS!F24+'SG&amp;A'!F24</f>
        <v>0</v>
      </c>
      <c r="G24" s="28">
        <f>COGS!G24+'SG&amp;A'!G24</f>
        <v>0</v>
      </c>
      <c r="H24" s="28">
        <f>COGS!H24+'SG&amp;A'!H24</f>
        <v>0</v>
      </c>
      <c r="I24" s="28">
        <f>COGS!I24+'SG&amp;A'!I24</f>
        <v>0</v>
      </c>
      <c r="J24" s="28">
        <f>COGS!J24+'SG&amp;A'!J24</f>
        <v>0</v>
      </c>
      <c r="K24" s="28">
        <f>COGS!K24+'SG&amp;A'!K24</f>
        <v>0</v>
      </c>
      <c r="L24" s="28">
        <f>COGS!L24+'SG&amp;A'!L24</f>
        <v>0</v>
      </c>
      <c r="M24" s="28">
        <f>COGS!M24+'SG&amp;A'!M24</f>
        <v>0</v>
      </c>
      <c r="N24" s="28">
        <f>COGS!N24+'SG&amp;A'!N24</f>
        <v>0</v>
      </c>
      <c r="O24" s="28">
        <f>COGS!O24+'SG&amp;A'!O24</f>
        <v>0</v>
      </c>
      <c r="P24" s="28">
        <f>COGS!P24+'SG&amp;A'!P24</f>
        <v>0</v>
      </c>
      <c r="Q24" s="28">
        <f>COGS!Q24+'SG&amp;A'!Q24</f>
        <v>0</v>
      </c>
      <c r="R24" s="28">
        <f>COGS!R24+'SG&amp;A'!R24</f>
        <v>0</v>
      </c>
      <c r="S24" s="28">
        <f>COGS!S24+'SG&amp;A'!S24</f>
        <v>0</v>
      </c>
      <c r="T24" s="28">
        <f>COGS!T24+'SG&amp;A'!T24</f>
        <v>0</v>
      </c>
      <c r="U24" s="28">
        <f>COGS!U24+'SG&amp;A'!U24</f>
        <v>0</v>
      </c>
      <c r="V24" s="28">
        <f>COGS!V24+'SG&amp;A'!V24</f>
        <v>0</v>
      </c>
      <c r="W24" s="28">
        <f>COGS!W24+'SG&amp;A'!W24</f>
        <v>0</v>
      </c>
      <c r="X24" s="28">
        <f>COGS!X24+'SG&amp;A'!X24</f>
        <v>0</v>
      </c>
      <c r="Y24" s="28">
        <f>COGS!Y24+'SG&amp;A'!Y24</f>
        <v>0</v>
      </c>
      <c r="Z24" s="28">
        <f>COGS!Z24+'SG&amp;A'!Z24</f>
        <v>0</v>
      </c>
      <c r="AA24" s="28">
        <f>COGS!AA24+'SG&amp;A'!AA24</f>
        <v>0</v>
      </c>
      <c r="AB24" s="28">
        <f>COGS!AB24+'SG&amp;A'!AB24</f>
        <v>0</v>
      </c>
      <c r="AC24" s="28">
        <f>COGS!AC24+'SG&amp;A'!AC24</f>
        <v>0</v>
      </c>
      <c r="AD24" s="28">
        <f>COGS!AD24+'SG&amp;A'!AD24</f>
        <v>0</v>
      </c>
      <c r="AE24" s="28">
        <f>COGS!AE24+'SG&amp;A'!AE24</f>
        <v>0</v>
      </c>
      <c r="AF24" s="28">
        <f>COGS!AF24+'SG&amp;A'!AF24</f>
        <v>0</v>
      </c>
      <c r="AG24" s="28">
        <f>COGS!AG24+'SG&amp;A'!AG24</f>
        <v>0</v>
      </c>
      <c r="AH24" s="28">
        <f>COGS!AH24+'SG&amp;A'!AH24</f>
        <v>0</v>
      </c>
      <c r="AI24" s="28">
        <f>COGS!AI24+'SG&amp;A'!AI24</f>
        <v>0</v>
      </c>
      <c r="AJ24" s="28">
        <f>COGS!AJ24+'SG&amp;A'!AJ24</f>
        <v>0</v>
      </c>
      <c r="AK24" s="28">
        <f>COGS!AK24+'SG&amp;A'!AK24</f>
        <v>0</v>
      </c>
      <c r="AL24" s="28">
        <f>COGS!AL24+'SG&amp;A'!AL24</f>
        <v>0</v>
      </c>
      <c r="AM24" s="28">
        <f>COGS!AM24+'SG&amp;A'!AM24</f>
        <v>0</v>
      </c>
      <c r="AN24" s="28">
        <f>COGS!AN24+'SG&amp;A'!AN24</f>
        <v>0</v>
      </c>
      <c r="AO24" s="28">
        <f>COGS!AO24+'SG&amp;A'!AO24</f>
        <v>0</v>
      </c>
      <c r="AP24" s="28">
        <f>COGS!AP24+'SG&amp;A'!AP24</f>
        <v>0</v>
      </c>
      <c r="AQ24" s="28">
        <f>COGS!AQ24+'SG&amp;A'!AQ24</f>
        <v>0</v>
      </c>
      <c r="AR24" s="28">
        <f>COGS!AR24+'SG&amp;A'!AR24</f>
        <v>0</v>
      </c>
      <c r="AS24" s="28">
        <f>COGS!AS24+'SG&amp;A'!AS24</f>
        <v>0</v>
      </c>
      <c r="AT24" s="28">
        <f>COGS!AT24+'SG&amp;A'!AT24</f>
        <v>0</v>
      </c>
      <c r="AU24" s="28">
        <f>COGS!AU24+'SG&amp;A'!AU24</f>
        <v>0</v>
      </c>
      <c r="AV24" s="28">
        <f>COGS!AV24+'SG&amp;A'!AV24</f>
        <v>0</v>
      </c>
      <c r="AW24" s="28">
        <f>COGS!AW24+'SG&amp;A'!AW24</f>
        <v>0</v>
      </c>
      <c r="AX24" s="28">
        <f>COGS!AX24+'SG&amp;A'!AX24</f>
        <v>0</v>
      </c>
      <c r="AY24" s="28">
        <f>COGS!AY24+'SG&amp;A'!AY24</f>
        <v>0</v>
      </c>
      <c r="AZ24" s="28">
        <f>COGS!AZ24+'SG&amp;A'!AZ24</f>
        <v>0</v>
      </c>
      <c r="BA24" s="28">
        <f>COGS!BA24+'SG&amp;A'!BA24</f>
        <v>0</v>
      </c>
      <c r="BB24" s="28">
        <f>COGS!BB24+'SG&amp;A'!BB24</f>
        <v>0</v>
      </c>
      <c r="BC24" s="28">
        <f>COGS!BC24+'SG&amp;A'!BC24</f>
        <v>0</v>
      </c>
      <c r="BD24" s="28">
        <f>COGS!BD24+'SG&amp;A'!BD24</f>
        <v>0</v>
      </c>
      <c r="BE24" s="28">
        <f>COGS!BE24+'SG&amp;A'!BE24</f>
        <v>0</v>
      </c>
      <c r="BF24" s="28">
        <f>COGS!BF24+'SG&amp;A'!BF24</f>
        <v>0</v>
      </c>
      <c r="BG24" s="28">
        <f>COGS!BG24+'SG&amp;A'!BG24</f>
        <v>0</v>
      </c>
      <c r="BH24" s="28">
        <f>COGS!BH24+'SG&amp;A'!BH24</f>
        <v>0</v>
      </c>
      <c r="BI24" s="28">
        <f>COGS!BI24+'SG&amp;A'!BI24</f>
        <v>0</v>
      </c>
      <c r="BJ24" s="28">
        <f>COGS!BJ24+'SG&amp;A'!BJ24</f>
        <v>10.651034640000001</v>
      </c>
      <c r="BK24" s="28">
        <f>COGS!BK24+'SG&amp;A'!BK24</f>
        <v>8.2167883100000001</v>
      </c>
      <c r="BL24" s="28">
        <f>COGS!BL24+'SG&amp;A'!BL24</f>
        <v>9.5154564800000028</v>
      </c>
      <c r="BM24" s="28">
        <f>COGS!BM24+'SG&amp;A'!BM24</f>
        <v>9.6624580299999998</v>
      </c>
      <c r="BN24" s="28">
        <f>COGS!BN24+'SG&amp;A'!BN24</f>
        <v>38.045737459999998</v>
      </c>
      <c r="BO24" s="28">
        <f>COGS!BO24+'SG&amp;A'!BO24</f>
        <v>8.6172895700000005</v>
      </c>
      <c r="BP24" s="28">
        <f>COGS!BP24+'SG&amp;A'!BP24</f>
        <v>9.8275576800000017</v>
      </c>
      <c r="BQ24" s="28">
        <f>COGS!BQ24+'SG&amp;A'!BQ24</f>
        <v>10.205858739999998</v>
      </c>
      <c r="BR24" s="28">
        <f>COGS!BR24+'SG&amp;A'!BR24</f>
        <v>12.921469640000002</v>
      </c>
      <c r="BS24" s="28">
        <f>COGS!BS24+'SG&amp;A'!BS24</f>
        <v>41.572175630000004</v>
      </c>
      <c r="BT24" s="28">
        <f>COGS!BT24+'SG&amp;A'!BT24</f>
        <v>14.932197010000001</v>
      </c>
      <c r="BU24" s="28">
        <f>COGS!BU24+'SG&amp;A'!BU24</f>
        <v>13.793861700000001</v>
      </c>
      <c r="BV24" s="28">
        <f>COGS!BV24+'SG&amp;A'!BV24</f>
        <v>14.668254000000001</v>
      </c>
      <c r="BW24" s="28">
        <f>COGS!BW24+'SG&amp;A'!BW24</f>
        <v>13.442398430000001</v>
      </c>
      <c r="BX24" s="28">
        <f>COGS!BX24+'SG&amp;A'!BX24</f>
        <v>56.836711140000006</v>
      </c>
      <c r="BY24" s="28">
        <f>COGS!BY24+'SG&amp;A'!BY24</f>
        <v>14.97276722</v>
      </c>
      <c r="BZ24" s="28">
        <f>COGS!BZ24+'SG&amp;A'!BZ24</f>
        <v>19.281602900000003</v>
      </c>
      <c r="CA24" s="28">
        <f>COGS!CA24+'SG&amp;A'!CA24</f>
        <v>19.3260328</v>
      </c>
      <c r="CB24" s="28">
        <f>COGS!CB24+'SG&amp;A'!CB24</f>
        <v>22.796769299999998</v>
      </c>
      <c r="CC24" s="28">
        <f>COGS!CC24+'SG&amp;A'!CC24</f>
        <v>76.377172220000006</v>
      </c>
      <c r="CD24" s="28">
        <f>COGS!CD24+'SG&amp;A'!CD24</f>
        <v>21.008825760000001</v>
      </c>
      <c r="CE24" s="28">
        <f>COGS!CE24+'SG&amp;A'!CE24</f>
        <v>16.268998470000003</v>
      </c>
      <c r="CF24" s="28">
        <f>COGS!CF24+'SG&amp;A'!CF24</f>
        <v>29.195264510000001</v>
      </c>
      <c r="CG24" s="28">
        <f>COGS!CG24+'SG&amp;A'!CG24</f>
        <v>33.402111170000012</v>
      </c>
      <c r="CH24" s="28">
        <f>COGS!CH24+'SG&amp;A'!CH24</f>
        <v>99.875199910000021</v>
      </c>
      <c r="CI24" s="28">
        <f>COGS!CI24+'SG&amp;A'!CI24</f>
        <v>18.409193140000003</v>
      </c>
      <c r="CJ24" s="28">
        <f>COGS!CJ24+'SG&amp;A'!CJ24</f>
        <v>10.182898810000001</v>
      </c>
      <c r="CK24" s="28">
        <f>COGS!CK24+'SG&amp;A'!CK24</f>
        <v>6.9346804999999989</v>
      </c>
      <c r="CL24" s="28">
        <f>COGS!CL24+'SG&amp;A'!CL24</f>
        <v>13.787716750000003</v>
      </c>
      <c r="CM24" s="28">
        <f>COGS!CM24+'SG&amp;A'!CM24</f>
        <v>49.314489200000004</v>
      </c>
      <c r="CN24" s="28">
        <f>COGS!CN24+'SG&amp;A'!CN24</f>
        <v>7.1963374199999999</v>
      </c>
      <c r="CO24" s="28">
        <f>COGS!CO24+'SG&amp;A'!CO24</f>
        <v>7.8247204100000003</v>
      </c>
      <c r="CP24" s="28">
        <f>COGS!CP24+'SG&amp;A'!CP24</f>
        <v>4.58142754</v>
      </c>
      <c r="CQ24" s="28">
        <f>COGS!CQ24+'SG&amp;A'!CQ24</f>
        <v>5.6865146300000013</v>
      </c>
      <c r="CR24" s="28">
        <f>COGS!CR24+'SG&amp;A'!CR24</f>
        <v>25.289000000000001</v>
      </c>
      <c r="CS24" s="28">
        <f>COGS!CS24+'SG&amp;A'!CS24</f>
        <v>9.23</v>
      </c>
      <c r="CT24" s="28">
        <f>COGS!CT24+'SG&amp;A'!CT24</f>
        <v>2.8409999999999993</v>
      </c>
      <c r="CU24" s="28">
        <f>COGS!CU24+'SG&amp;A'!CU24</f>
        <v>8.7790000000000017</v>
      </c>
      <c r="CV24" s="28">
        <f>COGS!CV24+'SG&amp;A'!CV24</f>
        <v>7.282</v>
      </c>
      <c r="CW24" s="28">
        <f>COGS!CW24+'SG&amp;A'!CW24</f>
        <v>28.132000000000001</v>
      </c>
      <c r="CX24" s="28">
        <f>COGS!CX24+'SG&amp;A'!CX24</f>
        <v>8.391</v>
      </c>
      <c r="CY24" s="28">
        <f>COGS!CY24+'SG&amp;A'!CY24</f>
        <v>5.3280000000000003</v>
      </c>
      <c r="CZ24" s="28">
        <f>COGS!CZ24+'SG&amp;A'!CZ24</f>
        <v>9.4130000000000003</v>
      </c>
      <c r="DA24" s="28">
        <f>COGS!DA24+'SG&amp;A'!DA24</f>
        <v>16.196999999999999</v>
      </c>
      <c r="DB24" s="28">
        <f>COGS!DB24+'SG&amp;A'!DB24</f>
        <v>39.329000000000001</v>
      </c>
      <c r="DC24" s="28">
        <f>COGS!DC24+'SG&amp;A'!DC24</f>
        <v>14.503</v>
      </c>
      <c r="DD24" s="28">
        <f>COGS!DD24+'SG&amp;A'!DD24</f>
        <v>16.858000000000001</v>
      </c>
      <c r="DE24" s="28">
        <f>COGS!DE24+'SG&amp;A'!DE24</f>
        <v>25.93</v>
      </c>
      <c r="DF24" s="28">
        <f>COGS!DF24+'SG&amp;A'!DF24</f>
        <v>20.503</v>
      </c>
      <c r="DG24" s="28">
        <f>COGS!DG24+'SG&amp;A'!DG24</f>
        <v>77.793999999999997</v>
      </c>
      <c r="DH24" s="28">
        <f>COGS!DH24+'SG&amp;A'!DH24</f>
        <v>10.760999999999999</v>
      </c>
      <c r="DI24" s="28">
        <f>COGS!DI24+'SG&amp;A'!DI24</f>
        <v>8.1720000000000006</v>
      </c>
      <c r="DJ24" s="28">
        <f>COGS!DJ24+'SG&amp;A'!DJ24</f>
        <v>8.0210000000000008</v>
      </c>
      <c r="DK24" s="28">
        <f>COGS!DK24+'SG&amp;A'!DK24</f>
        <v>4.8739999999999997</v>
      </c>
      <c r="DL24" s="28">
        <f>COGS!DL24+'SG&amp;A'!DL24</f>
        <v>31.827999999999999</v>
      </c>
      <c r="DM24" s="28">
        <f>COGS!DM24+'SG&amp;A'!DM24</f>
        <v>6.63</v>
      </c>
      <c r="DN24" s="28">
        <f>COGS!DN24+'SG&amp;A'!DN24</f>
        <v>7.3579999999999997</v>
      </c>
      <c r="DO24" s="28">
        <f>COGS!DO24+'SG&amp;A'!DO24</f>
        <v>5.1539999999999999</v>
      </c>
      <c r="DP24" s="28">
        <f>COGS!DP24+'SG&amp;A'!DP24</f>
        <v>8.2620000000000005</v>
      </c>
      <c r="DQ24" s="28">
        <f>COGS!DQ24+'SG&amp;A'!DQ24</f>
        <v>27.404</v>
      </c>
      <c r="DR24" s="28">
        <f>COGS!DR24+'SG&amp;A'!DR24</f>
        <v>7.6790000000000003</v>
      </c>
      <c r="DS24" s="28">
        <f>COGS!DS24+'SG&amp;A'!DS24</f>
        <v>5.6470000000000002</v>
      </c>
      <c r="DT24" s="28">
        <f>COGS!DT24+'SG&amp;A'!DT24</f>
        <v>9.3040000000000003</v>
      </c>
      <c r="DU24" s="28">
        <f>COGS!DU24+'SG&amp;A'!DU24</f>
        <v>9.7289999999999992</v>
      </c>
      <c r="DV24" s="28">
        <f>COGS!DV24+'SG&amp;A'!DV24</f>
        <v>32.359000000000002</v>
      </c>
      <c r="DW24" s="28">
        <f>COGS!DW24+'SG&amp;A'!DW24</f>
        <v>10.141</v>
      </c>
      <c r="DX24" s="28">
        <f>COGS!DX24+'SG&amp;A'!DX24</f>
        <v>9.4029932200000008</v>
      </c>
      <c r="DY24" s="28">
        <f>COGS!DY24+'SG&amp;A'!DY24</f>
        <v>9.1190272400000012</v>
      </c>
      <c r="DZ24" s="28">
        <f>COGS!DZ24+'SG&amp;A'!DZ24</f>
        <v>13.256932050000001</v>
      </c>
      <c r="EA24" s="28">
        <f>COGS!EA24+'SG&amp;A'!EA24</f>
        <v>41.919952510000002</v>
      </c>
      <c r="EB24" s="28">
        <f>COGS!EB24+'SG&amp;A'!EB24</f>
        <v>11.229754439999999</v>
      </c>
      <c r="EC24" s="28">
        <f>COGS!EC24+'SG&amp;A'!EC24</f>
        <v>10.945708639999999</v>
      </c>
      <c r="ED24" s="28">
        <f>COGS!ED24+'SG&amp;A'!ED24</f>
        <v>13.081</v>
      </c>
      <c r="EE24" s="28">
        <f>COGS!EE24+'SG&amp;A'!EE24</f>
        <v>5.1402470899999964</v>
      </c>
      <c r="EF24" s="28">
        <f>COGS!EF24+'SG&amp;A'!EF24</f>
        <v>40.396710169999999</v>
      </c>
      <c r="EG24" s="28">
        <f>COGS!EG24+'SG&amp;A'!EG24</f>
        <v>11.54531347</v>
      </c>
      <c r="EH24" s="28">
        <f>COGS!EH24+'SG&amp;A'!EH24</f>
        <v>11.744677080000001</v>
      </c>
      <c r="EI24" s="28">
        <f>COGS!EI24+'SG&amp;A'!EI24</f>
        <v>12.022613720000003</v>
      </c>
    </row>
    <row r="25" spans="1:139" ht="15" thickTop="1" x14ac:dyDescent="0.3">
      <c r="A25" s="1" t="s">
        <v>308</v>
      </c>
      <c r="B25" s="27">
        <f>COGS!B25+'SG&amp;A'!B25</f>
        <v>0</v>
      </c>
      <c r="C25" s="27">
        <f>COGS!C25+'SG&amp;A'!C25</f>
        <v>0</v>
      </c>
      <c r="D25" s="27">
        <f>COGS!D25+'SG&amp;A'!D25</f>
        <v>0</v>
      </c>
      <c r="E25" s="27">
        <f>COGS!E25+'SG&amp;A'!E25</f>
        <v>0</v>
      </c>
      <c r="F25" s="27">
        <f>COGS!F25+'SG&amp;A'!F25</f>
        <v>0</v>
      </c>
      <c r="G25" s="27">
        <f>COGS!G25+'SG&amp;A'!G25</f>
        <v>0</v>
      </c>
      <c r="H25" s="27">
        <f>COGS!H25+'SG&amp;A'!H25</f>
        <v>0</v>
      </c>
      <c r="I25" s="27">
        <f>COGS!I25+'SG&amp;A'!I25</f>
        <v>0</v>
      </c>
      <c r="J25" s="27">
        <f>COGS!J25+'SG&amp;A'!J25</f>
        <v>0</v>
      </c>
      <c r="K25" s="27">
        <f>COGS!K25+'SG&amp;A'!K25</f>
        <v>0</v>
      </c>
      <c r="L25" s="27">
        <f>COGS!L25+'SG&amp;A'!L25</f>
        <v>0</v>
      </c>
      <c r="M25" s="27">
        <f>COGS!M25+'SG&amp;A'!M25</f>
        <v>0</v>
      </c>
      <c r="N25" s="27">
        <f>COGS!N25+'SG&amp;A'!N25</f>
        <v>0</v>
      </c>
      <c r="O25" s="27">
        <f>COGS!O25+'SG&amp;A'!O25</f>
        <v>0</v>
      </c>
      <c r="P25" s="27">
        <f>COGS!P25+'SG&amp;A'!P25</f>
        <v>0</v>
      </c>
      <c r="Q25" s="27">
        <f>COGS!Q25+'SG&amp;A'!Q25</f>
        <v>0</v>
      </c>
      <c r="R25" s="27">
        <f>COGS!R25+'SG&amp;A'!R25</f>
        <v>0</v>
      </c>
      <c r="S25" s="27">
        <f>COGS!S25+'SG&amp;A'!S25</f>
        <v>0</v>
      </c>
      <c r="T25" s="27">
        <f>COGS!T25+'SG&amp;A'!T25</f>
        <v>0</v>
      </c>
      <c r="U25" s="27">
        <f>COGS!U25+'SG&amp;A'!U25</f>
        <v>0</v>
      </c>
      <c r="V25" s="27">
        <f>COGS!V25+'SG&amp;A'!V25</f>
        <v>0</v>
      </c>
      <c r="W25" s="27">
        <f>COGS!W25+'SG&amp;A'!W25</f>
        <v>0</v>
      </c>
      <c r="X25" s="27">
        <f>COGS!X25+'SG&amp;A'!X25</f>
        <v>0</v>
      </c>
      <c r="Y25" s="27">
        <f>COGS!Y25+'SG&amp;A'!Y25</f>
        <v>0</v>
      </c>
      <c r="Z25" s="27">
        <f>COGS!Z25+'SG&amp;A'!Z25</f>
        <v>0</v>
      </c>
      <c r="AA25" s="27">
        <f>COGS!AA25+'SG&amp;A'!AA25</f>
        <v>0</v>
      </c>
      <c r="AB25" s="27">
        <f>COGS!AB25+'SG&amp;A'!AB25</f>
        <v>0</v>
      </c>
      <c r="AC25" s="27">
        <f>COGS!AC25+'SG&amp;A'!AC25</f>
        <v>0</v>
      </c>
      <c r="AD25" s="27">
        <f>COGS!AD25+'SG&amp;A'!AD25</f>
        <v>0</v>
      </c>
      <c r="AE25" s="27">
        <f>COGS!AE25+'SG&amp;A'!AE25</f>
        <v>0</v>
      </c>
      <c r="AF25" s="27">
        <f>COGS!AF25+'SG&amp;A'!AF25</f>
        <v>0</v>
      </c>
      <c r="AG25" s="27">
        <f>COGS!AG25+'SG&amp;A'!AG25</f>
        <v>0</v>
      </c>
      <c r="AH25" s="27">
        <f>COGS!AH25+'SG&amp;A'!AH25</f>
        <v>0</v>
      </c>
      <c r="AI25" s="27">
        <f>COGS!AI25+'SG&amp;A'!AI25</f>
        <v>0</v>
      </c>
      <c r="AJ25" s="27">
        <f>COGS!AJ25+'SG&amp;A'!AJ25</f>
        <v>0</v>
      </c>
      <c r="AK25" s="27">
        <f>COGS!AK25+'SG&amp;A'!AK25</f>
        <v>0</v>
      </c>
      <c r="AL25" s="27">
        <f>COGS!AL25+'SG&amp;A'!AL25</f>
        <v>0</v>
      </c>
      <c r="AM25" s="27">
        <f>COGS!AM25+'SG&amp;A'!AM25</f>
        <v>0</v>
      </c>
      <c r="AN25" s="27">
        <f>COGS!AN25+'SG&amp;A'!AN25</f>
        <v>0</v>
      </c>
      <c r="AO25" s="27">
        <f>COGS!AO25+'SG&amp;A'!AO25</f>
        <v>0</v>
      </c>
      <c r="AP25" s="27">
        <f>COGS!AP25+'SG&amp;A'!AP25</f>
        <v>0</v>
      </c>
      <c r="AQ25" s="27">
        <f>COGS!AQ25+'SG&amp;A'!AQ25</f>
        <v>0</v>
      </c>
      <c r="AR25" s="27">
        <f>COGS!AR25+'SG&amp;A'!AR25</f>
        <v>0</v>
      </c>
      <c r="AS25" s="27">
        <f>COGS!AS25+'SG&amp;A'!AS25</f>
        <v>0</v>
      </c>
      <c r="AT25" s="27">
        <f>COGS!AT25+'SG&amp;A'!AT25</f>
        <v>0</v>
      </c>
      <c r="AU25" s="27">
        <f>COGS!AU25+'SG&amp;A'!AU25</f>
        <v>0</v>
      </c>
      <c r="AV25" s="27">
        <f>COGS!AV25+'SG&amp;A'!AV25</f>
        <v>0</v>
      </c>
      <c r="AW25" s="27">
        <f>COGS!AW25+'SG&amp;A'!AW25</f>
        <v>0</v>
      </c>
      <c r="AX25" s="27">
        <f>COGS!AX25+'SG&amp;A'!AX25</f>
        <v>0</v>
      </c>
      <c r="AY25" s="27">
        <f>COGS!AY25+'SG&amp;A'!AY25</f>
        <v>0</v>
      </c>
      <c r="AZ25" s="27">
        <f>COGS!AZ25+'SG&amp;A'!AZ25</f>
        <v>0</v>
      </c>
      <c r="BA25" s="27">
        <f>COGS!BA25+'SG&amp;A'!BA25</f>
        <v>0</v>
      </c>
      <c r="BB25" s="27">
        <f>COGS!BB25+'SG&amp;A'!BB25</f>
        <v>0</v>
      </c>
      <c r="BC25" s="27">
        <f>COGS!BC25+'SG&amp;A'!BC25</f>
        <v>0</v>
      </c>
      <c r="BD25" s="27">
        <f>COGS!BD25+'SG&amp;A'!BD25</f>
        <v>0</v>
      </c>
      <c r="BE25" s="27">
        <f>COGS!BE25+'SG&amp;A'!BE25</f>
        <v>0</v>
      </c>
      <c r="BF25" s="27">
        <f>COGS!BF25+'SG&amp;A'!BF25</f>
        <v>0</v>
      </c>
      <c r="BG25" s="27">
        <f>COGS!BG25+'SG&amp;A'!BG25</f>
        <v>0</v>
      </c>
      <c r="BH25" s="27">
        <f>COGS!BH25+'SG&amp;A'!BH25</f>
        <v>0</v>
      </c>
      <c r="BI25" s="27">
        <f>COGS!BI25+'SG&amp;A'!BI25</f>
        <v>0</v>
      </c>
      <c r="BJ25" s="27">
        <f>COGS!BJ25+'SG&amp;A'!BJ25</f>
        <v>-24.86873207</v>
      </c>
      <c r="BK25" s="27">
        <f>COGS!BK25+'SG&amp;A'!BK25</f>
        <v>-26.148339660000005</v>
      </c>
      <c r="BL25" s="27">
        <f>COGS!BL25+'SG&amp;A'!BL25</f>
        <v>-27.962419869999991</v>
      </c>
      <c r="BM25" s="27">
        <f>COGS!BM25+'SG&amp;A'!BM25</f>
        <v>-27.493562080000004</v>
      </c>
      <c r="BN25" s="27">
        <f>COGS!BN25+'SG&amp;A'!BN25</f>
        <v>-106.47305367999999</v>
      </c>
      <c r="BO25" s="27">
        <f>COGS!BO25+'SG&amp;A'!BO25</f>
        <v>-37.918678549999996</v>
      </c>
      <c r="BP25" s="27">
        <f>COGS!BP25+'SG&amp;A'!BP25</f>
        <v>-36.94924885999999</v>
      </c>
      <c r="BQ25" s="27">
        <f>COGS!BQ25+'SG&amp;A'!BQ25</f>
        <v>-43.94218303000001</v>
      </c>
      <c r="BR25" s="27">
        <f>COGS!BR25+'SG&amp;A'!BR25</f>
        <v>-42.827682279999991</v>
      </c>
      <c r="BS25" s="27">
        <f>COGS!BS25+'SG&amp;A'!BS25</f>
        <v>-161.63779271999999</v>
      </c>
      <c r="BT25" s="27">
        <f>COGS!BT25+'SG&amp;A'!BT25</f>
        <v>-27.6</v>
      </c>
      <c r="BU25" s="27">
        <f>COGS!BU25+'SG&amp;A'!BU25</f>
        <v>-28.900000000000002</v>
      </c>
      <c r="BV25" s="27">
        <f>COGS!BV25+'SG&amp;A'!BV25</f>
        <v>-11.4</v>
      </c>
      <c r="BW25" s="27">
        <f>COGS!BW25+'SG&amp;A'!BW25</f>
        <v>-87.6</v>
      </c>
      <c r="BX25" s="27">
        <f>COGS!BX25+'SG&amp;A'!BX25</f>
        <v>-155.5</v>
      </c>
      <c r="BY25" s="27">
        <f>COGS!BY25+'SG&amp;A'!BY25</f>
        <v>-31.400000000000002</v>
      </c>
      <c r="BZ25" s="27">
        <f>COGS!BZ25+'SG&amp;A'!BZ25</f>
        <v>-21.7</v>
      </c>
      <c r="CA25" s="27">
        <f>COGS!CA25+'SG&amp;A'!CA25</f>
        <v>-23.6</v>
      </c>
      <c r="CB25" s="27">
        <f>COGS!CB25+'SG&amp;A'!CB25</f>
        <v>-68.699999999999989</v>
      </c>
      <c r="CC25" s="27">
        <f>COGS!CC25+'SG&amp;A'!CC25</f>
        <v>-145.4</v>
      </c>
      <c r="CD25" s="27">
        <f>COGS!CD25+'SG&amp;A'!CD25</f>
        <v>-33.909304779999999</v>
      </c>
      <c r="CE25" s="27">
        <f>COGS!CE25+'SG&amp;A'!CE25</f>
        <v>-43.908997677999892</v>
      </c>
      <c r="CF25" s="27">
        <f>COGS!CF25+'SG&amp;A'!CF25</f>
        <v>-39.9</v>
      </c>
      <c r="CG25" s="27">
        <f>COGS!CG25+'SG&amp;A'!CG25</f>
        <v>-41</v>
      </c>
      <c r="CH25" s="27">
        <f>COGS!CH25+'SG&amp;A'!CH25</f>
        <v>-158.7183024579999</v>
      </c>
      <c r="CI25" s="27">
        <f>COGS!CI25+'SG&amp;A'!CI25</f>
        <v>-41.993673900000005</v>
      </c>
      <c r="CJ25" s="27">
        <f>COGS!CJ25+'SG&amp;A'!CJ25</f>
        <v>-42.151934299999994</v>
      </c>
      <c r="CK25" s="27">
        <f>COGS!CK25+'SG&amp;A'!CK25</f>
        <v>-47.694500160000011</v>
      </c>
      <c r="CL25" s="27">
        <f>COGS!CL25+'SG&amp;A'!CL25</f>
        <v>-47.000147429999998</v>
      </c>
      <c r="CM25" s="27">
        <f>COGS!CM25+'SG&amp;A'!CM25</f>
        <v>-178.84025579000001</v>
      </c>
      <c r="CN25" s="27">
        <f>COGS!CN25+'SG&amp;A'!CN25</f>
        <v>-41.711898669999982</v>
      </c>
      <c r="CO25" s="27">
        <f>COGS!CO25+'SG&amp;A'!CO25</f>
        <v>-40.735499200000007</v>
      </c>
      <c r="CP25" s="27">
        <f>COGS!CP25+'SG&amp;A'!CP25</f>
        <v>-44.025698000000006</v>
      </c>
      <c r="CQ25" s="27">
        <f>COGS!CQ25+'SG&amp;A'!CQ25</f>
        <v>-25.314904130000002</v>
      </c>
      <c r="CR25" s="27">
        <f>COGS!CR25+'SG&amp;A'!CR25</f>
        <v>-151.78800000000001</v>
      </c>
      <c r="CS25" s="27">
        <f>COGS!CS25+'SG&amp;A'!CS25</f>
        <v>-41.168368579999992</v>
      </c>
      <c r="CT25" s="27">
        <f>COGS!CT25+'SG&amp;A'!CT25</f>
        <v>-41.11494204000001</v>
      </c>
      <c r="CU25" s="27">
        <f>COGS!CU25+'SG&amp;A'!CU25</f>
        <v>-40.56034099999998</v>
      </c>
      <c r="CV25" s="27">
        <f>COGS!CV25+'SG&amp;A'!CV25</f>
        <v>-39.561381250000032</v>
      </c>
      <c r="CW25" s="27">
        <f>COGS!CW25+'SG&amp;A'!CW25</f>
        <v>-162.40503287000001</v>
      </c>
      <c r="CX25" s="27">
        <f>COGS!CX25+'SG&amp;A'!CX25</f>
        <v>-40.547000000000004</v>
      </c>
      <c r="CY25" s="27">
        <f>COGS!CY25+'SG&amp;A'!CY25</f>
        <v>-40.497</v>
      </c>
      <c r="CZ25" s="27">
        <f>COGS!CZ25+'SG&amp;A'!CZ25</f>
        <v>-39.777000000000001</v>
      </c>
      <c r="DA25" s="27">
        <f>COGS!DA25+'SG&amp;A'!DA25</f>
        <v>-39.997</v>
      </c>
      <c r="DB25" s="27">
        <f>COGS!DB25+'SG&amp;A'!DB25</f>
        <v>-160.81799999999998</v>
      </c>
      <c r="DC25" s="27">
        <f>COGS!DC25+'SG&amp;A'!DC25</f>
        <v>-39.57</v>
      </c>
      <c r="DD25" s="27">
        <f>COGS!DD25+'SG&amp;A'!DD25</f>
        <v>-41.103999999999999</v>
      </c>
      <c r="DE25" s="27">
        <f>COGS!DE25+'SG&amp;A'!DE25</f>
        <v>-43.188000000000002</v>
      </c>
      <c r="DF25" s="27">
        <f>COGS!DF25+'SG&amp;A'!DF25</f>
        <v>-31.667000000000002</v>
      </c>
      <c r="DG25" s="27">
        <f>COGS!DG25+'SG&amp;A'!DG25</f>
        <v>-155.529</v>
      </c>
      <c r="DH25" s="27">
        <f>COGS!DH25+'SG&amp;A'!DH25</f>
        <v>-69.117999999999995</v>
      </c>
      <c r="DI25" s="27">
        <f>COGS!DI25+'SG&amp;A'!DI25</f>
        <v>-57.504000000000005</v>
      </c>
      <c r="DJ25" s="27">
        <f>COGS!DJ25+'SG&amp;A'!DJ25</f>
        <v>-57.302999999999997</v>
      </c>
      <c r="DK25" s="27">
        <f>COGS!DK25+'SG&amp;A'!DK25</f>
        <v>-36.818999999999996</v>
      </c>
      <c r="DL25" s="27">
        <f>COGS!DL25+'SG&amp;A'!DL25</f>
        <v>-220.744</v>
      </c>
      <c r="DM25" s="27">
        <f>COGS!DM25+'SG&amp;A'!DM25</f>
        <v>-73.793999999999997</v>
      </c>
      <c r="DN25" s="27">
        <f>COGS!DN25+'SG&amp;A'!DN25</f>
        <v>-69.239000000000004</v>
      </c>
      <c r="DO25" s="27">
        <f>COGS!DO25+'SG&amp;A'!DO25</f>
        <v>-72.37</v>
      </c>
      <c r="DP25" s="27">
        <f>COGS!DP25+'SG&amp;A'!DP25</f>
        <v>-72.531000000000006</v>
      </c>
      <c r="DQ25" s="27">
        <f>COGS!DQ25+'SG&amp;A'!DQ25</f>
        <v>-287.93400000000003</v>
      </c>
      <c r="DR25" s="27">
        <f>COGS!DR25+'SG&amp;A'!DR25</f>
        <v>-73.400000000000006</v>
      </c>
      <c r="DS25" s="27">
        <f>COGS!DS25+'SG&amp;A'!DS25</f>
        <v>-73.323999999999998</v>
      </c>
      <c r="DT25" s="27">
        <f>COGS!DT25+'SG&amp;A'!DT25</f>
        <v>-73.373999999999995</v>
      </c>
      <c r="DU25" s="27">
        <f>COGS!DU25+'SG&amp;A'!DU25</f>
        <v>-87.594999999999999</v>
      </c>
      <c r="DV25" s="27">
        <f>COGS!DV25+'SG&amp;A'!DV25</f>
        <v>-307.69299999999998</v>
      </c>
      <c r="DW25" s="27">
        <f>COGS!DW25+'SG&amp;A'!DW25</f>
        <v>-86.832999999999998</v>
      </c>
      <c r="DX25" s="27">
        <f>COGS!DX25+'SG&amp;A'!DX25</f>
        <v>-85.82970933</v>
      </c>
      <c r="DY25" s="27">
        <f>COGS!DY25+'SG&amp;A'!DY25</f>
        <v>-94.361043199999983</v>
      </c>
      <c r="DZ25" s="27">
        <f>COGS!DZ25+'SG&amp;A'!DZ25</f>
        <v>-93.798992100000007</v>
      </c>
      <c r="EA25" s="27">
        <f>COGS!EA25+'SG&amp;A'!EA25</f>
        <v>-360.82274462999999</v>
      </c>
      <c r="EB25" s="27">
        <f>COGS!EB25+'SG&amp;A'!EB25</f>
        <v>-104.66172091999999</v>
      </c>
      <c r="EC25" s="27">
        <f>COGS!EC25+'SG&amp;A'!EC25</f>
        <v>-106.73202038000001</v>
      </c>
      <c r="ED25" s="27">
        <f>COGS!ED25+'SG&amp;A'!ED25</f>
        <v>-105.09700000000001</v>
      </c>
      <c r="EE25" s="27">
        <f>COGS!EE25+'SG&amp;A'!EE25</f>
        <v>-107.99698978999997</v>
      </c>
      <c r="EF25" s="27">
        <f>COGS!EF25+'SG&amp;A'!EF25</f>
        <v>-424.48773108999995</v>
      </c>
      <c r="EG25" s="27">
        <f>COGS!EG25+'SG&amp;A'!EG25</f>
        <v>-125.52979037</v>
      </c>
      <c r="EH25" s="27">
        <f>COGS!EH25+'SG&amp;A'!EH25</f>
        <v>-128.1675482</v>
      </c>
      <c r="EI25" s="27">
        <f>COGS!EI25+'SG&amp;A'!EI25</f>
        <v>-131.17398598</v>
      </c>
    </row>
    <row r="26" spans="1:139" x14ac:dyDescent="0.3">
      <c r="A26" s="5" t="s">
        <v>311</v>
      </c>
      <c r="B26" s="10">
        <f>SUM(B3:B25)</f>
        <v>0</v>
      </c>
      <c r="C26" s="10">
        <f t="shared" ref="C26:BI26" si="0">SUM(C3:C25)</f>
        <v>0</v>
      </c>
      <c r="D26" s="10">
        <f t="shared" si="0"/>
        <v>0</v>
      </c>
      <c r="E26" s="10">
        <f t="shared" si="0"/>
        <v>0</v>
      </c>
      <c r="F26" s="10">
        <f t="shared" si="0"/>
        <v>0</v>
      </c>
      <c r="G26" s="10">
        <f t="shared" si="0"/>
        <v>0</v>
      </c>
      <c r="H26" s="10">
        <f t="shared" si="0"/>
        <v>0</v>
      </c>
      <c r="I26" s="10">
        <f t="shared" si="0"/>
        <v>0</v>
      </c>
      <c r="J26" s="10">
        <f t="shared" si="0"/>
        <v>0</v>
      </c>
      <c r="K26" s="10">
        <f t="shared" si="0"/>
        <v>0</v>
      </c>
      <c r="L26" s="10">
        <f t="shared" si="0"/>
        <v>0</v>
      </c>
      <c r="M26" s="10">
        <f t="shared" si="0"/>
        <v>0</v>
      </c>
      <c r="N26" s="10">
        <f t="shared" si="0"/>
        <v>0</v>
      </c>
      <c r="O26" s="10">
        <f t="shared" si="0"/>
        <v>0</v>
      </c>
      <c r="P26" s="10">
        <f t="shared" si="0"/>
        <v>0</v>
      </c>
      <c r="Q26" s="10">
        <f t="shared" si="0"/>
        <v>0</v>
      </c>
      <c r="R26" s="10">
        <f t="shared" si="0"/>
        <v>0</v>
      </c>
      <c r="S26" s="10">
        <f t="shared" si="0"/>
        <v>0</v>
      </c>
      <c r="T26" s="10">
        <f t="shared" si="0"/>
        <v>0</v>
      </c>
      <c r="U26" s="10">
        <f t="shared" si="0"/>
        <v>0</v>
      </c>
      <c r="V26" s="10">
        <f t="shared" si="0"/>
        <v>0</v>
      </c>
      <c r="W26" s="10">
        <f t="shared" si="0"/>
        <v>0</v>
      </c>
      <c r="X26" s="10">
        <f t="shared" si="0"/>
        <v>0</v>
      </c>
      <c r="Y26" s="10">
        <f t="shared" si="0"/>
        <v>0</v>
      </c>
      <c r="Z26" s="10">
        <f t="shared" si="0"/>
        <v>0</v>
      </c>
      <c r="AA26" s="10">
        <f t="shared" si="0"/>
        <v>0</v>
      </c>
      <c r="AB26" s="10">
        <f t="shared" si="0"/>
        <v>0</v>
      </c>
      <c r="AC26" s="10">
        <f t="shared" si="0"/>
        <v>0</v>
      </c>
      <c r="AD26" s="10">
        <f t="shared" si="0"/>
        <v>0</v>
      </c>
      <c r="AE26" s="10">
        <f t="shared" si="0"/>
        <v>0</v>
      </c>
      <c r="AF26" s="10">
        <f t="shared" si="0"/>
        <v>0</v>
      </c>
      <c r="AG26" s="10">
        <f t="shared" si="0"/>
        <v>0</v>
      </c>
      <c r="AH26" s="10">
        <f t="shared" si="0"/>
        <v>0</v>
      </c>
      <c r="AI26" s="10">
        <f t="shared" si="0"/>
        <v>0</v>
      </c>
      <c r="AJ26" s="10">
        <f t="shared" si="0"/>
        <v>0</v>
      </c>
      <c r="AK26" s="10">
        <f t="shared" si="0"/>
        <v>0</v>
      </c>
      <c r="AL26" s="10">
        <f t="shared" si="0"/>
        <v>0</v>
      </c>
      <c r="AM26" s="10">
        <f t="shared" si="0"/>
        <v>0</v>
      </c>
      <c r="AN26" s="10">
        <f t="shared" si="0"/>
        <v>0</v>
      </c>
      <c r="AO26" s="10">
        <f t="shared" si="0"/>
        <v>0</v>
      </c>
      <c r="AP26" s="10">
        <f t="shared" si="0"/>
        <v>0</v>
      </c>
      <c r="AQ26" s="10">
        <f t="shared" si="0"/>
        <v>0</v>
      </c>
      <c r="AR26" s="10">
        <f t="shared" si="0"/>
        <v>0</v>
      </c>
      <c r="AS26" s="10">
        <f t="shared" si="0"/>
        <v>0</v>
      </c>
      <c r="AT26" s="10">
        <f t="shared" si="0"/>
        <v>0</v>
      </c>
      <c r="AU26" s="10">
        <f t="shared" si="0"/>
        <v>0</v>
      </c>
      <c r="AV26" s="10">
        <f t="shared" si="0"/>
        <v>0</v>
      </c>
      <c r="AW26" s="10">
        <f t="shared" si="0"/>
        <v>0</v>
      </c>
      <c r="AX26" s="10">
        <f t="shared" si="0"/>
        <v>0</v>
      </c>
      <c r="AY26" s="10">
        <f t="shared" si="0"/>
        <v>0</v>
      </c>
      <c r="AZ26" s="10">
        <f t="shared" si="0"/>
        <v>0</v>
      </c>
      <c r="BA26" s="10">
        <f t="shared" si="0"/>
        <v>0</v>
      </c>
      <c r="BB26" s="10">
        <f t="shared" si="0"/>
        <v>0</v>
      </c>
      <c r="BC26" s="10">
        <f t="shared" si="0"/>
        <v>0</v>
      </c>
      <c r="BD26" s="10">
        <f t="shared" si="0"/>
        <v>0</v>
      </c>
      <c r="BE26" s="10">
        <f t="shared" si="0"/>
        <v>0</v>
      </c>
      <c r="BF26" s="10">
        <f t="shared" si="0"/>
        <v>0</v>
      </c>
      <c r="BG26" s="10">
        <f t="shared" si="0"/>
        <v>0</v>
      </c>
      <c r="BH26" s="10">
        <f t="shared" si="0"/>
        <v>0</v>
      </c>
      <c r="BI26" s="10">
        <f t="shared" si="0"/>
        <v>0</v>
      </c>
      <c r="BJ26" s="29">
        <f>SUM(BJ3:BJ25)</f>
        <v>200.68933992000004</v>
      </c>
      <c r="BK26" s="29">
        <f t="shared" ref="BK26:DT26" si="1">SUM(BK3:BK25)</f>
        <v>173.83766525999999</v>
      </c>
      <c r="BL26" s="29">
        <f t="shared" si="1"/>
        <v>180.84659923000004</v>
      </c>
      <c r="BM26" s="29">
        <f t="shared" si="1"/>
        <v>200.57592919999996</v>
      </c>
      <c r="BN26" s="29">
        <f t="shared" si="1"/>
        <v>755.94953361000012</v>
      </c>
      <c r="BO26" s="29">
        <f t="shared" si="1"/>
        <v>228.50075070000008</v>
      </c>
      <c r="BP26" s="29">
        <f t="shared" si="1"/>
        <v>262.95851347999997</v>
      </c>
      <c r="BQ26" s="29">
        <f t="shared" si="1"/>
        <v>263.14694369999995</v>
      </c>
      <c r="BR26" s="29">
        <f t="shared" si="1"/>
        <v>284.30904734000006</v>
      </c>
      <c r="BS26" s="29">
        <f t="shared" si="1"/>
        <v>1038.9152552199998</v>
      </c>
      <c r="BT26" s="29">
        <f t="shared" si="1"/>
        <v>197.94986094000004</v>
      </c>
      <c r="BU26" s="29">
        <f t="shared" si="1"/>
        <v>254.63315065999998</v>
      </c>
      <c r="BV26" s="29">
        <f t="shared" si="1"/>
        <v>366.28993976999993</v>
      </c>
      <c r="BW26" s="29">
        <f t="shared" si="1"/>
        <v>398.40694254000005</v>
      </c>
      <c r="BX26" s="29">
        <f t="shared" si="1"/>
        <v>1217.2798939100001</v>
      </c>
      <c r="BY26" s="29">
        <f t="shared" si="1"/>
        <v>317.68426580000005</v>
      </c>
      <c r="BZ26" s="29">
        <f t="shared" si="1"/>
        <v>418.85296614000004</v>
      </c>
      <c r="CA26" s="29">
        <f t="shared" si="1"/>
        <v>444.85755188999991</v>
      </c>
      <c r="CB26" s="29">
        <f t="shared" si="1"/>
        <v>530.27078841000002</v>
      </c>
      <c r="CC26" s="29">
        <f t="shared" si="1"/>
        <v>1711.6655722399996</v>
      </c>
      <c r="CD26" s="29">
        <f t="shared" si="1"/>
        <v>422.67323089999996</v>
      </c>
      <c r="CE26" s="29">
        <f t="shared" si="1"/>
        <v>642.1130165520002</v>
      </c>
      <c r="CF26" s="29">
        <f t="shared" si="1"/>
        <v>488.38994760000003</v>
      </c>
      <c r="CG26" s="29">
        <f t="shared" si="1"/>
        <v>526.49049404999994</v>
      </c>
      <c r="CH26" s="29">
        <f t="shared" si="1"/>
        <v>2079.666689102</v>
      </c>
      <c r="CI26" s="29">
        <f t="shared" si="1"/>
        <v>437.28512920000003</v>
      </c>
      <c r="CJ26" s="29">
        <f t="shared" si="1"/>
        <v>457.09338913999994</v>
      </c>
      <c r="CK26" s="29">
        <f t="shared" si="1"/>
        <v>448.07267869000003</v>
      </c>
      <c r="CL26" s="29">
        <f t="shared" si="1"/>
        <v>445.07565070999999</v>
      </c>
      <c r="CM26" s="29">
        <f t="shared" si="1"/>
        <v>1787.52684774</v>
      </c>
      <c r="CN26" s="29">
        <f t="shared" si="1"/>
        <v>369.55700055000005</v>
      </c>
      <c r="CO26" s="29">
        <f t="shared" si="1"/>
        <v>423.61209592999995</v>
      </c>
      <c r="CP26" s="29">
        <f t="shared" si="1"/>
        <v>488.82029174000002</v>
      </c>
      <c r="CQ26" s="29">
        <f t="shared" si="1"/>
        <v>474.20661178</v>
      </c>
      <c r="CR26" s="29">
        <f t="shared" si="1"/>
        <v>1756.1960000000001</v>
      </c>
      <c r="CS26" s="29">
        <f t="shared" si="1"/>
        <v>393.00548743000007</v>
      </c>
      <c r="CT26" s="29">
        <f t="shared" si="1"/>
        <v>455.35468735999996</v>
      </c>
      <c r="CU26" s="29">
        <f t="shared" si="1"/>
        <v>489.75337394999997</v>
      </c>
      <c r="CV26" s="29">
        <f t="shared" si="1"/>
        <v>530.17386349999992</v>
      </c>
      <c r="CW26" s="29">
        <f t="shared" si="1"/>
        <v>1868.2874122399999</v>
      </c>
      <c r="CX26" s="29">
        <f t="shared" si="1"/>
        <v>447.61699999999996</v>
      </c>
      <c r="CY26" s="29">
        <f t="shared" si="1"/>
        <v>447.75699999999989</v>
      </c>
      <c r="CZ26" s="29">
        <f t="shared" si="1"/>
        <v>474.91299999999995</v>
      </c>
      <c r="DA26" s="29">
        <f t="shared" si="1"/>
        <v>628.90899999999999</v>
      </c>
      <c r="DB26" s="29">
        <f t="shared" si="1"/>
        <v>1999.1960000000001</v>
      </c>
      <c r="DC26" s="29">
        <f t="shared" si="1"/>
        <v>602.21800000000019</v>
      </c>
      <c r="DD26" s="29">
        <f t="shared" si="1"/>
        <v>684.40199999999993</v>
      </c>
      <c r="DE26" s="29">
        <f t="shared" si="1"/>
        <v>670.41799999999978</v>
      </c>
      <c r="DF26" s="29">
        <f t="shared" si="1"/>
        <v>793.13599999999997</v>
      </c>
      <c r="DG26" s="29">
        <f t="shared" si="1"/>
        <v>2750.1739999999991</v>
      </c>
      <c r="DH26" s="29">
        <f t="shared" si="1"/>
        <v>598.33399999999983</v>
      </c>
      <c r="DI26" s="29">
        <f t="shared" si="1"/>
        <v>650.08699999999999</v>
      </c>
      <c r="DJ26" s="29">
        <f t="shared" si="1"/>
        <v>701.50399999999991</v>
      </c>
      <c r="DK26" s="29">
        <f t="shared" si="1"/>
        <v>744.15200000000004</v>
      </c>
      <c r="DL26" s="29">
        <f t="shared" si="1"/>
        <v>2694.0769999999998</v>
      </c>
      <c r="DM26" s="29">
        <f t="shared" si="1"/>
        <v>618.23000000000013</v>
      </c>
      <c r="DN26" s="29">
        <f t="shared" si="1"/>
        <v>738.20899999999983</v>
      </c>
      <c r="DO26" s="29">
        <f t="shared" si="1"/>
        <v>841.25599999999997</v>
      </c>
      <c r="DP26" s="29">
        <f t="shared" si="1"/>
        <v>892.75800000000004</v>
      </c>
      <c r="DQ26" s="29">
        <f t="shared" si="1"/>
        <v>3090.4530000000004</v>
      </c>
      <c r="DR26" s="29">
        <f t="shared" si="1"/>
        <v>822.67499999999995</v>
      </c>
      <c r="DS26" s="29">
        <f t="shared" si="1"/>
        <v>1055.6639999999998</v>
      </c>
      <c r="DT26" s="29">
        <f t="shared" si="1"/>
        <v>1280.1389999999999</v>
      </c>
      <c r="DU26" s="29">
        <f t="shared" ref="DU26:EA26" si="2">SUM(DU3:DU25)</f>
        <v>1287.133</v>
      </c>
      <c r="DV26" s="29">
        <f t="shared" si="2"/>
        <v>4445.6109999999999</v>
      </c>
      <c r="DW26" s="29">
        <f t="shared" si="2"/>
        <v>1028.0330000000001</v>
      </c>
      <c r="DX26" s="29">
        <f t="shared" si="2"/>
        <v>1326.17335632</v>
      </c>
      <c r="DY26" s="29">
        <f t="shared" si="2"/>
        <v>1756.15654167</v>
      </c>
      <c r="DZ26" s="29">
        <f t="shared" si="2"/>
        <v>1787.9125380600001</v>
      </c>
      <c r="EA26" s="29">
        <f t="shared" si="2"/>
        <v>5898.2754360500021</v>
      </c>
      <c r="EB26" s="29">
        <f>SUM(EB3:EB25)</f>
        <v>1280.9278624000003</v>
      </c>
      <c r="EC26" s="29">
        <f>SUM(EC3:EC25)</f>
        <v>1535.5789686900005</v>
      </c>
      <c r="ED26" s="29">
        <f>SUM(ED3:ED25)</f>
        <v>1607.1559999999999</v>
      </c>
      <c r="EE26" s="29">
        <f>SUM(EE3:EE25)</f>
        <v>1890.1630832099991</v>
      </c>
      <c r="EF26" s="29">
        <f t="shared" ref="EF26" si="3">SUM(EF3:EF25)</f>
        <v>6313.8259143000005</v>
      </c>
      <c r="EG26" s="29">
        <f>SUM(EG3:EG25)</f>
        <v>1496.4593642499999</v>
      </c>
      <c r="EH26" s="29">
        <f>SUM(EH3:EH25)</f>
        <v>1717.0447479199997</v>
      </c>
      <c r="EI26" s="29">
        <f>SUM(EI3:EI25)</f>
        <v>1887.7258779800002</v>
      </c>
    </row>
    <row r="27" spans="1:139" x14ac:dyDescent="0.3"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</row>
    <row r="28" spans="1:139" x14ac:dyDescent="0.3">
      <c r="A28" s="22"/>
      <c r="CS28" s="33"/>
      <c r="CT28" s="33"/>
      <c r="CU28" s="33"/>
      <c r="CV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</row>
    <row r="29" spans="1:139" x14ac:dyDescent="0.3">
      <c r="CS29" s="33"/>
      <c r="CT29" s="33"/>
      <c r="CU29" s="33"/>
      <c r="CV29" s="33"/>
      <c r="CW29" s="33"/>
    </row>
    <row r="30" spans="1:139" x14ac:dyDescent="0.3">
      <c r="A30" s="3" t="s">
        <v>328</v>
      </c>
      <c r="B30" s="6" t="s">
        <v>4</v>
      </c>
      <c r="C30" s="6" t="s">
        <v>5</v>
      </c>
      <c r="D30" s="6" t="s">
        <v>6</v>
      </c>
      <c r="E30" s="6" t="s">
        <v>7</v>
      </c>
      <c r="F30" s="6">
        <v>2018</v>
      </c>
      <c r="G30" s="6" t="s">
        <v>8</v>
      </c>
      <c r="H30" s="6" t="s">
        <v>9</v>
      </c>
      <c r="I30" s="6" t="s">
        <v>10</v>
      </c>
      <c r="J30" s="6" t="s">
        <v>11</v>
      </c>
      <c r="K30" s="6">
        <v>2019</v>
      </c>
      <c r="L30" s="6" t="s">
        <v>12</v>
      </c>
      <c r="M30" s="6" t="s">
        <v>13</v>
      </c>
      <c r="N30" s="6" t="s">
        <v>14</v>
      </c>
      <c r="O30" s="6" t="s">
        <v>15</v>
      </c>
      <c r="P30" s="6">
        <v>2000</v>
      </c>
      <c r="Q30" s="6" t="s">
        <v>16</v>
      </c>
      <c r="R30" s="6" t="s">
        <v>17</v>
      </c>
      <c r="S30" s="6" t="s">
        <v>18</v>
      </c>
      <c r="T30" s="6" t="s">
        <v>19</v>
      </c>
      <c r="U30" s="6">
        <v>2001</v>
      </c>
      <c r="V30" s="6" t="s">
        <v>20</v>
      </c>
      <c r="W30" s="6" t="s">
        <v>21</v>
      </c>
      <c r="X30" s="6" t="s">
        <v>22</v>
      </c>
      <c r="Y30" s="6" t="s">
        <v>23</v>
      </c>
      <c r="Z30" s="6">
        <v>2002</v>
      </c>
      <c r="AA30" s="6" t="s">
        <v>24</v>
      </c>
      <c r="AB30" s="6" t="s">
        <v>25</v>
      </c>
      <c r="AC30" s="6" t="s">
        <v>26</v>
      </c>
      <c r="AD30" s="6" t="s">
        <v>27</v>
      </c>
      <c r="AE30" s="6">
        <v>2003</v>
      </c>
      <c r="AF30" s="6" t="s">
        <v>28</v>
      </c>
      <c r="AG30" s="6" t="s">
        <v>29</v>
      </c>
      <c r="AH30" s="6" t="s">
        <v>30</v>
      </c>
      <c r="AI30" s="6" t="s">
        <v>31</v>
      </c>
      <c r="AJ30" s="6">
        <v>2004</v>
      </c>
      <c r="AK30" s="6" t="s">
        <v>32</v>
      </c>
      <c r="AL30" s="6" t="s">
        <v>33</v>
      </c>
      <c r="AM30" s="6" t="s">
        <v>34</v>
      </c>
      <c r="AN30" s="6" t="s">
        <v>35</v>
      </c>
      <c r="AO30" s="6">
        <v>2005</v>
      </c>
      <c r="AP30" s="6" t="s">
        <v>36</v>
      </c>
      <c r="AQ30" s="6" t="s">
        <v>37</v>
      </c>
      <c r="AR30" s="6" t="s">
        <v>38</v>
      </c>
      <c r="AS30" s="6" t="s">
        <v>39</v>
      </c>
      <c r="AT30" s="6">
        <v>2006</v>
      </c>
      <c r="AU30" s="6" t="s">
        <v>40</v>
      </c>
      <c r="AV30" s="6" t="s">
        <v>41</v>
      </c>
      <c r="AW30" s="6" t="s">
        <v>42</v>
      </c>
      <c r="AX30" s="6" t="s">
        <v>43</v>
      </c>
      <c r="AY30" s="6">
        <v>2007</v>
      </c>
      <c r="AZ30" s="6" t="s">
        <v>44</v>
      </c>
      <c r="BA30" s="6" t="s">
        <v>45</v>
      </c>
      <c r="BB30" s="6" t="s">
        <v>46</v>
      </c>
      <c r="BC30" s="6" t="s">
        <v>47</v>
      </c>
      <c r="BD30" s="6">
        <v>2008</v>
      </c>
      <c r="BE30" s="6" t="s">
        <v>48</v>
      </c>
      <c r="BF30" s="6" t="s">
        <v>49</v>
      </c>
      <c r="BG30" s="6" t="s">
        <v>50</v>
      </c>
      <c r="BH30" s="6" t="s">
        <v>51</v>
      </c>
      <c r="BI30" s="6">
        <v>2009</v>
      </c>
      <c r="BJ30" s="6" t="s">
        <v>52</v>
      </c>
      <c r="BK30" s="6" t="s">
        <v>53</v>
      </c>
      <c r="BL30" s="6" t="s">
        <v>54</v>
      </c>
      <c r="BM30" s="6" t="s">
        <v>55</v>
      </c>
      <c r="BN30" s="6">
        <v>2010</v>
      </c>
      <c r="BO30" s="6" t="s">
        <v>56</v>
      </c>
      <c r="BP30" s="6" t="s">
        <v>57</v>
      </c>
      <c r="BQ30" s="6" t="s">
        <v>58</v>
      </c>
      <c r="BR30" s="6" t="s">
        <v>59</v>
      </c>
      <c r="BS30" s="6">
        <v>2011</v>
      </c>
      <c r="BT30" s="6" t="s">
        <v>60</v>
      </c>
      <c r="BU30" s="6" t="s">
        <v>61</v>
      </c>
      <c r="BV30" s="6" t="s">
        <v>62</v>
      </c>
      <c r="BW30" s="6" t="s">
        <v>63</v>
      </c>
      <c r="BX30" s="6">
        <v>2012</v>
      </c>
      <c r="BY30" s="6" t="s">
        <v>64</v>
      </c>
      <c r="BZ30" s="6" t="s">
        <v>65</v>
      </c>
      <c r="CA30" s="6" t="s">
        <v>66</v>
      </c>
      <c r="CB30" s="6" t="s">
        <v>67</v>
      </c>
      <c r="CC30" s="6">
        <v>2013</v>
      </c>
      <c r="CD30" s="6" t="s">
        <v>68</v>
      </c>
      <c r="CE30" s="6" t="s">
        <v>69</v>
      </c>
      <c r="CF30" s="6" t="s">
        <v>70</v>
      </c>
      <c r="CG30" s="6" t="s">
        <v>71</v>
      </c>
      <c r="CH30" s="6">
        <v>2014</v>
      </c>
      <c r="CI30" s="6" t="s">
        <v>72</v>
      </c>
      <c r="CJ30" s="6" t="s">
        <v>73</v>
      </c>
      <c r="CK30" s="6" t="s">
        <v>74</v>
      </c>
      <c r="CL30" s="6" t="s">
        <v>75</v>
      </c>
      <c r="CM30" s="6">
        <v>2015</v>
      </c>
      <c r="CN30" s="6" t="s">
        <v>76</v>
      </c>
      <c r="CO30" s="6" t="s">
        <v>77</v>
      </c>
      <c r="CP30" s="6" t="s">
        <v>78</v>
      </c>
      <c r="CQ30" s="6" t="s">
        <v>79</v>
      </c>
      <c r="CR30" s="6">
        <v>2016</v>
      </c>
      <c r="CS30" s="6" t="s">
        <v>80</v>
      </c>
      <c r="CT30" s="6" t="s">
        <v>81</v>
      </c>
      <c r="CU30" s="6" t="s">
        <v>82</v>
      </c>
      <c r="CV30" s="6" t="s">
        <v>83</v>
      </c>
      <c r="CW30" s="6">
        <v>2017</v>
      </c>
      <c r="CX30" s="6" t="s">
        <v>84</v>
      </c>
      <c r="CY30" s="6" t="s">
        <v>85</v>
      </c>
      <c r="CZ30" s="6" t="s">
        <v>86</v>
      </c>
      <c r="DA30" s="6" t="s">
        <v>87</v>
      </c>
      <c r="DB30" s="6">
        <v>2018</v>
      </c>
      <c r="DC30" s="6" t="s">
        <v>88</v>
      </c>
      <c r="DD30" s="6" t="s">
        <v>89</v>
      </c>
      <c r="DE30" s="6" t="s">
        <v>90</v>
      </c>
      <c r="DF30" s="6" t="s">
        <v>91</v>
      </c>
      <c r="DG30" s="6">
        <v>2019</v>
      </c>
      <c r="DH30" s="6" t="s">
        <v>92</v>
      </c>
      <c r="DI30" s="6" t="s">
        <v>93</v>
      </c>
      <c r="DJ30" s="6" t="s">
        <v>94</v>
      </c>
      <c r="DK30" s="6" t="s">
        <v>95</v>
      </c>
      <c r="DL30" s="6">
        <v>2020</v>
      </c>
      <c r="DM30" s="6" t="s">
        <v>96</v>
      </c>
      <c r="DN30" s="6" t="s">
        <v>97</v>
      </c>
      <c r="DO30" s="6" t="s">
        <v>98</v>
      </c>
      <c r="DP30" s="6" t="s">
        <v>99</v>
      </c>
      <c r="DQ30" s="6">
        <v>2021</v>
      </c>
      <c r="DR30" s="6" t="s">
        <v>100</v>
      </c>
      <c r="DS30" s="6" t="s">
        <v>101</v>
      </c>
      <c r="DT30" s="6" t="s">
        <v>200</v>
      </c>
      <c r="DU30" s="6" t="s">
        <v>380</v>
      </c>
      <c r="DV30" s="6">
        <v>2022</v>
      </c>
      <c r="DW30" s="6" t="s">
        <v>379</v>
      </c>
      <c r="DX30" s="6" t="s">
        <v>402</v>
      </c>
      <c r="DY30" s="6" t="s">
        <v>414</v>
      </c>
      <c r="DZ30" s="6" t="s">
        <v>419</v>
      </c>
      <c r="EA30" s="6">
        <v>2023</v>
      </c>
      <c r="EB30" s="6" t="s">
        <v>424</v>
      </c>
      <c r="EC30" s="6" t="s">
        <v>429</v>
      </c>
      <c r="ED30" s="6" t="str">
        <f>$ED$1</f>
        <v>3T24</v>
      </c>
      <c r="EE30" s="6" t="str">
        <f>$EE$1</f>
        <v>4T24</v>
      </c>
      <c r="EF30" s="6">
        <f>$EF$1</f>
        <v>2024</v>
      </c>
      <c r="EG30" s="6" t="str">
        <f>EG$1</f>
        <v>1T25</v>
      </c>
      <c r="EH30" s="6" t="str">
        <f>EH$1</f>
        <v>2T25</v>
      </c>
      <c r="EI30" s="6" t="str">
        <f>EI$1</f>
        <v>3T25</v>
      </c>
    </row>
    <row r="31" spans="1:139" ht="15" thickBot="1" x14ac:dyDescent="0.35">
      <c r="A31" s="4" t="s">
        <v>329</v>
      </c>
      <c r="B31" s="7" t="s">
        <v>102</v>
      </c>
      <c r="C31" s="7" t="s">
        <v>103</v>
      </c>
      <c r="D31" s="7" t="s">
        <v>104</v>
      </c>
      <c r="E31" s="7" t="s">
        <v>105</v>
      </c>
      <c r="F31" s="7">
        <v>2018</v>
      </c>
      <c r="G31" s="7" t="s">
        <v>106</v>
      </c>
      <c r="H31" s="7" t="s">
        <v>107</v>
      </c>
      <c r="I31" s="7" t="s">
        <v>108</v>
      </c>
      <c r="J31" s="7" t="s">
        <v>109</v>
      </c>
      <c r="K31" s="7">
        <v>2019</v>
      </c>
      <c r="L31" s="7" t="s">
        <v>110</v>
      </c>
      <c r="M31" s="7" t="s">
        <v>111</v>
      </c>
      <c r="N31" s="7" t="s">
        <v>112</v>
      </c>
      <c r="O31" s="7" t="s">
        <v>113</v>
      </c>
      <c r="P31" s="7">
        <v>2000</v>
      </c>
      <c r="Q31" s="7" t="s">
        <v>114</v>
      </c>
      <c r="R31" s="7" t="s">
        <v>115</v>
      </c>
      <c r="S31" s="7" t="s">
        <v>116</v>
      </c>
      <c r="T31" s="7" t="s">
        <v>117</v>
      </c>
      <c r="U31" s="7">
        <v>2001</v>
      </c>
      <c r="V31" s="7" t="s">
        <v>118</v>
      </c>
      <c r="W31" s="7" t="s">
        <v>119</v>
      </c>
      <c r="X31" s="7" t="s">
        <v>120</v>
      </c>
      <c r="Y31" s="7" t="s">
        <v>121</v>
      </c>
      <c r="Z31" s="7">
        <v>2002</v>
      </c>
      <c r="AA31" s="7" t="s">
        <v>122</v>
      </c>
      <c r="AB31" s="7" t="s">
        <v>123</v>
      </c>
      <c r="AC31" s="7" t="s">
        <v>124</v>
      </c>
      <c r="AD31" s="7" t="s">
        <v>125</v>
      </c>
      <c r="AE31" s="7">
        <v>2003</v>
      </c>
      <c r="AF31" s="7" t="s">
        <v>126</v>
      </c>
      <c r="AG31" s="7" t="s">
        <v>127</v>
      </c>
      <c r="AH31" s="7" t="s">
        <v>128</v>
      </c>
      <c r="AI31" s="7" t="s">
        <v>129</v>
      </c>
      <c r="AJ31" s="7">
        <v>2004</v>
      </c>
      <c r="AK31" s="7" t="s">
        <v>130</v>
      </c>
      <c r="AL31" s="7" t="s">
        <v>131</v>
      </c>
      <c r="AM31" s="7" t="s">
        <v>132</v>
      </c>
      <c r="AN31" s="7" t="s">
        <v>133</v>
      </c>
      <c r="AO31" s="7">
        <v>2005</v>
      </c>
      <c r="AP31" s="7" t="s">
        <v>134</v>
      </c>
      <c r="AQ31" s="7" t="s">
        <v>135</v>
      </c>
      <c r="AR31" s="7" t="s">
        <v>136</v>
      </c>
      <c r="AS31" s="7" t="s">
        <v>137</v>
      </c>
      <c r="AT31" s="7">
        <v>2006</v>
      </c>
      <c r="AU31" s="7" t="s">
        <v>138</v>
      </c>
      <c r="AV31" s="7" t="s">
        <v>139</v>
      </c>
      <c r="AW31" s="7" t="s">
        <v>140</v>
      </c>
      <c r="AX31" s="7" t="s">
        <v>141</v>
      </c>
      <c r="AY31" s="7">
        <v>2007</v>
      </c>
      <c r="AZ31" s="7" t="s">
        <v>142</v>
      </c>
      <c r="BA31" s="7" t="s">
        <v>143</v>
      </c>
      <c r="BB31" s="7" t="s">
        <v>144</v>
      </c>
      <c r="BC31" s="7" t="s">
        <v>145</v>
      </c>
      <c r="BD31" s="7">
        <v>2008</v>
      </c>
      <c r="BE31" s="7" t="s">
        <v>146</v>
      </c>
      <c r="BF31" s="7" t="s">
        <v>147</v>
      </c>
      <c r="BG31" s="7" t="s">
        <v>148</v>
      </c>
      <c r="BH31" s="7" t="s">
        <v>149</v>
      </c>
      <c r="BI31" s="7">
        <v>2009</v>
      </c>
      <c r="BJ31" s="7" t="s">
        <v>150</v>
      </c>
      <c r="BK31" s="7" t="s">
        <v>151</v>
      </c>
      <c r="BL31" s="7" t="s">
        <v>152</v>
      </c>
      <c r="BM31" s="7" t="s">
        <v>153</v>
      </c>
      <c r="BN31" s="7">
        <v>2010</v>
      </c>
      <c r="BO31" s="7" t="s">
        <v>154</v>
      </c>
      <c r="BP31" s="7" t="s">
        <v>155</v>
      </c>
      <c r="BQ31" s="7" t="s">
        <v>156</v>
      </c>
      <c r="BR31" s="7" t="s">
        <v>157</v>
      </c>
      <c r="BS31" s="7">
        <v>2011</v>
      </c>
      <c r="BT31" s="7" t="s">
        <v>158</v>
      </c>
      <c r="BU31" s="7" t="s">
        <v>159</v>
      </c>
      <c r="BV31" s="7" t="s">
        <v>160</v>
      </c>
      <c r="BW31" s="7" t="s">
        <v>161</v>
      </c>
      <c r="BX31" s="7">
        <v>2012</v>
      </c>
      <c r="BY31" s="7" t="s">
        <v>162</v>
      </c>
      <c r="BZ31" s="7" t="s">
        <v>163</v>
      </c>
      <c r="CA31" s="7" t="s">
        <v>164</v>
      </c>
      <c r="CB31" s="7" t="s">
        <v>165</v>
      </c>
      <c r="CC31" s="7">
        <v>2013</v>
      </c>
      <c r="CD31" s="7" t="s">
        <v>166</v>
      </c>
      <c r="CE31" s="7" t="s">
        <v>167</v>
      </c>
      <c r="CF31" s="7" t="s">
        <v>168</v>
      </c>
      <c r="CG31" s="7" t="s">
        <v>169</v>
      </c>
      <c r="CH31" s="7">
        <v>2014</v>
      </c>
      <c r="CI31" s="7" t="s">
        <v>170</v>
      </c>
      <c r="CJ31" s="7" t="s">
        <v>171</v>
      </c>
      <c r="CK31" s="7" t="s">
        <v>172</v>
      </c>
      <c r="CL31" s="7" t="s">
        <v>173</v>
      </c>
      <c r="CM31" s="7">
        <v>2015</v>
      </c>
      <c r="CN31" s="7" t="s">
        <v>174</v>
      </c>
      <c r="CO31" s="7" t="s">
        <v>175</v>
      </c>
      <c r="CP31" s="7" t="s">
        <v>176</v>
      </c>
      <c r="CQ31" s="7" t="s">
        <v>177</v>
      </c>
      <c r="CR31" s="7">
        <v>2016</v>
      </c>
      <c r="CS31" s="7" t="s">
        <v>178</v>
      </c>
      <c r="CT31" s="7" t="s">
        <v>179</v>
      </c>
      <c r="CU31" s="7" t="s">
        <v>180</v>
      </c>
      <c r="CV31" s="7" t="s">
        <v>181</v>
      </c>
      <c r="CW31" s="7">
        <v>2017</v>
      </c>
      <c r="CX31" s="7" t="s">
        <v>182</v>
      </c>
      <c r="CY31" s="7" t="s">
        <v>183</v>
      </c>
      <c r="CZ31" s="7" t="s">
        <v>184</v>
      </c>
      <c r="DA31" s="7" t="s">
        <v>185</v>
      </c>
      <c r="DB31" s="7">
        <v>2018</v>
      </c>
      <c r="DC31" s="7" t="s">
        <v>186</v>
      </c>
      <c r="DD31" s="7" t="s">
        <v>187</v>
      </c>
      <c r="DE31" s="7" t="s">
        <v>188</v>
      </c>
      <c r="DF31" s="7" t="s">
        <v>189</v>
      </c>
      <c r="DG31" s="7">
        <v>2019</v>
      </c>
      <c r="DH31" s="7" t="s">
        <v>190</v>
      </c>
      <c r="DI31" s="7" t="s">
        <v>191</v>
      </c>
      <c r="DJ31" s="7" t="s">
        <v>192</v>
      </c>
      <c r="DK31" s="7" t="s">
        <v>193</v>
      </c>
      <c r="DL31" s="7">
        <v>2020</v>
      </c>
      <c r="DM31" s="7" t="s">
        <v>194</v>
      </c>
      <c r="DN31" s="7" t="s">
        <v>195</v>
      </c>
      <c r="DO31" s="7" t="s">
        <v>196</v>
      </c>
      <c r="DP31" s="7" t="s">
        <v>197</v>
      </c>
      <c r="DQ31" s="7">
        <v>2021</v>
      </c>
      <c r="DR31" s="7" t="s">
        <v>198</v>
      </c>
      <c r="DS31" s="7" t="s">
        <v>199</v>
      </c>
      <c r="DT31" s="7" t="s">
        <v>201</v>
      </c>
      <c r="DU31" s="7" t="s">
        <v>381</v>
      </c>
      <c r="DV31" s="7">
        <v>2022</v>
      </c>
      <c r="DW31" s="7" t="s">
        <v>382</v>
      </c>
      <c r="DX31" s="7" t="s">
        <v>403</v>
      </c>
      <c r="DY31" s="7" t="s">
        <v>415</v>
      </c>
      <c r="DZ31" s="7" t="s">
        <v>420</v>
      </c>
      <c r="EA31" s="7">
        <v>2023</v>
      </c>
      <c r="EB31" s="7" t="s">
        <v>425</v>
      </c>
      <c r="EC31" s="7" t="s">
        <v>430</v>
      </c>
      <c r="ED31" s="7" t="str">
        <f>$ED$2</f>
        <v>3Q24</v>
      </c>
      <c r="EE31" s="7" t="str">
        <f>$EE$2</f>
        <v>4Q24</v>
      </c>
      <c r="EF31" s="7">
        <f>$EF$2</f>
        <v>2024</v>
      </c>
      <c r="EG31" s="7" t="str">
        <f>EG$2</f>
        <v>1Q25</v>
      </c>
      <c r="EH31" s="7" t="str">
        <f>EH$2</f>
        <v>2Q25</v>
      </c>
      <c r="EI31" s="7" t="str">
        <f>EI$2</f>
        <v>3Q25</v>
      </c>
    </row>
    <row r="32" spans="1:139" ht="15" thickTop="1" x14ac:dyDescent="0.3">
      <c r="A32" s="1" t="s">
        <v>2</v>
      </c>
      <c r="B32" s="27">
        <f>COGS!B32+'SG&amp;A'!B32</f>
        <v>0</v>
      </c>
      <c r="C32" s="27">
        <f>COGS!C32+'SG&amp;A'!C32</f>
        <v>0</v>
      </c>
      <c r="D32" s="27">
        <f>COGS!D32+'SG&amp;A'!D32</f>
        <v>0</v>
      </c>
      <c r="E32" s="27">
        <f>COGS!E32+'SG&amp;A'!E32</f>
        <v>0</v>
      </c>
      <c r="F32" s="27">
        <f>COGS!F32+'SG&amp;A'!F32</f>
        <v>0</v>
      </c>
      <c r="G32" s="27">
        <f>COGS!G32+'SG&amp;A'!G32</f>
        <v>0</v>
      </c>
      <c r="H32" s="27">
        <f>COGS!H32+'SG&amp;A'!H32</f>
        <v>0</v>
      </c>
      <c r="I32" s="27">
        <f>COGS!I32+'SG&amp;A'!I32</f>
        <v>0</v>
      </c>
      <c r="J32" s="27">
        <f>COGS!J32+'SG&amp;A'!J32</f>
        <v>0</v>
      </c>
      <c r="K32" s="27">
        <f>COGS!K32+'SG&amp;A'!K32</f>
        <v>0</v>
      </c>
      <c r="L32" s="27">
        <f>COGS!L32+'SG&amp;A'!L32</f>
        <v>0</v>
      </c>
      <c r="M32" s="27">
        <f>COGS!M32+'SG&amp;A'!M32</f>
        <v>0</v>
      </c>
      <c r="N32" s="27">
        <f>COGS!N32+'SG&amp;A'!N32</f>
        <v>0</v>
      </c>
      <c r="O32" s="27">
        <f>COGS!O32+'SG&amp;A'!O32</f>
        <v>0</v>
      </c>
      <c r="P32" s="27">
        <f>COGS!P32+'SG&amp;A'!P32</f>
        <v>0</v>
      </c>
      <c r="Q32" s="27">
        <f>COGS!Q32+'SG&amp;A'!Q32</f>
        <v>0</v>
      </c>
      <c r="R32" s="27">
        <f>COGS!R32+'SG&amp;A'!R32</f>
        <v>0</v>
      </c>
      <c r="S32" s="27">
        <f>COGS!S32+'SG&amp;A'!S32</f>
        <v>0</v>
      </c>
      <c r="T32" s="27">
        <f>COGS!T32+'SG&amp;A'!T32</f>
        <v>0</v>
      </c>
      <c r="U32" s="27">
        <f>COGS!U32+'SG&amp;A'!U32</f>
        <v>0</v>
      </c>
      <c r="V32" s="27">
        <f>COGS!V32+'SG&amp;A'!V32</f>
        <v>0</v>
      </c>
      <c r="W32" s="27">
        <f>COGS!W32+'SG&amp;A'!W32</f>
        <v>0</v>
      </c>
      <c r="X32" s="27">
        <f>COGS!X32+'SG&amp;A'!X32</f>
        <v>0</v>
      </c>
      <c r="Y32" s="27">
        <f>COGS!Y32+'SG&amp;A'!Y32</f>
        <v>0</v>
      </c>
      <c r="Z32" s="27">
        <f>COGS!Z32+'SG&amp;A'!Z32</f>
        <v>0</v>
      </c>
      <c r="AA32" s="27">
        <f>COGS!AA32+'SG&amp;A'!AA32</f>
        <v>0</v>
      </c>
      <c r="AB32" s="27">
        <f>COGS!AB32+'SG&amp;A'!AB32</f>
        <v>0</v>
      </c>
      <c r="AC32" s="27">
        <f>COGS!AC32+'SG&amp;A'!AC32</f>
        <v>0</v>
      </c>
      <c r="AD32" s="27">
        <f>COGS!AD32+'SG&amp;A'!AD32</f>
        <v>0</v>
      </c>
      <c r="AE32" s="27">
        <f>COGS!AE32+'SG&amp;A'!AE32</f>
        <v>0</v>
      </c>
      <c r="AF32" s="27">
        <f>COGS!AF32+'SG&amp;A'!AF32</f>
        <v>0</v>
      </c>
      <c r="AG32" s="27">
        <f>COGS!AG32+'SG&amp;A'!AG32</f>
        <v>0</v>
      </c>
      <c r="AH32" s="27">
        <f>COGS!AH32+'SG&amp;A'!AH32</f>
        <v>0</v>
      </c>
      <c r="AI32" s="27">
        <f>COGS!AI32+'SG&amp;A'!AI32</f>
        <v>0</v>
      </c>
      <c r="AJ32" s="27">
        <f>COGS!AJ32+'SG&amp;A'!AJ32</f>
        <v>0</v>
      </c>
      <c r="AK32" s="27">
        <f>COGS!AK32+'SG&amp;A'!AK32</f>
        <v>0</v>
      </c>
      <c r="AL32" s="27">
        <f>COGS!AL32+'SG&amp;A'!AL32</f>
        <v>0</v>
      </c>
      <c r="AM32" s="27">
        <f>COGS!AM32+'SG&amp;A'!AM32</f>
        <v>0</v>
      </c>
      <c r="AN32" s="27">
        <f>COGS!AN32+'SG&amp;A'!AN32</f>
        <v>0</v>
      </c>
      <c r="AO32" s="27">
        <f>COGS!AO32+'SG&amp;A'!AO32</f>
        <v>0</v>
      </c>
      <c r="AP32" s="27">
        <f>COGS!AP32+'SG&amp;A'!AP32</f>
        <v>0</v>
      </c>
      <c r="AQ32" s="27">
        <f>COGS!AQ32+'SG&amp;A'!AQ32</f>
        <v>0</v>
      </c>
      <c r="AR32" s="27">
        <f>COGS!AR32+'SG&amp;A'!AR32</f>
        <v>0</v>
      </c>
      <c r="AS32" s="27">
        <f>COGS!AS32+'SG&amp;A'!AS32</f>
        <v>0</v>
      </c>
      <c r="AT32" s="27">
        <f>COGS!AT32+'SG&amp;A'!AT32</f>
        <v>0</v>
      </c>
      <c r="AU32" s="27">
        <f>COGS!AU32+'SG&amp;A'!AU32</f>
        <v>0</v>
      </c>
      <c r="AV32" s="27">
        <f>COGS!AV32+'SG&amp;A'!AV32</f>
        <v>0</v>
      </c>
      <c r="AW32" s="27">
        <f>COGS!AW32+'SG&amp;A'!AW32</f>
        <v>0</v>
      </c>
      <c r="AX32" s="27">
        <f>COGS!AX32+'SG&amp;A'!AX32</f>
        <v>0</v>
      </c>
      <c r="AY32" s="27">
        <f>COGS!AY32+'SG&amp;A'!AY32</f>
        <v>0</v>
      </c>
      <c r="AZ32" s="27">
        <f>COGS!AZ32+'SG&amp;A'!AZ32</f>
        <v>0</v>
      </c>
      <c r="BA32" s="27">
        <f>COGS!BA32+'SG&amp;A'!BA32</f>
        <v>0</v>
      </c>
      <c r="BB32" s="27">
        <f>COGS!BB32+'SG&amp;A'!BB32</f>
        <v>0</v>
      </c>
      <c r="BC32" s="27">
        <f>COGS!BC32+'SG&amp;A'!BC32</f>
        <v>0</v>
      </c>
      <c r="BD32" s="27">
        <f>COGS!BD32+'SG&amp;A'!BD32</f>
        <v>0</v>
      </c>
      <c r="BE32" s="27">
        <f>COGS!BE32+'SG&amp;A'!BE32</f>
        <v>0</v>
      </c>
      <c r="BF32" s="27">
        <f>COGS!BF32+'SG&amp;A'!BF32</f>
        <v>0</v>
      </c>
      <c r="BG32" s="27">
        <f>COGS!BG32+'SG&amp;A'!BG32</f>
        <v>0</v>
      </c>
      <c r="BH32" s="27">
        <f>COGS!BH32+'SG&amp;A'!BH32</f>
        <v>0</v>
      </c>
      <c r="BI32" s="27">
        <f>COGS!BI32+'SG&amp;A'!BI32</f>
        <v>0</v>
      </c>
      <c r="BJ32" s="27">
        <f>COGS!BJ32+'SG&amp;A'!BJ32</f>
        <v>2.0903850099999999</v>
      </c>
      <c r="BK32" s="27">
        <f>COGS!BK32+'SG&amp;A'!BK32</f>
        <v>1.9104899100000003</v>
      </c>
      <c r="BL32" s="27">
        <f>COGS!BL32+'SG&amp;A'!BL32</f>
        <v>1.6252832400000001</v>
      </c>
      <c r="BM32" s="27">
        <f>COGS!BM32+'SG&amp;A'!BM32</f>
        <v>1.8686732200000005</v>
      </c>
      <c r="BN32" s="27">
        <f>COGS!BN32+'SG&amp;A'!BN32</f>
        <v>7.4948313800000008</v>
      </c>
      <c r="BO32" s="27">
        <f>COGS!BO32+'SG&amp;A'!BO32</f>
        <v>2.2458197200000001</v>
      </c>
      <c r="BP32" s="27">
        <f>COGS!BP32+'SG&amp;A'!BP32</f>
        <v>2.234773370000001</v>
      </c>
      <c r="BQ32" s="27">
        <f>COGS!BQ32+'SG&amp;A'!BQ32</f>
        <v>1.7110486499999997</v>
      </c>
      <c r="BR32" s="27">
        <f>COGS!BR32+'SG&amp;A'!BR32</f>
        <v>1.4056882099999999</v>
      </c>
      <c r="BS32" s="27">
        <f>COGS!BS32+'SG&amp;A'!BS32</f>
        <v>7.5973299500000007</v>
      </c>
      <c r="BT32" s="27">
        <f>COGS!BT32+'SG&amp;A'!BT32</f>
        <v>2.5252046300000002</v>
      </c>
      <c r="BU32" s="27">
        <f>COGS!BU32+'SG&amp;A'!BU32</f>
        <v>2.3729645199999996</v>
      </c>
      <c r="BV32" s="27">
        <f>COGS!BV32+'SG&amp;A'!BV32</f>
        <v>2.3404401299999993</v>
      </c>
      <c r="BW32" s="27">
        <f>COGS!BW32+'SG&amp;A'!BW32</f>
        <v>2.6136164500000012</v>
      </c>
      <c r="BX32" s="27">
        <f>COGS!BX32+'SG&amp;A'!BX32</f>
        <v>9.8522257300000007</v>
      </c>
      <c r="BY32" s="27">
        <f>COGS!BY32+'SG&amp;A'!BY32</f>
        <v>2.9074099900000001</v>
      </c>
      <c r="BZ32" s="27">
        <f>COGS!BZ32+'SG&amp;A'!BZ32</f>
        <v>2.6137404500000003</v>
      </c>
      <c r="CA32" s="27">
        <f>COGS!CA32+'SG&amp;A'!CA32</f>
        <v>2.5695159099999998</v>
      </c>
      <c r="CB32" s="27">
        <f>COGS!CB32+'SG&amp;A'!CB32</f>
        <v>3.3822182399999994</v>
      </c>
      <c r="CC32" s="27">
        <f>COGS!CC32+'SG&amp;A'!CC32</f>
        <v>11.47288459</v>
      </c>
      <c r="CD32" s="27">
        <f>COGS!CD32+'SG&amp;A'!CD32</f>
        <v>3.1946934200000001</v>
      </c>
      <c r="CE32" s="27">
        <f>COGS!CE32+'SG&amp;A'!CE32</f>
        <v>3.1768272</v>
      </c>
      <c r="CF32" s="27">
        <f>COGS!CF32+'SG&amp;A'!CF32</f>
        <v>3.0456432800000002</v>
      </c>
      <c r="CG32" s="27">
        <f>COGS!CG32+'SG&amp;A'!CG32</f>
        <v>3.2732228800000001</v>
      </c>
      <c r="CH32" s="27">
        <f>COGS!CH32+'SG&amp;A'!CH32</f>
        <v>12.690386780000001</v>
      </c>
      <c r="CI32" s="27">
        <f>COGS!CI32+'SG&amp;A'!CI32</f>
        <v>3.0722059500000003</v>
      </c>
      <c r="CJ32" s="27">
        <f>COGS!CJ32+'SG&amp;A'!CJ32</f>
        <v>3.0846335299999996</v>
      </c>
      <c r="CK32" s="27">
        <f>COGS!CK32+'SG&amp;A'!CK32</f>
        <v>2.4661002399999994</v>
      </c>
      <c r="CL32" s="27">
        <f>COGS!CL32+'SG&amp;A'!CL32</f>
        <v>2.4884169600000017</v>
      </c>
      <c r="CM32" s="27">
        <f>COGS!CM32+'SG&amp;A'!CM32</f>
        <v>11.11135668</v>
      </c>
      <c r="CN32" s="27">
        <f>COGS!CN32+'SG&amp;A'!CN32</f>
        <v>2.7599274400000002</v>
      </c>
      <c r="CO32" s="27">
        <f>COGS!CO32+'SG&amp;A'!CO32</f>
        <v>2.8976978799999999</v>
      </c>
      <c r="CP32" s="27">
        <f>COGS!CP32+'SG&amp;A'!CP32</f>
        <v>2.6006382699999993</v>
      </c>
      <c r="CQ32" s="27">
        <f>COGS!CQ32+'SG&amp;A'!CQ32</f>
        <v>2.5247364100000005</v>
      </c>
      <c r="CR32" s="27">
        <f>COGS!CR32+'SG&amp;A'!CR32</f>
        <v>10.783000000000001</v>
      </c>
      <c r="CS32" s="27">
        <f>COGS!CS32+'SG&amp;A'!CS32</f>
        <v>3.3086867</v>
      </c>
      <c r="CT32" s="27">
        <f>COGS!CT32+'SG&amp;A'!CT32</f>
        <v>3.0109182200000002</v>
      </c>
      <c r="CU32" s="27">
        <f>COGS!CU32+'SG&amp;A'!CU32</f>
        <v>3.0615411500000009</v>
      </c>
      <c r="CV32" s="27">
        <f>COGS!CV32+'SG&amp;A'!CV32</f>
        <v>3.1076059899999988</v>
      </c>
      <c r="CW32" s="27">
        <f>COGS!CW32+'SG&amp;A'!CW32</f>
        <v>12.488752059999999</v>
      </c>
      <c r="CX32" s="27">
        <f>COGS!CX32+'SG&amp;A'!CX32</f>
        <v>3.0709999999999997</v>
      </c>
      <c r="CY32" s="27">
        <f>COGS!CY32+'SG&amp;A'!CY32</f>
        <v>4.5069999999999997</v>
      </c>
      <c r="CZ32" s="27">
        <f>COGS!CZ32+'SG&amp;A'!CZ32</f>
        <v>3.2509999999999999</v>
      </c>
      <c r="DA32" s="27">
        <f>COGS!DA32+'SG&amp;A'!DA32</f>
        <v>3.5209999999999999</v>
      </c>
      <c r="DB32" s="27">
        <f>COGS!DB32+'SG&amp;A'!DB32</f>
        <v>14.349999999999998</v>
      </c>
      <c r="DC32" s="27">
        <f>COGS!DC32+'SG&amp;A'!DC32</f>
        <v>3.4169999999999998</v>
      </c>
      <c r="DD32" s="27">
        <f>COGS!DD32+'SG&amp;A'!DD32</f>
        <v>3.5230000000000001</v>
      </c>
      <c r="DE32" s="27">
        <f>COGS!DE32+'SG&amp;A'!DE32</f>
        <v>4.6899999999999995</v>
      </c>
      <c r="DF32" s="27">
        <f>COGS!DF32+'SG&amp;A'!DF32</f>
        <v>2.8380000000000001</v>
      </c>
      <c r="DG32" s="27">
        <f>COGS!DG32+'SG&amp;A'!DG32</f>
        <v>14.468</v>
      </c>
      <c r="DH32" s="27">
        <f>COGS!DH32+'SG&amp;A'!DH32</f>
        <v>2.6379999999999999</v>
      </c>
      <c r="DI32" s="27">
        <f>COGS!DI32+'SG&amp;A'!DI32</f>
        <v>2.5640000000000001</v>
      </c>
      <c r="DJ32" s="27">
        <f>COGS!DJ32+'SG&amp;A'!DJ32</f>
        <v>4.5350000000000001</v>
      </c>
      <c r="DK32" s="27">
        <f>COGS!DK32+'SG&amp;A'!DK32</f>
        <v>4.7</v>
      </c>
      <c r="DL32" s="27">
        <f>COGS!DL32+'SG&amp;A'!DL32</f>
        <v>14.437000000000001</v>
      </c>
      <c r="DM32" s="27">
        <f>COGS!DM32+'SG&amp;A'!DM32</f>
        <v>3.153</v>
      </c>
      <c r="DN32" s="27">
        <f>COGS!DN32+'SG&amp;A'!DN32</f>
        <v>2.907</v>
      </c>
      <c r="DO32" s="27">
        <f>COGS!DO32+'SG&amp;A'!DO32</f>
        <v>3.9039999999999999</v>
      </c>
      <c r="DP32" s="27">
        <f>COGS!DP32+'SG&amp;A'!DP32</f>
        <v>2.9609999999999999</v>
      </c>
      <c r="DQ32" s="27">
        <f>COGS!DQ32+'SG&amp;A'!DQ32</f>
        <v>12.925000000000001</v>
      </c>
      <c r="DR32" s="27">
        <f>COGS!DR32+'SG&amp;A'!DR32</f>
        <v>0.46899999999999997</v>
      </c>
      <c r="DS32" s="27">
        <f>COGS!DS32+'SG&amp;A'!DS32</f>
        <v>1.29</v>
      </c>
      <c r="DT32" s="27">
        <f>COGS!DT32+'SG&amp;A'!DT32</f>
        <v>0.48199999999999998</v>
      </c>
      <c r="DU32" s="27">
        <f>COGS!DU32+'SG&amp;A'!DU32</f>
        <v>-0.34099999999999997</v>
      </c>
      <c r="DV32" s="27">
        <f>COGS!DV32+'SG&amp;A'!DV32</f>
        <v>1.9</v>
      </c>
      <c r="DW32" s="27">
        <f>COGS!DW32+'SG&amp;A'!DW32</f>
        <v>0.13900000000000001</v>
      </c>
      <c r="DX32" s="27">
        <f>COGS!DX32+'SG&amp;A'!DX32</f>
        <v>8.0752190000000001E-2</v>
      </c>
      <c r="DY32" s="27">
        <f>COGS!DY32+'SG&amp;A'!DY32</f>
        <v>0.31346810999999997</v>
      </c>
      <c r="DZ32" s="27">
        <f>COGS!DZ32+'SG&amp;A'!DZ32</f>
        <v>0.19878148000000009</v>
      </c>
      <c r="EA32" s="27">
        <f>COGS!EA32+'SG&amp;A'!EA32</f>
        <v>0.73200178000000005</v>
      </c>
      <c r="EB32" s="27">
        <f>COGS!EB32+'SG&amp;A'!EB32</f>
        <v>-3.2914099999999998E-3</v>
      </c>
      <c r="EC32" s="27">
        <f>COGS!EC32+'SG&amp;A'!EC32</f>
        <v>1.1570809999999999E-2</v>
      </c>
      <c r="ED32" s="27">
        <f>COGS!ED32+'SG&amp;A'!ED32</f>
        <v>0.01</v>
      </c>
      <c r="EE32" s="27">
        <f>COGS!EE32+'SG&amp;A'!EE32</f>
        <v>2.4859750000000003E-2</v>
      </c>
      <c r="EF32" s="27">
        <f>COGS!EF32+'SG&amp;A'!EF32</f>
        <v>4.3139150000000001E-2</v>
      </c>
      <c r="EG32" s="27">
        <f>COGS!EG32+'SG&amp;A'!EG32</f>
        <v>1.4509350000000001E-2</v>
      </c>
      <c r="EH32" s="27">
        <f>COGS!EH32+'SG&amp;A'!EH32</f>
        <v>1.1496929999999999E-2</v>
      </c>
      <c r="EI32" s="27">
        <f>COGS!EI32+'SG&amp;A'!EI32</f>
        <v>1.3573050000000003E-2</v>
      </c>
    </row>
    <row r="33" spans="1:139" ht="15" thickBot="1" x14ac:dyDescent="0.35">
      <c r="A33" s="2" t="s">
        <v>454</v>
      </c>
      <c r="B33" s="28">
        <f>COGS!B33+'SG&amp;A'!B33</f>
        <v>0</v>
      </c>
      <c r="C33" s="28">
        <f>COGS!C33+'SG&amp;A'!C33</f>
        <v>0</v>
      </c>
      <c r="D33" s="28">
        <f>COGS!D33+'SG&amp;A'!D33</f>
        <v>0</v>
      </c>
      <c r="E33" s="28">
        <f>COGS!E33+'SG&amp;A'!E33</f>
        <v>0</v>
      </c>
      <c r="F33" s="28">
        <f>COGS!F33+'SG&amp;A'!F33</f>
        <v>0</v>
      </c>
      <c r="G33" s="28">
        <f>COGS!G33+'SG&amp;A'!G33</f>
        <v>0</v>
      </c>
      <c r="H33" s="28">
        <f>COGS!H33+'SG&amp;A'!H33</f>
        <v>0</v>
      </c>
      <c r="I33" s="28">
        <f>COGS!I33+'SG&amp;A'!I33</f>
        <v>0</v>
      </c>
      <c r="J33" s="28">
        <f>COGS!J33+'SG&amp;A'!J33</f>
        <v>0</v>
      </c>
      <c r="K33" s="28">
        <f>COGS!K33+'SG&amp;A'!K33</f>
        <v>0</v>
      </c>
      <c r="L33" s="28">
        <f>COGS!L33+'SG&amp;A'!L33</f>
        <v>0</v>
      </c>
      <c r="M33" s="28">
        <f>COGS!M33+'SG&amp;A'!M33</f>
        <v>0</v>
      </c>
      <c r="N33" s="28">
        <f>COGS!N33+'SG&amp;A'!N33</f>
        <v>0</v>
      </c>
      <c r="O33" s="28">
        <f>COGS!O33+'SG&amp;A'!O33</f>
        <v>0</v>
      </c>
      <c r="P33" s="28">
        <f>COGS!P33+'SG&amp;A'!P33</f>
        <v>0</v>
      </c>
      <c r="Q33" s="28">
        <f>COGS!Q33+'SG&amp;A'!Q33</f>
        <v>0</v>
      </c>
      <c r="R33" s="28">
        <f>COGS!R33+'SG&amp;A'!R33</f>
        <v>0</v>
      </c>
      <c r="S33" s="28">
        <f>COGS!S33+'SG&amp;A'!S33</f>
        <v>0</v>
      </c>
      <c r="T33" s="28">
        <f>COGS!T33+'SG&amp;A'!T33</f>
        <v>0</v>
      </c>
      <c r="U33" s="28">
        <f>COGS!U33+'SG&amp;A'!U33</f>
        <v>0</v>
      </c>
      <c r="V33" s="28">
        <f>COGS!V33+'SG&amp;A'!V33</f>
        <v>0</v>
      </c>
      <c r="W33" s="28">
        <f>COGS!W33+'SG&amp;A'!W33</f>
        <v>0</v>
      </c>
      <c r="X33" s="28">
        <f>COGS!X33+'SG&amp;A'!X33</f>
        <v>0</v>
      </c>
      <c r="Y33" s="28">
        <f>COGS!Y33+'SG&amp;A'!Y33</f>
        <v>0</v>
      </c>
      <c r="Z33" s="28">
        <f>COGS!Z33+'SG&amp;A'!Z33</f>
        <v>0</v>
      </c>
      <c r="AA33" s="28">
        <f>COGS!AA33+'SG&amp;A'!AA33</f>
        <v>0</v>
      </c>
      <c r="AB33" s="28">
        <f>COGS!AB33+'SG&amp;A'!AB33</f>
        <v>0</v>
      </c>
      <c r="AC33" s="28">
        <f>COGS!AC33+'SG&amp;A'!AC33</f>
        <v>0</v>
      </c>
      <c r="AD33" s="28">
        <f>COGS!AD33+'SG&amp;A'!AD33</f>
        <v>0</v>
      </c>
      <c r="AE33" s="28">
        <f>COGS!AE33+'SG&amp;A'!AE33</f>
        <v>0</v>
      </c>
      <c r="AF33" s="28">
        <f>COGS!AF33+'SG&amp;A'!AF33</f>
        <v>0</v>
      </c>
      <c r="AG33" s="28">
        <f>COGS!AG33+'SG&amp;A'!AG33</f>
        <v>0</v>
      </c>
      <c r="AH33" s="28">
        <f>COGS!AH33+'SG&amp;A'!AH33</f>
        <v>0</v>
      </c>
      <c r="AI33" s="28">
        <f>COGS!AI33+'SG&amp;A'!AI33</f>
        <v>0</v>
      </c>
      <c r="AJ33" s="28">
        <f>COGS!AJ33+'SG&amp;A'!AJ33</f>
        <v>0</v>
      </c>
      <c r="AK33" s="28">
        <f>COGS!AK33+'SG&amp;A'!AK33</f>
        <v>0</v>
      </c>
      <c r="AL33" s="28">
        <f>COGS!AL33+'SG&amp;A'!AL33</f>
        <v>0</v>
      </c>
      <c r="AM33" s="28">
        <f>COGS!AM33+'SG&amp;A'!AM33</f>
        <v>0</v>
      </c>
      <c r="AN33" s="28">
        <f>COGS!AN33+'SG&amp;A'!AN33</f>
        <v>0</v>
      </c>
      <c r="AO33" s="28">
        <f>COGS!AO33+'SG&amp;A'!AO33</f>
        <v>0</v>
      </c>
      <c r="AP33" s="28">
        <f>COGS!AP33+'SG&amp;A'!AP33</f>
        <v>0</v>
      </c>
      <c r="AQ33" s="28">
        <f>COGS!AQ33+'SG&amp;A'!AQ33</f>
        <v>0</v>
      </c>
      <c r="AR33" s="28">
        <f>COGS!AR33+'SG&amp;A'!AR33</f>
        <v>0</v>
      </c>
      <c r="AS33" s="28">
        <f>COGS!AS33+'SG&amp;A'!AS33</f>
        <v>0</v>
      </c>
      <c r="AT33" s="28">
        <f>COGS!AT33+'SG&amp;A'!AT33</f>
        <v>0</v>
      </c>
      <c r="AU33" s="28">
        <f>COGS!AU33+'SG&amp;A'!AU33</f>
        <v>0</v>
      </c>
      <c r="AV33" s="28">
        <f>COGS!AV33+'SG&amp;A'!AV33</f>
        <v>0</v>
      </c>
      <c r="AW33" s="28">
        <f>COGS!AW33+'SG&amp;A'!AW33</f>
        <v>0</v>
      </c>
      <c r="AX33" s="28">
        <f>COGS!AX33+'SG&amp;A'!AX33</f>
        <v>0</v>
      </c>
      <c r="AY33" s="28">
        <f>COGS!AY33+'SG&amp;A'!AY33</f>
        <v>0</v>
      </c>
      <c r="AZ33" s="28">
        <f>COGS!AZ33+'SG&amp;A'!AZ33</f>
        <v>0</v>
      </c>
      <c r="BA33" s="28">
        <f>COGS!BA33+'SG&amp;A'!BA33</f>
        <v>0</v>
      </c>
      <c r="BB33" s="28">
        <f>COGS!BB33+'SG&amp;A'!BB33</f>
        <v>0</v>
      </c>
      <c r="BC33" s="28">
        <f>COGS!BC33+'SG&amp;A'!BC33</f>
        <v>0</v>
      </c>
      <c r="BD33" s="28">
        <f>COGS!BD33+'SG&amp;A'!BD33</f>
        <v>0</v>
      </c>
      <c r="BE33" s="28">
        <f>COGS!BE33+'SG&amp;A'!BE33</f>
        <v>0</v>
      </c>
      <c r="BF33" s="28">
        <f>COGS!BF33+'SG&amp;A'!BF33</f>
        <v>0</v>
      </c>
      <c r="BG33" s="28">
        <f>COGS!BG33+'SG&amp;A'!BG33</f>
        <v>0</v>
      </c>
      <c r="BH33" s="28">
        <f>COGS!BH33+'SG&amp;A'!BH33</f>
        <v>0</v>
      </c>
      <c r="BI33" s="28">
        <f>COGS!BI33+'SG&amp;A'!BI33</f>
        <v>0</v>
      </c>
      <c r="BJ33" s="28">
        <f>COGS!BJ33+'SG&amp;A'!BJ33</f>
        <v>2.63129517</v>
      </c>
      <c r="BK33" s="28">
        <f>COGS!BK33+'SG&amp;A'!BK33</f>
        <v>2.7950561</v>
      </c>
      <c r="BL33" s="28">
        <f>COGS!BL33+'SG&amp;A'!BL33</f>
        <v>2.6365721599999996</v>
      </c>
      <c r="BM33" s="28">
        <f>COGS!BM33+'SG&amp;A'!BM33</f>
        <v>2.8001904900000008</v>
      </c>
      <c r="BN33" s="28">
        <f>COGS!BN33+'SG&amp;A'!BN33</f>
        <v>10.86311392</v>
      </c>
      <c r="BO33" s="28">
        <f>COGS!BO33+'SG&amp;A'!BO33</f>
        <v>2.7929465499999999</v>
      </c>
      <c r="BP33" s="28">
        <f>COGS!BP33+'SG&amp;A'!BP33</f>
        <v>3.1135736700000001</v>
      </c>
      <c r="BQ33" s="28">
        <f>COGS!BQ33+'SG&amp;A'!BQ33</f>
        <v>2.8443907299999998</v>
      </c>
      <c r="BR33" s="28">
        <f>COGS!BR33+'SG&amp;A'!BR33</f>
        <v>2.9843691600000009</v>
      </c>
      <c r="BS33" s="28">
        <f>COGS!BS33+'SG&amp;A'!BS33</f>
        <v>11.735280110000001</v>
      </c>
      <c r="BT33" s="28">
        <f>COGS!BT33+'SG&amp;A'!BT33</f>
        <v>3.5836116499999999</v>
      </c>
      <c r="BU33" s="28">
        <f>COGS!BU33+'SG&amp;A'!BU33</f>
        <v>3.3393860900000001</v>
      </c>
      <c r="BV33" s="28">
        <f>COGS!BV33+'SG&amp;A'!BV33</f>
        <v>2.8701780800000001</v>
      </c>
      <c r="BW33" s="28">
        <f>COGS!BW33+'SG&amp;A'!BW33</f>
        <v>3.326783760000001</v>
      </c>
      <c r="BX33" s="28">
        <f>COGS!BX33+'SG&amp;A'!BX33</f>
        <v>13.119959580000002</v>
      </c>
      <c r="BY33" s="28">
        <f>COGS!BY33+'SG&amp;A'!BY33</f>
        <v>3.25305285</v>
      </c>
      <c r="BZ33" s="28">
        <f>COGS!BZ33+'SG&amp;A'!BZ33</f>
        <v>3.9870879200000005</v>
      </c>
      <c r="CA33" s="28">
        <f>COGS!CA33+'SG&amp;A'!CA33</f>
        <v>2.5378462699999997</v>
      </c>
      <c r="CB33" s="28">
        <f>COGS!CB33+'SG&amp;A'!CB33</f>
        <v>4.7776562499999997</v>
      </c>
      <c r="CC33" s="28">
        <f>COGS!CC33+'SG&amp;A'!CC33</f>
        <v>14.555643289999999</v>
      </c>
      <c r="CD33" s="28">
        <f>COGS!CD33+'SG&amp;A'!CD33</f>
        <v>3.6442174899999999</v>
      </c>
      <c r="CE33" s="28">
        <f>COGS!CE33+'SG&amp;A'!CE33</f>
        <v>4.1482901999999999</v>
      </c>
      <c r="CF33" s="28">
        <f>COGS!CF33+'SG&amp;A'!CF33</f>
        <v>4.201768780000001</v>
      </c>
      <c r="CG33" s="28">
        <f>COGS!CG33+'SG&amp;A'!CG33</f>
        <v>4.1105148400000013</v>
      </c>
      <c r="CH33" s="28">
        <f>COGS!CH33+'SG&amp;A'!CH33</f>
        <v>16.104791310000003</v>
      </c>
      <c r="CI33" s="28">
        <f>COGS!CI33+'SG&amp;A'!CI33</f>
        <v>4.1451676299999995</v>
      </c>
      <c r="CJ33" s="28">
        <f>COGS!CJ33+'SG&amp;A'!CJ33</f>
        <v>5.1088841400000007</v>
      </c>
      <c r="CK33" s="28">
        <f>COGS!CK33+'SG&amp;A'!CK33</f>
        <v>4.4585533200000009</v>
      </c>
      <c r="CL33" s="28">
        <f>COGS!CL33+'SG&amp;A'!CL33</f>
        <v>4.4688585999999999</v>
      </c>
      <c r="CM33" s="28">
        <f>COGS!CM33+'SG&amp;A'!CM33</f>
        <v>18.181463690000001</v>
      </c>
      <c r="CN33" s="28">
        <f>COGS!CN33+'SG&amp;A'!CN33</f>
        <v>4.4571079400000002</v>
      </c>
      <c r="CO33" s="28">
        <f>COGS!CO33+'SG&amp;A'!CO33</f>
        <v>5.0626865700000003</v>
      </c>
      <c r="CP33" s="28">
        <f>COGS!CP33+'SG&amp;A'!CP33</f>
        <v>4.4772510899999993</v>
      </c>
      <c r="CQ33" s="28">
        <f>COGS!CQ33+'SG&amp;A'!CQ33</f>
        <v>4.8149544000000004</v>
      </c>
      <c r="CR33" s="28">
        <f>COGS!CR33+'SG&amp;A'!CR33</f>
        <v>18.811999999999998</v>
      </c>
      <c r="CS33" s="28">
        <f>COGS!CS33+'SG&amp;A'!CS33</f>
        <v>4.6484423499999998</v>
      </c>
      <c r="CT33" s="28">
        <f>COGS!CT33+'SG&amp;A'!CT33</f>
        <v>4.7316000199999992</v>
      </c>
      <c r="CU33" s="28">
        <f>COGS!CU33+'SG&amp;A'!CU33</f>
        <v>4.6833389600000004</v>
      </c>
      <c r="CV33" s="28">
        <f>COGS!CV33+'SG&amp;A'!CV33</f>
        <v>5.0461885000000013</v>
      </c>
      <c r="CW33" s="28">
        <f>COGS!CW33+'SG&amp;A'!CW33</f>
        <v>19.109569830000002</v>
      </c>
      <c r="CX33" s="28">
        <f>COGS!CX33+'SG&amp;A'!CX33</f>
        <v>4.8780000000000001</v>
      </c>
      <c r="CY33" s="28">
        <f>COGS!CY33+'SG&amp;A'!CY33</f>
        <v>4.46</v>
      </c>
      <c r="CZ33" s="28">
        <f>COGS!CZ33+'SG&amp;A'!CZ33</f>
        <v>4.423</v>
      </c>
      <c r="DA33" s="28">
        <f>COGS!DA33+'SG&amp;A'!DA33</f>
        <v>4.8029999999999999</v>
      </c>
      <c r="DB33" s="28">
        <f>COGS!DB33+'SG&amp;A'!DB33</f>
        <v>18.564</v>
      </c>
      <c r="DC33" s="28">
        <f>COGS!DC33+'SG&amp;A'!DC33</f>
        <v>4.4180000000000001</v>
      </c>
      <c r="DD33" s="28">
        <f>COGS!DD33+'SG&amp;A'!DD33</f>
        <v>4.5010000000000003</v>
      </c>
      <c r="DE33" s="28">
        <f>COGS!DE33+'SG&amp;A'!DE33</f>
        <v>4.6929999999999996</v>
      </c>
      <c r="DF33" s="28">
        <f>COGS!DF33+'SG&amp;A'!DF33</f>
        <v>4.43</v>
      </c>
      <c r="DG33" s="28">
        <f>COGS!DG33+'SG&amp;A'!DG33</f>
        <v>18.042000000000002</v>
      </c>
      <c r="DH33" s="28">
        <f>COGS!DH33+'SG&amp;A'!DH33</f>
        <v>4.298</v>
      </c>
      <c r="DI33" s="28">
        <f>COGS!DI33+'SG&amp;A'!DI33</f>
        <v>4.0440000000000005</v>
      </c>
      <c r="DJ33" s="28">
        <f>COGS!DJ33+'SG&amp;A'!DJ33</f>
        <v>4.585</v>
      </c>
      <c r="DK33" s="28">
        <f>COGS!DK33+'SG&amp;A'!DK33</f>
        <v>4.3469999999999995</v>
      </c>
      <c r="DL33" s="28">
        <f>COGS!DL33+'SG&amp;A'!DL33</f>
        <v>17.274000000000001</v>
      </c>
      <c r="DM33" s="28">
        <f>COGS!DM33+'SG&amp;A'!DM33</f>
        <v>4.423</v>
      </c>
      <c r="DN33" s="28">
        <f>COGS!DN33+'SG&amp;A'!DN33</f>
        <v>4.7270000000000003</v>
      </c>
      <c r="DO33" s="28">
        <f>COGS!DO33+'SG&amp;A'!DO33</f>
        <v>4.7729999999999997</v>
      </c>
      <c r="DP33" s="28">
        <f>COGS!DP33+'SG&amp;A'!DP33</f>
        <v>4.74</v>
      </c>
      <c r="DQ33" s="28">
        <f>COGS!DQ33+'SG&amp;A'!DQ33</f>
        <v>18.662999999999997</v>
      </c>
      <c r="DR33" s="28">
        <f>COGS!DR33+'SG&amp;A'!DR33</f>
        <v>4.8970000000000002</v>
      </c>
      <c r="DS33" s="28">
        <f>COGS!DS33+'SG&amp;A'!DS33</f>
        <v>5.0890000000000004</v>
      </c>
      <c r="DT33" s="28">
        <f>COGS!DT33+'SG&amp;A'!DT33</f>
        <v>4.7160000000000002</v>
      </c>
      <c r="DU33" s="28">
        <f>COGS!DU33+'SG&amp;A'!DU33</f>
        <v>4.9640000000000004</v>
      </c>
      <c r="DV33" s="28">
        <f>COGS!DV33+'SG&amp;A'!DV33</f>
        <v>19.665999999999997</v>
      </c>
      <c r="DW33" s="28">
        <f>COGS!DW33+'SG&amp;A'!DW33</f>
        <v>5.1820000000000004</v>
      </c>
      <c r="DX33" s="28">
        <f>COGS!DX33+'SG&amp;A'!DX33</f>
        <v>5.80225042</v>
      </c>
      <c r="DY33" s="28">
        <f>COGS!DY33+'SG&amp;A'!DY33</f>
        <v>5.1337467399999994</v>
      </c>
      <c r="DZ33" s="28">
        <f>COGS!DZ33+'SG&amp;A'!DZ33</f>
        <v>5.6545078000000002</v>
      </c>
      <c r="EA33" s="28">
        <f>COGS!EA33+'SG&amp;A'!EA33</f>
        <v>21.772504959999999</v>
      </c>
      <c r="EB33" s="28">
        <f>COGS!EB33+'SG&amp;A'!EB33</f>
        <v>5.8850829000000004</v>
      </c>
      <c r="EC33" s="28">
        <f>COGS!EC33+'SG&amp;A'!EC33</f>
        <v>5.3766161200000013</v>
      </c>
      <c r="ED33" s="28">
        <f>COGS!ED33+'SG&amp;A'!ED33</f>
        <v>5.62</v>
      </c>
      <c r="EE33" s="28">
        <f>COGS!EE33+'SG&amp;A'!EE33</f>
        <v>5.6401387100000004</v>
      </c>
      <c r="EF33" s="28">
        <f>COGS!EF33+'SG&amp;A'!EF33</f>
        <v>22.521837730000001</v>
      </c>
      <c r="EG33" s="28">
        <f>COGS!EG33+'SG&amp;A'!EG33</f>
        <v>5.5000021500000003</v>
      </c>
      <c r="EH33" s="28">
        <f>COGS!EH33+'SG&amp;A'!EH33</f>
        <v>8.3055272000000002</v>
      </c>
      <c r="EI33" s="28">
        <f>COGS!EI33+'SG&amp;A'!EI33</f>
        <v>7.8870943100000002</v>
      </c>
    </row>
    <row r="34" spans="1:139" ht="15" thickTop="1" x14ac:dyDescent="0.3">
      <c r="A34" s="1" t="s">
        <v>442</v>
      </c>
      <c r="B34" s="27">
        <f>COGS!B34+'SG&amp;A'!B34</f>
        <v>0</v>
      </c>
      <c r="C34" s="27">
        <f>COGS!C34+'SG&amp;A'!C34</f>
        <v>0</v>
      </c>
      <c r="D34" s="27">
        <f>COGS!D34+'SG&amp;A'!D34</f>
        <v>0</v>
      </c>
      <c r="E34" s="27">
        <f>COGS!E34+'SG&amp;A'!E34</f>
        <v>0</v>
      </c>
      <c r="F34" s="27">
        <f>COGS!F34+'SG&amp;A'!F34</f>
        <v>0</v>
      </c>
      <c r="G34" s="27">
        <f>COGS!G34+'SG&amp;A'!G34</f>
        <v>0</v>
      </c>
      <c r="H34" s="27">
        <f>COGS!H34+'SG&amp;A'!H34</f>
        <v>0</v>
      </c>
      <c r="I34" s="27">
        <f>COGS!I34+'SG&amp;A'!I34</f>
        <v>0</v>
      </c>
      <c r="J34" s="27">
        <f>COGS!J34+'SG&amp;A'!J34</f>
        <v>0</v>
      </c>
      <c r="K34" s="27">
        <f>COGS!K34+'SG&amp;A'!K34</f>
        <v>0</v>
      </c>
      <c r="L34" s="27">
        <f>COGS!L34+'SG&amp;A'!L34</f>
        <v>0</v>
      </c>
      <c r="M34" s="27">
        <f>COGS!M34+'SG&amp;A'!M34</f>
        <v>0</v>
      </c>
      <c r="N34" s="27">
        <f>COGS!N34+'SG&amp;A'!N34</f>
        <v>0</v>
      </c>
      <c r="O34" s="27">
        <f>COGS!O34+'SG&amp;A'!O34</f>
        <v>0</v>
      </c>
      <c r="P34" s="27">
        <f>COGS!P34+'SG&amp;A'!P34</f>
        <v>0</v>
      </c>
      <c r="Q34" s="27">
        <f>COGS!Q34+'SG&amp;A'!Q34</f>
        <v>0</v>
      </c>
      <c r="R34" s="27">
        <f>COGS!R34+'SG&amp;A'!R34</f>
        <v>0</v>
      </c>
      <c r="S34" s="27">
        <f>COGS!S34+'SG&amp;A'!S34</f>
        <v>0</v>
      </c>
      <c r="T34" s="27">
        <f>COGS!T34+'SG&amp;A'!T34</f>
        <v>0</v>
      </c>
      <c r="U34" s="27">
        <f>COGS!U34+'SG&amp;A'!U34</f>
        <v>0</v>
      </c>
      <c r="V34" s="27">
        <f>COGS!V34+'SG&amp;A'!V34</f>
        <v>0</v>
      </c>
      <c r="W34" s="27">
        <f>COGS!W34+'SG&amp;A'!W34</f>
        <v>0</v>
      </c>
      <c r="X34" s="27">
        <f>COGS!X34+'SG&amp;A'!X34</f>
        <v>0</v>
      </c>
      <c r="Y34" s="27">
        <f>COGS!Y34+'SG&amp;A'!Y34</f>
        <v>0</v>
      </c>
      <c r="Z34" s="27">
        <f>COGS!Z34+'SG&amp;A'!Z34</f>
        <v>0</v>
      </c>
      <c r="AA34" s="27">
        <f>COGS!AA34+'SG&amp;A'!AA34</f>
        <v>0</v>
      </c>
      <c r="AB34" s="27">
        <f>COGS!AB34+'SG&amp;A'!AB34</f>
        <v>0</v>
      </c>
      <c r="AC34" s="27">
        <f>COGS!AC34+'SG&amp;A'!AC34</f>
        <v>0</v>
      </c>
      <c r="AD34" s="27">
        <f>COGS!AD34+'SG&amp;A'!AD34</f>
        <v>0</v>
      </c>
      <c r="AE34" s="27">
        <f>COGS!AE34+'SG&amp;A'!AE34</f>
        <v>0</v>
      </c>
      <c r="AF34" s="27">
        <f>COGS!AF34+'SG&amp;A'!AF34</f>
        <v>0</v>
      </c>
      <c r="AG34" s="27">
        <f>COGS!AG34+'SG&amp;A'!AG34</f>
        <v>0</v>
      </c>
      <c r="AH34" s="27">
        <f>COGS!AH34+'SG&amp;A'!AH34</f>
        <v>0</v>
      </c>
      <c r="AI34" s="27">
        <f>COGS!AI34+'SG&amp;A'!AI34</f>
        <v>0</v>
      </c>
      <c r="AJ34" s="27">
        <f>COGS!AJ34+'SG&amp;A'!AJ34</f>
        <v>0</v>
      </c>
      <c r="AK34" s="27">
        <f>COGS!AK34+'SG&amp;A'!AK34</f>
        <v>0</v>
      </c>
      <c r="AL34" s="27">
        <f>COGS!AL34+'SG&amp;A'!AL34</f>
        <v>0</v>
      </c>
      <c r="AM34" s="27">
        <f>COGS!AM34+'SG&amp;A'!AM34</f>
        <v>0</v>
      </c>
      <c r="AN34" s="27">
        <f>COGS!AN34+'SG&amp;A'!AN34</f>
        <v>0</v>
      </c>
      <c r="AO34" s="27">
        <f>COGS!AO34+'SG&amp;A'!AO34</f>
        <v>0</v>
      </c>
      <c r="AP34" s="27">
        <f>COGS!AP34+'SG&amp;A'!AP34</f>
        <v>0</v>
      </c>
      <c r="AQ34" s="27">
        <f>COGS!AQ34+'SG&amp;A'!AQ34</f>
        <v>0</v>
      </c>
      <c r="AR34" s="27">
        <f>COGS!AR34+'SG&amp;A'!AR34</f>
        <v>0</v>
      </c>
      <c r="AS34" s="27">
        <f>COGS!AS34+'SG&amp;A'!AS34</f>
        <v>0</v>
      </c>
      <c r="AT34" s="27">
        <f>COGS!AT34+'SG&amp;A'!AT34</f>
        <v>0</v>
      </c>
      <c r="AU34" s="27">
        <f>COGS!AU34+'SG&amp;A'!AU34</f>
        <v>0</v>
      </c>
      <c r="AV34" s="27">
        <f>COGS!AV34+'SG&amp;A'!AV34</f>
        <v>0</v>
      </c>
      <c r="AW34" s="27">
        <f>COGS!AW34+'SG&amp;A'!AW34</f>
        <v>0</v>
      </c>
      <c r="AX34" s="27">
        <f>COGS!AX34+'SG&amp;A'!AX34</f>
        <v>0</v>
      </c>
      <c r="AY34" s="27">
        <f>COGS!AY34+'SG&amp;A'!AY34</f>
        <v>0</v>
      </c>
      <c r="AZ34" s="27">
        <f>COGS!AZ34+'SG&amp;A'!AZ34</f>
        <v>0</v>
      </c>
      <c r="BA34" s="27">
        <f>COGS!BA34+'SG&amp;A'!BA34</f>
        <v>0</v>
      </c>
      <c r="BB34" s="27">
        <f>COGS!BB34+'SG&amp;A'!BB34</f>
        <v>0</v>
      </c>
      <c r="BC34" s="27">
        <f>COGS!BC34+'SG&amp;A'!BC34</f>
        <v>0</v>
      </c>
      <c r="BD34" s="27">
        <f>COGS!BD34+'SG&amp;A'!BD34</f>
        <v>0</v>
      </c>
      <c r="BE34" s="27">
        <f>COGS!BE34+'SG&amp;A'!BE34</f>
        <v>0</v>
      </c>
      <c r="BF34" s="27">
        <f>COGS!BF34+'SG&amp;A'!BF34</f>
        <v>0</v>
      </c>
      <c r="BG34" s="27">
        <f>COGS!BG34+'SG&amp;A'!BG34</f>
        <v>0</v>
      </c>
      <c r="BH34" s="27">
        <f>COGS!BH34+'SG&amp;A'!BH34</f>
        <v>0</v>
      </c>
      <c r="BI34" s="27">
        <f>COGS!BI34+'SG&amp;A'!BI34</f>
        <v>0</v>
      </c>
      <c r="BJ34" s="27">
        <f>COGS!BJ34+'SG&amp;A'!BJ34</f>
        <v>7.073947519999999</v>
      </c>
      <c r="BK34" s="27">
        <f>COGS!BK34+'SG&amp;A'!BK34</f>
        <v>6.7701972600000015</v>
      </c>
      <c r="BL34" s="27">
        <f>COGS!BL34+'SG&amp;A'!BL34</f>
        <v>5.3509868899999997</v>
      </c>
      <c r="BM34" s="27">
        <f>COGS!BM34+'SG&amp;A'!BM34</f>
        <v>7.1129228299999987</v>
      </c>
      <c r="BN34" s="27">
        <f>COGS!BN34+'SG&amp;A'!BN34</f>
        <v>26.308054499999997</v>
      </c>
      <c r="BO34" s="27">
        <f>COGS!BO34+'SG&amp;A'!BO34</f>
        <v>7.1786541600000007</v>
      </c>
      <c r="BP34" s="27">
        <f>COGS!BP34+'SG&amp;A'!BP34</f>
        <v>6.700787909999999</v>
      </c>
      <c r="BQ34" s="27">
        <f>COGS!BQ34+'SG&amp;A'!BQ34</f>
        <v>7.2162166299999999</v>
      </c>
      <c r="BR34" s="27">
        <f>COGS!BR34+'SG&amp;A'!BR34</f>
        <v>6.7116534199999984</v>
      </c>
      <c r="BS34" s="27">
        <f>COGS!BS34+'SG&amp;A'!BS34</f>
        <v>27.807312119999999</v>
      </c>
      <c r="BT34" s="27">
        <f>COGS!BT34+'SG&amp;A'!BT34</f>
        <v>7.7851899599999994</v>
      </c>
      <c r="BU34" s="27">
        <f>COGS!BU34+'SG&amp;A'!BU34</f>
        <v>6.8993724100000007</v>
      </c>
      <c r="BV34" s="27">
        <f>COGS!BV34+'SG&amp;A'!BV34</f>
        <v>6.4965758200000012</v>
      </c>
      <c r="BW34" s="27">
        <f>COGS!BW34+'SG&amp;A'!BW34</f>
        <v>7.7230638799999989</v>
      </c>
      <c r="BX34" s="27">
        <f>COGS!BX34+'SG&amp;A'!BX34</f>
        <v>28.904202070000004</v>
      </c>
      <c r="BY34" s="27">
        <f>COGS!BY34+'SG&amp;A'!BY34</f>
        <v>7.0463146100000014</v>
      </c>
      <c r="BZ34" s="27">
        <f>COGS!BZ34+'SG&amp;A'!BZ34</f>
        <v>8.3688311999999989</v>
      </c>
      <c r="CA34" s="27">
        <f>COGS!CA34+'SG&amp;A'!CA34</f>
        <v>7.7950000600000022</v>
      </c>
      <c r="CB34" s="27">
        <f>COGS!CB34+'SG&amp;A'!CB34</f>
        <v>9.2439889999999991</v>
      </c>
      <c r="CC34" s="27">
        <f>COGS!CC34+'SG&amp;A'!CC34</f>
        <v>32.454134870000004</v>
      </c>
      <c r="CD34" s="27">
        <f>COGS!CD34+'SG&amp;A'!CD34</f>
        <v>7.8948138400000012</v>
      </c>
      <c r="CE34" s="27">
        <f>COGS!CE34+'SG&amp;A'!CE34</f>
        <v>8.621109559999999</v>
      </c>
      <c r="CF34" s="27">
        <f>COGS!CF34+'SG&amp;A'!CF34</f>
        <v>8.7060106300000015</v>
      </c>
      <c r="CG34" s="27">
        <f>COGS!CG34+'SG&amp;A'!CG34</f>
        <v>10.497724079999994</v>
      </c>
      <c r="CH34" s="27">
        <f>COGS!CH34+'SG&amp;A'!CH34</f>
        <v>35.719658109999997</v>
      </c>
      <c r="CI34" s="27">
        <f>COGS!CI34+'SG&amp;A'!CI34</f>
        <v>8.0075590299999995</v>
      </c>
      <c r="CJ34" s="27">
        <f>COGS!CJ34+'SG&amp;A'!CJ34</f>
        <v>8.6326081600000002</v>
      </c>
      <c r="CK34" s="27">
        <f>COGS!CK34+'SG&amp;A'!CK34</f>
        <v>7.8924629000000026</v>
      </c>
      <c r="CL34" s="27">
        <f>COGS!CL34+'SG&amp;A'!CL34</f>
        <v>9.7035516599999951</v>
      </c>
      <c r="CM34" s="27">
        <f>COGS!CM34+'SG&amp;A'!CM34</f>
        <v>34.23618175</v>
      </c>
      <c r="CN34" s="27">
        <f>COGS!CN34+'SG&amp;A'!CN34</f>
        <v>9.561668319999999</v>
      </c>
      <c r="CO34" s="27">
        <f>COGS!CO34+'SG&amp;A'!CO34</f>
        <v>9.2209537200000007</v>
      </c>
      <c r="CP34" s="27">
        <f>COGS!CP34+'SG&amp;A'!CP34</f>
        <v>8.9139923399999983</v>
      </c>
      <c r="CQ34" s="27">
        <f>COGS!CQ34+'SG&amp;A'!CQ34</f>
        <v>9.2293856200000004</v>
      </c>
      <c r="CR34" s="27">
        <f>COGS!CR34+'SG&amp;A'!CR34</f>
        <v>36.926000000000002</v>
      </c>
      <c r="CS34" s="27">
        <f>COGS!CS34+'SG&amp;A'!CS34</f>
        <v>9.4444185300000001</v>
      </c>
      <c r="CT34" s="27">
        <f>COGS!CT34+'SG&amp;A'!CT34</f>
        <v>10.38290147</v>
      </c>
      <c r="CU34" s="27">
        <f>COGS!CU34+'SG&amp;A'!CU34</f>
        <v>7.3635468999999993</v>
      </c>
      <c r="CV34" s="27">
        <f>COGS!CV34+'SG&amp;A'!CV34</f>
        <v>9.3221792200000024</v>
      </c>
      <c r="CW34" s="27">
        <f>COGS!CW34+'SG&amp;A'!CW34</f>
        <v>36.513046119999998</v>
      </c>
      <c r="CX34" s="27">
        <f>COGS!CX34+'SG&amp;A'!CX34</f>
        <v>9.3979999999999997</v>
      </c>
      <c r="CY34" s="27">
        <f>COGS!CY34+'SG&amp;A'!CY34</f>
        <v>8.8810000000000002</v>
      </c>
      <c r="CZ34" s="27">
        <f>COGS!CZ34+'SG&amp;A'!CZ34</f>
        <v>9.06</v>
      </c>
      <c r="DA34" s="27">
        <f>COGS!DA34+'SG&amp;A'!DA34</f>
        <v>8.5060000000000002</v>
      </c>
      <c r="DB34" s="27">
        <f>COGS!DB34+'SG&amp;A'!DB34</f>
        <v>35.844999999999999</v>
      </c>
      <c r="DC34" s="27">
        <f>COGS!DC34+'SG&amp;A'!DC34</f>
        <v>10.986000000000001</v>
      </c>
      <c r="DD34" s="27">
        <f>COGS!DD34+'SG&amp;A'!DD34</f>
        <v>9.1270000000000007</v>
      </c>
      <c r="DE34" s="27">
        <f>COGS!DE34+'SG&amp;A'!DE34</f>
        <v>9.391</v>
      </c>
      <c r="DF34" s="27">
        <f>COGS!DF34+'SG&amp;A'!DF34</f>
        <v>9.6760000000000002</v>
      </c>
      <c r="DG34" s="27">
        <f>COGS!DG34+'SG&amp;A'!DG34</f>
        <v>39.18</v>
      </c>
      <c r="DH34" s="27">
        <f>COGS!DH34+'SG&amp;A'!DH34</f>
        <v>10.266</v>
      </c>
      <c r="DI34" s="27">
        <f>COGS!DI34+'SG&amp;A'!DI34</f>
        <v>8.0410000000000004</v>
      </c>
      <c r="DJ34" s="27">
        <f>COGS!DJ34+'SG&amp;A'!DJ34</f>
        <v>9.4499999999999993</v>
      </c>
      <c r="DK34" s="27">
        <f>COGS!DK34+'SG&amp;A'!DK34</f>
        <v>9.2349999999999994</v>
      </c>
      <c r="DL34" s="27">
        <f>COGS!DL34+'SG&amp;A'!DL34</f>
        <v>36.992000000000004</v>
      </c>
      <c r="DM34" s="27">
        <f>COGS!DM34+'SG&amp;A'!DM34</f>
        <v>10.092000000000001</v>
      </c>
      <c r="DN34" s="27">
        <f>COGS!DN34+'SG&amp;A'!DN34</f>
        <v>10.277999999999999</v>
      </c>
      <c r="DO34" s="27">
        <f>COGS!DO34+'SG&amp;A'!DO34</f>
        <v>10.472000000000001</v>
      </c>
      <c r="DP34" s="27">
        <f>COGS!DP34+'SG&amp;A'!DP34</f>
        <v>10.85</v>
      </c>
      <c r="DQ34" s="27">
        <f>COGS!DQ34+'SG&amp;A'!DQ34</f>
        <v>41.692</v>
      </c>
      <c r="DR34" s="27">
        <f>COGS!DR34+'SG&amp;A'!DR34</f>
        <v>11.507000000000001</v>
      </c>
      <c r="DS34" s="27">
        <f>COGS!DS34+'SG&amp;A'!DS34</f>
        <v>10.93</v>
      </c>
      <c r="DT34" s="27">
        <f>COGS!DT34+'SG&amp;A'!DT34</f>
        <v>10.382</v>
      </c>
      <c r="DU34" s="27">
        <f>COGS!DU34+'SG&amp;A'!DU34</f>
        <v>11.115</v>
      </c>
      <c r="DV34" s="27">
        <f>COGS!DV34+'SG&amp;A'!DV34</f>
        <v>43.933999999999997</v>
      </c>
      <c r="DW34" s="27">
        <f>COGS!DW34+'SG&amp;A'!DW34</f>
        <v>12.73</v>
      </c>
      <c r="DX34" s="27">
        <f>COGS!DX34+'SG&amp;A'!DX34</f>
        <v>12.972605189999999</v>
      </c>
      <c r="DY34" s="27">
        <f>COGS!DY34+'SG&amp;A'!DY34</f>
        <v>12.236620809999998</v>
      </c>
      <c r="DZ34" s="27">
        <f>COGS!DZ34+'SG&amp;A'!DZ34</f>
        <v>13.013747399999996</v>
      </c>
      <c r="EA34" s="27">
        <f>COGS!EA34+'SG&amp;A'!EA34</f>
        <v>50.952973399999998</v>
      </c>
      <c r="EB34" s="27">
        <f>COGS!EB34+'SG&amp;A'!EB34</f>
        <v>13.859743399999999</v>
      </c>
      <c r="EC34" s="27">
        <f>COGS!EC34+'SG&amp;A'!EC34</f>
        <v>11.204134020000001</v>
      </c>
      <c r="ED34" s="27">
        <f>COGS!ED34+'SG&amp;A'!ED34</f>
        <v>12.283000000000001</v>
      </c>
      <c r="EE34" s="27">
        <f>COGS!EE34+'SG&amp;A'!EE34</f>
        <v>13.310162030000001</v>
      </c>
      <c r="EF34" s="27">
        <f>COGS!EF34+'SG&amp;A'!EF34</f>
        <v>50.657039449999999</v>
      </c>
      <c r="EG34" s="27">
        <f>COGS!EG34+'SG&amp;A'!EG34</f>
        <v>12.42521004</v>
      </c>
      <c r="EH34" s="27">
        <f>COGS!EH34+'SG&amp;A'!EH34</f>
        <v>14.030092209999999</v>
      </c>
      <c r="EI34" s="27">
        <f>COGS!EI34+'SG&amp;A'!EI34</f>
        <v>13.16647846</v>
      </c>
    </row>
    <row r="35" spans="1:139" ht="15" thickBot="1" x14ac:dyDescent="0.35">
      <c r="A35" s="2" t="s">
        <v>3</v>
      </c>
      <c r="B35" s="28">
        <f>COGS!B35+'SG&amp;A'!B35</f>
        <v>0</v>
      </c>
      <c r="C35" s="28">
        <f>COGS!C35+'SG&amp;A'!C35</f>
        <v>0</v>
      </c>
      <c r="D35" s="28">
        <f>COGS!D35+'SG&amp;A'!D35</f>
        <v>0</v>
      </c>
      <c r="E35" s="28">
        <f>COGS!E35+'SG&amp;A'!E35</f>
        <v>0</v>
      </c>
      <c r="F35" s="28">
        <f>COGS!F35+'SG&amp;A'!F35</f>
        <v>0</v>
      </c>
      <c r="G35" s="28">
        <f>COGS!G35+'SG&amp;A'!G35</f>
        <v>0</v>
      </c>
      <c r="H35" s="28">
        <f>COGS!H35+'SG&amp;A'!H35</f>
        <v>0</v>
      </c>
      <c r="I35" s="28">
        <f>COGS!I35+'SG&amp;A'!I35</f>
        <v>0</v>
      </c>
      <c r="J35" s="28">
        <f>COGS!J35+'SG&amp;A'!J35</f>
        <v>0</v>
      </c>
      <c r="K35" s="28">
        <f>COGS!K35+'SG&amp;A'!K35</f>
        <v>0</v>
      </c>
      <c r="L35" s="28">
        <f>COGS!L35+'SG&amp;A'!L35</f>
        <v>0</v>
      </c>
      <c r="M35" s="28">
        <f>COGS!M35+'SG&amp;A'!M35</f>
        <v>0</v>
      </c>
      <c r="N35" s="28">
        <f>COGS!N35+'SG&amp;A'!N35</f>
        <v>0</v>
      </c>
      <c r="O35" s="28">
        <f>COGS!O35+'SG&amp;A'!O35</f>
        <v>0</v>
      </c>
      <c r="P35" s="28">
        <f>COGS!P35+'SG&amp;A'!P35</f>
        <v>0</v>
      </c>
      <c r="Q35" s="28">
        <f>COGS!Q35+'SG&amp;A'!Q35</f>
        <v>0</v>
      </c>
      <c r="R35" s="28">
        <f>COGS!R35+'SG&amp;A'!R35</f>
        <v>0</v>
      </c>
      <c r="S35" s="28">
        <f>COGS!S35+'SG&amp;A'!S35</f>
        <v>0</v>
      </c>
      <c r="T35" s="28">
        <f>COGS!T35+'SG&amp;A'!T35</f>
        <v>0</v>
      </c>
      <c r="U35" s="28">
        <f>COGS!U35+'SG&amp;A'!U35</f>
        <v>0</v>
      </c>
      <c r="V35" s="28">
        <f>COGS!V35+'SG&amp;A'!V35</f>
        <v>0</v>
      </c>
      <c r="W35" s="28">
        <f>COGS!W35+'SG&amp;A'!W35</f>
        <v>0</v>
      </c>
      <c r="X35" s="28">
        <f>COGS!X35+'SG&amp;A'!X35</f>
        <v>0</v>
      </c>
      <c r="Y35" s="28">
        <f>COGS!Y35+'SG&amp;A'!Y35</f>
        <v>0</v>
      </c>
      <c r="Z35" s="28">
        <f>COGS!Z35+'SG&amp;A'!Z35</f>
        <v>0</v>
      </c>
      <c r="AA35" s="28">
        <f>COGS!AA35+'SG&amp;A'!AA35</f>
        <v>0</v>
      </c>
      <c r="AB35" s="28">
        <f>COGS!AB35+'SG&amp;A'!AB35</f>
        <v>0</v>
      </c>
      <c r="AC35" s="28">
        <f>COGS!AC35+'SG&amp;A'!AC35</f>
        <v>0</v>
      </c>
      <c r="AD35" s="28">
        <f>COGS!AD35+'SG&amp;A'!AD35</f>
        <v>0</v>
      </c>
      <c r="AE35" s="28">
        <f>COGS!AE35+'SG&amp;A'!AE35</f>
        <v>0</v>
      </c>
      <c r="AF35" s="28">
        <f>COGS!AF35+'SG&amp;A'!AF35</f>
        <v>0</v>
      </c>
      <c r="AG35" s="28">
        <f>COGS!AG35+'SG&amp;A'!AG35</f>
        <v>0</v>
      </c>
      <c r="AH35" s="28">
        <f>COGS!AH35+'SG&amp;A'!AH35</f>
        <v>0</v>
      </c>
      <c r="AI35" s="28">
        <f>COGS!AI35+'SG&amp;A'!AI35</f>
        <v>0</v>
      </c>
      <c r="AJ35" s="28">
        <f>COGS!AJ35+'SG&amp;A'!AJ35</f>
        <v>0</v>
      </c>
      <c r="AK35" s="28">
        <f>COGS!AK35+'SG&amp;A'!AK35</f>
        <v>0</v>
      </c>
      <c r="AL35" s="28">
        <f>COGS!AL35+'SG&amp;A'!AL35</f>
        <v>0</v>
      </c>
      <c r="AM35" s="28">
        <f>COGS!AM35+'SG&amp;A'!AM35</f>
        <v>0</v>
      </c>
      <c r="AN35" s="28">
        <f>COGS!AN35+'SG&amp;A'!AN35</f>
        <v>0</v>
      </c>
      <c r="AO35" s="28">
        <f>COGS!AO35+'SG&amp;A'!AO35</f>
        <v>0</v>
      </c>
      <c r="AP35" s="28">
        <f>COGS!AP35+'SG&amp;A'!AP35</f>
        <v>0</v>
      </c>
      <c r="AQ35" s="28">
        <f>COGS!AQ35+'SG&amp;A'!AQ35</f>
        <v>0</v>
      </c>
      <c r="AR35" s="28">
        <f>COGS!AR35+'SG&amp;A'!AR35</f>
        <v>0</v>
      </c>
      <c r="AS35" s="28">
        <f>COGS!AS35+'SG&amp;A'!AS35</f>
        <v>0</v>
      </c>
      <c r="AT35" s="28">
        <f>COGS!AT35+'SG&amp;A'!AT35</f>
        <v>0</v>
      </c>
      <c r="AU35" s="28">
        <f>COGS!AU35+'SG&amp;A'!AU35</f>
        <v>0</v>
      </c>
      <c r="AV35" s="28">
        <f>COGS!AV35+'SG&amp;A'!AV35</f>
        <v>0</v>
      </c>
      <c r="AW35" s="28">
        <f>COGS!AW35+'SG&amp;A'!AW35</f>
        <v>0</v>
      </c>
      <c r="AX35" s="28">
        <f>COGS!AX35+'SG&amp;A'!AX35</f>
        <v>0</v>
      </c>
      <c r="AY35" s="28">
        <f>COGS!AY35+'SG&amp;A'!AY35</f>
        <v>0</v>
      </c>
      <c r="AZ35" s="28">
        <f>COGS!AZ35+'SG&amp;A'!AZ35</f>
        <v>0</v>
      </c>
      <c r="BA35" s="28">
        <f>COGS!BA35+'SG&amp;A'!BA35</f>
        <v>0</v>
      </c>
      <c r="BB35" s="28">
        <f>COGS!BB35+'SG&amp;A'!BB35</f>
        <v>0</v>
      </c>
      <c r="BC35" s="28">
        <f>COGS!BC35+'SG&amp;A'!BC35</f>
        <v>0</v>
      </c>
      <c r="BD35" s="28">
        <f>COGS!BD35+'SG&amp;A'!BD35</f>
        <v>0</v>
      </c>
      <c r="BE35" s="28">
        <f>COGS!BE35+'SG&amp;A'!BE35</f>
        <v>0</v>
      </c>
      <c r="BF35" s="28">
        <f>COGS!BF35+'SG&amp;A'!BF35</f>
        <v>0</v>
      </c>
      <c r="BG35" s="28">
        <f>COGS!BG35+'SG&amp;A'!BG35</f>
        <v>0</v>
      </c>
      <c r="BH35" s="28">
        <f>COGS!BH35+'SG&amp;A'!BH35</f>
        <v>0</v>
      </c>
      <c r="BI35" s="28">
        <f>COGS!BI35+'SG&amp;A'!BI35</f>
        <v>0</v>
      </c>
      <c r="BJ35" s="28">
        <f>COGS!BJ35+'SG&amp;A'!BJ35</f>
        <v>3.0750667199999997</v>
      </c>
      <c r="BK35" s="28">
        <f>COGS!BK35+'SG&amp;A'!BK35</f>
        <v>3.3458711399999999</v>
      </c>
      <c r="BL35" s="28">
        <f>COGS!BL35+'SG&amp;A'!BL35</f>
        <v>3.0129184000000002</v>
      </c>
      <c r="BM35" s="28">
        <f>COGS!BM35+'SG&amp;A'!BM35</f>
        <v>3.6084505199999999</v>
      </c>
      <c r="BN35" s="28">
        <f>COGS!BN35+'SG&amp;A'!BN35</f>
        <v>13.042306780000001</v>
      </c>
      <c r="BO35" s="28">
        <f>COGS!BO35+'SG&amp;A'!BO35</f>
        <v>3.3114984999999999</v>
      </c>
      <c r="BP35" s="28">
        <f>COGS!BP35+'SG&amp;A'!BP35</f>
        <v>3.2265121100000003</v>
      </c>
      <c r="BQ35" s="28">
        <f>COGS!BQ35+'SG&amp;A'!BQ35</f>
        <v>3.5582226299999991</v>
      </c>
      <c r="BR35" s="28">
        <f>COGS!BR35+'SG&amp;A'!BR35</f>
        <v>3.738975519999999</v>
      </c>
      <c r="BS35" s="28">
        <f>COGS!BS35+'SG&amp;A'!BS35</f>
        <v>13.835208759999999</v>
      </c>
      <c r="BT35" s="28">
        <f>COGS!BT35+'SG&amp;A'!BT35</f>
        <v>4.0938829400000003</v>
      </c>
      <c r="BU35" s="28">
        <f>COGS!BU35+'SG&amp;A'!BU35</f>
        <v>4.0279326599999994</v>
      </c>
      <c r="BV35" s="28">
        <f>COGS!BV35+'SG&amp;A'!BV35</f>
        <v>3.5468472500000008</v>
      </c>
      <c r="BW35" s="28">
        <f>COGS!BW35+'SG&amp;A'!BW35</f>
        <v>11.121879490000001</v>
      </c>
      <c r="BX35" s="28">
        <f>COGS!BX35+'SG&amp;A'!BX35</f>
        <v>22.790542340000002</v>
      </c>
      <c r="BY35" s="28">
        <f>COGS!BY35+'SG&amp;A'!BY35</f>
        <v>3.9296619599999998</v>
      </c>
      <c r="BZ35" s="28">
        <f>COGS!BZ35+'SG&amp;A'!BZ35</f>
        <v>4.2627195299999991</v>
      </c>
      <c r="CA35" s="28">
        <f>COGS!CA35+'SG&amp;A'!CA35</f>
        <v>4.1709394399999997</v>
      </c>
      <c r="CB35" s="28">
        <f>COGS!CB35+'SG&amp;A'!CB35</f>
        <v>4.6050402200000038</v>
      </c>
      <c r="CC35" s="28">
        <f>COGS!CC35+'SG&amp;A'!CC35</f>
        <v>16.96836115</v>
      </c>
      <c r="CD35" s="28">
        <f>COGS!CD35+'SG&amp;A'!CD35</f>
        <v>4.41204602</v>
      </c>
      <c r="CE35" s="28">
        <f>COGS!CE35+'SG&amp;A'!CE35</f>
        <v>4.9650560000000006</v>
      </c>
      <c r="CF35" s="28">
        <f>COGS!CF35+'SG&amp;A'!CF35</f>
        <v>4.852629649999999</v>
      </c>
      <c r="CG35" s="28">
        <f>COGS!CG35+'SG&amp;A'!CG35</f>
        <v>4.7189426499999989</v>
      </c>
      <c r="CH35" s="28">
        <f>COGS!CH35+'SG&amp;A'!CH35</f>
        <v>18.948674319999999</v>
      </c>
      <c r="CI35" s="28">
        <f>COGS!CI35+'SG&amp;A'!CI35</f>
        <v>5.1803864199999996</v>
      </c>
      <c r="CJ35" s="28">
        <f>COGS!CJ35+'SG&amp;A'!CJ35</f>
        <v>5.5476019000000001</v>
      </c>
      <c r="CK35" s="28">
        <f>COGS!CK35+'SG&amp;A'!CK35</f>
        <v>4.8617742499999999</v>
      </c>
      <c r="CL35" s="28">
        <f>COGS!CL35+'SG&amp;A'!CL35</f>
        <v>5.6375585299999988</v>
      </c>
      <c r="CM35" s="28">
        <f>COGS!CM35+'SG&amp;A'!CM35</f>
        <v>21.227321099999998</v>
      </c>
      <c r="CN35" s="28">
        <f>COGS!CN35+'SG&amp;A'!CN35</f>
        <v>5.3303763999999996</v>
      </c>
      <c r="CO35" s="28">
        <f>COGS!CO35+'SG&amp;A'!CO35</f>
        <v>5.6467299200000003</v>
      </c>
      <c r="CP35" s="28">
        <f>COGS!CP35+'SG&amp;A'!CP35</f>
        <v>5.8332558299999997</v>
      </c>
      <c r="CQ35" s="28">
        <f>COGS!CQ35+'SG&amp;A'!CQ35</f>
        <v>5.9526378500000003</v>
      </c>
      <c r="CR35" s="28">
        <f>COGS!CR35+'SG&amp;A'!CR35</f>
        <v>22.762999999999998</v>
      </c>
      <c r="CS35" s="28">
        <f>COGS!CS35+'SG&amp;A'!CS35</f>
        <v>5.3206733899999996</v>
      </c>
      <c r="CT35" s="28">
        <f>COGS!CT35+'SG&amp;A'!CT35</f>
        <v>5.6684690900000003</v>
      </c>
      <c r="CU35" s="28">
        <f>COGS!CU35+'SG&amp;A'!CU35</f>
        <v>5.4109095899999993</v>
      </c>
      <c r="CV35" s="28">
        <f>COGS!CV35+'SG&amp;A'!CV35</f>
        <v>5.2142460100000001</v>
      </c>
      <c r="CW35" s="28">
        <f>COGS!CW35+'SG&amp;A'!CW35</f>
        <v>21.614298079999998</v>
      </c>
      <c r="CX35" s="28">
        <f>COGS!CX35+'SG&amp;A'!CX35</f>
        <v>5.1790000000000003</v>
      </c>
      <c r="CY35" s="28">
        <f>COGS!CY35+'SG&amp;A'!CY35</f>
        <v>4.9610000000000003</v>
      </c>
      <c r="CZ35" s="28">
        <f>COGS!CZ35+'SG&amp;A'!CZ35</f>
        <v>5.0789999999999997</v>
      </c>
      <c r="DA35" s="28">
        <f>COGS!DA35+'SG&amp;A'!DA35</f>
        <v>5.2940000000000005</v>
      </c>
      <c r="DB35" s="28">
        <f>COGS!DB35+'SG&amp;A'!DB35</f>
        <v>20.512999999999998</v>
      </c>
      <c r="DC35" s="28">
        <f>COGS!DC35+'SG&amp;A'!DC35</f>
        <v>4.7720000000000002</v>
      </c>
      <c r="DD35" s="28">
        <f>COGS!DD35+'SG&amp;A'!DD35</f>
        <v>4.9470000000000001</v>
      </c>
      <c r="DE35" s="28">
        <f>COGS!DE35+'SG&amp;A'!DE35</f>
        <v>5.2169999999999996</v>
      </c>
      <c r="DF35" s="28">
        <f>COGS!DF35+'SG&amp;A'!DF35</f>
        <v>4.6950000000000003</v>
      </c>
      <c r="DG35" s="28">
        <f>COGS!DG35+'SG&amp;A'!DG35</f>
        <v>19.631</v>
      </c>
      <c r="DH35" s="28">
        <f>COGS!DH35+'SG&amp;A'!DH35</f>
        <v>4.8869999999999996</v>
      </c>
      <c r="DI35" s="28">
        <f>COGS!DI35+'SG&amp;A'!DI35</f>
        <v>4.3860000000000001</v>
      </c>
      <c r="DJ35" s="28">
        <f>COGS!DJ35+'SG&amp;A'!DJ35</f>
        <v>4.8079999999999998</v>
      </c>
      <c r="DK35" s="28">
        <f>COGS!DK35+'SG&amp;A'!DK35</f>
        <v>5.1980000000000004</v>
      </c>
      <c r="DL35" s="28">
        <f>COGS!DL35+'SG&amp;A'!DL35</f>
        <v>19.279</v>
      </c>
      <c r="DM35" s="28">
        <f>COGS!DM35+'SG&amp;A'!DM35</f>
        <v>5.819</v>
      </c>
      <c r="DN35" s="28">
        <f>COGS!DN35+'SG&amp;A'!DN35</f>
        <v>6.5339999999999998</v>
      </c>
      <c r="DO35" s="28">
        <f>COGS!DO35+'SG&amp;A'!DO35</f>
        <v>6.4039999999999999</v>
      </c>
      <c r="DP35" s="28">
        <f>COGS!DP35+'SG&amp;A'!DP35</f>
        <v>4.5060000000000002</v>
      </c>
      <c r="DQ35" s="28">
        <f>COGS!DQ35+'SG&amp;A'!DQ35</f>
        <v>23.263000000000002</v>
      </c>
      <c r="DR35" s="28">
        <f>COGS!DR35+'SG&amp;A'!DR35</f>
        <v>0.75800000000000001</v>
      </c>
      <c r="DS35" s="28">
        <f>COGS!DS35+'SG&amp;A'!DS35</f>
        <v>1.1259999999999999</v>
      </c>
      <c r="DT35" s="28">
        <f>COGS!DT35+'SG&amp;A'!DT35</f>
        <v>0.38200000000000001</v>
      </c>
      <c r="DU35" s="28">
        <f>COGS!DU35+'SG&amp;A'!DU35</f>
        <v>-7.6000000000000068E-2</v>
      </c>
      <c r="DV35" s="28">
        <f>COGS!DV35+'SG&amp;A'!DV35</f>
        <v>2.19</v>
      </c>
      <c r="DW35" s="28">
        <f>COGS!DW35+'SG&amp;A'!DW35</f>
        <v>0.29699999999999999</v>
      </c>
      <c r="DX35" s="28">
        <f>COGS!DX35+'SG&amp;A'!DX35</f>
        <v>0.35089059999999994</v>
      </c>
      <c r="DY35" s="28">
        <f>COGS!DY35+'SG&amp;A'!DY35</f>
        <v>0.30589658999999997</v>
      </c>
      <c r="DZ35" s="28">
        <f>COGS!DZ35+'SG&amp;A'!DZ35</f>
        <v>0.51045695999999996</v>
      </c>
      <c r="EA35" s="28">
        <f>COGS!EA35+'SG&amp;A'!EA35</f>
        <v>1.4642441499999999</v>
      </c>
      <c r="EB35" s="28">
        <f>COGS!EB35+'SG&amp;A'!EB35</f>
        <v>-8.2985139999999999E-2</v>
      </c>
      <c r="EC35" s="28">
        <f>COGS!EC35+'SG&amp;A'!EC35</f>
        <v>2.2635449999999998E-2</v>
      </c>
      <c r="ED35" s="28">
        <f>COGS!ED35+'SG&amp;A'!ED35</f>
        <v>4.7E-2</v>
      </c>
      <c r="EE35" s="28">
        <f>COGS!EE35+'SG&amp;A'!EE35</f>
        <v>4.9966610000000002E-2</v>
      </c>
      <c r="EF35" s="28">
        <f>COGS!EF35+'SG&amp;A'!EF35</f>
        <v>3.6616920000000004E-2</v>
      </c>
      <c r="EG35" s="28">
        <f>COGS!EG35+'SG&amp;A'!EG35</f>
        <v>1.982507E-2</v>
      </c>
      <c r="EH35" s="28">
        <f>COGS!EH35+'SG&amp;A'!EH35</f>
        <v>1.7229620000000001E-2</v>
      </c>
      <c r="EI35" s="28">
        <f>COGS!EI35+'SG&amp;A'!EI35</f>
        <v>1.9773119999999995E-2</v>
      </c>
    </row>
    <row r="36" spans="1:139" ht="15" thickTop="1" x14ac:dyDescent="0.3">
      <c r="A36" s="1" t="s">
        <v>443</v>
      </c>
      <c r="B36" s="27">
        <f>COGS!B36+'SG&amp;A'!B36</f>
        <v>0</v>
      </c>
      <c r="C36" s="27">
        <f>COGS!C36+'SG&amp;A'!C36</f>
        <v>0</v>
      </c>
      <c r="D36" s="27">
        <f>COGS!D36+'SG&amp;A'!D36</f>
        <v>0</v>
      </c>
      <c r="E36" s="27">
        <f>COGS!E36+'SG&amp;A'!E36</f>
        <v>0</v>
      </c>
      <c r="F36" s="27">
        <f>COGS!F36+'SG&amp;A'!F36</f>
        <v>0</v>
      </c>
      <c r="G36" s="27">
        <f>COGS!G36+'SG&amp;A'!G36</f>
        <v>0</v>
      </c>
      <c r="H36" s="27">
        <f>COGS!H36+'SG&amp;A'!H36</f>
        <v>0</v>
      </c>
      <c r="I36" s="27">
        <f>COGS!I36+'SG&amp;A'!I36</f>
        <v>0</v>
      </c>
      <c r="J36" s="27">
        <f>COGS!J36+'SG&amp;A'!J36</f>
        <v>0</v>
      </c>
      <c r="K36" s="27">
        <f>COGS!K36+'SG&amp;A'!K36</f>
        <v>0</v>
      </c>
      <c r="L36" s="27">
        <f>COGS!L36+'SG&amp;A'!L36</f>
        <v>0</v>
      </c>
      <c r="M36" s="27">
        <f>COGS!M36+'SG&amp;A'!M36</f>
        <v>0</v>
      </c>
      <c r="N36" s="27">
        <f>COGS!N36+'SG&amp;A'!N36</f>
        <v>0</v>
      </c>
      <c r="O36" s="27">
        <f>COGS!O36+'SG&amp;A'!O36</f>
        <v>0</v>
      </c>
      <c r="P36" s="27">
        <f>COGS!P36+'SG&amp;A'!P36</f>
        <v>0</v>
      </c>
      <c r="Q36" s="27">
        <f>COGS!Q36+'SG&amp;A'!Q36</f>
        <v>0</v>
      </c>
      <c r="R36" s="27">
        <f>COGS!R36+'SG&amp;A'!R36</f>
        <v>0</v>
      </c>
      <c r="S36" s="27">
        <f>COGS!S36+'SG&amp;A'!S36</f>
        <v>0</v>
      </c>
      <c r="T36" s="27">
        <f>COGS!T36+'SG&amp;A'!T36</f>
        <v>0</v>
      </c>
      <c r="U36" s="27">
        <f>COGS!U36+'SG&amp;A'!U36</f>
        <v>0</v>
      </c>
      <c r="V36" s="27">
        <f>COGS!V36+'SG&amp;A'!V36</f>
        <v>0</v>
      </c>
      <c r="W36" s="27">
        <f>COGS!W36+'SG&amp;A'!W36</f>
        <v>0</v>
      </c>
      <c r="X36" s="27">
        <f>COGS!X36+'SG&amp;A'!X36</f>
        <v>0</v>
      </c>
      <c r="Y36" s="27">
        <f>COGS!Y36+'SG&amp;A'!Y36</f>
        <v>0</v>
      </c>
      <c r="Z36" s="27">
        <f>COGS!Z36+'SG&amp;A'!Z36</f>
        <v>0</v>
      </c>
      <c r="AA36" s="27">
        <f>COGS!AA36+'SG&amp;A'!AA36</f>
        <v>0</v>
      </c>
      <c r="AB36" s="27">
        <f>COGS!AB36+'SG&amp;A'!AB36</f>
        <v>0</v>
      </c>
      <c r="AC36" s="27">
        <f>COGS!AC36+'SG&amp;A'!AC36</f>
        <v>0</v>
      </c>
      <c r="AD36" s="27">
        <f>COGS!AD36+'SG&amp;A'!AD36</f>
        <v>0</v>
      </c>
      <c r="AE36" s="27">
        <f>COGS!AE36+'SG&amp;A'!AE36</f>
        <v>0</v>
      </c>
      <c r="AF36" s="27">
        <f>COGS!AF36+'SG&amp;A'!AF36</f>
        <v>0</v>
      </c>
      <c r="AG36" s="27">
        <f>COGS!AG36+'SG&amp;A'!AG36</f>
        <v>0</v>
      </c>
      <c r="AH36" s="27">
        <f>COGS!AH36+'SG&amp;A'!AH36</f>
        <v>0</v>
      </c>
      <c r="AI36" s="27">
        <f>COGS!AI36+'SG&amp;A'!AI36</f>
        <v>0</v>
      </c>
      <c r="AJ36" s="27">
        <f>COGS!AJ36+'SG&amp;A'!AJ36</f>
        <v>0</v>
      </c>
      <c r="AK36" s="27">
        <f>COGS!AK36+'SG&amp;A'!AK36</f>
        <v>0</v>
      </c>
      <c r="AL36" s="27">
        <f>COGS!AL36+'SG&amp;A'!AL36</f>
        <v>0</v>
      </c>
      <c r="AM36" s="27">
        <f>COGS!AM36+'SG&amp;A'!AM36</f>
        <v>0</v>
      </c>
      <c r="AN36" s="27">
        <f>COGS!AN36+'SG&amp;A'!AN36</f>
        <v>0</v>
      </c>
      <c r="AO36" s="27">
        <f>COGS!AO36+'SG&amp;A'!AO36</f>
        <v>0</v>
      </c>
      <c r="AP36" s="27">
        <f>COGS!AP36+'SG&amp;A'!AP36</f>
        <v>0</v>
      </c>
      <c r="AQ36" s="27">
        <f>COGS!AQ36+'SG&amp;A'!AQ36</f>
        <v>0</v>
      </c>
      <c r="AR36" s="27">
        <f>COGS!AR36+'SG&amp;A'!AR36</f>
        <v>0</v>
      </c>
      <c r="AS36" s="27">
        <f>COGS!AS36+'SG&amp;A'!AS36</f>
        <v>0</v>
      </c>
      <c r="AT36" s="27">
        <f>COGS!AT36+'SG&amp;A'!AT36</f>
        <v>0</v>
      </c>
      <c r="AU36" s="27">
        <f>COGS!AU36+'SG&amp;A'!AU36</f>
        <v>0</v>
      </c>
      <c r="AV36" s="27">
        <f>COGS!AV36+'SG&amp;A'!AV36</f>
        <v>0</v>
      </c>
      <c r="AW36" s="27">
        <f>COGS!AW36+'SG&amp;A'!AW36</f>
        <v>0</v>
      </c>
      <c r="AX36" s="27">
        <f>COGS!AX36+'SG&amp;A'!AX36</f>
        <v>0</v>
      </c>
      <c r="AY36" s="27">
        <f>COGS!AY36+'SG&amp;A'!AY36</f>
        <v>0</v>
      </c>
      <c r="AZ36" s="27">
        <f>COGS!AZ36+'SG&amp;A'!AZ36</f>
        <v>0</v>
      </c>
      <c r="BA36" s="27">
        <f>COGS!BA36+'SG&amp;A'!BA36</f>
        <v>0</v>
      </c>
      <c r="BB36" s="27">
        <f>COGS!BB36+'SG&amp;A'!BB36</f>
        <v>0</v>
      </c>
      <c r="BC36" s="27">
        <f>COGS!BC36+'SG&amp;A'!BC36</f>
        <v>0</v>
      </c>
      <c r="BD36" s="27">
        <f>COGS!BD36+'SG&amp;A'!BD36</f>
        <v>0</v>
      </c>
      <c r="BE36" s="27">
        <f>COGS!BE36+'SG&amp;A'!BE36</f>
        <v>0</v>
      </c>
      <c r="BF36" s="27">
        <f>COGS!BF36+'SG&amp;A'!BF36</f>
        <v>0</v>
      </c>
      <c r="BG36" s="27">
        <f>COGS!BG36+'SG&amp;A'!BG36</f>
        <v>0</v>
      </c>
      <c r="BH36" s="27">
        <f>COGS!BH36+'SG&amp;A'!BH36</f>
        <v>0</v>
      </c>
      <c r="BI36" s="27">
        <f>COGS!BI36+'SG&amp;A'!BI36</f>
        <v>0</v>
      </c>
      <c r="BJ36" s="27">
        <f>COGS!BJ36+'SG&amp;A'!BJ36</f>
        <v>4.1607344899999994</v>
      </c>
      <c r="BK36" s="27">
        <f>COGS!BK36+'SG&amp;A'!BK36</f>
        <v>3.8651425600000002</v>
      </c>
      <c r="BL36" s="27">
        <f>COGS!BL36+'SG&amp;A'!BL36</f>
        <v>3.8284918199999995</v>
      </c>
      <c r="BM36" s="27">
        <f>COGS!BM36+'SG&amp;A'!BM36</f>
        <v>4.0067921200000001</v>
      </c>
      <c r="BN36" s="27">
        <f>COGS!BN36+'SG&amp;A'!BN36</f>
        <v>15.861160990000002</v>
      </c>
      <c r="BO36" s="27">
        <f>COGS!BO36+'SG&amp;A'!BO36</f>
        <v>4.0654773999999998</v>
      </c>
      <c r="BP36" s="27">
        <f>COGS!BP36+'SG&amp;A'!BP36</f>
        <v>4.3078516699999998</v>
      </c>
      <c r="BQ36" s="27">
        <f>COGS!BQ36+'SG&amp;A'!BQ36</f>
        <v>4.1006798300000007</v>
      </c>
      <c r="BR36" s="27">
        <f>COGS!BR36+'SG&amp;A'!BR36</f>
        <v>4.4108038700000005</v>
      </c>
      <c r="BS36" s="27">
        <f>COGS!BS36+'SG&amp;A'!BS36</f>
        <v>16.88481277</v>
      </c>
      <c r="BT36" s="27">
        <f>COGS!BT36+'SG&amp;A'!BT36</f>
        <v>4.6704068300000001</v>
      </c>
      <c r="BU36" s="27">
        <f>COGS!BU36+'SG&amp;A'!BU36</f>
        <v>4.5878544199999993</v>
      </c>
      <c r="BV36" s="27">
        <f>COGS!BV36+'SG&amp;A'!BV36</f>
        <v>4.1879237700000012</v>
      </c>
      <c r="BW36" s="27">
        <f>COGS!BW36+'SG&amp;A'!BW36</f>
        <v>4.9297415299999994</v>
      </c>
      <c r="BX36" s="27">
        <f>COGS!BX36+'SG&amp;A'!BX36</f>
        <v>18.375926549999999</v>
      </c>
      <c r="BY36" s="27">
        <f>COGS!BY36+'SG&amp;A'!BY36</f>
        <v>4.8795681100000001</v>
      </c>
      <c r="BZ36" s="27">
        <f>COGS!BZ36+'SG&amp;A'!BZ36</f>
        <v>4.9840494199999998</v>
      </c>
      <c r="CA36" s="27">
        <f>COGS!CA36+'SG&amp;A'!CA36</f>
        <v>5.0682237999999984</v>
      </c>
      <c r="CB36" s="27">
        <f>COGS!CB36+'SG&amp;A'!CB36</f>
        <v>4.6980955000000009</v>
      </c>
      <c r="CC36" s="27">
        <f>COGS!CC36+'SG&amp;A'!CC36</f>
        <v>19.629936829999998</v>
      </c>
      <c r="CD36" s="27">
        <f>COGS!CD36+'SG&amp;A'!CD36</f>
        <v>5.0823184000000001</v>
      </c>
      <c r="CE36" s="27">
        <f>COGS!CE36+'SG&amp;A'!CE36</f>
        <v>5.4773141899999995</v>
      </c>
      <c r="CF36" s="27">
        <f>COGS!CF36+'SG&amp;A'!CF36</f>
        <v>3.8680646700000008</v>
      </c>
      <c r="CG36" s="27">
        <f>COGS!CG36+'SG&amp;A'!CG36</f>
        <v>5.5760950500000002</v>
      </c>
      <c r="CH36" s="27">
        <f>COGS!CH36+'SG&amp;A'!CH36</f>
        <v>20.003792310000001</v>
      </c>
      <c r="CI36" s="27">
        <f>COGS!CI36+'SG&amp;A'!CI36</f>
        <v>5.223648540000001</v>
      </c>
      <c r="CJ36" s="27">
        <f>COGS!CJ36+'SG&amp;A'!CJ36</f>
        <v>5.7715460299999997</v>
      </c>
      <c r="CK36" s="27">
        <f>COGS!CK36+'SG&amp;A'!CK36</f>
        <v>5.3823244199999998</v>
      </c>
      <c r="CL36" s="27">
        <f>COGS!CL36+'SG&amp;A'!CL36</f>
        <v>5.0833553799999986</v>
      </c>
      <c r="CM36" s="27">
        <f>COGS!CM36+'SG&amp;A'!CM36</f>
        <v>21.460874369999999</v>
      </c>
      <c r="CN36" s="27">
        <f>COGS!CN36+'SG&amp;A'!CN36</f>
        <v>5.1172605300000003</v>
      </c>
      <c r="CO36" s="27">
        <f>COGS!CO36+'SG&amp;A'!CO36</f>
        <v>5.2776527499999997</v>
      </c>
      <c r="CP36" s="27">
        <f>COGS!CP36+'SG&amp;A'!CP36</f>
        <v>5.317492989999999</v>
      </c>
      <c r="CQ36" s="27">
        <f>COGS!CQ36+'SG&amp;A'!CQ36</f>
        <v>5.2995937300000016</v>
      </c>
      <c r="CR36" s="27">
        <f>COGS!CR36+'SG&amp;A'!CR36</f>
        <v>21.012</v>
      </c>
      <c r="CS36" s="27">
        <f>COGS!CS36+'SG&amp;A'!CS36</f>
        <v>5.9397488699999998</v>
      </c>
      <c r="CT36" s="27">
        <f>COGS!CT36+'SG&amp;A'!CT36</f>
        <v>5.3100471199999992</v>
      </c>
      <c r="CU36" s="27">
        <f>COGS!CU36+'SG&amp;A'!CU36</f>
        <v>5.4019144100000016</v>
      </c>
      <c r="CV36" s="27">
        <f>COGS!CV36+'SG&amp;A'!CV36</f>
        <v>6.435495119999997</v>
      </c>
      <c r="CW36" s="27">
        <f>COGS!CW36+'SG&amp;A'!CW36</f>
        <v>23.087205519999998</v>
      </c>
      <c r="CX36" s="27">
        <f>COGS!CX36+'SG&amp;A'!CX36</f>
        <v>5.6150000000000002</v>
      </c>
      <c r="CY36" s="27">
        <f>COGS!CY36+'SG&amp;A'!CY36</f>
        <v>5.5919999999999996</v>
      </c>
      <c r="CZ36" s="27">
        <f>COGS!CZ36+'SG&amp;A'!CZ36</f>
        <v>5.9740000000000002</v>
      </c>
      <c r="DA36" s="27">
        <f>COGS!DA36+'SG&amp;A'!DA36</f>
        <v>5.8849999999999998</v>
      </c>
      <c r="DB36" s="27">
        <f>COGS!DB36+'SG&amp;A'!DB36</f>
        <v>23.066000000000003</v>
      </c>
      <c r="DC36" s="27">
        <f>COGS!DC36+'SG&amp;A'!DC36</f>
        <v>6.109</v>
      </c>
      <c r="DD36" s="27">
        <f>COGS!DD36+'SG&amp;A'!DD36</f>
        <v>5.7330000000000005</v>
      </c>
      <c r="DE36" s="27">
        <f>COGS!DE36+'SG&amp;A'!DE36</f>
        <v>6.3919999999999995</v>
      </c>
      <c r="DF36" s="27">
        <f>COGS!DF36+'SG&amp;A'!DF36</f>
        <v>7.2799999999999994</v>
      </c>
      <c r="DG36" s="27">
        <f>COGS!DG36+'SG&amp;A'!DG36</f>
        <v>25.513999999999999</v>
      </c>
      <c r="DH36" s="27">
        <f>COGS!DH36+'SG&amp;A'!DH36</f>
        <v>6.5010000000000003</v>
      </c>
      <c r="DI36" s="27">
        <f>COGS!DI36+'SG&amp;A'!DI36</f>
        <v>5.5360000000000005</v>
      </c>
      <c r="DJ36" s="27">
        <f>COGS!DJ36+'SG&amp;A'!DJ36</f>
        <v>6.048</v>
      </c>
      <c r="DK36" s="27">
        <f>COGS!DK36+'SG&amp;A'!DK36</f>
        <v>6.44</v>
      </c>
      <c r="DL36" s="27">
        <f>COGS!DL36+'SG&amp;A'!DL36</f>
        <v>24.524999999999999</v>
      </c>
      <c r="DM36" s="27">
        <f>COGS!DM36+'SG&amp;A'!DM36</f>
        <v>6.67</v>
      </c>
      <c r="DN36" s="27">
        <f>COGS!DN36+'SG&amp;A'!DN36</f>
        <v>7.0730000000000004</v>
      </c>
      <c r="DO36" s="27">
        <f>COGS!DO36+'SG&amp;A'!DO36</f>
        <v>7.1530000000000005</v>
      </c>
      <c r="DP36" s="27">
        <f>COGS!DP36+'SG&amp;A'!DP36</f>
        <v>7.375</v>
      </c>
      <c r="DQ36" s="27">
        <f>COGS!DQ36+'SG&amp;A'!DQ36</f>
        <v>28.271000000000001</v>
      </c>
      <c r="DR36" s="27">
        <f>COGS!DR36+'SG&amp;A'!DR36</f>
        <v>6.7080000000000002</v>
      </c>
      <c r="DS36" s="27">
        <f>COGS!DS36+'SG&amp;A'!DS36</f>
        <v>6.8190000000000008</v>
      </c>
      <c r="DT36" s="27">
        <f>COGS!DT36+'SG&amp;A'!DT36</f>
        <v>6.39</v>
      </c>
      <c r="DU36" s="27">
        <f>COGS!DU36+'SG&amp;A'!DU36</f>
        <v>7.2569999999999997</v>
      </c>
      <c r="DV36" s="27">
        <f>COGS!DV36+'SG&amp;A'!DV36</f>
        <v>27.173999999999999</v>
      </c>
      <c r="DW36" s="27">
        <f>COGS!DW36+'SG&amp;A'!DW36</f>
        <v>7.2149999999999999</v>
      </c>
      <c r="DX36" s="27">
        <f>COGS!DX36+'SG&amp;A'!DX36</f>
        <v>7.5093096699999995</v>
      </c>
      <c r="DY36" s="27">
        <f>COGS!DY36+'SG&amp;A'!DY36</f>
        <v>6.3593900399999983</v>
      </c>
      <c r="DZ36" s="27">
        <f>COGS!DZ36+'SG&amp;A'!DZ36</f>
        <v>7.0991013600000041</v>
      </c>
      <c r="EA36" s="27">
        <f>COGS!EA36+'SG&amp;A'!EA36</f>
        <v>28.182801069999996</v>
      </c>
      <c r="EB36" s="27">
        <f>COGS!EB36+'SG&amp;A'!EB36</f>
        <v>6.6091346999999994</v>
      </c>
      <c r="EC36" s="27">
        <f>COGS!EC36+'SG&amp;A'!EC36</f>
        <v>7.4692984100000013</v>
      </c>
      <c r="ED36" s="27">
        <f>COGS!ED36+'SG&amp;A'!ED36</f>
        <v>7.9850000000000003</v>
      </c>
      <c r="EE36" s="27">
        <f>COGS!EE36+'SG&amp;A'!EE36</f>
        <v>8.5604616100000026</v>
      </c>
      <c r="EF36" s="27">
        <f>COGS!EF36+'SG&amp;A'!EF36</f>
        <v>30.623894720000003</v>
      </c>
      <c r="EG36" s="27">
        <f>COGS!EG36+'SG&amp;A'!EG36</f>
        <v>7.5552464400000003</v>
      </c>
      <c r="EH36" s="27">
        <f>COGS!EH36+'SG&amp;A'!EH36</f>
        <v>7.9586897499999996</v>
      </c>
      <c r="EI36" s="27">
        <f>COGS!EI36+'SG&amp;A'!EI36</f>
        <v>8.9078554800000003</v>
      </c>
    </row>
    <row r="37" spans="1:139" ht="15" thickBot="1" x14ac:dyDescent="0.35">
      <c r="A37" s="2" t="s">
        <v>481</v>
      </c>
      <c r="B37" s="28">
        <f>COGS!B37+'SG&amp;A'!B37</f>
        <v>0</v>
      </c>
      <c r="C37" s="28">
        <f>COGS!C37+'SG&amp;A'!C37</f>
        <v>0</v>
      </c>
      <c r="D37" s="28">
        <f>COGS!D37+'SG&amp;A'!D37</f>
        <v>0</v>
      </c>
      <c r="E37" s="28">
        <f>COGS!E37+'SG&amp;A'!E37</f>
        <v>0</v>
      </c>
      <c r="F37" s="28">
        <f>COGS!F37+'SG&amp;A'!F37</f>
        <v>0</v>
      </c>
      <c r="G37" s="28">
        <f>COGS!G37+'SG&amp;A'!G37</f>
        <v>0</v>
      </c>
      <c r="H37" s="28">
        <f>COGS!H37+'SG&amp;A'!H37</f>
        <v>0</v>
      </c>
      <c r="I37" s="28">
        <f>COGS!I37+'SG&amp;A'!I37</f>
        <v>0</v>
      </c>
      <c r="J37" s="28">
        <f>COGS!J37+'SG&amp;A'!J37</f>
        <v>0</v>
      </c>
      <c r="K37" s="28">
        <f>COGS!K37+'SG&amp;A'!K37</f>
        <v>0</v>
      </c>
      <c r="L37" s="28">
        <f>COGS!L37+'SG&amp;A'!L37</f>
        <v>0</v>
      </c>
      <c r="M37" s="28">
        <f>COGS!M37+'SG&amp;A'!M37</f>
        <v>0</v>
      </c>
      <c r="N37" s="28">
        <f>COGS!N37+'SG&amp;A'!N37</f>
        <v>0</v>
      </c>
      <c r="O37" s="28">
        <f>COGS!O37+'SG&amp;A'!O37</f>
        <v>0</v>
      </c>
      <c r="P37" s="28">
        <f>COGS!P37+'SG&amp;A'!P37</f>
        <v>0</v>
      </c>
      <c r="Q37" s="28">
        <f>COGS!Q37+'SG&amp;A'!Q37</f>
        <v>0</v>
      </c>
      <c r="R37" s="28">
        <f>COGS!R37+'SG&amp;A'!R37</f>
        <v>0</v>
      </c>
      <c r="S37" s="28">
        <f>COGS!S37+'SG&amp;A'!S37</f>
        <v>0</v>
      </c>
      <c r="T37" s="28">
        <f>COGS!T37+'SG&amp;A'!T37</f>
        <v>0</v>
      </c>
      <c r="U37" s="28">
        <f>COGS!U37+'SG&amp;A'!U37</f>
        <v>0</v>
      </c>
      <c r="V37" s="28">
        <f>COGS!V37+'SG&amp;A'!V37</f>
        <v>0</v>
      </c>
      <c r="W37" s="28">
        <f>COGS!W37+'SG&amp;A'!W37</f>
        <v>0</v>
      </c>
      <c r="X37" s="28">
        <f>COGS!X37+'SG&amp;A'!X37</f>
        <v>0</v>
      </c>
      <c r="Y37" s="28">
        <f>COGS!Y37+'SG&amp;A'!Y37</f>
        <v>0</v>
      </c>
      <c r="Z37" s="28">
        <f>COGS!Z37+'SG&amp;A'!Z37</f>
        <v>0</v>
      </c>
      <c r="AA37" s="28">
        <f>COGS!AA37+'SG&amp;A'!AA37</f>
        <v>0</v>
      </c>
      <c r="AB37" s="28">
        <f>COGS!AB37+'SG&amp;A'!AB37</f>
        <v>0</v>
      </c>
      <c r="AC37" s="28">
        <f>COGS!AC37+'SG&amp;A'!AC37</f>
        <v>0</v>
      </c>
      <c r="AD37" s="28">
        <f>COGS!AD37+'SG&amp;A'!AD37</f>
        <v>0</v>
      </c>
      <c r="AE37" s="28">
        <f>COGS!AE37+'SG&amp;A'!AE37</f>
        <v>0</v>
      </c>
      <c r="AF37" s="28">
        <f>COGS!AF37+'SG&amp;A'!AF37</f>
        <v>0</v>
      </c>
      <c r="AG37" s="28">
        <f>COGS!AG37+'SG&amp;A'!AG37</f>
        <v>0</v>
      </c>
      <c r="AH37" s="28">
        <f>COGS!AH37+'SG&amp;A'!AH37</f>
        <v>0</v>
      </c>
      <c r="AI37" s="28">
        <f>COGS!AI37+'SG&amp;A'!AI37</f>
        <v>0</v>
      </c>
      <c r="AJ37" s="28">
        <f>COGS!AJ37+'SG&amp;A'!AJ37</f>
        <v>0</v>
      </c>
      <c r="AK37" s="28">
        <f>COGS!AK37+'SG&amp;A'!AK37</f>
        <v>0</v>
      </c>
      <c r="AL37" s="28">
        <f>COGS!AL37+'SG&amp;A'!AL37</f>
        <v>0</v>
      </c>
      <c r="AM37" s="28">
        <f>COGS!AM37+'SG&amp;A'!AM37</f>
        <v>0</v>
      </c>
      <c r="AN37" s="28">
        <f>COGS!AN37+'SG&amp;A'!AN37</f>
        <v>0</v>
      </c>
      <c r="AO37" s="28">
        <f>COGS!AO37+'SG&amp;A'!AO37</f>
        <v>0</v>
      </c>
      <c r="AP37" s="28">
        <f>COGS!AP37+'SG&amp;A'!AP37</f>
        <v>0</v>
      </c>
      <c r="AQ37" s="28">
        <f>COGS!AQ37+'SG&amp;A'!AQ37</f>
        <v>0</v>
      </c>
      <c r="AR37" s="28">
        <f>COGS!AR37+'SG&amp;A'!AR37</f>
        <v>0</v>
      </c>
      <c r="AS37" s="28">
        <f>COGS!AS37+'SG&amp;A'!AS37</f>
        <v>0</v>
      </c>
      <c r="AT37" s="28">
        <f>COGS!AT37+'SG&amp;A'!AT37</f>
        <v>0</v>
      </c>
      <c r="AU37" s="28">
        <f>COGS!AU37+'SG&amp;A'!AU37</f>
        <v>0</v>
      </c>
      <c r="AV37" s="28">
        <f>COGS!AV37+'SG&amp;A'!AV37</f>
        <v>0</v>
      </c>
      <c r="AW37" s="28">
        <f>COGS!AW37+'SG&amp;A'!AW37</f>
        <v>0</v>
      </c>
      <c r="AX37" s="28">
        <f>COGS!AX37+'SG&amp;A'!AX37</f>
        <v>0</v>
      </c>
      <c r="AY37" s="28">
        <f>COGS!AY37+'SG&amp;A'!AY37</f>
        <v>0</v>
      </c>
      <c r="AZ37" s="28">
        <f>COGS!AZ37+'SG&amp;A'!AZ37</f>
        <v>0</v>
      </c>
      <c r="BA37" s="28">
        <f>COGS!BA37+'SG&amp;A'!BA37</f>
        <v>0</v>
      </c>
      <c r="BB37" s="28">
        <f>COGS!BB37+'SG&amp;A'!BB37</f>
        <v>0</v>
      </c>
      <c r="BC37" s="28">
        <f>COGS!BC37+'SG&amp;A'!BC37</f>
        <v>0</v>
      </c>
      <c r="BD37" s="28">
        <f>COGS!BD37+'SG&amp;A'!BD37</f>
        <v>0</v>
      </c>
      <c r="BE37" s="28">
        <f>COGS!BE37+'SG&amp;A'!BE37</f>
        <v>0</v>
      </c>
      <c r="BF37" s="28">
        <f>COGS!BF37+'SG&amp;A'!BF37</f>
        <v>0</v>
      </c>
      <c r="BG37" s="28">
        <f>COGS!BG37+'SG&amp;A'!BG37</f>
        <v>0</v>
      </c>
      <c r="BH37" s="28">
        <f>COGS!BH37+'SG&amp;A'!BH37</f>
        <v>0</v>
      </c>
      <c r="BI37" s="28">
        <f>COGS!BI37+'SG&amp;A'!BI37</f>
        <v>0</v>
      </c>
      <c r="BJ37" s="28">
        <f>COGS!BJ37+'SG&amp;A'!BJ37</f>
        <v>0</v>
      </c>
      <c r="BK37" s="28">
        <f>COGS!BK37+'SG&amp;A'!BK37</f>
        <v>0</v>
      </c>
      <c r="BL37" s="28">
        <f>COGS!BL37+'SG&amp;A'!BL37</f>
        <v>0</v>
      </c>
      <c r="BM37" s="28">
        <f>COGS!BM37+'SG&amp;A'!BM37</f>
        <v>0</v>
      </c>
      <c r="BN37" s="28">
        <f>COGS!BN37+'SG&amp;A'!BN37</f>
        <v>0</v>
      </c>
      <c r="BO37" s="28">
        <f>COGS!BO37+'SG&amp;A'!BO37</f>
        <v>0</v>
      </c>
      <c r="BP37" s="28">
        <f>COGS!BP37+'SG&amp;A'!BP37</f>
        <v>0</v>
      </c>
      <c r="BQ37" s="28">
        <f>COGS!BQ37+'SG&amp;A'!BQ37</f>
        <v>0</v>
      </c>
      <c r="BR37" s="28">
        <f>COGS!BR37+'SG&amp;A'!BR37</f>
        <v>0</v>
      </c>
      <c r="BS37" s="28">
        <f>COGS!BS37+'SG&amp;A'!BS37</f>
        <v>0</v>
      </c>
      <c r="BT37" s="28">
        <f>COGS!BT37+'SG&amp;A'!BT37</f>
        <v>0</v>
      </c>
      <c r="BU37" s="28">
        <f>COGS!BU37+'SG&amp;A'!BU37</f>
        <v>9.212461999999999E-2</v>
      </c>
      <c r="BV37" s="28">
        <f>COGS!BV37+'SG&amp;A'!BV37</f>
        <v>0.42687944999999999</v>
      </c>
      <c r="BW37" s="28">
        <f>COGS!BW37+'SG&amp;A'!BW37</f>
        <v>0.44089210000000001</v>
      </c>
      <c r="BX37" s="28">
        <f>COGS!BX37+'SG&amp;A'!BX37</f>
        <v>0.95989616999999994</v>
      </c>
      <c r="BY37" s="28">
        <f>COGS!BY37+'SG&amp;A'!BY37</f>
        <v>0.98577079999999995</v>
      </c>
      <c r="BZ37" s="28">
        <f>COGS!BZ37+'SG&amp;A'!BZ37</f>
        <v>0.66231170000000006</v>
      </c>
      <c r="CA37" s="28">
        <f>COGS!CA37+'SG&amp;A'!CA37</f>
        <v>1.2393942200000003</v>
      </c>
      <c r="CB37" s="28">
        <f>COGS!CB37+'SG&amp;A'!CB37</f>
        <v>3.4503383199999997</v>
      </c>
      <c r="CC37" s="28">
        <f>COGS!CC37+'SG&amp;A'!CC37</f>
        <v>6.3378150400000006</v>
      </c>
      <c r="CD37" s="28">
        <f>COGS!CD37+'SG&amp;A'!CD37</f>
        <v>4.5685790399999995</v>
      </c>
      <c r="CE37" s="28">
        <f>COGS!CE37+'SG&amp;A'!CE37</f>
        <v>6.5897964099999999</v>
      </c>
      <c r="CF37" s="28">
        <f>COGS!CF37+'SG&amp;A'!CF37</f>
        <v>6.4665277700000008</v>
      </c>
      <c r="CG37" s="28">
        <f>COGS!CG37+'SG&amp;A'!CG37</f>
        <v>6.4038755700000003</v>
      </c>
      <c r="CH37" s="28">
        <f>COGS!CH37+'SG&amp;A'!CH37</f>
        <v>24.02877879</v>
      </c>
      <c r="CI37" s="28">
        <f>COGS!CI37+'SG&amp;A'!CI37</f>
        <v>6.0327923199999995</v>
      </c>
      <c r="CJ37" s="28">
        <f>COGS!CJ37+'SG&amp;A'!CJ37</f>
        <v>6.4520094599999993</v>
      </c>
      <c r="CK37" s="28">
        <f>COGS!CK37+'SG&amp;A'!CK37</f>
        <v>6.2217836300000009</v>
      </c>
      <c r="CL37" s="28">
        <f>COGS!CL37+'SG&amp;A'!CL37</f>
        <v>6.2585897399999979</v>
      </c>
      <c r="CM37" s="28">
        <f>COGS!CM37+'SG&amp;A'!CM37</f>
        <v>24.96517515</v>
      </c>
      <c r="CN37" s="28">
        <f>COGS!CN37+'SG&amp;A'!CN37</f>
        <v>6.2948522899999997</v>
      </c>
      <c r="CO37" s="28">
        <f>COGS!CO37+'SG&amp;A'!CO37</f>
        <v>6.0436446700000008</v>
      </c>
      <c r="CP37" s="28">
        <f>COGS!CP37+'SG&amp;A'!CP37</f>
        <v>6.0793094699999992</v>
      </c>
      <c r="CQ37" s="28">
        <f>COGS!CQ37+'SG&amp;A'!CQ37</f>
        <v>6.5091935700000008</v>
      </c>
      <c r="CR37" s="28">
        <f>COGS!CR37+'SG&amp;A'!CR37</f>
        <v>24.927</v>
      </c>
      <c r="CS37" s="28">
        <f>COGS!CS37+'SG&amp;A'!CS37</f>
        <v>6.1159365699999997</v>
      </c>
      <c r="CT37" s="28">
        <f>COGS!CT37+'SG&amp;A'!CT37</f>
        <v>5.6848175299999992</v>
      </c>
      <c r="CU37" s="28">
        <f>COGS!CU37+'SG&amp;A'!CU37</f>
        <v>5.9825377900000012</v>
      </c>
      <c r="CV37" s="28">
        <f>COGS!CV37+'SG&amp;A'!CV37</f>
        <v>5.7236341299999962</v>
      </c>
      <c r="CW37" s="28">
        <f>COGS!CW37+'SG&amp;A'!CW37</f>
        <v>23.506926019999998</v>
      </c>
      <c r="CX37" s="28">
        <f>COGS!CX37+'SG&amp;A'!CX37</f>
        <v>5.68</v>
      </c>
      <c r="CY37" s="28">
        <f>COGS!CY37+'SG&amp;A'!CY37</f>
        <v>6.2510000000000003</v>
      </c>
      <c r="CZ37" s="28">
        <f>COGS!CZ37+'SG&amp;A'!CZ37</f>
        <v>4.5860000000000003</v>
      </c>
      <c r="DA37" s="28">
        <f>COGS!DA37+'SG&amp;A'!DA37</f>
        <v>7.6260000000000003</v>
      </c>
      <c r="DB37" s="28">
        <f>COGS!DB37+'SG&amp;A'!DB37</f>
        <v>24.143000000000001</v>
      </c>
      <c r="DC37" s="28">
        <f>COGS!DC37+'SG&amp;A'!DC37</f>
        <v>6.0649999999999995</v>
      </c>
      <c r="DD37" s="28">
        <f>COGS!DD37+'SG&amp;A'!DD37</f>
        <v>5.8890000000000002</v>
      </c>
      <c r="DE37" s="28">
        <f>COGS!DE37+'SG&amp;A'!DE37</f>
        <v>6.0129999999999999</v>
      </c>
      <c r="DF37" s="28">
        <f>COGS!DF37+'SG&amp;A'!DF37</f>
        <v>6.149</v>
      </c>
      <c r="DG37" s="28">
        <f>COGS!DG37+'SG&amp;A'!DG37</f>
        <v>24.116</v>
      </c>
      <c r="DH37" s="28">
        <f>COGS!DH37+'SG&amp;A'!DH37</f>
        <v>6.2389999999999999</v>
      </c>
      <c r="DI37" s="28">
        <f>COGS!DI37+'SG&amp;A'!DI37</f>
        <v>5.3559999999999999</v>
      </c>
      <c r="DJ37" s="28">
        <f>COGS!DJ37+'SG&amp;A'!DJ37</f>
        <v>5.798</v>
      </c>
      <c r="DK37" s="28">
        <f>COGS!DK37+'SG&amp;A'!DK37</f>
        <v>6.2039999999999997</v>
      </c>
      <c r="DL37" s="28">
        <f>COGS!DL37+'SG&amp;A'!DL37</f>
        <v>23.596999999999998</v>
      </c>
      <c r="DM37" s="28">
        <f>COGS!DM37+'SG&amp;A'!DM37</f>
        <v>6.2240000000000002</v>
      </c>
      <c r="DN37" s="28">
        <f>COGS!DN37+'SG&amp;A'!DN37</f>
        <v>6.8179999999999996</v>
      </c>
      <c r="DO37" s="28">
        <f>COGS!DO37+'SG&amp;A'!DO37</f>
        <v>6.5839999999999996</v>
      </c>
      <c r="DP37" s="28">
        <f>COGS!DP37+'SG&amp;A'!DP37</f>
        <v>6.7389999999999999</v>
      </c>
      <c r="DQ37" s="28">
        <f>COGS!DQ37+'SG&amp;A'!DQ37</f>
        <v>26.365000000000002</v>
      </c>
      <c r="DR37" s="28">
        <f>COGS!DR37+'SG&amp;A'!DR37</f>
        <v>6.9790000000000001</v>
      </c>
      <c r="DS37" s="28">
        <f>COGS!DS37+'SG&amp;A'!DS37</f>
        <v>8.8260000000000005</v>
      </c>
      <c r="DT37" s="28">
        <f>COGS!DT37+'SG&amp;A'!DT37</f>
        <v>6.6970000000000001</v>
      </c>
      <c r="DU37" s="28">
        <f>COGS!DU37+'SG&amp;A'!DU37</f>
        <v>7.42</v>
      </c>
      <c r="DV37" s="28">
        <f>COGS!DV37+'SG&amp;A'!DV37</f>
        <v>29.922000000000001</v>
      </c>
      <c r="DW37" s="28">
        <f>COGS!DW37+'SG&amp;A'!DW37</f>
        <v>7.2679999999999998</v>
      </c>
      <c r="DX37" s="28">
        <f>COGS!DX37+'SG&amp;A'!DX37</f>
        <v>7.6974456099999999</v>
      </c>
      <c r="DY37" s="28">
        <f>COGS!DY37+'SG&amp;A'!DY37</f>
        <v>8.7076098500000025</v>
      </c>
      <c r="DZ37" s="28">
        <f>COGS!DZ37+'SG&amp;A'!DZ37</f>
        <v>8.7483047100000011</v>
      </c>
      <c r="EA37" s="28">
        <f>COGS!EA37+'SG&amp;A'!EA37</f>
        <v>32.42136017</v>
      </c>
      <c r="EB37" s="28">
        <f>COGS!EB37+'SG&amp;A'!EB37</f>
        <v>7.3999429700000006</v>
      </c>
      <c r="EC37" s="28">
        <f>COGS!EC37+'SG&amp;A'!EC37</f>
        <v>7.7382340700000007</v>
      </c>
      <c r="ED37" s="28">
        <f>COGS!ED37+'SG&amp;A'!ED37</f>
        <v>8.31</v>
      </c>
      <c r="EE37" s="28">
        <f>COGS!EE37+'SG&amp;A'!EE37</f>
        <v>8.6674770099999989</v>
      </c>
      <c r="EF37" s="28">
        <f>COGS!EF37+'SG&amp;A'!EF37</f>
        <v>32.115654050000003</v>
      </c>
      <c r="EG37" s="28">
        <f>COGS!EG37+'SG&amp;A'!EG37</f>
        <v>8.3414575299999996</v>
      </c>
      <c r="EH37" s="28">
        <f>COGS!EH37+'SG&amp;A'!EH37</f>
        <v>8.9776809699999998</v>
      </c>
      <c r="EI37" s="28">
        <f>COGS!EI37+'SG&amp;A'!EI37</f>
        <v>9.6772316400000005</v>
      </c>
    </row>
    <row r="38" spans="1:139" ht="15" thickTop="1" x14ac:dyDescent="0.3">
      <c r="A38" s="1" t="s">
        <v>445</v>
      </c>
      <c r="B38" s="27">
        <f>COGS!B38+'SG&amp;A'!B38</f>
        <v>0</v>
      </c>
      <c r="C38" s="27">
        <f>COGS!C38+'SG&amp;A'!C38</f>
        <v>0</v>
      </c>
      <c r="D38" s="27">
        <f>COGS!D38+'SG&amp;A'!D38</f>
        <v>0</v>
      </c>
      <c r="E38" s="27">
        <f>COGS!E38+'SG&amp;A'!E38</f>
        <v>0</v>
      </c>
      <c r="F38" s="27">
        <f>COGS!F38+'SG&amp;A'!F38</f>
        <v>0</v>
      </c>
      <c r="G38" s="27">
        <f>COGS!G38+'SG&amp;A'!G38</f>
        <v>0</v>
      </c>
      <c r="H38" s="27">
        <f>COGS!H38+'SG&amp;A'!H38</f>
        <v>0</v>
      </c>
      <c r="I38" s="27">
        <f>COGS!I38+'SG&amp;A'!I38</f>
        <v>0</v>
      </c>
      <c r="J38" s="27">
        <f>COGS!J38+'SG&amp;A'!J38</f>
        <v>0</v>
      </c>
      <c r="K38" s="27">
        <f>COGS!K38+'SG&amp;A'!K38</f>
        <v>0</v>
      </c>
      <c r="L38" s="27">
        <f>COGS!L38+'SG&amp;A'!L38</f>
        <v>0</v>
      </c>
      <c r="M38" s="27">
        <f>COGS!M38+'SG&amp;A'!M38</f>
        <v>0</v>
      </c>
      <c r="N38" s="27">
        <f>COGS!N38+'SG&amp;A'!N38</f>
        <v>0</v>
      </c>
      <c r="O38" s="27">
        <f>COGS!O38+'SG&amp;A'!O38</f>
        <v>0</v>
      </c>
      <c r="P38" s="27">
        <f>COGS!P38+'SG&amp;A'!P38</f>
        <v>0</v>
      </c>
      <c r="Q38" s="27">
        <f>COGS!Q38+'SG&amp;A'!Q38</f>
        <v>0</v>
      </c>
      <c r="R38" s="27">
        <f>COGS!R38+'SG&amp;A'!R38</f>
        <v>0</v>
      </c>
      <c r="S38" s="27">
        <f>COGS!S38+'SG&amp;A'!S38</f>
        <v>0</v>
      </c>
      <c r="T38" s="27">
        <f>COGS!T38+'SG&amp;A'!T38</f>
        <v>0</v>
      </c>
      <c r="U38" s="27">
        <f>COGS!U38+'SG&amp;A'!U38</f>
        <v>0</v>
      </c>
      <c r="V38" s="27">
        <f>COGS!V38+'SG&amp;A'!V38</f>
        <v>0</v>
      </c>
      <c r="W38" s="27">
        <f>COGS!W38+'SG&amp;A'!W38</f>
        <v>0</v>
      </c>
      <c r="X38" s="27">
        <f>COGS!X38+'SG&amp;A'!X38</f>
        <v>0</v>
      </c>
      <c r="Y38" s="27">
        <f>COGS!Y38+'SG&amp;A'!Y38</f>
        <v>0</v>
      </c>
      <c r="Z38" s="27">
        <f>COGS!Z38+'SG&amp;A'!Z38</f>
        <v>0</v>
      </c>
      <c r="AA38" s="27">
        <f>COGS!AA38+'SG&amp;A'!AA38</f>
        <v>0</v>
      </c>
      <c r="AB38" s="27">
        <f>COGS!AB38+'SG&amp;A'!AB38</f>
        <v>0</v>
      </c>
      <c r="AC38" s="27">
        <f>COGS!AC38+'SG&amp;A'!AC38</f>
        <v>0</v>
      </c>
      <c r="AD38" s="27">
        <f>COGS!AD38+'SG&amp;A'!AD38</f>
        <v>0</v>
      </c>
      <c r="AE38" s="27">
        <f>COGS!AE38+'SG&amp;A'!AE38</f>
        <v>0</v>
      </c>
      <c r="AF38" s="27">
        <f>COGS!AF38+'SG&amp;A'!AF38</f>
        <v>0</v>
      </c>
      <c r="AG38" s="27">
        <f>COGS!AG38+'SG&amp;A'!AG38</f>
        <v>0</v>
      </c>
      <c r="AH38" s="27">
        <f>COGS!AH38+'SG&amp;A'!AH38</f>
        <v>0</v>
      </c>
      <c r="AI38" s="27">
        <f>COGS!AI38+'SG&amp;A'!AI38</f>
        <v>0</v>
      </c>
      <c r="AJ38" s="27">
        <f>COGS!AJ38+'SG&amp;A'!AJ38</f>
        <v>0</v>
      </c>
      <c r="AK38" s="27">
        <f>COGS!AK38+'SG&amp;A'!AK38</f>
        <v>0</v>
      </c>
      <c r="AL38" s="27">
        <f>COGS!AL38+'SG&amp;A'!AL38</f>
        <v>0</v>
      </c>
      <c r="AM38" s="27">
        <f>COGS!AM38+'SG&amp;A'!AM38</f>
        <v>0</v>
      </c>
      <c r="AN38" s="27">
        <f>COGS!AN38+'SG&amp;A'!AN38</f>
        <v>0</v>
      </c>
      <c r="AO38" s="27">
        <f>COGS!AO38+'SG&amp;A'!AO38</f>
        <v>0</v>
      </c>
      <c r="AP38" s="27">
        <f>COGS!AP38+'SG&amp;A'!AP38</f>
        <v>0</v>
      </c>
      <c r="AQ38" s="27">
        <f>COGS!AQ38+'SG&amp;A'!AQ38</f>
        <v>0</v>
      </c>
      <c r="AR38" s="27">
        <f>COGS!AR38+'SG&amp;A'!AR38</f>
        <v>0</v>
      </c>
      <c r="AS38" s="27">
        <f>COGS!AS38+'SG&amp;A'!AS38</f>
        <v>0</v>
      </c>
      <c r="AT38" s="27">
        <f>COGS!AT38+'SG&amp;A'!AT38</f>
        <v>0</v>
      </c>
      <c r="AU38" s="27">
        <f>COGS!AU38+'SG&amp;A'!AU38</f>
        <v>0</v>
      </c>
      <c r="AV38" s="27">
        <f>COGS!AV38+'SG&amp;A'!AV38</f>
        <v>0</v>
      </c>
      <c r="AW38" s="27">
        <f>COGS!AW38+'SG&amp;A'!AW38</f>
        <v>0</v>
      </c>
      <c r="AX38" s="27">
        <f>COGS!AX38+'SG&amp;A'!AX38</f>
        <v>0</v>
      </c>
      <c r="AY38" s="27">
        <f>COGS!AY38+'SG&amp;A'!AY38</f>
        <v>0</v>
      </c>
      <c r="AZ38" s="27">
        <f>COGS!AZ38+'SG&amp;A'!AZ38</f>
        <v>0</v>
      </c>
      <c r="BA38" s="27">
        <f>COGS!BA38+'SG&amp;A'!BA38</f>
        <v>0</v>
      </c>
      <c r="BB38" s="27">
        <f>COGS!BB38+'SG&amp;A'!BB38</f>
        <v>0</v>
      </c>
      <c r="BC38" s="27">
        <f>COGS!BC38+'SG&amp;A'!BC38</f>
        <v>0</v>
      </c>
      <c r="BD38" s="27">
        <f>COGS!BD38+'SG&amp;A'!BD38</f>
        <v>0</v>
      </c>
      <c r="BE38" s="27">
        <f>COGS!BE38+'SG&amp;A'!BE38</f>
        <v>0</v>
      </c>
      <c r="BF38" s="27">
        <f>COGS!BF38+'SG&amp;A'!BF38</f>
        <v>0</v>
      </c>
      <c r="BG38" s="27">
        <f>COGS!BG38+'SG&amp;A'!BG38</f>
        <v>0</v>
      </c>
      <c r="BH38" s="27">
        <f>COGS!BH38+'SG&amp;A'!BH38</f>
        <v>0</v>
      </c>
      <c r="BI38" s="27">
        <f>COGS!BI38+'SG&amp;A'!BI38</f>
        <v>0</v>
      </c>
      <c r="BJ38" s="27">
        <f>COGS!BJ38+'SG&amp;A'!BJ38</f>
        <v>0</v>
      </c>
      <c r="BK38" s="27">
        <f>COGS!BK38+'SG&amp;A'!BK38</f>
        <v>0</v>
      </c>
      <c r="BL38" s="27">
        <f>COGS!BL38+'SG&amp;A'!BL38</f>
        <v>0</v>
      </c>
      <c r="BM38" s="27">
        <f>COGS!BM38+'SG&amp;A'!BM38</f>
        <v>0</v>
      </c>
      <c r="BN38" s="27">
        <f>COGS!BN38+'SG&amp;A'!BN38</f>
        <v>0</v>
      </c>
      <c r="BO38" s="27">
        <f>COGS!BO38+'SG&amp;A'!BO38</f>
        <v>0</v>
      </c>
      <c r="BP38" s="27">
        <f>COGS!BP38+'SG&amp;A'!BP38</f>
        <v>0</v>
      </c>
      <c r="BQ38" s="27">
        <f>COGS!BQ38+'SG&amp;A'!BQ38</f>
        <v>0</v>
      </c>
      <c r="BR38" s="27">
        <f>COGS!BR38+'SG&amp;A'!BR38</f>
        <v>0</v>
      </c>
      <c r="BS38" s="27">
        <f>COGS!BS38+'SG&amp;A'!BS38</f>
        <v>0</v>
      </c>
      <c r="BT38" s="27">
        <f>COGS!BT38+'SG&amp;A'!BT38</f>
        <v>0</v>
      </c>
      <c r="BU38" s="27">
        <f>COGS!BU38+'SG&amp;A'!BU38</f>
        <v>0</v>
      </c>
      <c r="BV38" s="27">
        <f>COGS!BV38+'SG&amp;A'!BV38</f>
        <v>0</v>
      </c>
      <c r="BW38" s="27">
        <f>COGS!BW38+'SG&amp;A'!BW38</f>
        <v>0</v>
      </c>
      <c r="BX38" s="27">
        <f>COGS!BX38+'SG&amp;A'!BX38</f>
        <v>0</v>
      </c>
      <c r="BY38" s="27">
        <f>COGS!BY38+'SG&amp;A'!BY38</f>
        <v>0</v>
      </c>
      <c r="BZ38" s="27">
        <f>COGS!BZ38+'SG&amp;A'!BZ38</f>
        <v>0</v>
      </c>
      <c r="CA38" s="27">
        <f>COGS!CA38+'SG&amp;A'!CA38</f>
        <v>0</v>
      </c>
      <c r="CB38" s="27">
        <f>COGS!CB38+'SG&amp;A'!CB38</f>
        <v>0</v>
      </c>
      <c r="CC38" s="27">
        <f>COGS!CC38+'SG&amp;A'!CC38</f>
        <v>0</v>
      </c>
      <c r="CD38" s="27">
        <f>COGS!CD38+'SG&amp;A'!CD38</f>
        <v>0</v>
      </c>
      <c r="CE38" s="27">
        <f>COGS!CE38+'SG&amp;A'!CE38</f>
        <v>0</v>
      </c>
      <c r="CF38" s="27">
        <f>COGS!CF38+'SG&amp;A'!CF38</f>
        <v>0</v>
      </c>
      <c r="CG38" s="27">
        <f>COGS!CG38+'SG&amp;A'!CG38</f>
        <v>0</v>
      </c>
      <c r="CH38" s="27">
        <f>COGS!CH38+'SG&amp;A'!CH38</f>
        <v>0</v>
      </c>
      <c r="CI38" s="27">
        <f>COGS!CI38+'SG&amp;A'!CI38</f>
        <v>0</v>
      </c>
      <c r="CJ38" s="27">
        <f>COGS!CJ38+'SG&amp;A'!CJ38</f>
        <v>1.68007471</v>
      </c>
      <c r="CK38" s="27">
        <f>COGS!CK38+'SG&amp;A'!CK38</f>
        <v>3.6184532100000002</v>
      </c>
      <c r="CL38" s="27">
        <f>COGS!CL38+'SG&amp;A'!CL38</f>
        <v>3.8567113700000002</v>
      </c>
      <c r="CM38" s="27">
        <f>COGS!CM38+'SG&amp;A'!CM38</f>
        <v>9.1552392900000008</v>
      </c>
      <c r="CN38" s="27">
        <f>COGS!CN38+'SG&amp;A'!CN38</f>
        <v>4.0156938799999997</v>
      </c>
      <c r="CO38" s="27">
        <f>COGS!CO38+'SG&amp;A'!CO38</f>
        <v>4.04225967</v>
      </c>
      <c r="CP38" s="27">
        <f>COGS!CP38+'SG&amp;A'!CP38</f>
        <v>3.954990710000001</v>
      </c>
      <c r="CQ38" s="27">
        <f>COGS!CQ38+'SG&amp;A'!CQ38</f>
        <v>4.1560557399999993</v>
      </c>
      <c r="CR38" s="27">
        <f>COGS!CR38+'SG&amp;A'!CR38</f>
        <v>16.169</v>
      </c>
      <c r="CS38" s="27">
        <f>COGS!CS38+'SG&amp;A'!CS38</f>
        <v>4.1284320000000001</v>
      </c>
      <c r="CT38" s="27">
        <f>COGS!CT38+'SG&amp;A'!CT38</f>
        <v>4.1433530799999998</v>
      </c>
      <c r="CU38" s="27">
        <f>COGS!CU38+'SG&amp;A'!CU38</f>
        <v>3.9900516800000001</v>
      </c>
      <c r="CV38" s="27">
        <f>COGS!CV38+'SG&amp;A'!CV38</f>
        <v>4.2730996499999989</v>
      </c>
      <c r="CW38" s="27">
        <f>COGS!CW38+'SG&amp;A'!CW38</f>
        <v>16.53493641</v>
      </c>
      <c r="CX38" s="27">
        <f>COGS!CX38+'SG&amp;A'!CX38</f>
        <v>3.8</v>
      </c>
      <c r="CY38" s="27">
        <f>COGS!CY38+'SG&amp;A'!CY38</f>
        <v>3.681</v>
      </c>
      <c r="CZ38" s="27">
        <f>COGS!CZ38+'SG&amp;A'!CZ38</f>
        <v>4.07</v>
      </c>
      <c r="DA38" s="27">
        <f>COGS!DA38+'SG&amp;A'!DA38</f>
        <v>3.2199999999999998</v>
      </c>
      <c r="DB38" s="27">
        <f>COGS!DB38+'SG&amp;A'!DB38</f>
        <v>14.770999999999997</v>
      </c>
      <c r="DC38" s="27">
        <f>COGS!DC38+'SG&amp;A'!DC38</f>
        <v>3.5330000000000004</v>
      </c>
      <c r="DD38" s="27">
        <f>COGS!DD38+'SG&amp;A'!DD38</f>
        <v>3.194</v>
      </c>
      <c r="DE38" s="27">
        <f>COGS!DE38+'SG&amp;A'!DE38</f>
        <v>3.504</v>
      </c>
      <c r="DF38" s="27">
        <f>COGS!DF38+'SG&amp;A'!DF38</f>
        <v>3.694</v>
      </c>
      <c r="DG38" s="27">
        <f>COGS!DG38+'SG&amp;A'!DG38</f>
        <v>13.925000000000001</v>
      </c>
      <c r="DH38" s="27">
        <f>COGS!DH38+'SG&amp;A'!DH38</f>
        <v>3.6429999999999998</v>
      </c>
      <c r="DI38" s="27">
        <f>COGS!DI38+'SG&amp;A'!DI38</f>
        <v>3.234</v>
      </c>
      <c r="DJ38" s="27">
        <f>COGS!DJ38+'SG&amp;A'!DJ38</f>
        <v>3.556</v>
      </c>
      <c r="DK38" s="27">
        <f>COGS!DK38+'SG&amp;A'!DK38</f>
        <v>3.6759999999999997</v>
      </c>
      <c r="DL38" s="27">
        <f>COGS!DL38+'SG&amp;A'!DL38</f>
        <v>14.108999999999998</v>
      </c>
      <c r="DM38" s="27">
        <f>COGS!DM38+'SG&amp;A'!DM38</f>
        <v>3.69</v>
      </c>
      <c r="DN38" s="27">
        <f>COGS!DN38+'SG&amp;A'!DN38</f>
        <v>3.992</v>
      </c>
      <c r="DO38" s="27">
        <f>COGS!DO38+'SG&amp;A'!DO38</f>
        <v>3.96</v>
      </c>
      <c r="DP38" s="27">
        <f>COGS!DP38+'SG&amp;A'!DP38</f>
        <v>4.0529999999999999</v>
      </c>
      <c r="DQ38" s="27">
        <f>COGS!DQ38+'SG&amp;A'!DQ38</f>
        <v>15.695</v>
      </c>
      <c r="DR38" s="27">
        <f>COGS!DR38+'SG&amp;A'!DR38</f>
        <v>4.2290000000000001</v>
      </c>
      <c r="DS38" s="27">
        <f>COGS!DS38+'SG&amp;A'!DS38</f>
        <v>4.2219999999999995</v>
      </c>
      <c r="DT38" s="27">
        <f>COGS!DT38+'SG&amp;A'!DT38</f>
        <v>3.9209999999999998</v>
      </c>
      <c r="DU38" s="27">
        <f>COGS!DU38+'SG&amp;A'!DU38</f>
        <v>4.5950000000000006</v>
      </c>
      <c r="DV38" s="27">
        <f>COGS!DV38+'SG&amp;A'!DV38</f>
        <v>16.966999999999999</v>
      </c>
      <c r="DW38" s="27">
        <f>COGS!DW38+'SG&amp;A'!DW38</f>
        <v>5.01</v>
      </c>
      <c r="DX38" s="27">
        <f>COGS!DX38+'SG&amp;A'!DX38</f>
        <v>4.7103083799999999</v>
      </c>
      <c r="DY38" s="27">
        <f>COGS!DY38+'SG&amp;A'!DY38</f>
        <v>4.5818770399999993</v>
      </c>
      <c r="DZ38" s="27">
        <f>COGS!DZ38+'SG&amp;A'!DZ38</f>
        <v>5.5324048000000019</v>
      </c>
      <c r="EA38" s="27">
        <f>COGS!EA38+'SG&amp;A'!EA38</f>
        <v>19.834590220000003</v>
      </c>
      <c r="EB38" s="27">
        <f>COGS!EB38+'SG&amp;A'!EB38</f>
        <v>5.05350711</v>
      </c>
      <c r="EC38" s="27">
        <f>COGS!EC38+'SG&amp;A'!EC38</f>
        <v>4.6310480300000005</v>
      </c>
      <c r="ED38" s="27">
        <f>COGS!ED38+'SG&amp;A'!ED38</f>
        <v>5.2789999999999999</v>
      </c>
      <c r="EE38" s="27">
        <f>COGS!EE38+'SG&amp;A'!EE38</f>
        <v>5.556844250000001</v>
      </c>
      <c r="EF38" s="27">
        <f>COGS!EF38+'SG&amp;A'!EF38</f>
        <v>20.520399390000001</v>
      </c>
      <c r="EG38" s="27">
        <f>COGS!EG38+'SG&amp;A'!EG38</f>
        <v>5.1924144299999995</v>
      </c>
      <c r="EH38" s="27">
        <f>COGS!EH38+'SG&amp;A'!EH38</f>
        <v>5.489225209999999</v>
      </c>
      <c r="EI38" s="27">
        <f>COGS!EI38+'SG&amp;A'!EI38</f>
        <v>5.3581563800000005</v>
      </c>
    </row>
    <row r="39" spans="1:139" ht="15" thickBot="1" x14ac:dyDescent="0.35">
      <c r="A39" s="2" t="s">
        <v>444</v>
      </c>
      <c r="B39" s="28">
        <f>COGS!B39+'SG&amp;A'!B39</f>
        <v>0</v>
      </c>
      <c r="C39" s="28">
        <f>COGS!C39+'SG&amp;A'!C39</f>
        <v>0</v>
      </c>
      <c r="D39" s="28">
        <f>COGS!D39+'SG&amp;A'!D39</f>
        <v>0</v>
      </c>
      <c r="E39" s="28">
        <f>COGS!E39+'SG&amp;A'!E39</f>
        <v>0</v>
      </c>
      <c r="F39" s="28">
        <f>COGS!F39+'SG&amp;A'!F39</f>
        <v>0</v>
      </c>
      <c r="G39" s="28">
        <f>COGS!G39+'SG&amp;A'!G39</f>
        <v>0</v>
      </c>
      <c r="H39" s="28">
        <f>COGS!H39+'SG&amp;A'!H39</f>
        <v>0</v>
      </c>
      <c r="I39" s="28">
        <f>COGS!I39+'SG&amp;A'!I39</f>
        <v>0</v>
      </c>
      <c r="J39" s="28">
        <f>COGS!J39+'SG&amp;A'!J39</f>
        <v>0</v>
      </c>
      <c r="K39" s="28">
        <f>COGS!K39+'SG&amp;A'!K39</f>
        <v>0</v>
      </c>
      <c r="L39" s="28">
        <f>COGS!L39+'SG&amp;A'!L39</f>
        <v>0</v>
      </c>
      <c r="M39" s="28">
        <f>COGS!M39+'SG&amp;A'!M39</f>
        <v>0</v>
      </c>
      <c r="N39" s="28">
        <f>COGS!N39+'SG&amp;A'!N39</f>
        <v>0</v>
      </c>
      <c r="O39" s="28">
        <f>COGS!O39+'SG&amp;A'!O39</f>
        <v>0</v>
      </c>
      <c r="P39" s="28">
        <f>COGS!P39+'SG&amp;A'!P39</f>
        <v>0</v>
      </c>
      <c r="Q39" s="28">
        <f>COGS!Q39+'SG&amp;A'!Q39</f>
        <v>0</v>
      </c>
      <c r="R39" s="28">
        <f>COGS!R39+'SG&amp;A'!R39</f>
        <v>0</v>
      </c>
      <c r="S39" s="28">
        <f>COGS!S39+'SG&amp;A'!S39</f>
        <v>0</v>
      </c>
      <c r="T39" s="28">
        <f>COGS!T39+'SG&amp;A'!T39</f>
        <v>0</v>
      </c>
      <c r="U39" s="28">
        <f>COGS!U39+'SG&amp;A'!U39</f>
        <v>0</v>
      </c>
      <c r="V39" s="28">
        <f>COGS!V39+'SG&amp;A'!V39</f>
        <v>0</v>
      </c>
      <c r="W39" s="28">
        <f>COGS!W39+'SG&amp;A'!W39</f>
        <v>0</v>
      </c>
      <c r="X39" s="28">
        <f>COGS!X39+'SG&amp;A'!X39</f>
        <v>0</v>
      </c>
      <c r="Y39" s="28">
        <f>COGS!Y39+'SG&amp;A'!Y39</f>
        <v>0</v>
      </c>
      <c r="Z39" s="28">
        <f>COGS!Z39+'SG&amp;A'!Z39</f>
        <v>0</v>
      </c>
      <c r="AA39" s="28">
        <f>COGS!AA39+'SG&amp;A'!AA39</f>
        <v>0</v>
      </c>
      <c r="AB39" s="28">
        <f>COGS!AB39+'SG&amp;A'!AB39</f>
        <v>0</v>
      </c>
      <c r="AC39" s="28">
        <f>COGS!AC39+'SG&amp;A'!AC39</f>
        <v>0</v>
      </c>
      <c r="AD39" s="28">
        <f>COGS!AD39+'SG&amp;A'!AD39</f>
        <v>0</v>
      </c>
      <c r="AE39" s="28">
        <f>COGS!AE39+'SG&amp;A'!AE39</f>
        <v>0</v>
      </c>
      <c r="AF39" s="28">
        <f>COGS!AF39+'SG&amp;A'!AF39</f>
        <v>0</v>
      </c>
      <c r="AG39" s="28">
        <f>COGS!AG39+'SG&amp;A'!AG39</f>
        <v>0</v>
      </c>
      <c r="AH39" s="28">
        <f>COGS!AH39+'SG&amp;A'!AH39</f>
        <v>0</v>
      </c>
      <c r="AI39" s="28">
        <f>COGS!AI39+'SG&amp;A'!AI39</f>
        <v>0</v>
      </c>
      <c r="AJ39" s="28">
        <f>COGS!AJ39+'SG&amp;A'!AJ39</f>
        <v>0</v>
      </c>
      <c r="AK39" s="28">
        <f>COGS!AK39+'SG&amp;A'!AK39</f>
        <v>0</v>
      </c>
      <c r="AL39" s="28">
        <f>COGS!AL39+'SG&amp;A'!AL39</f>
        <v>0</v>
      </c>
      <c r="AM39" s="28">
        <f>COGS!AM39+'SG&amp;A'!AM39</f>
        <v>0</v>
      </c>
      <c r="AN39" s="28">
        <f>COGS!AN39+'SG&amp;A'!AN39</f>
        <v>0</v>
      </c>
      <c r="AO39" s="28">
        <f>COGS!AO39+'SG&amp;A'!AO39</f>
        <v>0</v>
      </c>
      <c r="AP39" s="28">
        <f>COGS!AP39+'SG&amp;A'!AP39</f>
        <v>0</v>
      </c>
      <c r="AQ39" s="28">
        <f>COGS!AQ39+'SG&amp;A'!AQ39</f>
        <v>0</v>
      </c>
      <c r="AR39" s="28">
        <f>COGS!AR39+'SG&amp;A'!AR39</f>
        <v>0</v>
      </c>
      <c r="AS39" s="28">
        <f>COGS!AS39+'SG&amp;A'!AS39</f>
        <v>0</v>
      </c>
      <c r="AT39" s="28">
        <f>COGS!AT39+'SG&amp;A'!AT39</f>
        <v>0</v>
      </c>
      <c r="AU39" s="28">
        <f>COGS!AU39+'SG&amp;A'!AU39</f>
        <v>0</v>
      </c>
      <c r="AV39" s="28">
        <f>COGS!AV39+'SG&amp;A'!AV39</f>
        <v>0</v>
      </c>
      <c r="AW39" s="28">
        <f>COGS!AW39+'SG&amp;A'!AW39</f>
        <v>0</v>
      </c>
      <c r="AX39" s="28">
        <f>COGS!AX39+'SG&amp;A'!AX39</f>
        <v>0</v>
      </c>
      <c r="AY39" s="28">
        <f>COGS!AY39+'SG&amp;A'!AY39</f>
        <v>0</v>
      </c>
      <c r="AZ39" s="28">
        <f>COGS!AZ39+'SG&amp;A'!AZ39</f>
        <v>0</v>
      </c>
      <c r="BA39" s="28">
        <f>COGS!BA39+'SG&amp;A'!BA39</f>
        <v>0</v>
      </c>
      <c r="BB39" s="28">
        <f>COGS!BB39+'SG&amp;A'!BB39</f>
        <v>0</v>
      </c>
      <c r="BC39" s="28">
        <f>COGS!BC39+'SG&amp;A'!BC39</f>
        <v>0</v>
      </c>
      <c r="BD39" s="28">
        <f>COGS!BD39+'SG&amp;A'!BD39</f>
        <v>0</v>
      </c>
      <c r="BE39" s="28">
        <f>COGS!BE39+'SG&amp;A'!BE39</f>
        <v>0</v>
      </c>
      <c r="BF39" s="28">
        <f>COGS!BF39+'SG&amp;A'!BF39</f>
        <v>0</v>
      </c>
      <c r="BG39" s="28">
        <f>COGS!BG39+'SG&amp;A'!BG39</f>
        <v>0</v>
      </c>
      <c r="BH39" s="28">
        <f>COGS!BH39+'SG&amp;A'!BH39</f>
        <v>0</v>
      </c>
      <c r="BI39" s="28">
        <f>COGS!BI39+'SG&amp;A'!BI39</f>
        <v>0</v>
      </c>
      <c r="BJ39" s="28">
        <f>COGS!BJ39+'SG&amp;A'!BJ39</f>
        <v>0</v>
      </c>
      <c r="BK39" s="28">
        <f>COGS!BK39+'SG&amp;A'!BK39</f>
        <v>0</v>
      </c>
      <c r="BL39" s="28">
        <f>COGS!BL39+'SG&amp;A'!BL39</f>
        <v>0</v>
      </c>
      <c r="BM39" s="28">
        <f>COGS!BM39+'SG&amp;A'!BM39</f>
        <v>0</v>
      </c>
      <c r="BN39" s="28">
        <f>COGS!BN39+'SG&amp;A'!BN39</f>
        <v>0</v>
      </c>
      <c r="BO39" s="28">
        <f>COGS!BO39+'SG&amp;A'!BO39</f>
        <v>0</v>
      </c>
      <c r="BP39" s="28">
        <f>COGS!BP39+'SG&amp;A'!BP39</f>
        <v>0</v>
      </c>
      <c r="BQ39" s="28">
        <f>COGS!BQ39+'SG&amp;A'!BQ39</f>
        <v>0</v>
      </c>
      <c r="BR39" s="28">
        <f>COGS!BR39+'SG&amp;A'!BR39</f>
        <v>0</v>
      </c>
      <c r="BS39" s="28">
        <f>COGS!BS39+'SG&amp;A'!BS39</f>
        <v>0</v>
      </c>
      <c r="BT39" s="28">
        <f>COGS!BT39+'SG&amp;A'!BT39</f>
        <v>0</v>
      </c>
      <c r="BU39" s="28">
        <f>COGS!BU39+'SG&amp;A'!BU39</f>
        <v>0</v>
      </c>
      <c r="BV39" s="28">
        <f>COGS!BV39+'SG&amp;A'!BV39</f>
        <v>0</v>
      </c>
      <c r="BW39" s="28">
        <f>COGS!BW39+'SG&amp;A'!BW39</f>
        <v>0</v>
      </c>
      <c r="BX39" s="28">
        <f>COGS!BX39+'SG&amp;A'!BX39</f>
        <v>0</v>
      </c>
      <c r="BY39" s="28">
        <f>COGS!BY39+'SG&amp;A'!BY39</f>
        <v>0</v>
      </c>
      <c r="BZ39" s="28">
        <f>COGS!BZ39+'SG&amp;A'!BZ39</f>
        <v>0</v>
      </c>
      <c r="CA39" s="28">
        <f>COGS!CA39+'SG&amp;A'!CA39</f>
        <v>0</v>
      </c>
      <c r="CB39" s="28">
        <f>COGS!CB39+'SG&amp;A'!CB39</f>
        <v>0</v>
      </c>
      <c r="CC39" s="28">
        <f>COGS!CC39+'SG&amp;A'!CC39</f>
        <v>0</v>
      </c>
      <c r="CD39" s="28">
        <f>COGS!CD39+'SG&amp;A'!CD39</f>
        <v>0</v>
      </c>
      <c r="CE39" s="28">
        <f>COGS!CE39+'SG&amp;A'!CE39</f>
        <v>0</v>
      </c>
      <c r="CF39" s="28">
        <f>COGS!CF39+'SG&amp;A'!CF39</f>
        <v>0</v>
      </c>
      <c r="CG39" s="28">
        <f>COGS!CG39+'SG&amp;A'!CG39</f>
        <v>0</v>
      </c>
      <c r="CH39" s="28">
        <f>COGS!CH39+'SG&amp;A'!CH39</f>
        <v>0</v>
      </c>
      <c r="CI39" s="28">
        <f>COGS!CI39+'SG&amp;A'!CI39</f>
        <v>0</v>
      </c>
      <c r="CJ39" s="28">
        <f>COGS!CJ39+'SG&amp;A'!CJ39</f>
        <v>0</v>
      </c>
      <c r="CK39" s="28">
        <f>COGS!CK39+'SG&amp;A'!CK39</f>
        <v>0</v>
      </c>
      <c r="CL39" s="28">
        <f>COGS!CL39+'SG&amp;A'!CL39</f>
        <v>0</v>
      </c>
      <c r="CM39" s="28">
        <f>COGS!CM39+'SG&amp;A'!CM39</f>
        <v>0</v>
      </c>
      <c r="CN39" s="28">
        <f>COGS!CN39+'SG&amp;A'!CN39</f>
        <v>0</v>
      </c>
      <c r="CO39" s="28">
        <f>COGS!CO39+'SG&amp;A'!CO39</f>
        <v>0</v>
      </c>
      <c r="CP39" s="28">
        <f>COGS!CP39+'SG&amp;A'!CP39</f>
        <v>0</v>
      </c>
      <c r="CQ39" s="28">
        <f>COGS!CQ39+'SG&amp;A'!CQ39</f>
        <v>0</v>
      </c>
      <c r="CR39" s="28">
        <f>COGS!CR39+'SG&amp;A'!CR39</f>
        <v>0</v>
      </c>
      <c r="CS39" s="28">
        <f>COGS!CS39+'SG&amp;A'!CS39</f>
        <v>0</v>
      </c>
      <c r="CT39" s="28">
        <f>COGS!CT39+'SG&amp;A'!CT39</f>
        <v>0</v>
      </c>
      <c r="CU39" s="28">
        <f>COGS!CU39+'SG&amp;A'!CU39</f>
        <v>0</v>
      </c>
      <c r="CV39" s="28">
        <f>COGS!CV39+'SG&amp;A'!CV39</f>
        <v>0</v>
      </c>
      <c r="CW39" s="28">
        <f>COGS!CW39+'SG&amp;A'!CW39</f>
        <v>0</v>
      </c>
      <c r="CX39" s="28">
        <f>COGS!CX39+'SG&amp;A'!CX39</f>
        <v>0</v>
      </c>
      <c r="CY39" s="28">
        <f>COGS!CY39+'SG&amp;A'!CY39</f>
        <v>0</v>
      </c>
      <c r="CZ39" s="28">
        <f>COGS!CZ39+'SG&amp;A'!CZ39</f>
        <v>0</v>
      </c>
      <c r="DA39" s="28">
        <f>COGS!DA39+'SG&amp;A'!DA39</f>
        <v>0</v>
      </c>
      <c r="DB39" s="28">
        <f>COGS!DB39+'SG&amp;A'!DB39</f>
        <v>0</v>
      </c>
      <c r="DC39" s="28">
        <f>COGS!DC39+'SG&amp;A'!DC39</f>
        <v>0</v>
      </c>
      <c r="DD39" s="28">
        <f>COGS!DD39+'SG&amp;A'!DD39</f>
        <v>4.165</v>
      </c>
      <c r="DE39" s="28">
        <f>COGS!DE39+'SG&amp;A'!DE39</f>
        <v>14.211</v>
      </c>
      <c r="DF39" s="28">
        <f>COGS!DF39+'SG&amp;A'!DF39</f>
        <v>5.3090000000000002</v>
      </c>
      <c r="DG39" s="28">
        <f>COGS!DG39+'SG&amp;A'!DG39</f>
        <v>23.685000000000002</v>
      </c>
      <c r="DH39" s="28">
        <f>COGS!DH39+'SG&amp;A'!DH39</f>
        <v>4.9570000000000007</v>
      </c>
      <c r="DI39" s="28">
        <f>COGS!DI39+'SG&amp;A'!DI39</f>
        <v>4.3719999999999999</v>
      </c>
      <c r="DJ39" s="28">
        <f>COGS!DJ39+'SG&amp;A'!DJ39</f>
        <v>4.8789999999999996</v>
      </c>
      <c r="DK39" s="28">
        <f>COGS!DK39+'SG&amp;A'!DK39</f>
        <v>5.3780000000000001</v>
      </c>
      <c r="DL39" s="28">
        <f>COGS!DL39+'SG&amp;A'!DL39</f>
        <v>19.586000000000002</v>
      </c>
      <c r="DM39" s="28">
        <f>COGS!DM39+'SG&amp;A'!DM39</f>
        <v>5.35</v>
      </c>
      <c r="DN39" s="28">
        <f>COGS!DN39+'SG&amp;A'!DN39</f>
        <v>5.71</v>
      </c>
      <c r="DO39" s="28">
        <f>COGS!DO39+'SG&amp;A'!DO39</f>
        <v>6.3379999999999992</v>
      </c>
      <c r="DP39" s="28">
        <f>COGS!DP39+'SG&amp;A'!DP39</f>
        <v>6.0279999999999996</v>
      </c>
      <c r="DQ39" s="28">
        <f>COGS!DQ39+'SG&amp;A'!DQ39</f>
        <v>23.425999999999998</v>
      </c>
      <c r="DR39" s="28">
        <f>COGS!DR39+'SG&amp;A'!DR39</f>
        <v>6.0850000000000009</v>
      </c>
      <c r="DS39" s="28">
        <f>COGS!DS39+'SG&amp;A'!DS39</f>
        <v>5.782</v>
      </c>
      <c r="DT39" s="28">
        <f>COGS!DT39+'SG&amp;A'!DT39</f>
        <v>5.8919999999999995</v>
      </c>
      <c r="DU39" s="28">
        <f>COGS!DU39+'SG&amp;A'!DU39</f>
        <v>6.2229999999999999</v>
      </c>
      <c r="DV39" s="28">
        <f>COGS!DV39+'SG&amp;A'!DV39</f>
        <v>23.981999999999999</v>
      </c>
      <c r="DW39" s="28">
        <f>COGS!DW39+'SG&amp;A'!DW39</f>
        <v>6.0659999999999998</v>
      </c>
      <c r="DX39" s="28">
        <f>COGS!DX39+'SG&amp;A'!DX39</f>
        <v>6.5307060200000002</v>
      </c>
      <c r="DY39" s="28">
        <f>COGS!DY39+'SG&amp;A'!DY39</f>
        <v>6.6857843300000006</v>
      </c>
      <c r="DZ39" s="28">
        <f>COGS!DZ39+'SG&amp;A'!DZ39</f>
        <v>6.7106298999999989</v>
      </c>
      <c r="EA39" s="28">
        <f>COGS!EA39+'SG&amp;A'!EA39</f>
        <v>25.993120249999997</v>
      </c>
      <c r="EB39" s="28">
        <f>COGS!EB39+'SG&amp;A'!EB39</f>
        <v>5.8247587099999993</v>
      </c>
      <c r="EC39" s="28">
        <f>COGS!EC39+'SG&amp;A'!EC39</f>
        <v>6.5179272100000007</v>
      </c>
      <c r="ED39" s="28">
        <f>COGS!ED39+'SG&amp;A'!ED39</f>
        <v>6.7669999999999995</v>
      </c>
      <c r="EE39" s="28">
        <f>COGS!EE39+'SG&amp;A'!EE39</f>
        <v>7.1862801899999988</v>
      </c>
      <c r="EF39" s="28">
        <f>COGS!EF39+'SG&amp;A'!EF39</f>
        <v>26.295966109999998</v>
      </c>
      <c r="EG39" s="28">
        <f>COGS!EG39+'SG&amp;A'!EG39</f>
        <v>6.0500426999999997</v>
      </c>
      <c r="EH39" s="28">
        <f>COGS!EH39+'SG&amp;A'!EH39</f>
        <v>6.4499001699999994</v>
      </c>
      <c r="EI39" s="28">
        <f>COGS!EI39+'SG&amp;A'!EI39</f>
        <v>6.837193580000001</v>
      </c>
    </row>
    <row r="40" spans="1:139" ht="15" thickTop="1" x14ac:dyDescent="0.3">
      <c r="A40" s="1" t="s">
        <v>456</v>
      </c>
      <c r="B40" s="27">
        <f>COGS!B40+'SG&amp;A'!B40</f>
        <v>0</v>
      </c>
      <c r="C40" s="27">
        <f>COGS!C40+'SG&amp;A'!C40</f>
        <v>0</v>
      </c>
      <c r="D40" s="27">
        <f>COGS!D40+'SG&amp;A'!D40</f>
        <v>0</v>
      </c>
      <c r="E40" s="27">
        <f>COGS!E40+'SG&amp;A'!E40</f>
        <v>0</v>
      </c>
      <c r="F40" s="27">
        <f>COGS!F40+'SG&amp;A'!F40</f>
        <v>0</v>
      </c>
      <c r="G40" s="27">
        <f>COGS!G40+'SG&amp;A'!G40</f>
        <v>0</v>
      </c>
      <c r="H40" s="27">
        <f>COGS!H40+'SG&amp;A'!H40</f>
        <v>0</v>
      </c>
      <c r="I40" s="27">
        <f>COGS!I40+'SG&amp;A'!I40</f>
        <v>0</v>
      </c>
      <c r="J40" s="27">
        <f>COGS!J40+'SG&amp;A'!J40</f>
        <v>0</v>
      </c>
      <c r="K40" s="27">
        <f>COGS!K40+'SG&amp;A'!K40</f>
        <v>0</v>
      </c>
      <c r="L40" s="27">
        <f>COGS!L40+'SG&amp;A'!L40</f>
        <v>0</v>
      </c>
      <c r="M40" s="27">
        <f>COGS!M40+'SG&amp;A'!M40</f>
        <v>0</v>
      </c>
      <c r="N40" s="27">
        <f>COGS!N40+'SG&amp;A'!N40</f>
        <v>0</v>
      </c>
      <c r="O40" s="27">
        <f>COGS!O40+'SG&amp;A'!O40</f>
        <v>0</v>
      </c>
      <c r="P40" s="27">
        <f>COGS!P40+'SG&amp;A'!P40</f>
        <v>0</v>
      </c>
      <c r="Q40" s="27">
        <f>COGS!Q40+'SG&amp;A'!Q40</f>
        <v>0</v>
      </c>
      <c r="R40" s="27">
        <f>COGS!R40+'SG&amp;A'!R40</f>
        <v>0</v>
      </c>
      <c r="S40" s="27">
        <f>COGS!S40+'SG&amp;A'!S40</f>
        <v>0</v>
      </c>
      <c r="T40" s="27">
        <f>COGS!T40+'SG&amp;A'!T40</f>
        <v>0</v>
      </c>
      <c r="U40" s="27">
        <f>COGS!U40+'SG&amp;A'!U40</f>
        <v>0</v>
      </c>
      <c r="V40" s="27">
        <f>COGS!V40+'SG&amp;A'!V40</f>
        <v>0</v>
      </c>
      <c r="W40" s="27">
        <f>COGS!W40+'SG&amp;A'!W40</f>
        <v>0</v>
      </c>
      <c r="X40" s="27">
        <f>COGS!X40+'SG&amp;A'!X40</f>
        <v>0</v>
      </c>
      <c r="Y40" s="27">
        <f>COGS!Y40+'SG&amp;A'!Y40</f>
        <v>0</v>
      </c>
      <c r="Z40" s="27">
        <f>COGS!Z40+'SG&amp;A'!Z40</f>
        <v>0</v>
      </c>
      <c r="AA40" s="27">
        <f>COGS!AA40+'SG&amp;A'!AA40</f>
        <v>0</v>
      </c>
      <c r="AB40" s="27">
        <f>COGS!AB40+'SG&amp;A'!AB40</f>
        <v>0</v>
      </c>
      <c r="AC40" s="27">
        <f>COGS!AC40+'SG&amp;A'!AC40</f>
        <v>0</v>
      </c>
      <c r="AD40" s="27">
        <f>COGS!AD40+'SG&amp;A'!AD40</f>
        <v>0</v>
      </c>
      <c r="AE40" s="27">
        <f>COGS!AE40+'SG&amp;A'!AE40</f>
        <v>0</v>
      </c>
      <c r="AF40" s="27">
        <f>COGS!AF40+'SG&amp;A'!AF40</f>
        <v>0</v>
      </c>
      <c r="AG40" s="27">
        <f>COGS!AG40+'SG&amp;A'!AG40</f>
        <v>0</v>
      </c>
      <c r="AH40" s="27">
        <f>COGS!AH40+'SG&amp;A'!AH40</f>
        <v>0</v>
      </c>
      <c r="AI40" s="27">
        <f>COGS!AI40+'SG&amp;A'!AI40</f>
        <v>0</v>
      </c>
      <c r="AJ40" s="27">
        <f>COGS!AJ40+'SG&amp;A'!AJ40</f>
        <v>0</v>
      </c>
      <c r="AK40" s="27">
        <f>COGS!AK40+'SG&amp;A'!AK40</f>
        <v>0</v>
      </c>
      <c r="AL40" s="27">
        <f>COGS!AL40+'SG&amp;A'!AL40</f>
        <v>0</v>
      </c>
      <c r="AM40" s="27">
        <f>COGS!AM40+'SG&amp;A'!AM40</f>
        <v>0</v>
      </c>
      <c r="AN40" s="27">
        <f>COGS!AN40+'SG&amp;A'!AN40</f>
        <v>0</v>
      </c>
      <c r="AO40" s="27">
        <f>COGS!AO40+'SG&amp;A'!AO40</f>
        <v>0</v>
      </c>
      <c r="AP40" s="27">
        <f>COGS!AP40+'SG&amp;A'!AP40</f>
        <v>0</v>
      </c>
      <c r="AQ40" s="27">
        <f>COGS!AQ40+'SG&amp;A'!AQ40</f>
        <v>0</v>
      </c>
      <c r="AR40" s="27">
        <f>COGS!AR40+'SG&amp;A'!AR40</f>
        <v>0</v>
      </c>
      <c r="AS40" s="27">
        <f>COGS!AS40+'SG&amp;A'!AS40</f>
        <v>0</v>
      </c>
      <c r="AT40" s="27">
        <f>COGS!AT40+'SG&amp;A'!AT40</f>
        <v>0</v>
      </c>
      <c r="AU40" s="27">
        <f>COGS!AU40+'SG&amp;A'!AU40</f>
        <v>0</v>
      </c>
      <c r="AV40" s="27">
        <f>COGS!AV40+'SG&amp;A'!AV40</f>
        <v>0</v>
      </c>
      <c r="AW40" s="27">
        <f>COGS!AW40+'SG&amp;A'!AW40</f>
        <v>0</v>
      </c>
      <c r="AX40" s="27">
        <f>COGS!AX40+'SG&amp;A'!AX40</f>
        <v>0</v>
      </c>
      <c r="AY40" s="27">
        <f>COGS!AY40+'SG&amp;A'!AY40</f>
        <v>0</v>
      </c>
      <c r="AZ40" s="27">
        <f>COGS!AZ40+'SG&amp;A'!AZ40</f>
        <v>0</v>
      </c>
      <c r="BA40" s="27">
        <f>COGS!BA40+'SG&amp;A'!BA40</f>
        <v>0</v>
      </c>
      <c r="BB40" s="27">
        <f>COGS!BB40+'SG&amp;A'!BB40</f>
        <v>0</v>
      </c>
      <c r="BC40" s="27">
        <f>COGS!BC40+'SG&amp;A'!BC40</f>
        <v>0</v>
      </c>
      <c r="BD40" s="27">
        <f>COGS!BD40+'SG&amp;A'!BD40</f>
        <v>0</v>
      </c>
      <c r="BE40" s="27">
        <f>COGS!BE40+'SG&amp;A'!BE40</f>
        <v>0</v>
      </c>
      <c r="BF40" s="27">
        <f>COGS!BF40+'SG&amp;A'!BF40</f>
        <v>0</v>
      </c>
      <c r="BG40" s="27">
        <f>COGS!BG40+'SG&amp;A'!BG40</f>
        <v>0</v>
      </c>
      <c r="BH40" s="27">
        <f>COGS!BH40+'SG&amp;A'!BH40</f>
        <v>0</v>
      </c>
      <c r="BI40" s="27">
        <f>COGS!BI40+'SG&amp;A'!BI40</f>
        <v>0</v>
      </c>
      <c r="BJ40" s="27">
        <f>COGS!BJ40+'SG&amp;A'!BJ40</f>
        <v>0</v>
      </c>
      <c r="BK40" s="27">
        <f>COGS!BK40+'SG&amp;A'!BK40</f>
        <v>0</v>
      </c>
      <c r="BL40" s="27">
        <f>COGS!BL40+'SG&amp;A'!BL40</f>
        <v>0</v>
      </c>
      <c r="BM40" s="27">
        <f>COGS!BM40+'SG&amp;A'!BM40</f>
        <v>0</v>
      </c>
      <c r="BN40" s="27">
        <f>COGS!BN40+'SG&amp;A'!BN40</f>
        <v>0</v>
      </c>
      <c r="BO40" s="27">
        <f>COGS!BO40+'SG&amp;A'!BO40</f>
        <v>0</v>
      </c>
      <c r="BP40" s="27">
        <f>COGS!BP40+'SG&amp;A'!BP40</f>
        <v>0</v>
      </c>
      <c r="BQ40" s="27">
        <f>COGS!BQ40+'SG&amp;A'!BQ40</f>
        <v>0</v>
      </c>
      <c r="BR40" s="27">
        <f>COGS!BR40+'SG&amp;A'!BR40</f>
        <v>0</v>
      </c>
      <c r="BS40" s="27">
        <f>COGS!BS40+'SG&amp;A'!BS40</f>
        <v>0</v>
      </c>
      <c r="BT40" s="27">
        <f>COGS!BT40+'SG&amp;A'!BT40</f>
        <v>0</v>
      </c>
      <c r="BU40" s="27">
        <f>COGS!BU40+'SG&amp;A'!BU40</f>
        <v>0</v>
      </c>
      <c r="BV40" s="27">
        <f>COGS!BV40+'SG&amp;A'!BV40</f>
        <v>0</v>
      </c>
      <c r="BW40" s="27">
        <f>COGS!BW40+'SG&amp;A'!BW40</f>
        <v>0</v>
      </c>
      <c r="BX40" s="27">
        <f>COGS!BX40+'SG&amp;A'!BX40</f>
        <v>0</v>
      </c>
      <c r="BY40" s="27">
        <f>COGS!BY40+'SG&amp;A'!BY40</f>
        <v>0</v>
      </c>
      <c r="BZ40" s="27">
        <f>COGS!BZ40+'SG&amp;A'!BZ40</f>
        <v>0</v>
      </c>
      <c r="CA40" s="27">
        <f>COGS!CA40+'SG&amp;A'!CA40</f>
        <v>0</v>
      </c>
      <c r="CB40" s="27">
        <f>COGS!CB40+'SG&amp;A'!CB40</f>
        <v>0</v>
      </c>
      <c r="CC40" s="27">
        <f>COGS!CC40+'SG&amp;A'!CC40</f>
        <v>0</v>
      </c>
      <c r="CD40" s="27">
        <f>COGS!CD40+'SG&amp;A'!CD40</f>
        <v>0</v>
      </c>
      <c r="CE40" s="27">
        <f>COGS!CE40+'SG&amp;A'!CE40</f>
        <v>0</v>
      </c>
      <c r="CF40" s="27">
        <f>COGS!CF40+'SG&amp;A'!CF40</f>
        <v>0</v>
      </c>
      <c r="CG40" s="27">
        <f>COGS!CG40+'SG&amp;A'!CG40</f>
        <v>0</v>
      </c>
      <c r="CH40" s="27">
        <f>COGS!CH40+'SG&amp;A'!CH40</f>
        <v>0</v>
      </c>
      <c r="CI40" s="27">
        <f>COGS!CI40+'SG&amp;A'!CI40</f>
        <v>0</v>
      </c>
      <c r="CJ40" s="27">
        <f>COGS!CJ40+'SG&amp;A'!CJ40</f>
        <v>0</v>
      </c>
      <c r="CK40" s="27">
        <f>COGS!CK40+'SG&amp;A'!CK40</f>
        <v>0</v>
      </c>
      <c r="CL40" s="27">
        <f>COGS!CL40+'SG&amp;A'!CL40</f>
        <v>0</v>
      </c>
      <c r="CM40" s="27">
        <f>COGS!CM40+'SG&amp;A'!CM40</f>
        <v>0</v>
      </c>
      <c r="CN40" s="27">
        <f>COGS!CN40+'SG&amp;A'!CN40</f>
        <v>0</v>
      </c>
      <c r="CO40" s="27">
        <f>COGS!CO40+'SG&amp;A'!CO40</f>
        <v>0</v>
      </c>
      <c r="CP40" s="27">
        <f>COGS!CP40+'SG&amp;A'!CP40</f>
        <v>0</v>
      </c>
      <c r="CQ40" s="27">
        <f>COGS!CQ40+'SG&amp;A'!CQ40</f>
        <v>0</v>
      </c>
      <c r="CR40" s="27">
        <f>COGS!CR40+'SG&amp;A'!CR40</f>
        <v>0</v>
      </c>
      <c r="CS40" s="27">
        <f>COGS!CS40+'SG&amp;A'!CS40</f>
        <v>0</v>
      </c>
      <c r="CT40" s="27">
        <f>COGS!CT40+'SG&amp;A'!CT40</f>
        <v>0</v>
      </c>
      <c r="CU40" s="27">
        <f>COGS!CU40+'SG&amp;A'!CU40</f>
        <v>0</v>
      </c>
      <c r="CV40" s="27">
        <f>COGS!CV40+'SG&amp;A'!CV40</f>
        <v>0</v>
      </c>
      <c r="CW40" s="27">
        <f>COGS!CW40+'SG&amp;A'!CW40</f>
        <v>0</v>
      </c>
      <c r="CX40" s="27">
        <f>COGS!CX40+'SG&amp;A'!CX40</f>
        <v>0</v>
      </c>
      <c r="CY40" s="27">
        <f>COGS!CY40+'SG&amp;A'!CY40</f>
        <v>0.34599999999999997</v>
      </c>
      <c r="CZ40" s="27">
        <f>COGS!CZ40+'SG&amp;A'!CZ40</f>
        <v>1.7949999999999999</v>
      </c>
      <c r="DA40" s="27">
        <f>COGS!DA40+'SG&amp;A'!DA40</f>
        <v>1.9600000000000002</v>
      </c>
      <c r="DB40" s="27">
        <f>COGS!DB40+'SG&amp;A'!DB40</f>
        <v>4.101</v>
      </c>
      <c r="DC40" s="27">
        <f>COGS!DC40+'SG&amp;A'!DC40</f>
        <v>2.3109999999999999</v>
      </c>
      <c r="DD40" s="27">
        <f>COGS!DD40+'SG&amp;A'!DD40</f>
        <v>3.2629999999999999</v>
      </c>
      <c r="DE40" s="27">
        <f>COGS!DE40+'SG&amp;A'!DE40</f>
        <v>3.3039999999999998</v>
      </c>
      <c r="DF40" s="27">
        <f>COGS!DF40+'SG&amp;A'!DF40</f>
        <v>3.238</v>
      </c>
      <c r="DG40" s="27">
        <f>COGS!DG40+'SG&amp;A'!DG40</f>
        <v>12.116</v>
      </c>
      <c r="DH40" s="27">
        <f>COGS!DH40+'SG&amp;A'!DH40</f>
        <v>3.5020000000000002</v>
      </c>
      <c r="DI40" s="27">
        <f>COGS!DI40+'SG&amp;A'!DI40</f>
        <v>3.1959999999999997</v>
      </c>
      <c r="DJ40" s="27">
        <f>COGS!DJ40+'SG&amp;A'!DJ40</f>
        <v>3.4159999999999999</v>
      </c>
      <c r="DK40" s="27">
        <f>COGS!DK40+'SG&amp;A'!DK40</f>
        <v>3.4430000000000001</v>
      </c>
      <c r="DL40" s="27">
        <f>COGS!DL40+'SG&amp;A'!DL40</f>
        <v>13.556999999999999</v>
      </c>
      <c r="DM40" s="27">
        <f>COGS!DM40+'SG&amp;A'!DM40</f>
        <v>3.5449999999999999</v>
      </c>
      <c r="DN40" s="27">
        <f>COGS!DN40+'SG&amp;A'!DN40</f>
        <v>3.7069999999999999</v>
      </c>
      <c r="DO40" s="27">
        <f>COGS!DO40+'SG&amp;A'!DO40</f>
        <v>3.6579999999999999</v>
      </c>
      <c r="DP40" s="27">
        <f>COGS!DP40+'SG&amp;A'!DP40</f>
        <v>3.9130000000000003</v>
      </c>
      <c r="DQ40" s="27">
        <f>COGS!DQ40+'SG&amp;A'!DQ40</f>
        <v>14.823</v>
      </c>
      <c r="DR40" s="27">
        <f>COGS!DR40+'SG&amp;A'!DR40</f>
        <v>4.7610000000000001</v>
      </c>
      <c r="DS40" s="27">
        <f>COGS!DS40+'SG&amp;A'!DS40</f>
        <v>3.9010000000000002</v>
      </c>
      <c r="DT40" s="27">
        <f>COGS!DT40+'SG&amp;A'!DT40</f>
        <v>3.835</v>
      </c>
      <c r="DU40" s="27">
        <f>COGS!DU40+'SG&amp;A'!DU40</f>
        <v>3.9939999999999998</v>
      </c>
      <c r="DV40" s="27">
        <f>COGS!DV40+'SG&amp;A'!DV40</f>
        <v>16.491</v>
      </c>
      <c r="DW40" s="27">
        <f>COGS!DW40+'SG&amp;A'!DW40</f>
        <v>4.1419999999999995</v>
      </c>
      <c r="DX40" s="27">
        <f>COGS!DX40+'SG&amp;A'!DX40</f>
        <v>4.5505252299999999</v>
      </c>
      <c r="DY40" s="27">
        <f>COGS!DY40+'SG&amp;A'!DY40</f>
        <v>4.6357762400000002</v>
      </c>
      <c r="DZ40" s="27">
        <f>COGS!DZ40+'SG&amp;A'!DZ40</f>
        <v>4.926579649999999</v>
      </c>
      <c r="EA40" s="27">
        <f>COGS!EA40+'SG&amp;A'!EA40</f>
        <v>18.25488112</v>
      </c>
      <c r="EB40" s="27">
        <f>COGS!EB40+'SG&amp;A'!EB40</f>
        <v>4.1804972899999999</v>
      </c>
      <c r="EC40" s="27">
        <f>COGS!EC40+'SG&amp;A'!EC40</f>
        <v>4.7047764000000001</v>
      </c>
      <c r="ED40" s="27">
        <f>COGS!ED40+'SG&amp;A'!ED40</f>
        <v>5.0670000000000002</v>
      </c>
      <c r="EE40" s="27">
        <f>COGS!EE40+'SG&amp;A'!EE40</f>
        <v>4.9638513300000007</v>
      </c>
      <c r="EF40" s="27">
        <f>COGS!EF40+'SG&amp;A'!EF40</f>
        <v>18.916125020000003</v>
      </c>
      <c r="EG40" s="27">
        <f>COGS!EG40+'SG&amp;A'!EG40</f>
        <v>4.5179955300000003</v>
      </c>
      <c r="EH40" s="27">
        <f>COGS!EH40+'SG&amp;A'!EH40</f>
        <v>4.92816498</v>
      </c>
      <c r="EI40" s="27">
        <f>COGS!EI40+'SG&amp;A'!EI40</f>
        <v>5.4262060699999992</v>
      </c>
    </row>
    <row r="41" spans="1:139" ht="15" thickBot="1" x14ac:dyDescent="0.35">
      <c r="A41" s="2" t="s">
        <v>446</v>
      </c>
      <c r="B41" s="28">
        <f>COGS!B41+'SG&amp;A'!B41</f>
        <v>0</v>
      </c>
      <c r="C41" s="28">
        <f>COGS!C41+'SG&amp;A'!C41</f>
        <v>0</v>
      </c>
      <c r="D41" s="28">
        <f>COGS!D41+'SG&amp;A'!D41</f>
        <v>0</v>
      </c>
      <c r="E41" s="28">
        <f>COGS!E41+'SG&amp;A'!E41</f>
        <v>0</v>
      </c>
      <c r="F41" s="28">
        <f>COGS!F41+'SG&amp;A'!F41</f>
        <v>0</v>
      </c>
      <c r="G41" s="28">
        <f>COGS!G41+'SG&amp;A'!G41</f>
        <v>0</v>
      </c>
      <c r="H41" s="28">
        <f>COGS!H41+'SG&amp;A'!H41</f>
        <v>0</v>
      </c>
      <c r="I41" s="28">
        <f>COGS!I41+'SG&amp;A'!I41</f>
        <v>0</v>
      </c>
      <c r="J41" s="28">
        <f>COGS!J41+'SG&amp;A'!J41</f>
        <v>0</v>
      </c>
      <c r="K41" s="28">
        <f>COGS!K41+'SG&amp;A'!K41</f>
        <v>0</v>
      </c>
      <c r="L41" s="28">
        <f>COGS!L41+'SG&amp;A'!L41</f>
        <v>0</v>
      </c>
      <c r="M41" s="28">
        <f>COGS!M41+'SG&amp;A'!M41</f>
        <v>0</v>
      </c>
      <c r="N41" s="28">
        <f>COGS!N41+'SG&amp;A'!N41</f>
        <v>0</v>
      </c>
      <c r="O41" s="28">
        <f>COGS!O41+'SG&amp;A'!O41</f>
        <v>0</v>
      </c>
      <c r="P41" s="28">
        <f>COGS!P41+'SG&amp;A'!P41</f>
        <v>0</v>
      </c>
      <c r="Q41" s="28">
        <f>COGS!Q41+'SG&amp;A'!Q41</f>
        <v>0</v>
      </c>
      <c r="R41" s="28">
        <f>COGS!R41+'SG&amp;A'!R41</f>
        <v>0</v>
      </c>
      <c r="S41" s="28">
        <f>COGS!S41+'SG&amp;A'!S41</f>
        <v>0</v>
      </c>
      <c r="T41" s="28">
        <f>COGS!T41+'SG&amp;A'!T41</f>
        <v>0</v>
      </c>
      <c r="U41" s="28">
        <f>COGS!U41+'SG&amp;A'!U41</f>
        <v>0</v>
      </c>
      <c r="V41" s="28">
        <f>COGS!V41+'SG&amp;A'!V41</f>
        <v>0</v>
      </c>
      <c r="W41" s="28">
        <f>COGS!W41+'SG&amp;A'!W41</f>
        <v>0</v>
      </c>
      <c r="X41" s="28">
        <f>COGS!X41+'SG&amp;A'!X41</f>
        <v>0</v>
      </c>
      <c r="Y41" s="28">
        <f>COGS!Y41+'SG&amp;A'!Y41</f>
        <v>0</v>
      </c>
      <c r="Z41" s="28">
        <f>COGS!Z41+'SG&amp;A'!Z41</f>
        <v>0</v>
      </c>
      <c r="AA41" s="28">
        <f>COGS!AA41+'SG&amp;A'!AA41</f>
        <v>0</v>
      </c>
      <c r="AB41" s="28">
        <f>COGS!AB41+'SG&amp;A'!AB41</f>
        <v>0</v>
      </c>
      <c r="AC41" s="28">
        <f>COGS!AC41+'SG&amp;A'!AC41</f>
        <v>0</v>
      </c>
      <c r="AD41" s="28">
        <f>COGS!AD41+'SG&amp;A'!AD41</f>
        <v>0</v>
      </c>
      <c r="AE41" s="28">
        <f>COGS!AE41+'SG&amp;A'!AE41</f>
        <v>0</v>
      </c>
      <c r="AF41" s="28">
        <f>COGS!AF41+'SG&amp;A'!AF41</f>
        <v>0</v>
      </c>
      <c r="AG41" s="28">
        <f>COGS!AG41+'SG&amp;A'!AG41</f>
        <v>0</v>
      </c>
      <c r="AH41" s="28">
        <f>COGS!AH41+'SG&amp;A'!AH41</f>
        <v>0</v>
      </c>
      <c r="AI41" s="28">
        <f>COGS!AI41+'SG&amp;A'!AI41</f>
        <v>0</v>
      </c>
      <c r="AJ41" s="28">
        <f>COGS!AJ41+'SG&amp;A'!AJ41</f>
        <v>0</v>
      </c>
      <c r="AK41" s="28">
        <f>COGS!AK41+'SG&amp;A'!AK41</f>
        <v>0</v>
      </c>
      <c r="AL41" s="28">
        <f>COGS!AL41+'SG&amp;A'!AL41</f>
        <v>0</v>
      </c>
      <c r="AM41" s="28">
        <f>COGS!AM41+'SG&amp;A'!AM41</f>
        <v>0</v>
      </c>
      <c r="AN41" s="28">
        <f>COGS!AN41+'SG&amp;A'!AN41</f>
        <v>0</v>
      </c>
      <c r="AO41" s="28">
        <f>COGS!AO41+'SG&amp;A'!AO41</f>
        <v>0</v>
      </c>
      <c r="AP41" s="28">
        <f>COGS!AP41+'SG&amp;A'!AP41</f>
        <v>0</v>
      </c>
      <c r="AQ41" s="28">
        <f>COGS!AQ41+'SG&amp;A'!AQ41</f>
        <v>0</v>
      </c>
      <c r="AR41" s="28">
        <f>COGS!AR41+'SG&amp;A'!AR41</f>
        <v>0</v>
      </c>
      <c r="AS41" s="28">
        <f>COGS!AS41+'SG&amp;A'!AS41</f>
        <v>0</v>
      </c>
      <c r="AT41" s="28">
        <f>COGS!AT41+'SG&amp;A'!AT41</f>
        <v>0</v>
      </c>
      <c r="AU41" s="28">
        <f>COGS!AU41+'SG&amp;A'!AU41</f>
        <v>0</v>
      </c>
      <c r="AV41" s="28">
        <f>COGS!AV41+'SG&amp;A'!AV41</f>
        <v>0</v>
      </c>
      <c r="AW41" s="28">
        <f>COGS!AW41+'SG&amp;A'!AW41</f>
        <v>0</v>
      </c>
      <c r="AX41" s="28">
        <f>COGS!AX41+'SG&amp;A'!AX41</f>
        <v>0</v>
      </c>
      <c r="AY41" s="28">
        <f>COGS!AY41+'SG&amp;A'!AY41</f>
        <v>0</v>
      </c>
      <c r="AZ41" s="28">
        <f>COGS!AZ41+'SG&amp;A'!AZ41</f>
        <v>0</v>
      </c>
      <c r="BA41" s="28">
        <f>COGS!BA41+'SG&amp;A'!BA41</f>
        <v>0</v>
      </c>
      <c r="BB41" s="28">
        <f>COGS!BB41+'SG&amp;A'!BB41</f>
        <v>0</v>
      </c>
      <c r="BC41" s="28">
        <f>COGS!BC41+'SG&amp;A'!BC41</f>
        <v>0</v>
      </c>
      <c r="BD41" s="28">
        <f>COGS!BD41+'SG&amp;A'!BD41</f>
        <v>0</v>
      </c>
      <c r="BE41" s="28">
        <f>COGS!BE41+'SG&amp;A'!BE41</f>
        <v>0</v>
      </c>
      <c r="BF41" s="28">
        <f>COGS!BF41+'SG&amp;A'!BF41</f>
        <v>0</v>
      </c>
      <c r="BG41" s="28">
        <f>COGS!BG41+'SG&amp;A'!BG41</f>
        <v>0</v>
      </c>
      <c r="BH41" s="28">
        <f>COGS!BH41+'SG&amp;A'!BH41</f>
        <v>0</v>
      </c>
      <c r="BI41" s="28">
        <f>COGS!BI41+'SG&amp;A'!BI41</f>
        <v>0</v>
      </c>
      <c r="BJ41" s="28">
        <f>COGS!BJ41+'SG&amp;A'!BJ41</f>
        <v>0</v>
      </c>
      <c r="BK41" s="28">
        <f>COGS!BK41+'SG&amp;A'!BK41</f>
        <v>0</v>
      </c>
      <c r="BL41" s="28">
        <f>COGS!BL41+'SG&amp;A'!BL41</f>
        <v>0</v>
      </c>
      <c r="BM41" s="28">
        <f>COGS!BM41+'SG&amp;A'!BM41</f>
        <v>0</v>
      </c>
      <c r="BN41" s="28">
        <f>COGS!BN41+'SG&amp;A'!BN41</f>
        <v>0</v>
      </c>
      <c r="BO41" s="28">
        <f>COGS!BO41+'SG&amp;A'!BO41</f>
        <v>0</v>
      </c>
      <c r="BP41" s="28">
        <f>COGS!BP41+'SG&amp;A'!BP41</f>
        <v>0</v>
      </c>
      <c r="BQ41" s="28">
        <f>COGS!BQ41+'SG&amp;A'!BQ41</f>
        <v>0</v>
      </c>
      <c r="BR41" s="28">
        <f>COGS!BR41+'SG&amp;A'!BR41</f>
        <v>0</v>
      </c>
      <c r="BS41" s="28">
        <f>COGS!BS41+'SG&amp;A'!BS41</f>
        <v>0</v>
      </c>
      <c r="BT41" s="28">
        <f>COGS!BT41+'SG&amp;A'!BT41</f>
        <v>0</v>
      </c>
      <c r="BU41" s="28">
        <f>COGS!BU41+'SG&amp;A'!BU41</f>
        <v>0</v>
      </c>
      <c r="BV41" s="28">
        <f>COGS!BV41+'SG&amp;A'!BV41</f>
        <v>0</v>
      </c>
      <c r="BW41" s="28">
        <f>COGS!BW41+'SG&amp;A'!BW41</f>
        <v>0</v>
      </c>
      <c r="BX41" s="28">
        <f>COGS!BX41+'SG&amp;A'!BX41</f>
        <v>0</v>
      </c>
      <c r="BY41" s="28">
        <f>COGS!BY41+'SG&amp;A'!BY41</f>
        <v>0</v>
      </c>
      <c r="BZ41" s="28">
        <f>COGS!BZ41+'SG&amp;A'!BZ41</f>
        <v>0</v>
      </c>
      <c r="CA41" s="28">
        <f>COGS!CA41+'SG&amp;A'!CA41</f>
        <v>0</v>
      </c>
      <c r="CB41" s="28">
        <f>COGS!CB41+'SG&amp;A'!CB41</f>
        <v>0</v>
      </c>
      <c r="CC41" s="28">
        <f>COGS!CC41+'SG&amp;A'!CC41</f>
        <v>0</v>
      </c>
      <c r="CD41" s="28">
        <f>COGS!CD41+'SG&amp;A'!CD41</f>
        <v>0</v>
      </c>
      <c r="CE41" s="28">
        <f>COGS!CE41+'SG&amp;A'!CE41</f>
        <v>0</v>
      </c>
      <c r="CF41" s="28">
        <f>COGS!CF41+'SG&amp;A'!CF41</f>
        <v>0</v>
      </c>
      <c r="CG41" s="28">
        <f>COGS!CG41+'SG&amp;A'!CG41</f>
        <v>0</v>
      </c>
      <c r="CH41" s="28">
        <f>COGS!CH41+'SG&amp;A'!CH41</f>
        <v>0</v>
      </c>
      <c r="CI41" s="28">
        <f>COGS!CI41+'SG&amp;A'!CI41</f>
        <v>0</v>
      </c>
      <c r="CJ41" s="28">
        <f>COGS!CJ41+'SG&amp;A'!CJ41</f>
        <v>0</v>
      </c>
      <c r="CK41" s="28">
        <f>COGS!CK41+'SG&amp;A'!CK41</f>
        <v>0</v>
      </c>
      <c r="CL41" s="28">
        <f>COGS!CL41+'SG&amp;A'!CL41</f>
        <v>0</v>
      </c>
      <c r="CM41" s="28">
        <f>COGS!CM41+'SG&amp;A'!CM41</f>
        <v>0</v>
      </c>
      <c r="CN41" s="28">
        <f>COGS!CN41+'SG&amp;A'!CN41</f>
        <v>0</v>
      </c>
      <c r="CO41" s="28">
        <f>COGS!CO41+'SG&amp;A'!CO41</f>
        <v>0</v>
      </c>
      <c r="CP41" s="28">
        <f>COGS!CP41+'SG&amp;A'!CP41</f>
        <v>0</v>
      </c>
      <c r="CQ41" s="28">
        <f>COGS!CQ41+'SG&amp;A'!CQ41</f>
        <v>0</v>
      </c>
      <c r="CR41" s="28">
        <f>COGS!CR41+'SG&amp;A'!CR41</f>
        <v>0</v>
      </c>
      <c r="CS41" s="28">
        <f>COGS!CS41+'SG&amp;A'!CS41</f>
        <v>0</v>
      </c>
      <c r="CT41" s="28">
        <f>COGS!CT41+'SG&amp;A'!CT41</f>
        <v>0</v>
      </c>
      <c r="CU41" s="28">
        <f>COGS!CU41+'SG&amp;A'!CU41</f>
        <v>0</v>
      </c>
      <c r="CV41" s="28">
        <f>COGS!CV41+'SG&amp;A'!CV41</f>
        <v>0</v>
      </c>
      <c r="CW41" s="28">
        <f>COGS!CW41+'SG&amp;A'!CW41</f>
        <v>0</v>
      </c>
      <c r="CX41" s="28">
        <f>COGS!CX41+'SG&amp;A'!CX41</f>
        <v>0</v>
      </c>
      <c r="CY41" s="28">
        <f>COGS!CY41+'SG&amp;A'!CY41</f>
        <v>0</v>
      </c>
      <c r="CZ41" s="28">
        <f>COGS!CZ41+'SG&amp;A'!CZ41</f>
        <v>0</v>
      </c>
      <c r="DA41" s="28">
        <f>COGS!DA41+'SG&amp;A'!DA41</f>
        <v>0</v>
      </c>
      <c r="DB41" s="28">
        <f>COGS!DB41+'SG&amp;A'!DB41</f>
        <v>0</v>
      </c>
      <c r="DC41" s="28">
        <f>COGS!DC41+'SG&amp;A'!DC41</f>
        <v>0</v>
      </c>
      <c r="DD41" s="28">
        <f>COGS!DD41+'SG&amp;A'!DD41</f>
        <v>0</v>
      </c>
      <c r="DE41" s="28">
        <f>COGS!DE41+'SG&amp;A'!DE41</f>
        <v>0</v>
      </c>
      <c r="DF41" s="28">
        <f>COGS!DF41+'SG&amp;A'!DF41</f>
        <v>0</v>
      </c>
      <c r="DG41" s="28">
        <f>COGS!DG41+'SG&amp;A'!DG41</f>
        <v>0</v>
      </c>
      <c r="DH41" s="28">
        <f>COGS!DH41+'SG&amp;A'!DH41</f>
        <v>0.48</v>
      </c>
      <c r="DI41" s="28">
        <f>COGS!DI41+'SG&amp;A'!DI41</f>
        <v>0.58299999999999996</v>
      </c>
      <c r="DJ41" s="28">
        <f>COGS!DJ41+'SG&amp;A'!DJ41</f>
        <v>1.3320000000000001</v>
      </c>
      <c r="DK41" s="28">
        <f>COGS!DK41+'SG&amp;A'!DK41</f>
        <v>4.5810000000000004</v>
      </c>
      <c r="DL41" s="28">
        <f>COGS!DL41+'SG&amp;A'!DL41</f>
        <v>6.976</v>
      </c>
      <c r="DM41" s="28">
        <f>COGS!DM41+'SG&amp;A'!DM41</f>
        <v>4.0120000000000005</v>
      </c>
      <c r="DN41" s="28">
        <f>COGS!DN41+'SG&amp;A'!DN41</f>
        <v>4.423</v>
      </c>
      <c r="DO41" s="28">
        <f>COGS!DO41+'SG&amp;A'!DO41</f>
        <v>4.4850000000000003</v>
      </c>
      <c r="DP41" s="28">
        <f>COGS!DP41+'SG&amp;A'!DP41</f>
        <v>4.234</v>
      </c>
      <c r="DQ41" s="28">
        <f>COGS!DQ41+'SG&amp;A'!DQ41</f>
        <v>17.154</v>
      </c>
      <c r="DR41" s="28">
        <f>COGS!DR41+'SG&amp;A'!DR41</f>
        <v>4.8079999999999998</v>
      </c>
      <c r="DS41" s="28">
        <f>COGS!DS41+'SG&amp;A'!DS41</f>
        <v>4.609</v>
      </c>
      <c r="DT41" s="28">
        <f>COGS!DT41+'SG&amp;A'!DT41</f>
        <v>4.258</v>
      </c>
      <c r="DU41" s="28">
        <f>COGS!DU41+'SG&amp;A'!DU41</f>
        <v>4.5170000000000003</v>
      </c>
      <c r="DV41" s="28">
        <f>COGS!DV41+'SG&amp;A'!DV41</f>
        <v>18.192</v>
      </c>
      <c r="DW41" s="28">
        <f>COGS!DW41+'SG&amp;A'!DW41</f>
        <v>4.1520000000000001</v>
      </c>
      <c r="DX41" s="28">
        <f>COGS!DX41+'SG&amp;A'!DX41</f>
        <v>4.5585945700000003</v>
      </c>
      <c r="DY41" s="28">
        <f>COGS!DY41+'SG&amp;A'!DY41</f>
        <v>4.4505674000000006</v>
      </c>
      <c r="DZ41" s="28">
        <f>COGS!DZ41+'SG&amp;A'!DZ41</f>
        <v>4.5839263400000005</v>
      </c>
      <c r="EA41" s="28">
        <f>COGS!EA41+'SG&amp;A'!EA41</f>
        <v>17.74508831</v>
      </c>
      <c r="EB41" s="28">
        <f>COGS!EB41+'SG&amp;A'!EB41</f>
        <v>4.0903831899999998</v>
      </c>
      <c r="EC41" s="28">
        <f>COGS!EC41+'SG&amp;A'!EC41</f>
        <v>4.5556399499999998</v>
      </c>
      <c r="ED41" s="28">
        <f>COGS!ED41+'SG&amp;A'!ED41</f>
        <v>4.9180000000000001</v>
      </c>
      <c r="EE41" s="28">
        <f>COGS!EE41+'SG&amp;A'!EE41</f>
        <v>5.1791347199999995</v>
      </c>
      <c r="EF41" s="28">
        <f>COGS!EF41+'SG&amp;A'!EF41</f>
        <v>18.74315786</v>
      </c>
      <c r="EG41" s="28">
        <f>COGS!EG41+'SG&amp;A'!EG41</f>
        <v>4.9139143000000001</v>
      </c>
      <c r="EH41" s="28">
        <f>COGS!EH41+'SG&amp;A'!EH41</f>
        <v>5.5474587599999996</v>
      </c>
      <c r="EI41" s="28">
        <f>COGS!EI41+'SG&amp;A'!EI41</f>
        <v>5.4677149300000005</v>
      </c>
    </row>
    <row r="42" spans="1:139" ht="15" thickTop="1" x14ac:dyDescent="0.3">
      <c r="A42" s="1" t="s">
        <v>447</v>
      </c>
      <c r="B42" s="27">
        <f>COGS!B42+'SG&amp;A'!B42</f>
        <v>0</v>
      </c>
      <c r="C42" s="27">
        <f>COGS!C42+'SG&amp;A'!C42</f>
        <v>0</v>
      </c>
      <c r="D42" s="27">
        <f>COGS!D42+'SG&amp;A'!D42</f>
        <v>0</v>
      </c>
      <c r="E42" s="27">
        <f>COGS!E42+'SG&amp;A'!E42</f>
        <v>0</v>
      </c>
      <c r="F42" s="27">
        <f>COGS!F42+'SG&amp;A'!F42</f>
        <v>0</v>
      </c>
      <c r="G42" s="27">
        <f>COGS!G42+'SG&amp;A'!G42</f>
        <v>0</v>
      </c>
      <c r="H42" s="27">
        <f>COGS!H42+'SG&amp;A'!H42</f>
        <v>0</v>
      </c>
      <c r="I42" s="27">
        <f>COGS!I42+'SG&amp;A'!I42</f>
        <v>0</v>
      </c>
      <c r="J42" s="27">
        <f>COGS!J42+'SG&amp;A'!J42</f>
        <v>0</v>
      </c>
      <c r="K42" s="27">
        <f>COGS!K42+'SG&amp;A'!K42</f>
        <v>0</v>
      </c>
      <c r="L42" s="27">
        <f>COGS!L42+'SG&amp;A'!L42</f>
        <v>0</v>
      </c>
      <c r="M42" s="27">
        <f>COGS!M42+'SG&amp;A'!M42</f>
        <v>0</v>
      </c>
      <c r="N42" s="27">
        <f>COGS!N42+'SG&amp;A'!N42</f>
        <v>0</v>
      </c>
      <c r="O42" s="27">
        <f>COGS!O42+'SG&amp;A'!O42</f>
        <v>0</v>
      </c>
      <c r="P42" s="27">
        <f>COGS!P42+'SG&amp;A'!P42</f>
        <v>0</v>
      </c>
      <c r="Q42" s="27">
        <f>COGS!Q42+'SG&amp;A'!Q42</f>
        <v>0</v>
      </c>
      <c r="R42" s="27">
        <f>COGS!R42+'SG&amp;A'!R42</f>
        <v>0</v>
      </c>
      <c r="S42" s="27">
        <f>COGS!S42+'SG&amp;A'!S42</f>
        <v>0</v>
      </c>
      <c r="T42" s="27">
        <f>COGS!T42+'SG&amp;A'!T42</f>
        <v>0</v>
      </c>
      <c r="U42" s="27">
        <f>COGS!U42+'SG&amp;A'!U42</f>
        <v>0</v>
      </c>
      <c r="V42" s="27">
        <f>COGS!V42+'SG&amp;A'!V42</f>
        <v>0</v>
      </c>
      <c r="W42" s="27">
        <f>COGS!W42+'SG&amp;A'!W42</f>
        <v>0</v>
      </c>
      <c r="X42" s="27">
        <f>COGS!X42+'SG&amp;A'!X42</f>
        <v>0</v>
      </c>
      <c r="Y42" s="27">
        <f>COGS!Y42+'SG&amp;A'!Y42</f>
        <v>0</v>
      </c>
      <c r="Z42" s="27">
        <f>COGS!Z42+'SG&amp;A'!Z42</f>
        <v>0</v>
      </c>
      <c r="AA42" s="27">
        <f>COGS!AA42+'SG&amp;A'!AA42</f>
        <v>0</v>
      </c>
      <c r="AB42" s="27">
        <f>COGS!AB42+'SG&amp;A'!AB42</f>
        <v>0</v>
      </c>
      <c r="AC42" s="27">
        <f>COGS!AC42+'SG&amp;A'!AC42</f>
        <v>0</v>
      </c>
      <c r="AD42" s="27">
        <f>COGS!AD42+'SG&amp;A'!AD42</f>
        <v>0</v>
      </c>
      <c r="AE42" s="27">
        <f>COGS!AE42+'SG&amp;A'!AE42</f>
        <v>0</v>
      </c>
      <c r="AF42" s="27">
        <f>COGS!AF42+'SG&amp;A'!AF42</f>
        <v>0</v>
      </c>
      <c r="AG42" s="27">
        <f>COGS!AG42+'SG&amp;A'!AG42</f>
        <v>0</v>
      </c>
      <c r="AH42" s="27">
        <f>COGS!AH42+'SG&amp;A'!AH42</f>
        <v>0</v>
      </c>
      <c r="AI42" s="27">
        <f>COGS!AI42+'SG&amp;A'!AI42</f>
        <v>0</v>
      </c>
      <c r="AJ42" s="27">
        <f>COGS!AJ42+'SG&amp;A'!AJ42</f>
        <v>0</v>
      </c>
      <c r="AK42" s="27">
        <f>COGS!AK42+'SG&amp;A'!AK42</f>
        <v>0</v>
      </c>
      <c r="AL42" s="27">
        <f>COGS!AL42+'SG&amp;A'!AL42</f>
        <v>0</v>
      </c>
      <c r="AM42" s="27">
        <f>COGS!AM42+'SG&amp;A'!AM42</f>
        <v>0</v>
      </c>
      <c r="AN42" s="27">
        <f>COGS!AN42+'SG&amp;A'!AN42</f>
        <v>0</v>
      </c>
      <c r="AO42" s="27">
        <f>COGS!AO42+'SG&amp;A'!AO42</f>
        <v>0</v>
      </c>
      <c r="AP42" s="27">
        <f>COGS!AP42+'SG&amp;A'!AP42</f>
        <v>0</v>
      </c>
      <c r="AQ42" s="27">
        <f>COGS!AQ42+'SG&amp;A'!AQ42</f>
        <v>0</v>
      </c>
      <c r="AR42" s="27">
        <f>COGS!AR42+'SG&amp;A'!AR42</f>
        <v>0</v>
      </c>
      <c r="AS42" s="27">
        <f>COGS!AS42+'SG&amp;A'!AS42</f>
        <v>0</v>
      </c>
      <c r="AT42" s="27">
        <f>COGS!AT42+'SG&amp;A'!AT42</f>
        <v>0</v>
      </c>
      <c r="AU42" s="27">
        <f>COGS!AU42+'SG&amp;A'!AU42</f>
        <v>0</v>
      </c>
      <c r="AV42" s="27">
        <f>COGS!AV42+'SG&amp;A'!AV42</f>
        <v>0</v>
      </c>
      <c r="AW42" s="27">
        <f>COGS!AW42+'SG&amp;A'!AW42</f>
        <v>0</v>
      </c>
      <c r="AX42" s="27">
        <f>COGS!AX42+'SG&amp;A'!AX42</f>
        <v>0</v>
      </c>
      <c r="AY42" s="27">
        <f>COGS!AY42+'SG&amp;A'!AY42</f>
        <v>0</v>
      </c>
      <c r="AZ42" s="27">
        <f>COGS!AZ42+'SG&amp;A'!AZ42</f>
        <v>0</v>
      </c>
      <c r="BA42" s="27">
        <f>COGS!BA42+'SG&amp;A'!BA42</f>
        <v>0</v>
      </c>
      <c r="BB42" s="27">
        <f>COGS!BB42+'SG&amp;A'!BB42</f>
        <v>0</v>
      </c>
      <c r="BC42" s="27">
        <f>COGS!BC42+'SG&amp;A'!BC42</f>
        <v>0</v>
      </c>
      <c r="BD42" s="27">
        <f>COGS!BD42+'SG&amp;A'!BD42</f>
        <v>0</v>
      </c>
      <c r="BE42" s="27">
        <f>COGS!BE42+'SG&amp;A'!BE42</f>
        <v>0</v>
      </c>
      <c r="BF42" s="27">
        <f>COGS!BF42+'SG&amp;A'!BF42</f>
        <v>0</v>
      </c>
      <c r="BG42" s="27">
        <f>COGS!BG42+'SG&amp;A'!BG42</f>
        <v>0</v>
      </c>
      <c r="BH42" s="27">
        <f>COGS!BH42+'SG&amp;A'!BH42</f>
        <v>0</v>
      </c>
      <c r="BI42" s="27">
        <f>COGS!BI42+'SG&amp;A'!BI42</f>
        <v>0</v>
      </c>
      <c r="BJ42" s="27">
        <f>COGS!BJ42+'SG&amp;A'!BJ42</f>
        <v>0</v>
      </c>
      <c r="BK42" s="27">
        <f>COGS!BK42+'SG&amp;A'!BK42</f>
        <v>0</v>
      </c>
      <c r="BL42" s="27">
        <f>COGS!BL42+'SG&amp;A'!BL42</f>
        <v>0</v>
      </c>
      <c r="BM42" s="27">
        <f>COGS!BM42+'SG&amp;A'!BM42</f>
        <v>0</v>
      </c>
      <c r="BN42" s="27">
        <f>COGS!BN42+'SG&amp;A'!BN42</f>
        <v>0</v>
      </c>
      <c r="BO42" s="27">
        <f>COGS!BO42+'SG&amp;A'!BO42</f>
        <v>0</v>
      </c>
      <c r="BP42" s="27">
        <f>COGS!BP42+'SG&amp;A'!BP42</f>
        <v>0</v>
      </c>
      <c r="BQ42" s="27">
        <f>COGS!BQ42+'SG&amp;A'!BQ42</f>
        <v>0</v>
      </c>
      <c r="BR42" s="27">
        <f>COGS!BR42+'SG&amp;A'!BR42</f>
        <v>0</v>
      </c>
      <c r="BS42" s="27">
        <f>COGS!BS42+'SG&amp;A'!BS42</f>
        <v>0</v>
      </c>
      <c r="BT42" s="27">
        <f>COGS!BT42+'SG&amp;A'!BT42</f>
        <v>0</v>
      </c>
      <c r="BU42" s="27">
        <f>COGS!BU42+'SG&amp;A'!BU42</f>
        <v>0</v>
      </c>
      <c r="BV42" s="27">
        <f>COGS!BV42+'SG&amp;A'!BV42</f>
        <v>0</v>
      </c>
      <c r="BW42" s="27">
        <f>COGS!BW42+'SG&amp;A'!BW42</f>
        <v>0</v>
      </c>
      <c r="BX42" s="27">
        <f>COGS!BX42+'SG&amp;A'!BX42</f>
        <v>0</v>
      </c>
      <c r="BY42" s="27">
        <f>COGS!BY42+'SG&amp;A'!BY42</f>
        <v>0</v>
      </c>
      <c r="BZ42" s="27">
        <f>COGS!BZ42+'SG&amp;A'!BZ42</f>
        <v>0</v>
      </c>
      <c r="CA42" s="27">
        <f>COGS!CA42+'SG&amp;A'!CA42</f>
        <v>0</v>
      </c>
      <c r="CB42" s="27">
        <f>COGS!CB42+'SG&amp;A'!CB42</f>
        <v>0</v>
      </c>
      <c r="CC42" s="27">
        <f>COGS!CC42+'SG&amp;A'!CC42</f>
        <v>0</v>
      </c>
      <c r="CD42" s="27">
        <f>COGS!CD42+'SG&amp;A'!CD42</f>
        <v>0</v>
      </c>
      <c r="CE42" s="27">
        <f>COGS!CE42+'SG&amp;A'!CE42</f>
        <v>0</v>
      </c>
      <c r="CF42" s="27">
        <f>COGS!CF42+'SG&amp;A'!CF42</f>
        <v>0</v>
      </c>
      <c r="CG42" s="27">
        <f>COGS!CG42+'SG&amp;A'!CG42</f>
        <v>0</v>
      </c>
      <c r="CH42" s="27">
        <f>COGS!CH42+'SG&amp;A'!CH42</f>
        <v>0</v>
      </c>
      <c r="CI42" s="27">
        <f>COGS!CI42+'SG&amp;A'!CI42</f>
        <v>0</v>
      </c>
      <c r="CJ42" s="27">
        <f>COGS!CJ42+'SG&amp;A'!CJ42</f>
        <v>0</v>
      </c>
      <c r="CK42" s="27">
        <f>COGS!CK42+'SG&amp;A'!CK42</f>
        <v>0</v>
      </c>
      <c r="CL42" s="27">
        <f>COGS!CL42+'SG&amp;A'!CL42</f>
        <v>0</v>
      </c>
      <c r="CM42" s="27">
        <f>COGS!CM42+'SG&amp;A'!CM42</f>
        <v>0</v>
      </c>
      <c r="CN42" s="27">
        <f>COGS!CN42+'SG&amp;A'!CN42</f>
        <v>0</v>
      </c>
      <c r="CO42" s="27">
        <f>COGS!CO42+'SG&amp;A'!CO42</f>
        <v>0</v>
      </c>
      <c r="CP42" s="27">
        <f>COGS!CP42+'SG&amp;A'!CP42</f>
        <v>0</v>
      </c>
      <c r="CQ42" s="27">
        <f>COGS!CQ42+'SG&amp;A'!CQ42</f>
        <v>0</v>
      </c>
      <c r="CR42" s="27">
        <f>COGS!CR42+'SG&amp;A'!CR42</f>
        <v>0</v>
      </c>
      <c r="CS42" s="27">
        <f>COGS!CS42+'SG&amp;A'!CS42</f>
        <v>0</v>
      </c>
      <c r="CT42" s="27">
        <f>COGS!CT42+'SG&amp;A'!CT42</f>
        <v>0</v>
      </c>
      <c r="CU42" s="27">
        <f>COGS!CU42+'SG&amp;A'!CU42</f>
        <v>0</v>
      </c>
      <c r="CV42" s="27">
        <f>COGS!CV42+'SG&amp;A'!CV42</f>
        <v>0</v>
      </c>
      <c r="CW42" s="27">
        <f>COGS!CW42+'SG&amp;A'!CW42</f>
        <v>0</v>
      </c>
      <c r="CX42" s="27">
        <f>COGS!CX42+'SG&amp;A'!CX42</f>
        <v>0</v>
      </c>
      <c r="CY42" s="27">
        <f>COGS!CY42+'SG&amp;A'!CY42</f>
        <v>0</v>
      </c>
      <c r="CZ42" s="27">
        <f>COGS!CZ42+'SG&amp;A'!CZ42</f>
        <v>0</v>
      </c>
      <c r="DA42" s="27">
        <f>COGS!DA42+'SG&amp;A'!DA42</f>
        <v>0</v>
      </c>
      <c r="DB42" s="27">
        <f>COGS!DB42+'SG&amp;A'!DB42</f>
        <v>0</v>
      </c>
      <c r="DC42" s="27">
        <f>COGS!DC42+'SG&amp;A'!DC42</f>
        <v>0</v>
      </c>
      <c r="DD42" s="27">
        <f>COGS!DD42+'SG&amp;A'!DD42</f>
        <v>0</v>
      </c>
      <c r="DE42" s="27">
        <f>COGS!DE42+'SG&amp;A'!DE42</f>
        <v>0</v>
      </c>
      <c r="DF42" s="27">
        <f>COGS!DF42+'SG&amp;A'!DF42</f>
        <v>0</v>
      </c>
      <c r="DG42" s="27">
        <f>COGS!DG42+'SG&amp;A'!DG42</f>
        <v>0</v>
      </c>
      <c r="DH42" s="27">
        <f>COGS!DH42+'SG&amp;A'!DH42</f>
        <v>0</v>
      </c>
      <c r="DI42" s="27">
        <f>COGS!DI42+'SG&amp;A'!DI42</f>
        <v>0</v>
      </c>
      <c r="DJ42" s="27">
        <f>COGS!DJ42+'SG&amp;A'!DJ42</f>
        <v>0</v>
      </c>
      <c r="DK42" s="27">
        <f>COGS!DK42+'SG&amp;A'!DK42</f>
        <v>0</v>
      </c>
      <c r="DL42" s="27">
        <f>COGS!DL42+'SG&amp;A'!DL42</f>
        <v>0</v>
      </c>
      <c r="DM42" s="27">
        <f>COGS!DM42+'SG&amp;A'!DM42</f>
        <v>0</v>
      </c>
      <c r="DN42" s="27">
        <f>COGS!DN42+'SG&amp;A'!DN42</f>
        <v>0</v>
      </c>
      <c r="DO42" s="27">
        <f>COGS!DO42+'SG&amp;A'!DO42</f>
        <v>0.45100000000000001</v>
      </c>
      <c r="DP42" s="27">
        <f>COGS!DP42+'SG&amp;A'!DP42</f>
        <v>2.0860000000000003</v>
      </c>
      <c r="DQ42" s="27">
        <f>COGS!DQ42+'SG&amp;A'!DQ42</f>
        <v>2.5369999999999999</v>
      </c>
      <c r="DR42" s="27">
        <f>COGS!DR42+'SG&amp;A'!DR42</f>
        <v>2.4459999999999997</v>
      </c>
      <c r="DS42" s="27">
        <f>COGS!DS42+'SG&amp;A'!DS42</f>
        <v>3.0009999999999999</v>
      </c>
      <c r="DT42" s="27">
        <f>COGS!DT42+'SG&amp;A'!DT42</f>
        <v>3.9579999999999997</v>
      </c>
      <c r="DU42" s="27">
        <f>COGS!DU42+'SG&amp;A'!DU42</f>
        <v>6.9569999999999999</v>
      </c>
      <c r="DV42" s="27">
        <f>COGS!DV42+'SG&amp;A'!DV42</f>
        <v>16.361999999999998</v>
      </c>
      <c r="DW42" s="27">
        <f>COGS!DW42+'SG&amp;A'!DW42</f>
        <v>7.1859999999999999</v>
      </c>
      <c r="DX42" s="27">
        <f>COGS!DX42+'SG&amp;A'!DX42</f>
        <v>7.4137385299999998</v>
      </c>
      <c r="DY42" s="27">
        <f>COGS!DY42+'SG&amp;A'!DY42</f>
        <v>7.278813340000001</v>
      </c>
      <c r="DZ42" s="27">
        <f>COGS!DZ42+'SG&amp;A'!DZ42</f>
        <v>7.4795307699999993</v>
      </c>
      <c r="EA42" s="27">
        <f>COGS!EA42+'SG&amp;A'!EA42</f>
        <v>29.358082640000003</v>
      </c>
      <c r="EB42" s="27">
        <f>COGS!EB42+'SG&amp;A'!EB42</f>
        <v>7.7928217400000008</v>
      </c>
      <c r="EC42" s="27">
        <f>COGS!EC42+'SG&amp;A'!EC42</f>
        <v>6.92126091</v>
      </c>
      <c r="ED42" s="27">
        <f>COGS!ED42+'SG&amp;A'!ED42</f>
        <v>8.0220000000000002</v>
      </c>
      <c r="EE42" s="27">
        <f>COGS!EE42+'SG&amp;A'!EE42</f>
        <v>8.3771219200000022</v>
      </c>
      <c r="EF42" s="27">
        <f>COGS!EF42+'SG&amp;A'!EF42</f>
        <v>31.113204570000001</v>
      </c>
      <c r="EG42" s="27">
        <f>COGS!EG42+'SG&amp;A'!EG42</f>
        <v>7.7888948500000001</v>
      </c>
      <c r="EH42" s="27">
        <f>COGS!EH42+'SG&amp;A'!EH42</f>
        <v>8.0660758799999996</v>
      </c>
      <c r="EI42" s="27">
        <f>COGS!EI42+'SG&amp;A'!EI42</f>
        <v>8.2967149300000003</v>
      </c>
    </row>
    <row r="43" spans="1:139" ht="15" thickBot="1" x14ac:dyDescent="0.35">
      <c r="A43" s="2" t="s">
        <v>448</v>
      </c>
      <c r="B43" s="28">
        <f>COGS!B43+'SG&amp;A'!B43</f>
        <v>0</v>
      </c>
      <c r="C43" s="28">
        <f>COGS!C43+'SG&amp;A'!C43</f>
        <v>0</v>
      </c>
      <c r="D43" s="28">
        <f>COGS!D43+'SG&amp;A'!D43</f>
        <v>0</v>
      </c>
      <c r="E43" s="28">
        <f>COGS!E43+'SG&amp;A'!E43</f>
        <v>0</v>
      </c>
      <c r="F43" s="28">
        <f>COGS!F43+'SG&amp;A'!F43</f>
        <v>0</v>
      </c>
      <c r="G43" s="28">
        <f>COGS!G43+'SG&amp;A'!G43</f>
        <v>0</v>
      </c>
      <c r="H43" s="28">
        <f>COGS!H43+'SG&amp;A'!H43</f>
        <v>0</v>
      </c>
      <c r="I43" s="28">
        <f>COGS!I43+'SG&amp;A'!I43</f>
        <v>0</v>
      </c>
      <c r="J43" s="28">
        <f>COGS!J43+'SG&amp;A'!J43</f>
        <v>0</v>
      </c>
      <c r="K43" s="28">
        <f>COGS!K43+'SG&amp;A'!K43</f>
        <v>0</v>
      </c>
      <c r="L43" s="28">
        <f>COGS!L43+'SG&amp;A'!L43</f>
        <v>0</v>
      </c>
      <c r="M43" s="28">
        <f>COGS!M43+'SG&amp;A'!M43</f>
        <v>0</v>
      </c>
      <c r="N43" s="28">
        <f>COGS!N43+'SG&amp;A'!N43</f>
        <v>0</v>
      </c>
      <c r="O43" s="28">
        <f>COGS!O43+'SG&amp;A'!O43</f>
        <v>0</v>
      </c>
      <c r="P43" s="28">
        <f>COGS!P43+'SG&amp;A'!P43</f>
        <v>0</v>
      </c>
      <c r="Q43" s="28">
        <f>COGS!Q43+'SG&amp;A'!Q43</f>
        <v>0</v>
      </c>
      <c r="R43" s="28">
        <f>COGS!R43+'SG&amp;A'!R43</f>
        <v>0</v>
      </c>
      <c r="S43" s="28">
        <f>COGS!S43+'SG&amp;A'!S43</f>
        <v>0</v>
      </c>
      <c r="T43" s="28">
        <f>COGS!T43+'SG&amp;A'!T43</f>
        <v>0</v>
      </c>
      <c r="U43" s="28">
        <f>COGS!U43+'SG&amp;A'!U43</f>
        <v>0</v>
      </c>
      <c r="V43" s="28">
        <f>COGS!V43+'SG&amp;A'!V43</f>
        <v>0</v>
      </c>
      <c r="W43" s="28">
        <f>COGS!W43+'SG&amp;A'!W43</f>
        <v>0</v>
      </c>
      <c r="X43" s="28">
        <f>COGS!X43+'SG&amp;A'!X43</f>
        <v>0</v>
      </c>
      <c r="Y43" s="28">
        <f>COGS!Y43+'SG&amp;A'!Y43</f>
        <v>0</v>
      </c>
      <c r="Z43" s="28">
        <f>COGS!Z43+'SG&amp;A'!Z43</f>
        <v>0</v>
      </c>
      <c r="AA43" s="28">
        <f>COGS!AA43+'SG&amp;A'!AA43</f>
        <v>0</v>
      </c>
      <c r="AB43" s="28">
        <f>COGS!AB43+'SG&amp;A'!AB43</f>
        <v>0</v>
      </c>
      <c r="AC43" s="28">
        <f>COGS!AC43+'SG&amp;A'!AC43</f>
        <v>0</v>
      </c>
      <c r="AD43" s="28">
        <f>COGS!AD43+'SG&amp;A'!AD43</f>
        <v>0</v>
      </c>
      <c r="AE43" s="28">
        <f>COGS!AE43+'SG&amp;A'!AE43</f>
        <v>0</v>
      </c>
      <c r="AF43" s="28">
        <f>COGS!AF43+'SG&amp;A'!AF43</f>
        <v>0</v>
      </c>
      <c r="AG43" s="28">
        <f>COGS!AG43+'SG&amp;A'!AG43</f>
        <v>0</v>
      </c>
      <c r="AH43" s="28">
        <f>COGS!AH43+'SG&amp;A'!AH43</f>
        <v>0</v>
      </c>
      <c r="AI43" s="28">
        <f>COGS!AI43+'SG&amp;A'!AI43</f>
        <v>0</v>
      </c>
      <c r="AJ43" s="28">
        <f>COGS!AJ43+'SG&amp;A'!AJ43</f>
        <v>0</v>
      </c>
      <c r="AK43" s="28">
        <f>COGS!AK43+'SG&amp;A'!AK43</f>
        <v>0</v>
      </c>
      <c r="AL43" s="28">
        <f>COGS!AL43+'SG&amp;A'!AL43</f>
        <v>0</v>
      </c>
      <c r="AM43" s="28">
        <f>COGS!AM43+'SG&amp;A'!AM43</f>
        <v>0</v>
      </c>
      <c r="AN43" s="28">
        <f>COGS!AN43+'SG&amp;A'!AN43</f>
        <v>0</v>
      </c>
      <c r="AO43" s="28">
        <f>COGS!AO43+'SG&amp;A'!AO43</f>
        <v>0</v>
      </c>
      <c r="AP43" s="28">
        <f>COGS!AP43+'SG&amp;A'!AP43</f>
        <v>0</v>
      </c>
      <c r="AQ43" s="28">
        <f>COGS!AQ43+'SG&amp;A'!AQ43</f>
        <v>0</v>
      </c>
      <c r="AR43" s="28">
        <f>COGS!AR43+'SG&amp;A'!AR43</f>
        <v>0</v>
      </c>
      <c r="AS43" s="28">
        <f>COGS!AS43+'SG&amp;A'!AS43</f>
        <v>0</v>
      </c>
      <c r="AT43" s="28">
        <f>COGS!AT43+'SG&amp;A'!AT43</f>
        <v>0</v>
      </c>
      <c r="AU43" s="28">
        <f>COGS!AU43+'SG&amp;A'!AU43</f>
        <v>0</v>
      </c>
      <c r="AV43" s="28">
        <f>COGS!AV43+'SG&amp;A'!AV43</f>
        <v>0</v>
      </c>
      <c r="AW43" s="28">
        <f>COGS!AW43+'SG&amp;A'!AW43</f>
        <v>0</v>
      </c>
      <c r="AX43" s="28">
        <f>COGS!AX43+'SG&amp;A'!AX43</f>
        <v>0</v>
      </c>
      <c r="AY43" s="28">
        <f>COGS!AY43+'SG&amp;A'!AY43</f>
        <v>0</v>
      </c>
      <c r="AZ43" s="28">
        <f>COGS!AZ43+'SG&amp;A'!AZ43</f>
        <v>0</v>
      </c>
      <c r="BA43" s="28">
        <f>COGS!BA43+'SG&amp;A'!BA43</f>
        <v>0</v>
      </c>
      <c r="BB43" s="28">
        <f>COGS!BB43+'SG&amp;A'!BB43</f>
        <v>0</v>
      </c>
      <c r="BC43" s="28">
        <f>COGS!BC43+'SG&amp;A'!BC43</f>
        <v>0</v>
      </c>
      <c r="BD43" s="28">
        <f>COGS!BD43+'SG&amp;A'!BD43</f>
        <v>0</v>
      </c>
      <c r="BE43" s="28">
        <f>COGS!BE43+'SG&amp;A'!BE43</f>
        <v>0</v>
      </c>
      <c r="BF43" s="28">
        <f>COGS!BF43+'SG&amp;A'!BF43</f>
        <v>0</v>
      </c>
      <c r="BG43" s="28">
        <f>COGS!BG43+'SG&amp;A'!BG43</f>
        <v>0</v>
      </c>
      <c r="BH43" s="28">
        <f>COGS!BH43+'SG&amp;A'!BH43</f>
        <v>0</v>
      </c>
      <c r="BI43" s="28">
        <f>COGS!BI43+'SG&amp;A'!BI43</f>
        <v>0</v>
      </c>
      <c r="BJ43" s="28">
        <f>COGS!BJ43+'SG&amp;A'!BJ43</f>
        <v>0</v>
      </c>
      <c r="BK43" s="28">
        <f>COGS!BK43+'SG&amp;A'!BK43</f>
        <v>0</v>
      </c>
      <c r="BL43" s="28">
        <f>COGS!BL43+'SG&amp;A'!BL43</f>
        <v>0</v>
      </c>
      <c r="BM43" s="28">
        <f>COGS!BM43+'SG&amp;A'!BM43</f>
        <v>0</v>
      </c>
      <c r="BN43" s="28">
        <f>COGS!BN43+'SG&amp;A'!BN43</f>
        <v>0</v>
      </c>
      <c r="BO43" s="28">
        <f>COGS!BO43+'SG&amp;A'!BO43</f>
        <v>0</v>
      </c>
      <c r="BP43" s="28">
        <f>COGS!BP43+'SG&amp;A'!BP43</f>
        <v>0</v>
      </c>
      <c r="BQ43" s="28">
        <f>COGS!BQ43+'SG&amp;A'!BQ43</f>
        <v>0</v>
      </c>
      <c r="BR43" s="28">
        <f>COGS!BR43+'SG&amp;A'!BR43</f>
        <v>0</v>
      </c>
      <c r="BS43" s="28">
        <f>COGS!BS43+'SG&amp;A'!BS43</f>
        <v>0</v>
      </c>
      <c r="BT43" s="28">
        <f>COGS!BT43+'SG&amp;A'!BT43</f>
        <v>0</v>
      </c>
      <c r="BU43" s="28">
        <f>COGS!BU43+'SG&amp;A'!BU43</f>
        <v>0</v>
      </c>
      <c r="BV43" s="28">
        <f>COGS!BV43+'SG&amp;A'!BV43</f>
        <v>0</v>
      </c>
      <c r="BW43" s="28">
        <f>COGS!BW43+'SG&amp;A'!BW43</f>
        <v>0</v>
      </c>
      <c r="BX43" s="28">
        <f>COGS!BX43+'SG&amp;A'!BX43</f>
        <v>0</v>
      </c>
      <c r="BY43" s="28">
        <f>COGS!BY43+'SG&amp;A'!BY43</f>
        <v>0</v>
      </c>
      <c r="BZ43" s="28">
        <f>COGS!BZ43+'SG&amp;A'!BZ43</f>
        <v>0</v>
      </c>
      <c r="CA43" s="28">
        <f>COGS!CA43+'SG&amp;A'!CA43</f>
        <v>0</v>
      </c>
      <c r="CB43" s="28">
        <f>COGS!CB43+'SG&amp;A'!CB43</f>
        <v>0</v>
      </c>
      <c r="CC43" s="28">
        <f>COGS!CC43+'SG&amp;A'!CC43</f>
        <v>0</v>
      </c>
      <c r="CD43" s="28">
        <f>COGS!CD43+'SG&amp;A'!CD43</f>
        <v>0</v>
      </c>
      <c r="CE43" s="28">
        <f>COGS!CE43+'SG&amp;A'!CE43</f>
        <v>0</v>
      </c>
      <c r="CF43" s="28">
        <f>COGS!CF43+'SG&amp;A'!CF43</f>
        <v>0</v>
      </c>
      <c r="CG43" s="28">
        <f>COGS!CG43+'SG&amp;A'!CG43</f>
        <v>0</v>
      </c>
      <c r="CH43" s="28">
        <f>COGS!CH43+'SG&amp;A'!CH43</f>
        <v>0</v>
      </c>
      <c r="CI43" s="28">
        <f>COGS!CI43+'SG&amp;A'!CI43</f>
        <v>0</v>
      </c>
      <c r="CJ43" s="28">
        <f>COGS!CJ43+'SG&amp;A'!CJ43</f>
        <v>0</v>
      </c>
      <c r="CK43" s="28">
        <f>COGS!CK43+'SG&amp;A'!CK43</f>
        <v>0</v>
      </c>
      <c r="CL43" s="28">
        <f>COGS!CL43+'SG&amp;A'!CL43</f>
        <v>0</v>
      </c>
      <c r="CM43" s="28">
        <f>COGS!CM43+'SG&amp;A'!CM43</f>
        <v>0</v>
      </c>
      <c r="CN43" s="28">
        <f>COGS!CN43+'SG&amp;A'!CN43</f>
        <v>0</v>
      </c>
      <c r="CO43" s="28">
        <f>COGS!CO43+'SG&amp;A'!CO43</f>
        <v>0</v>
      </c>
      <c r="CP43" s="28">
        <f>COGS!CP43+'SG&amp;A'!CP43</f>
        <v>0</v>
      </c>
      <c r="CQ43" s="28">
        <f>COGS!CQ43+'SG&amp;A'!CQ43</f>
        <v>0</v>
      </c>
      <c r="CR43" s="28">
        <f>COGS!CR43+'SG&amp;A'!CR43</f>
        <v>0</v>
      </c>
      <c r="CS43" s="28">
        <f>COGS!CS43+'SG&amp;A'!CS43</f>
        <v>0</v>
      </c>
      <c r="CT43" s="28">
        <f>COGS!CT43+'SG&amp;A'!CT43</f>
        <v>0</v>
      </c>
      <c r="CU43" s="28">
        <f>COGS!CU43+'SG&amp;A'!CU43</f>
        <v>0</v>
      </c>
      <c r="CV43" s="28">
        <f>COGS!CV43+'SG&amp;A'!CV43</f>
        <v>0</v>
      </c>
      <c r="CW43" s="28">
        <f>COGS!CW43+'SG&amp;A'!CW43</f>
        <v>0</v>
      </c>
      <c r="CX43" s="28">
        <f>COGS!CX43+'SG&amp;A'!CX43</f>
        <v>0</v>
      </c>
      <c r="CY43" s="28">
        <f>COGS!CY43+'SG&amp;A'!CY43</f>
        <v>0</v>
      </c>
      <c r="CZ43" s="28">
        <f>COGS!CZ43+'SG&amp;A'!CZ43</f>
        <v>0</v>
      </c>
      <c r="DA43" s="28">
        <f>COGS!DA43+'SG&amp;A'!DA43</f>
        <v>0</v>
      </c>
      <c r="DB43" s="28">
        <f>COGS!DB43+'SG&amp;A'!DB43</f>
        <v>0</v>
      </c>
      <c r="DC43" s="28">
        <f>COGS!DC43+'SG&amp;A'!DC43</f>
        <v>0</v>
      </c>
      <c r="DD43" s="28">
        <f>COGS!DD43+'SG&amp;A'!DD43</f>
        <v>0</v>
      </c>
      <c r="DE43" s="28">
        <f>COGS!DE43+'SG&amp;A'!DE43</f>
        <v>0</v>
      </c>
      <c r="DF43" s="28">
        <f>COGS!DF43+'SG&amp;A'!DF43</f>
        <v>0</v>
      </c>
      <c r="DG43" s="28">
        <f>COGS!DG43+'SG&amp;A'!DG43</f>
        <v>0</v>
      </c>
      <c r="DH43" s="28">
        <f>COGS!DH43+'SG&amp;A'!DH43</f>
        <v>0</v>
      </c>
      <c r="DI43" s="28">
        <f>COGS!DI43+'SG&amp;A'!DI43</f>
        <v>0</v>
      </c>
      <c r="DJ43" s="28">
        <f>COGS!DJ43+'SG&amp;A'!DJ43</f>
        <v>0</v>
      </c>
      <c r="DK43" s="28">
        <f>COGS!DK43+'SG&amp;A'!DK43</f>
        <v>0</v>
      </c>
      <c r="DL43" s="28">
        <f>COGS!DL43+'SG&amp;A'!DL43</f>
        <v>0</v>
      </c>
      <c r="DM43" s="28">
        <f>COGS!DM43+'SG&amp;A'!DM43</f>
        <v>0</v>
      </c>
      <c r="DN43" s="28">
        <f>COGS!DN43+'SG&amp;A'!DN43</f>
        <v>0</v>
      </c>
      <c r="DO43" s="28">
        <f>COGS!DO43+'SG&amp;A'!DO43</f>
        <v>0</v>
      </c>
      <c r="DP43" s="28">
        <f>COGS!DP43+'SG&amp;A'!DP43</f>
        <v>0</v>
      </c>
      <c r="DQ43" s="28">
        <f>COGS!DQ43+'SG&amp;A'!DQ43</f>
        <v>0</v>
      </c>
      <c r="DR43" s="28">
        <f>COGS!DR43+'SG&amp;A'!DR43</f>
        <v>0</v>
      </c>
      <c r="DS43" s="28">
        <f>COGS!DS43+'SG&amp;A'!DS43</f>
        <v>0</v>
      </c>
      <c r="DT43" s="28">
        <f>COGS!DT43+'SG&amp;A'!DT43</f>
        <v>1.1870000000000001</v>
      </c>
      <c r="DU43" s="28">
        <f>COGS!DU43+'SG&amp;A'!DU43</f>
        <v>4.383</v>
      </c>
      <c r="DV43" s="28">
        <f>COGS!DV43+'SG&amp;A'!DV43</f>
        <v>5.57</v>
      </c>
      <c r="DW43" s="28">
        <f>COGS!DW43+'SG&amp;A'!DW43</f>
        <v>5.5179999999999998</v>
      </c>
      <c r="DX43" s="28">
        <f>COGS!DX43+'SG&amp;A'!DX43</f>
        <v>6.8029075999999993</v>
      </c>
      <c r="DY43" s="28">
        <f>COGS!DY43+'SG&amp;A'!DY43</f>
        <v>7.9922081200000017</v>
      </c>
      <c r="DZ43" s="28">
        <f>COGS!DZ43+'SG&amp;A'!DZ43</f>
        <v>11.332621459999999</v>
      </c>
      <c r="EA43" s="28">
        <f>COGS!EA43+'SG&amp;A'!EA43</f>
        <v>31.645737179999998</v>
      </c>
      <c r="EB43" s="28">
        <f>COGS!EB43+'SG&amp;A'!EB43</f>
        <v>11.976167119999999</v>
      </c>
      <c r="EC43" s="28">
        <f>COGS!EC43+'SG&amp;A'!EC43</f>
        <v>12.547019560000001</v>
      </c>
      <c r="ED43" s="28">
        <f>COGS!ED43+'SG&amp;A'!ED43</f>
        <v>11.957000000000001</v>
      </c>
      <c r="EE43" s="28">
        <f>COGS!EE43+'SG&amp;A'!EE43</f>
        <v>13.298373810000001</v>
      </c>
      <c r="EF43" s="28">
        <f>COGS!EF43+'SG&amp;A'!EF43</f>
        <v>49.778560490000004</v>
      </c>
      <c r="EG43" s="28">
        <f>COGS!EG43+'SG&amp;A'!EG43</f>
        <v>12.41797038</v>
      </c>
      <c r="EH43" s="28">
        <f>COGS!EH43+'SG&amp;A'!EH43</f>
        <v>12.930777540000001</v>
      </c>
      <c r="EI43" s="28">
        <f>COGS!EI43+'SG&amp;A'!EI43</f>
        <v>13.622146620000001</v>
      </c>
    </row>
    <row r="44" spans="1:139" ht="15" thickTop="1" x14ac:dyDescent="0.3">
      <c r="A44" s="1" t="s">
        <v>449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>
        <f>COGS!BJ44+'SG&amp;A'!BJ44</f>
        <v>0</v>
      </c>
      <c r="BK44" s="27">
        <f>COGS!BK44+'SG&amp;A'!BK44</f>
        <v>0</v>
      </c>
      <c r="BL44" s="27">
        <f>COGS!BL44+'SG&amp;A'!BL44</f>
        <v>0</v>
      </c>
      <c r="BM44" s="27">
        <f>COGS!BM44+'SG&amp;A'!BM44</f>
        <v>0</v>
      </c>
      <c r="BN44" s="27">
        <f>COGS!BN44+'SG&amp;A'!BN44</f>
        <v>0</v>
      </c>
      <c r="BO44" s="27">
        <f>COGS!BO44+'SG&amp;A'!BO44</f>
        <v>0</v>
      </c>
      <c r="BP44" s="27">
        <f>COGS!BP44+'SG&amp;A'!BP44</f>
        <v>0</v>
      </c>
      <c r="BQ44" s="27">
        <f>COGS!BQ44+'SG&amp;A'!BQ44</f>
        <v>0</v>
      </c>
      <c r="BR44" s="27">
        <f>COGS!BR44+'SG&amp;A'!BR44</f>
        <v>0</v>
      </c>
      <c r="BS44" s="27">
        <f>COGS!BS44+'SG&amp;A'!BS44</f>
        <v>0</v>
      </c>
      <c r="BT44" s="27">
        <f>COGS!BT44+'SG&amp;A'!BT44</f>
        <v>0</v>
      </c>
      <c r="BU44" s="27">
        <f>COGS!BU44+'SG&amp;A'!BU44</f>
        <v>0</v>
      </c>
      <c r="BV44" s="27">
        <f>COGS!BV44+'SG&amp;A'!BV44</f>
        <v>0</v>
      </c>
      <c r="BW44" s="27">
        <f>COGS!BW44+'SG&amp;A'!BW44</f>
        <v>0</v>
      </c>
      <c r="BX44" s="27">
        <f>COGS!BX44+'SG&amp;A'!BX44</f>
        <v>0</v>
      </c>
      <c r="BY44" s="27">
        <f>COGS!BY44+'SG&amp;A'!BY44</f>
        <v>0</v>
      </c>
      <c r="BZ44" s="27">
        <f>COGS!BZ44+'SG&amp;A'!BZ44</f>
        <v>0</v>
      </c>
      <c r="CA44" s="27">
        <f>COGS!CA44+'SG&amp;A'!CA44</f>
        <v>0</v>
      </c>
      <c r="CB44" s="27">
        <f>COGS!CB44+'SG&amp;A'!CB44</f>
        <v>0</v>
      </c>
      <c r="CC44" s="27">
        <f>COGS!CC44+'SG&amp;A'!CC44</f>
        <v>0</v>
      </c>
      <c r="CD44" s="27">
        <f>COGS!CD44+'SG&amp;A'!CD44</f>
        <v>0</v>
      </c>
      <c r="CE44" s="27">
        <f>COGS!CE44+'SG&amp;A'!CE44</f>
        <v>0</v>
      </c>
      <c r="CF44" s="27">
        <f>COGS!CF44+'SG&amp;A'!CF44</f>
        <v>0</v>
      </c>
      <c r="CG44" s="27">
        <f>COGS!CG44+'SG&amp;A'!CG44</f>
        <v>0</v>
      </c>
      <c r="CH44" s="27">
        <f>COGS!CH44+'SG&amp;A'!CH44</f>
        <v>0</v>
      </c>
      <c r="CI44" s="27">
        <f>COGS!CI44+'SG&amp;A'!CI44</f>
        <v>0</v>
      </c>
      <c r="CJ44" s="27">
        <f>COGS!CJ44+'SG&amp;A'!CJ44</f>
        <v>0</v>
      </c>
      <c r="CK44" s="27">
        <f>COGS!CK44+'SG&amp;A'!CK44</f>
        <v>0</v>
      </c>
      <c r="CL44" s="27">
        <f>COGS!CL44+'SG&amp;A'!CL44</f>
        <v>0</v>
      </c>
      <c r="CM44" s="27">
        <f>COGS!CM44+'SG&amp;A'!CM44</f>
        <v>0</v>
      </c>
      <c r="CN44" s="27">
        <f>COGS!CN44+'SG&amp;A'!CN44</f>
        <v>0</v>
      </c>
      <c r="CO44" s="27">
        <f>COGS!CO44+'SG&amp;A'!CO44</f>
        <v>0</v>
      </c>
      <c r="CP44" s="27">
        <f>COGS!CP44+'SG&amp;A'!CP44</f>
        <v>0</v>
      </c>
      <c r="CQ44" s="27">
        <f>COGS!CQ44+'SG&amp;A'!CQ44</f>
        <v>0</v>
      </c>
      <c r="CR44" s="27">
        <f>COGS!CR44+'SG&amp;A'!CR44</f>
        <v>0</v>
      </c>
      <c r="CS44" s="27">
        <f>COGS!CS44+'SG&amp;A'!CS44</f>
        <v>0</v>
      </c>
      <c r="CT44" s="27">
        <f>COGS!CT44+'SG&amp;A'!CT44</f>
        <v>0</v>
      </c>
      <c r="CU44" s="27">
        <f>COGS!CU44+'SG&amp;A'!CU44</f>
        <v>0</v>
      </c>
      <c r="CV44" s="27">
        <f>COGS!CV44+'SG&amp;A'!CV44</f>
        <v>0</v>
      </c>
      <c r="CW44" s="27">
        <f>COGS!CW44+'SG&amp;A'!CW44</f>
        <v>0</v>
      </c>
      <c r="CX44" s="27">
        <f>COGS!CX44+'SG&amp;A'!CX44</f>
        <v>0</v>
      </c>
      <c r="CY44" s="27">
        <f>COGS!CY44+'SG&amp;A'!CY44</f>
        <v>0</v>
      </c>
      <c r="CZ44" s="27">
        <f>COGS!CZ44+'SG&amp;A'!CZ44</f>
        <v>0</v>
      </c>
      <c r="DA44" s="27">
        <f>COGS!DA44+'SG&amp;A'!DA44</f>
        <v>0</v>
      </c>
      <c r="DB44" s="27">
        <f>COGS!DB44+'SG&amp;A'!DB44</f>
        <v>0</v>
      </c>
      <c r="DC44" s="27">
        <f>COGS!DC44+'SG&amp;A'!DC44</f>
        <v>0</v>
      </c>
      <c r="DD44" s="27">
        <f>COGS!DD44+'SG&amp;A'!DD44</f>
        <v>0</v>
      </c>
      <c r="DE44" s="27">
        <f>COGS!DE44+'SG&amp;A'!DE44</f>
        <v>0</v>
      </c>
      <c r="DF44" s="27">
        <f>COGS!DF44+'SG&amp;A'!DF44</f>
        <v>0</v>
      </c>
      <c r="DG44" s="27">
        <f>COGS!DG44+'SG&amp;A'!DG44</f>
        <v>0</v>
      </c>
      <c r="DH44" s="27">
        <f>COGS!DH44+'SG&amp;A'!DH44</f>
        <v>0</v>
      </c>
      <c r="DI44" s="27">
        <f>COGS!DI44+'SG&amp;A'!DI44</f>
        <v>0</v>
      </c>
      <c r="DJ44" s="27">
        <f>COGS!DJ44+'SG&amp;A'!DJ44</f>
        <v>0</v>
      </c>
      <c r="DK44" s="27">
        <f>COGS!DK44+'SG&amp;A'!DK44</f>
        <v>0</v>
      </c>
      <c r="DL44" s="27">
        <f>COGS!DL44+'SG&amp;A'!DL44</f>
        <v>0</v>
      </c>
      <c r="DM44" s="27">
        <f>COGS!DM44+'SG&amp;A'!DM44</f>
        <v>0</v>
      </c>
      <c r="DN44" s="27">
        <f>COGS!DN44+'SG&amp;A'!DN44</f>
        <v>0</v>
      </c>
      <c r="DO44" s="27">
        <f>COGS!DO44+'SG&amp;A'!DO44</f>
        <v>0</v>
      </c>
      <c r="DP44" s="27">
        <f>COGS!DP44+'SG&amp;A'!DP44</f>
        <v>0</v>
      </c>
      <c r="DQ44" s="27">
        <f>COGS!DQ44+'SG&amp;A'!DQ44</f>
        <v>0</v>
      </c>
      <c r="DR44" s="27">
        <f>COGS!DR44+'SG&amp;A'!DR44</f>
        <v>0</v>
      </c>
      <c r="DS44" s="27">
        <f>COGS!DS44+'SG&amp;A'!DS44</f>
        <v>0</v>
      </c>
      <c r="DT44" s="27">
        <f>COGS!DT44+'SG&amp;A'!DT44</f>
        <v>0</v>
      </c>
      <c r="DU44" s="27">
        <f>COGS!DU44+'SG&amp;A'!DU44</f>
        <v>0</v>
      </c>
      <c r="DV44" s="27">
        <f>COGS!DV44+'SG&amp;A'!DV44</f>
        <v>0</v>
      </c>
      <c r="DW44" s="27">
        <f>COGS!DW44+'SG&amp;A'!DW44</f>
        <v>0</v>
      </c>
      <c r="DX44" s="27">
        <f>COGS!DX44+'SG&amp;A'!DX44</f>
        <v>4.1149777400000005</v>
      </c>
      <c r="DY44" s="27">
        <f>COGS!DY44+'SG&amp;A'!DY44</f>
        <v>6.8819574700000006</v>
      </c>
      <c r="DZ44" s="27">
        <f>COGS!DZ44+'SG&amp;A'!DZ44</f>
        <v>8.1075538200000015</v>
      </c>
      <c r="EA44" s="27">
        <f>COGS!EA44+'SG&amp;A'!EA44</f>
        <v>19.10448903</v>
      </c>
      <c r="EB44" s="27">
        <f>COGS!EB44+'SG&amp;A'!EB44</f>
        <v>10.98574204</v>
      </c>
      <c r="EC44" s="27">
        <f>COGS!EC44+'SG&amp;A'!EC44</f>
        <v>4.1893106199999997</v>
      </c>
      <c r="ED44" s="27">
        <f>COGS!ED44+'SG&amp;A'!ED44</f>
        <v>7.2119999999999997</v>
      </c>
      <c r="EE44" s="27">
        <f>COGS!EE44+'SG&amp;A'!EE44</f>
        <v>7.2689895399999997</v>
      </c>
      <c r="EF44" s="27">
        <f>COGS!EF44+'SG&amp;A'!EF44</f>
        <v>29.656042199999998</v>
      </c>
      <c r="EG44" s="27">
        <f>COGS!EG44+'SG&amp;A'!EG44</f>
        <v>7.2642373000000005</v>
      </c>
      <c r="EH44" s="27">
        <f>COGS!EH44+'SG&amp;A'!EH44</f>
        <v>9.2490165399999995</v>
      </c>
      <c r="EI44" s="27">
        <f>COGS!EI44+'SG&amp;A'!EI44</f>
        <v>9.2585212199999987</v>
      </c>
    </row>
    <row r="45" spans="1:139" ht="15" thickBot="1" x14ac:dyDescent="0.35">
      <c r="A45" s="2" t="s">
        <v>460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>
        <f>COGS!EE45+'SG&amp;A'!EE45</f>
        <v>0</v>
      </c>
      <c r="EF45" s="28">
        <f>COGS!EF45+'SG&amp;A'!EF45</f>
        <v>0</v>
      </c>
      <c r="EG45" s="28">
        <f>COGS!EG45+'SG&amp;A'!EG45</f>
        <v>0</v>
      </c>
      <c r="EH45" s="28">
        <f>COGS!EH45+'SG&amp;A'!EH45</f>
        <v>7.2827090500000002</v>
      </c>
      <c r="EI45" s="28">
        <f>COGS!EI45+'SG&amp;A'!EI45</f>
        <v>7.67380979</v>
      </c>
    </row>
    <row r="46" spans="1:139" ht="15" thickTop="1" x14ac:dyDescent="0.3">
      <c r="A46" s="1" t="s">
        <v>304</v>
      </c>
      <c r="B46" s="27">
        <f>COGS!B46+'SG&amp;A'!B46</f>
        <v>0</v>
      </c>
      <c r="C46" s="27">
        <f>COGS!C46+'SG&amp;A'!C46</f>
        <v>0</v>
      </c>
      <c r="D46" s="27">
        <f>COGS!D46+'SG&amp;A'!D46</f>
        <v>0</v>
      </c>
      <c r="E46" s="27">
        <f>COGS!E46+'SG&amp;A'!E46</f>
        <v>0</v>
      </c>
      <c r="F46" s="27">
        <f>COGS!F46+'SG&amp;A'!F46</f>
        <v>0</v>
      </c>
      <c r="G46" s="27">
        <f>COGS!G46+'SG&amp;A'!G46</f>
        <v>0</v>
      </c>
      <c r="H46" s="27">
        <f>COGS!H46+'SG&amp;A'!H46</f>
        <v>0</v>
      </c>
      <c r="I46" s="27">
        <f>COGS!I46+'SG&amp;A'!I46</f>
        <v>0</v>
      </c>
      <c r="J46" s="27">
        <f>COGS!J46+'SG&amp;A'!J46</f>
        <v>0</v>
      </c>
      <c r="K46" s="27">
        <f>COGS!K46+'SG&amp;A'!K46</f>
        <v>0</v>
      </c>
      <c r="L46" s="27">
        <f>COGS!L46+'SG&amp;A'!L46</f>
        <v>0</v>
      </c>
      <c r="M46" s="27">
        <f>COGS!M46+'SG&amp;A'!M46</f>
        <v>0</v>
      </c>
      <c r="N46" s="27">
        <f>COGS!N46+'SG&amp;A'!N46</f>
        <v>0</v>
      </c>
      <c r="O46" s="27">
        <f>COGS!O46+'SG&amp;A'!O46</f>
        <v>0</v>
      </c>
      <c r="P46" s="27">
        <f>COGS!P46+'SG&amp;A'!P46</f>
        <v>0</v>
      </c>
      <c r="Q46" s="27">
        <f>COGS!Q46+'SG&amp;A'!Q46</f>
        <v>0</v>
      </c>
      <c r="R46" s="27">
        <f>COGS!R46+'SG&amp;A'!R46</f>
        <v>0</v>
      </c>
      <c r="S46" s="27">
        <f>COGS!S46+'SG&amp;A'!S46</f>
        <v>0</v>
      </c>
      <c r="T46" s="27">
        <f>COGS!T46+'SG&amp;A'!T46</f>
        <v>0</v>
      </c>
      <c r="U46" s="27">
        <f>COGS!U46+'SG&amp;A'!U46</f>
        <v>0</v>
      </c>
      <c r="V46" s="27">
        <f>COGS!V46+'SG&amp;A'!V46</f>
        <v>0</v>
      </c>
      <c r="W46" s="27">
        <f>COGS!W46+'SG&amp;A'!W46</f>
        <v>0</v>
      </c>
      <c r="X46" s="27">
        <f>COGS!X46+'SG&amp;A'!X46</f>
        <v>0</v>
      </c>
      <c r="Y46" s="27">
        <f>COGS!Y46+'SG&amp;A'!Y46</f>
        <v>0</v>
      </c>
      <c r="Z46" s="27">
        <f>COGS!Z46+'SG&amp;A'!Z46</f>
        <v>0</v>
      </c>
      <c r="AA46" s="27">
        <f>COGS!AA46+'SG&amp;A'!AA46</f>
        <v>0</v>
      </c>
      <c r="AB46" s="27">
        <f>COGS!AB46+'SG&amp;A'!AB46</f>
        <v>0</v>
      </c>
      <c r="AC46" s="27">
        <f>COGS!AC46+'SG&amp;A'!AC46</f>
        <v>0</v>
      </c>
      <c r="AD46" s="27">
        <f>COGS!AD46+'SG&amp;A'!AD46</f>
        <v>0</v>
      </c>
      <c r="AE46" s="27">
        <f>COGS!AE46+'SG&amp;A'!AE46</f>
        <v>0</v>
      </c>
      <c r="AF46" s="27">
        <f>COGS!AF46+'SG&amp;A'!AF46</f>
        <v>0</v>
      </c>
      <c r="AG46" s="27">
        <f>COGS!AG46+'SG&amp;A'!AG46</f>
        <v>0</v>
      </c>
      <c r="AH46" s="27">
        <f>COGS!AH46+'SG&amp;A'!AH46</f>
        <v>0</v>
      </c>
      <c r="AI46" s="27">
        <f>COGS!AI46+'SG&amp;A'!AI46</f>
        <v>0</v>
      </c>
      <c r="AJ46" s="27">
        <f>COGS!AJ46+'SG&amp;A'!AJ46</f>
        <v>0</v>
      </c>
      <c r="AK46" s="27">
        <f>COGS!AK46+'SG&amp;A'!AK46</f>
        <v>0</v>
      </c>
      <c r="AL46" s="27">
        <f>COGS!AL46+'SG&amp;A'!AL46</f>
        <v>0</v>
      </c>
      <c r="AM46" s="27">
        <f>COGS!AM46+'SG&amp;A'!AM46</f>
        <v>0</v>
      </c>
      <c r="AN46" s="27">
        <f>COGS!AN46+'SG&amp;A'!AN46</f>
        <v>0</v>
      </c>
      <c r="AO46" s="27">
        <f>COGS!AO46+'SG&amp;A'!AO46</f>
        <v>0</v>
      </c>
      <c r="AP46" s="27">
        <f>COGS!AP46+'SG&amp;A'!AP46</f>
        <v>0</v>
      </c>
      <c r="AQ46" s="27">
        <f>COGS!AQ46+'SG&amp;A'!AQ46</f>
        <v>0</v>
      </c>
      <c r="AR46" s="27">
        <f>COGS!AR46+'SG&amp;A'!AR46</f>
        <v>0</v>
      </c>
      <c r="AS46" s="27">
        <f>COGS!AS46+'SG&amp;A'!AS46</f>
        <v>0</v>
      </c>
      <c r="AT46" s="27">
        <f>COGS!AT46+'SG&amp;A'!AT46</f>
        <v>0</v>
      </c>
      <c r="AU46" s="27">
        <f>COGS!AU46+'SG&amp;A'!AU46</f>
        <v>0</v>
      </c>
      <c r="AV46" s="27">
        <f>COGS!AV46+'SG&amp;A'!AV46</f>
        <v>0</v>
      </c>
      <c r="AW46" s="27">
        <f>COGS!AW46+'SG&amp;A'!AW46</f>
        <v>0</v>
      </c>
      <c r="AX46" s="27">
        <f>COGS!AX46+'SG&amp;A'!AX46</f>
        <v>0</v>
      </c>
      <c r="AY46" s="27">
        <f>COGS!AY46+'SG&amp;A'!AY46</f>
        <v>0</v>
      </c>
      <c r="AZ46" s="27">
        <f>COGS!AZ46+'SG&amp;A'!AZ46</f>
        <v>0</v>
      </c>
      <c r="BA46" s="27">
        <f>COGS!BA46+'SG&amp;A'!BA46</f>
        <v>0</v>
      </c>
      <c r="BB46" s="27">
        <f>COGS!BB46+'SG&amp;A'!BB46</f>
        <v>0</v>
      </c>
      <c r="BC46" s="27">
        <f>COGS!BC46+'SG&amp;A'!BC46</f>
        <v>0</v>
      </c>
      <c r="BD46" s="27">
        <f>COGS!BD46+'SG&amp;A'!BD46</f>
        <v>0</v>
      </c>
      <c r="BE46" s="27">
        <f>COGS!BE46+'SG&amp;A'!BE46</f>
        <v>0</v>
      </c>
      <c r="BF46" s="27">
        <f>COGS!BF46+'SG&amp;A'!BF46</f>
        <v>0</v>
      </c>
      <c r="BG46" s="27">
        <f>COGS!BG46+'SG&amp;A'!BG46</f>
        <v>0</v>
      </c>
      <c r="BH46" s="27">
        <f>COGS!BH46+'SG&amp;A'!BH46</f>
        <v>0</v>
      </c>
      <c r="BI46" s="27">
        <f>COGS!BI46+'SG&amp;A'!BI46</f>
        <v>0</v>
      </c>
      <c r="BJ46" s="27">
        <f>COGS!BJ46+'SG&amp;A'!BJ46</f>
        <v>0</v>
      </c>
      <c r="BK46" s="27">
        <f>COGS!BK46+'SG&amp;A'!BK46</f>
        <v>0</v>
      </c>
      <c r="BL46" s="27">
        <f>COGS!BL46+'SG&amp;A'!BL46</f>
        <v>0</v>
      </c>
      <c r="BM46" s="27">
        <f>COGS!BM46+'SG&amp;A'!BM46</f>
        <v>0</v>
      </c>
      <c r="BN46" s="27">
        <f>COGS!BN46+'SG&amp;A'!BN46</f>
        <v>0</v>
      </c>
      <c r="BO46" s="27">
        <f>COGS!BO46+'SG&amp;A'!BO46</f>
        <v>0</v>
      </c>
      <c r="BP46" s="27">
        <f>COGS!BP46+'SG&amp;A'!BP46</f>
        <v>0</v>
      </c>
      <c r="BQ46" s="27">
        <f>COGS!BQ46+'SG&amp;A'!BQ46</f>
        <v>0</v>
      </c>
      <c r="BR46" s="27">
        <f>COGS!BR46+'SG&amp;A'!BR46</f>
        <v>0</v>
      </c>
      <c r="BS46" s="27">
        <f>COGS!BS46+'SG&amp;A'!BS46</f>
        <v>0</v>
      </c>
      <c r="BT46" s="27">
        <f>COGS!BT46+'SG&amp;A'!BT46</f>
        <v>0</v>
      </c>
      <c r="BU46" s="27">
        <f>COGS!BU46+'SG&amp;A'!BU46</f>
        <v>10.63695684</v>
      </c>
      <c r="BV46" s="27">
        <f>COGS!BV46+'SG&amp;A'!BV46</f>
        <v>30.936014239999995</v>
      </c>
      <c r="BW46" s="27">
        <f>COGS!BW46+'SG&amp;A'!BW46</f>
        <v>30.248813300000002</v>
      </c>
      <c r="BX46" s="27">
        <f>COGS!BX46+'SG&amp;A'!BX46</f>
        <v>71.821784379999997</v>
      </c>
      <c r="BY46" s="27">
        <f>COGS!BY46+'SG&amp;A'!BY46</f>
        <v>30.912117870000003</v>
      </c>
      <c r="BZ46" s="27">
        <f>COGS!BZ46+'SG&amp;A'!BZ46</f>
        <v>34.098189990000002</v>
      </c>
      <c r="CA46" s="27">
        <f>COGS!CA46+'SG&amp;A'!CA46</f>
        <v>37.522803309999993</v>
      </c>
      <c r="CB46" s="27">
        <f>COGS!CB46+'SG&amp;A'!CB46</f>
        <v>33.300333959999996</v>
      </c>
      <c r="CC46" s="27">
        <f>COGS!CC46+'SG&amp;A'!CC46</f>
        <v>135.83344513</v>
      </c>
      <c r="CD46" s="27">
        <f>COGS!CD46+'SG&amp;A'!CD46</f>
        <v>28.17498028</v>
      </c>
      <c r="CE46" s="27">
        <f>COGS!CE46+'SG&amp;A'!CE46</f>
        <v>34.442347120000001</v>
      </c>
      <c r="CF46" s="27">
        <f>COGS!CF46+'SG&amp;A'!CF46</f>
        <v>32.546387359999997</v>
      </c>
      <c r="CG46" s="27">
        <f>COGS!CG46+'SG&amp;A'!CG46</f>
        <v>26.303983649999992</v>
      </c>
      <c r="CH46" s="27">
        <f>COGS!CH46+'SG&amp;A'!CH46</f>
        <v>121.46769840999998</v>
      </c>
      <c r="CI46" s="27">
        <f>COGS!CI46+'SG&amp;A'!CI46</f>
        <v>29.649415990000001</v>
      </c>
      <c r="CJ46" s="27">
        <f>COGS!CJ46+'SG&amp;A'!CJ46</f>
        <v>36.304239879999997</v>
      </c>
      <c r="CK46" s="27">
        <f>COGS!CK46+'SG&amp;A'!CK46</f>
        <v>28.281400560000005</v>
      </c>
      <c r="CL46" s="27">
        <f>COGS!CL46+'SG&amp;A'!CL46</f>
        <v>24.67656315</v>
      </c>
      <c r="CM46" s="27">
        <f>COGS!CM46+'SG&amp;A'!CM46</f>
        <v>118.91161958000001</v>
      </c>
      <c r="CN46" s="27">
        <f>COGS!CN46+'SG&amp;A'!CN46</f>
        <v>19.41420999</v>
      </c>
      <c r="CO46" s="27">
        <f>COGS!CO46+'SG&amp;A'!CO46</f>
        <v>18.661118200000001</v>
      </c>
      <c r="CP46" s="27">
        <f>COGS!CP46+'SG&amp;A'!CP46</f>
        <v>17.109297659999996</v>
      </c>
      <c r="CQ46" s="27">
        <f>COGS!CQ46+'SG&amp;A'!CQ46</f>
        <v>19.132374150000008</v>
      </c>
      <c r="CR46" s="27">
        <f>COGS!CR46+'SG&amp;A'!CR46</f>
        <v>74.317000000000007</v>
      </c>
      <c r="CS46" s="27">
        <f>COGS!CS46+'SG&amp;A'!CS46</f>
        <v>12.60069712</v>
      </c>
      <c r="CT46" s="27">
        <f>COGS!CT46+'SG&amp;A'!CT46</f>
        <v>15.883302880000002</v>
      </c>
      <c r="CU46" s="27">
        <f>COGS!CU46+'SG&amp;A'!CU46</f>
        <v>14.714</v>
      </c>
      <c r="CV46" s="27">
        <f>COGS!CV46+'SG&amp;A'!CV46</f>
        <v>14.622</v>
      </c>
      <c r="CW46" s="27">
        <f>COGS!CW46+'SG&amp;A'!CW46</f>
        <v>57.82</v>
      </c>
      <c r="CX46" s="27">
        <f>COGS!CX46+'SG&amp;A'!CX46</f>
        <v>12.655999999999999</v>
      </c>
      <c r="CY46" s="27">
        <f>COGS!CY46+'SG&amp;A'!CY46</f>
        <v>13.385</v>
      </c>
      <c r="CZ46" s="27">
        <f>COGS!CZ46+'SG&amp;A'!CZ46</f>
        <v>13.275</v>
      </c>
      <c r="DA46" s="27">
        <f>COGS!DA46+'SG&amp;A'!DA46</f>
        <v>11.571999999999999</v>
      </c>
      <c r="DB46" s="27">
        <f>COGS!DB46+'SG&amp;A'!DB46</f>
        <v>50.887999999999998</v>
      </c>
      <c r="DC46" s="27">
        <f>COGS!DC46+'SG&amp;A'!DC46</f>
        <v>12.781000000000001</v>
      </c>
      <c r="DD46" s="27">
        <f>COGS!DD46+'SG&amp;A'!DD46</f>
        <v>13.096</v>
      </c>
      <c r="DE46" s="27">
        <f>COGS!DE46+'SG&amp;A'!DE46</f>
        <v>13.760999999999999</v>
      </c>
      <c r="DF46" s="27">
        <f>COGS!DF46+'SG&amp;A'!DF46</f>
        <v>15.41</v>
      </c>
      <c r="DG46" s="27">
        <f>COGS!DG46+'SG&amp;A'!DG46</f>
        <v>55.048000000000002</v>
      </c>
      <c r="DH46" s="27">
        <f>COGS!DH46+'SG&amp;A'!DH46</f>
        <v>15.094000000000001</v>
      </c>
      <c r="DI46" s="27">
        <f>COGS!DI46+'SG&amp;A'!DI46</f>
        <v>12.613</v>
      </c>
      <c r="DJ46" s="27">
        <f>COGS!DJ46+'SG&amp;A'!DJ46</f>
        <v>14.439</v>
      </c>
      <c r="DK46" s="27">
        <f>COGS!DK46+'SG&amp;A'!DK46</f>
        <v>16.658000000000001</v>
      </c>
      <c r="DL46" s="27">
        <f>COGS!DL46+'SG&amp;A'!DL46</f>
        <v>58.804000000000002</v>
      </c>
      <c r="DM46" s="27">
        <f>COGS!DM46+'SG&amp;A'!DM46</f>
        <v>16.059000000000001</v>
      </c>
      <c r="DN46" s="27">
        <f>COGS!DN46+'SG&amp;A'!DN46</f>
        <v>18.443000000000001</v>
      </c>
      <c r="DO46" s="27">
        <f>COGS!DO46+'SG&amp;A'!DO46</f>
        <v>18.96</v>
      </c>
      <c r="DP46" s="27">
        <f>COGS!DP46+'SG&amp;A'!DP46</f>
        <v>17.310000000000002</v>
      </c>
      <c r="DQ46" s="27">
        <f>COGS!DQ46+'SG&amp;A'!DQ46</f>
        <v>70.772000000000006</v>
      </c>
      <c r="DR46" s="27">
        <f>COGS!DR46+'SG&amp;A'!DR46</f>
        <v>19.95</v>
      </c>
      <c r="DS46" s="27">
        <f>COGS!DS46+'SG&amp;A'!DS46</f>
        <v>22.504000000000001</v>
      </c>
      <c r="DT46" s="27">
        <f>COGS!DT46+'SG&amp;A'!DT46</f>
        <v>23.335000000000001</v>
      </c>
      <c r="DU46" s="27">
        <f>COGS!DU46+'SG&amp;A'!DU46</f>
        <v>24.497999999999998</v>
      </c>
      <c r="DV46" s="27">
        <f>COGS!DV46+'SG&amp;A'!DV46</f>
        <v>90.287000000000006</v>
      </c>
      <c r="DW46" s="27">
        <f>COGS!DW46+'SG&amp;A'!DW46</f>
        <v>22.683999999999997</v>
      </c>
      <c r="DX46" s="27">
        <f>COGS!DX46+'SG&amp;A'!DX46</f>
        <v>24.824461369999998</v>
      </c>
      <c r="DY46" s="27">
        <f>COGS!DY46+'SG&amp;A'!DY46</f>
        <v>25.89170137</v>
      </c>
      <c r="DZ46" s="27">
        <f>COGS!DZ46+'SG&amp;A'!DZ46</f>
        <v>21.621363740000007</v>
      </c>
      <c r="EA46" s="27">
        <f>COGS!EA46+'SG&amp;A'!EA46</f>
        <v>95.021526480000006</v>
      </c>
      <c r="EB46" s="27">
        <f>COGS!EB46+'SG&amp;A'!EB46</f>
        <v>18.477384450000002</v>
      </c>
      <c r="EC46" s="27">
        <f>COGS!EC46+'SG&amp;A'!EC46</f>
        <v>19.292657890000001</v>
      </c>
      <c r="ED46" s="27">
        <f>COGS!ED46+'SG&amp;A'!ED46</f>
        <v>23.262999999999998</v>
      </c>
      <c r="EE46" s="27">
        <f>COGS!EE46+'SG&amp;A'!EE46</f>
        <v>25.4781361</v>
      </c>
      <c r="EF46" s="27">
        <f>COGS!EF46+'SG&amp;A'!EF46</f>
        <v>86.511178440000009</v>
      </c>
      <c r="EG46" s="27">
        <f>COGS!EG46+'SG&amp;A'!EG46</f>
        <v>22.44829288</v>
      </c>
      <c r="EH46" s="27">
        <f>COGS!EH46+'SG&amp;A'!EH46</f>
        <v>23.70842493</v>
      </c>
      <c r="EI46" s="27">
        <f>COGS!EI46+'SG&amp;A'!EI46</f>
        <v>27.874827790000005</v>
      </c>
    </row>
    <row r="47" spans="1:139" ht="15" thickBot="1" x14ac:dyDescent="0.35">
      <c r="A47" s="2" t="s">
        <v>305</v>
      </c>
      <c r="B47" s="28">
        <f>COGS!B47+'SG&amp;A'!B47</f>
        <v>0</v>
      </c>
      <c r="C47" s="28">
        <f>COGS!C47+'SG&amp;A'!C47</f>
        <v>0</v>
      </c>
      <c r="D47" s="28">
        <f>COGS!D47+'SG&amp;A'!D47</f>
        <v>0</v>
      </c>
      <c r="E47" s="28">
        <f>COGS!E47+'SG&amp;A'!E47</f>
        <v>0</v>
      </c>
      <c r="F47" s="28">
        <f>COGS!F47+'SG&amp;A'!F47</f>
        <v>0</v>
      </c>
      <c r="G47" s="28">
        <f>COGS!G47+'SG&amp;A'!G47</f>
        <v>0</v>
      </c>
      <c r="H47" s="28">
        <f>COGS!H47+'SG&amp;A'!H47</f>
        <v>0</v>
      </c>
      <c r="I47" s="28">
        <f>COGS!I47+'SG&amp;A'!I47</f>
        <v>0</v>
      </c>
      <c r="J47" s="28">
        <f>COGS!J47+'SG&amp;A'!J47</f>
        <v>0</v>
      </c>
      <c r="K47" s="28">
        <f>COGS!K47+'SG&amp;A'!K47</f>
        <v>0</v>
      </c>
      <c r="L47" s="28">
        <f>COGS!L47+'SG&amp;A'!L47</f>
        <v>0</v>
      </c>
      <c r="M47" s="28">
        <f>COGS!M47+'SG&amp;A'!M47</f>
        <v>0</v>
      </c>
      <c r="N47" s="28">
        <f>COGS!N47+'SG&amp;A'!N47</f>
        <v>0</v>
      </c>
      <c r="O47" s="28">
        <f>COGS!O47+'SG&amp;A'!O47</f>
        <v>0</v>
      </c>
      <c r="P47" s="28">
        <f>COGS!P47+'SG&amp;A'!P47</f>
        <v>0</v>
      </c>
      <c r="Q47" s="28">
        <f>COGS!Q47+'SG&amp;A'!Q47</f>
        <v>0</v>
      </c>
      <c r="R47" s="28">
        <f>COGS!R47+'SG&amp;A'!R47</f>
        <v>0</v>
      </c>
      <c r="S47" s="28">
        <f>COGS!S47+'SG&amp;A'!S47</f>
        <v>0</v>
      </c>
      <c r="T47" s="28">
        <f>COGS!T47+'SG&amp;A'!T47</f>
        <v>0</v>
      </c>
      <c r="U47" s="28">
        <f>COGS!U47+'SG&amp;A'!U47</f>
        <v>0</v>
      </c>
      <c r="V47" s="28">
        <f>COGS!V47+'SG&amp;A'!V47</f>
        <v>0</v>
      </c>
      <c r="W47" s="28">
        <f>COGS!W47+'SG&amp;A'!W47</f>
        <v>0</v>
      </c>
      <c r="X47" s="28">
        <f>COGS!X47+'SG&amp;A'!X47</f>
        <v>0</v>
      </c>
      <c r="Y47" s="28">
        <f>COGS!Y47+'SG&amp;A'!Y47</f>
        <v>0</v>
      </c>
      <c r="Z47" s="28">
        <f>COGS!Z47+'SG&amp;A'!Z47</f>
        <v>0</v>
      </c>
      <c r="AA47" s="28">
        <f>COGS!AA47+'SG&amp;A'!AA47</f>
        <v>0</v>
      </c>
      <c r="AB47" s="28">
        <f>COGS!AB47+'SG&amp;A'!AB47</f>
        <v>0</v>
      </c>
      <c r="AC47" s="28">
        <f>COGS!AC47+'SG&amp;A'!AC47</f>
        <v>0</v>
      </c>
      <c r="AD47" s="28">
        <f>COGS!AD47+'SG&amp;A'!AD47</f>
        <v>0</v>
      </c>
      <c r="AE47" s="28">
        <f>COGS!AE47+'SG&amp;A'!AE47</f>
        <v>0</v>
      </c>
      <c r="AF47" s="28">
        <f>COGS!AF47+'SG&amp;A'!AF47</f>
        <v>0</v>
      </c>
      <c r="AG47" s="28">
        <f>COGS!AG47+'SG&amp;A'!AG47</f>
        <v>0</v>
      </c>
      <c r="AH47" s="28">
        <f>COGS!AH47+'SG&amp;A'!AH47</f>
        <v>0</v>
      </c>
      <c r="AI47" s="28">
        <f>COGS!AI47+'SG&amp;A'!AI47</f>
        <v>0</v>
      </c>
      <c r="AJ47" s="28">
        <f>COGS!AJ47+'SG&amp;A'!AJ47</f>
        <v>0</v>
      </c>
      <c r="AK47" s="28">
        <f>COGS!AK47+'SG&amp;A'!AK47</f>
        <v>0</v>
      </c>
      <c r="AL47" s="28">
        <f>COGS!AL47+'SG&amp;A'!AL47</f>
        <v>0</v>
      </c>
      <c r="AM47" s="28">
        <f>COGS!AM47+'SG&amp;A'!AM47</f>
        <v>0</v>
      </c>
      <c r="AN47" s="28">
        <f>COGS!AN47+'SG&amp;A'!AN47</f>
        <v>0</v>
      </c>
      <c r="AO47" s="28">
        <f>COGS!AO47+'SG&amp;A'!AO47</f>
        <v>0</v>
      </c>
      <c r="AP47" s="28">
        <f>COGS!AP47+'SG&amp;A'!AP47</f>
        <v>0</v>
      </c>
      <c r="AQ47" s="28">
        <f>COGS!AQ47+'SG&amp;A'!AQ47</f>
        <v>0</v>
      </c>
      <c r="AR47" s="28">
        <f>COGS!AR47+'SG&amp;A'!AR47</f>
        <v>0</v>
      </c>
      <c r="AS47" s="28">
        <f>COGS!AS47+'SG&amp;A'!AS47</f>
        <v>0</v>
      </c>
      <c r="AT47" s="28">
        <f>COGS!AT47+'SG&amp;A'!AT47</f>
        <v>0</v>
      </c>
      <c r="AU47" s="28">
        <f>COGS!AU47+'SG&amp;A'!AU47</f>
        <v>0</v>
      </c>
      <c r="AV47" s="28">
        <f>COGS!AV47+'SG&amp;A'!AV47</f>
        <v>0</v>
      </c>
      <c r="AW47" s="28">
        <f>COGS!AW47+'SG&amp;A'!AW47</f>
        <v>0</v>
      </c>
      <c r="AX47" s="28">
        <f>COGS!AX47+'SG&amp;A'!AX47</f>
        <v>0</v>
      </c>
      <c r="AY47" s="28">
        <f>COGS!AY47+'SG&amp;A'!AY47</f>
        <v>0</v>
      </c>
      <c r="AZ47" s="28">
        <f>COGS!AZ47+'SG&amp;A'!AZ47</f>
        <v>0</v>
      </c>
      <c r="BA47" s="28">
        <f>COGS!BA47+'SG&amp;A'!BA47</f>
        <v>0</v>
      </c>
      <c r="BB47" s="28">
        <f>COGS!BB47+'SG&amp;A'!BB47</f>
        <v>0</v>
      </c>
      <c r="BC47" s="28">
        <f>COGS!BC47+'SG&amp;A'!BC47</f>
        <v>0</v>
      </c>
      <c r="BD47" s="28">
        <f>COGS!BD47+'SG&amp;A'!BD47</f>
        <v>0</v>
      </c>
      <c r="BE47" s="28">
        <f>COGS!BE47+'SG&amp;A'!BE47</f>
        <v>0</v>
      </c>
      <c r="BF47" s="28">
        <f>COGS!BF47+'SG&amp;A'!BF47</f>
        <v>0</v>
      </c>
      <c r="BG47" s="28">
        <f>COGS!BG47+'SG&amp;A'!BG47</f>
        <v>0</v>
      </c>
      <c r="BH47" s="28">
        <f>COGS!BH47+'SG&amp;A'!BH47</f>
        <v>0</v>
      </c>
      <c r="BI47" s="28">
        <f>COGS!BI47+'SG&amp;A'!BI47</f>
        <v>0</v>
      </c>
      <c r="BJ47" s="28">
        <f>COGS!BJ47+'SG&amp;A'!BJ47</f>
        <v>0</v>
      </c>
      <c r="BK47" s="28">
        <f>COGS!BK47+'SG&amp;A'!BK47</f>
        <v>0</v>
      </c>
      <c r="BL47" s="28">
        <f>COGS!BL47+'SG&amp;A'!BL47</f>
        <v>0</v>
      </c>
      <c r="BM47" s="28">
        <f>COGS!BM47+'SG&amp;A'!BM47</f>
        <v>0</v>
      </c>
      <c r="BN47" s="28">
        <f>COGS!BN47+'SG&amp;A'!BN47</f>
        <v>0</v>
      </c>
      <c r="BO47" s="28">
        <f>COGS!BO47+'SG&amp;A'!BO47</f>
        <v>0</v>
      </c>
      <c r="BP47" s="28">
        <f>COGS!BP47+'SG&amp;A'!BP47</f>
        <v>0</v>
      </c>
      <c r="BQ47" s="28">
        <f>COGS!BQ47+'SG&amp;A'!BQ47</f>
        <v>0</v>
      </c>
      <c r="BR47" s="28">
        <f>COGS!BR47+'SG&amp;A'!BR47</f>
        <v>0</v>
      </c>
      <c r="BS47" s="28">
        <f>COGS!BS47+'SG&amp;A'!BS47</f>
        <v>0</v>
      </c>
      <c r="BT47" s="28">
        <f>COGS!BT47+'SG&amp;A'!BT47</f>
        <v>0</v>
      </c>
      <c r="BU47" s="28">
        <f>COGS!BU47+'SG&amp;A'!BU47</f>
        <v>0</v>
      </c>
      <c r="BV47" s="28">
        <f>COGS!BV47+'SG&amp;A'!BV47</f>
        <v>0</v>
      </c>
      <c r="BW47" s="28">
        <f>COGS!BW47+'SG&amp;A'!BW47</f>
        <v>0</v>
      </c>
      <c r="BX47" s="28">
        <f>COGS!BX47+'SG&amp;A'!BX47</f>
        <v>0</v>
      </c>
      <c r="BY47" s="28">
        <f>COGS!BY47+'SG&amp;A'!BY47</f>
        <v>0</v>
      </c>
      <c r="BZ47" s="28">
        <f>COGS!BZ47+'SG&amp;A'!BZ47</f>
        <v>0</v>
      </c>
      <c r="CA47" s="28">
        <f>COGS!CA47+'SG&amp;A'!CA47</f>
        <v>0</v>
      </c>
      <c r="CB47" s="28">
        <f>COGS!CB47+'SG&amp;A'!CB47</f>
        <v>0</v>
      </c>
      <c r="CC47" s="28">
        <f>COGS!CC47+'SG&amp;A'!CC47</f>
        <v>0</v>
      </c>
      <c r="CD47" s="28">
        <f>COGS!CD47+'SG&amp;A'!CD47</f>
        <v>0</v>
      </c>
      <c r="CE47" s="28">
        <f>COGS!CE47+'SG&amp;A'!CE47</f>
        <v>0</v>
      </c>
      <c r="CF47" s="28">
        <f>COGS!CF47+'SG&amp;A'!CF47</f>
        <v>0</v>
      </c>
      <c r="CG47" s="28">
        <f>COGS!CG47+'SG&amp;A'!CG47</f>
        <v>0</v>
      </c>
      <c r="CH47" s="28">
        <f>COGS!CH47+'SG&amp;A'!CH47</f>
        <v>0</v>
      </c>
      <c r="CI47" s="28">
        <f>COGS!CI47+'SG&amp;A'!CI47</f>
        <v>0</v>
      </c>
      <c r="CJ47" s="28">
        <f>COGS!CJ47+'SG&amp;A'!CJ47</f>
        <v>0</v>
      </c>
      <c r="CK47" s="28">
        <f>COGS!CK47+'SG&amp;A'!CK47</f>
        <v>0</v>
      </c>
      <c r="CL47" s="28">
        <f>COGS!CL47+'SG&amp;A'!CL47</f>
        <v>0</v>
      </c>
      <c r="CM47" s="28">
        <f>COGS!CM47+'SG&amp;A'!CM47</f>
        <v>0</v>
      </c>
      <c r="CN47" s="28">
        <f>COGS!CN47+'SG&amp;A'!CN47</f>
        <v>0</v>
      </c>
      <c r="CO47" s="28">
        <f>COGS!CO47+'SG&amp;A'!CO47</f>
        <v>0</v>
      </c>
      <c r="CP47" s="28">
        <f>COGS!CP47+'SG&amp;A'!CP47</f>
        <v>0</v>
      </c>
      <c r="CQ47" s="28">
        <f>COGS!CQ47+'SG&amp;A'!CQ47</f>
        <v>0</v>
      </c>
      <c r="CR47" s="28">
        <f>COGS!CR47+'SG&amp;A'!CR47</f>
        <v>0</v>
      </c>
      <c r="CS47" s="28">
        <f>COGS!CS47+'SG&amp;A'!CS47</f>
        <v>0</v>
      </c>
      <c r="CT47" s="28">
        <f>COGS!CT47+'SG&amp;A'!CT47</f>
        <v>0</v>
      </c>
      <c r="CU47" s="28">
        <f>COGS!CU47+'SG&amp;A'!CU47</f>
        <v>0</v>
      </c>
      <c r="CV47" s="28">
        <f>COGS!CV47+'SG&amp;A'!CV47</f>
        <v>0</v>
      </c>
      <c r="CW47" s="28">
        <f>COGS!CW47+'SG&amp;A'!CW47</f>
        <v>0</v>
      </c>
      <c r="CX47" s="28">
        <f>COGS!CX47+'SG&amp;A'!CX47</f>
        <v>0</v>
      </c>
      <c r="CY47" s="28">
        <f>COGS!CY47+'SG&amp;A'!CY47</f>
        <v>0</v>
      </c>
      <c r="CZ47" s="28">
        <f>COGS!CZ47+'SG&amp;A'!CZ47</f>
        <v>0</v>
      </c>
      <c r="DA47" s="28">
        <f>COGS!DA47+'SG&amp;A'!DA47</f>
        <v>0</v>
      </c>
      <c r="DB47" s="28">
        <f>COGS!DB47+'SG&amp;A'!DB47</f>
        <v>0</v>
      </c>
      <c r="DC47" s="28">
        <f>COGS!DC47+'SG&amp;A'!DC47</f>
        <v>2.2930000000000001</v>
      </c>
      <c r="DD47" s="28">
        <f>COGS!DD47+'SG&amp;A'!DD47</f>
        <v>1.9809999999999999</v>
      </c>
      <c r="DE47" s="28">
        <f>COGS!DE47+'SG&amp;A'!DE47</f>
        <v>2.0030000000000001</v>
      </c>
      <c r="DF47" s="28">
        <f>COGS!DF47+'SG&amp;A'!DF47</f>
        <v>1.7889999999999999</v>
      </c>
      <c r="DG47" s="28">
        <f>COGS!DG47+'SG&amp;A'!DG47</f>
        <v>8.0659999999999989</v>
      </c>
      <c r="DH47" s="28">
        <f>COGS!DH47+'SG&amp;A'!DH47</f>
        <v>1.617</v>
      </c>
      <c r="DI47" s="28">
        <f>COGS!DI47+'SG&amp;A'!DI47</f>
        <v>2.4050000000000002</v>
      </c>
      <c r="DJ47" s="28">
        <f>COGS!DJ47+'SG&amp;A'!DJ47</f>
        <v>2.4379999999999997</v>
      </c>
      <c r="DK47" s="28">
        <f>COGS!DK47+'SG&amp;A'!DK47</f>
        <v>2.2850000000000001</v>
      </c>
      <c r="DL47" s="28">
        <f>COGS!DL47+'SG&amp;A'!DL47</f>
        <v>8.745000000000001</v>
      </c>
      <c r="DM47" s="28">
        <f>COGS!DM47+'SG&amp;A'!DM47</f>
        <v>2.097</v>
      </c>
      <c r="DN47" s="28">
        <f>COGS!DN47+'SG&amp;A'!DN47</f>
        <v>2.581</v>
      </c>
      <c r="DO47" s="28">
        <f>COGS!DO47+'SG&amp;A'!DO47</f>
        <v>2.2039999999999997</v>
      </c>
      <c r="DP47" s="28">
        <f>COGS!DP47+'SG&amp;A'!DP47</f>
        <v>1.8039999999999998</v>
      </c>
      <c r="DQ47" s="28">
        <f>COGS!DQ47+'SG&amp;A'!DQ47</f>
        <v>8.6859999999999999</v>
      </c>
      <c r="DR47" s="28">
        <f>COGS!DR47+'SG&amp;A'!DR47</f>
        <v>1.627</v>
      </c>
      <c r="DS47" s="28">
        <f>COGS!DS47+'SG&amp;A'!DS47</f>
        <v>2.093</v>
      </c>
      <c r="DT47" s="28">
        <f>COGS!DT47+'SG&amp;A'!DT47</f>
        <v>1.9649999999999999</v>
      </c>
      <c r="DU47" s="28">
        <f>COGS!DU47+'SG&amp;A'!DU47</f>
        <v>1.6520000000000001</v>
      </c>
      <c r="DV47" s="28">
        <f>COGS!DV47+'SG&amp;A'!DV47</f>
        <v>7.3369999999999997</v>
      </c>
      <c r="DW47" s="28">
        <f>COGS!DW47+'SG&amp;A'!DW47</f>
        <v>1.8620000000000001</v>
      </c>
      <c r="DX47" s="28">
        <f>COGS!DX47+'SG&amp;A'!DX47</f>
        <v>2.51712136</v>
      </c>
      <c r="DY47" s="28">
        <f>COGS!DY47+'SG&amp;A'!DY47</f>
        <v>2.9865160300000007</v>
      </c>
      <c r="DZ47" s="28">
        <f>COGS!DZ47+'SG&amp;A'!DZ47</f>
        <v>3.1177423299999991</v>
      </c>
      <c r="EA47" s="28">
        <f>COGS!EA47+'SG&amp;A'!EA47</f>
        <v>10.483379719999999</v>
      </c>
      <c r="EB47" s="28">
        <f>COGS!EB47+'SG&amp;A'!EB47</f>
        <v>3.0539774099999999</v>
      </c>
      <c r="EC47" s="28">
        <f>COGS!EC47+'SG&amp;A'!EC47</f>
        <v>3.1761899100000006</v>
      </c>
      <c r="ED47" s="28">
        <f>COGS!ED47+'SG&amp;A'!ED47</f>
        <v>3.32</v>
      </c>
      <c r="EE47" s="28">
        <f>COGS!EE47+'SG&amp;A'!EE47</f>
        <v>3.1415830799999993</v>
      </c>
      <c r="EF47" s="28">
        <f>COGS!EF47+'SG&amp;A'!EF47</f>
        <v>12.691750399999998</v>
      </c>
      <c r="EG47" s="28">
        <f>COGS!EG47+'SG&amp;A'!EG47</f>
        <v>2.6991306599999998</v>
      </c>
      <c r="EH47" s="28">
        <f>COGS!EH47+'SG&amp;A'!EH47</f>
        <v>3.1015336500000004</v>
      </c>
      <c r="EI47" s="28">
        <f>COGS!EI47+'SG&amp;A'!EI47</f>
        <v>3.1771886899999995</v>
      </c>
    </row>
    <row r="48" spans="1:139" ht="15" thickTop="1" x14ac:dyDescent="0.3">
      <c r="A48" s="1" t="s">
        <v>306</v>
      </c>
      <c r="B48" s="27">
        <f>COGS!B48+'SG&amp;A'!B48</f>
        <v>0</v>
      </c>
      <c r="C48" s="27">
        <f>COGS!C48+'SG&amp;A'!C48</f>
        <v>0</v>
      </c>
      <c r="D48" s="27">
        <f>COGS!D48+'SG&amp;A'!D48</f>
        <v>0</v>
      </c>
      <c r="E48" s="27">
        <f>COGS!E48+'SG&amp;A'!E48</f>
        <v>0</v>
      </c>
      <c r="F48" s="27">
        <f>COGS!F48+'SG&amp;A'!F48</f>
        <v>0</v>
      </c>
      <c r="G48" s="27">
        <f>COGS!G48+'SG&amp;A'!G48</f>
        <v>0</v>
      </c>
      <c r="H48" s="27">
        <f>COGS!H48+'SG&amp;A'!H48</f>
        <v>0</v>
      </c>
      <c r="I48" s="27">
        <f>COGS!I48+'SG&amp;A'!I48</f>
        <v>0</v>
      </c>
      <c r="J48" s="27">
        <f>COGS!J48+'SG&amp;A'!J48</f>
        <v>0</v>
      </c>
      <c r="K48" s="27">
        <f>COGS!K48+'SG&amp;A'!K48</f>
        <v>0</v>
      </c>
      <c r="L48" s="27">
        <f>COGS!L48+'SG&amp;A'!L48</f>
        <v>0</v>
      </c>
      <c r="M48" s="27">
        <f>COGS!M48+'SG&amp;A'!M48</f>
        <v>0</v>
      </c>
      <c r="N48" s="27">
        <f>COGS!N48+'SG&amp;A'!N48</f>
        <v>0</v>
      </c>
      <c r="O48" s="27">
        <f>COGS!O48+'SG&amp;A'!O48</f>
        <v>0</v>
      </c>
      <c r="P48" s="27">
        <f>COGS!P48+'SG&amp;A'!P48</f>
        <v>0</v>
      </c>
      <c r="Q48" s="27">
        <f>COGS!Q48+'SG&amp;A'!Q48</f>
        <v>0</v>
      </c>
      <c r="R48" s="27">
        <f>COGS!R48+'SG&amp;A'!R48</f>
        <v>0</v>
      </c>
      <c r="S48" s="27">
        <f>COGS!S48+'SG&amp;A'!S48</f>
        <v>0</v>
      </c>
      <c r="T48" s="27">
        <f>COGS!T48+'SG&amp;A'!T48</f>
        <v>0</v>
      </c>
      <c r="U48" s="27">
        <f>COGS!U48+'SG&amp;A'!U48</f>
        <v>0</v>
      </c>
      <c r="V48" s="27">
        <f>COGS!V48+'SG&amp;A'!V48</f>
        <v>0</v>
      </c>
      <c r="W48" s="27">
        <f>COGS!W48+'SG&amp;A'!W48</f>
        <v>0</v>
      </c>
      <c r="X48" s="27">
        <f>COGS!X48+'SG&amp;A'!X48</f>
        <v>0</v>
      </c>
      <c r="Y48" s="27">
        <f>COGS!Y48+'SG&amp;A'!Y48</f>
        <v>0</v>
      </c>
      <c r="Z48" s="27">
        <f>COGS!Z48+'SG&amp;A'!Z48</f>
        <v>0</v>
      </c>
      <c r="AA48" s="27">
        <f>COGS!AA48+'SG&amp;A'!AA48</f>
        <v>0</v>
      </c>
      <c r="AB48" s="27">
        <f>COGS!AB48+'SG&amp;A'!AB48</f>
        <v>0</v>
      </c>
      <c r="AC48" s="27">
        <f>COGS!AC48+'SG&amp;A'!AC48</f>
        <v>0</v>
      </c>
      <c r="AD48" s="27">
        <f>COGS!AD48+'SG&amp;A'!AD48</f>
        <v>0</v>
      </c>
      <c r="AE48" s="27">
        <f>COGS!AE48+'SG&amp;A'!AE48</f>
        <v>0</v>
      </c>
      <c r="AF48" s="27">
        <f>COGS!AF48+'SG&amp;A'!AF48</f>
        <v>0</v>
      </c>
      <c r="AG48" s="27">
        <f>COGS!AG48+'SG&amp;A'!AG48</f>
        <v>0</v>
      </c>
      <c r="AH48" s="27">
        <f>COGS!AH48+'SG&amp;A'!AH48</f>
        <v>0</v>
      </c>
      <c r="AI48" s="27">
        <f>COGS!AI48+'SG&amp;A'!AI48</f>
        <v>0</v>
      </c>
      <c r="AJ48" s="27">
        <f>COGS!AJ48+'SG&amp;A'!AJ48</f>
        <v>0</v>
      </c>
      <c r="AK48" s="27">
        <f>COGS!AK48+'SG&amp;A'!AK48</f>
        <v>0</v>
      </c>
      <c r="AL48" s="27">
        <f>COGS!AL48+'SG&amp;A'!AL48</f>
        <v>0</v>
      </c>
      <c r="AM48" s="27">
        <f>COGS!AM48+'SG&amp;A'!AM48</f>
        <v>0</v>
      </c>
      <c r="AN48" s="27">
        <f>COGS!AN48+'SG&amp;A'!AN48</f>
        <v>0</v>
      </c>
      <c r="AO48" s="27">
        <f>COGS!AO48+'SG&amp;A'!AO48</f>
        <v>0</v>
      </c>
      <c r="AP48" s="27">
        <f>COGS!AP48+'SG&amp;A'!AP48</f>
        <v>0</v>
      </c>
      <c r="AQ48" s="27">
        <f>COGS!AQ48+'SG&amp;A'!AQ48</f>
        <v>0</v>
      </c>
      <c r="AR48" s="27">
        <f>COGS!AR48+'SG&amp;A'!AR48</f>
        <v>0</v>
      </c>
      <c r="AS48" s="27">
        <f>COGS!AS48+'SG&amp;A'!AS48</f>
        <v>0</v>
      </c>
      <c r="AT48" s="27">
        <f>COGS!AT48+'SG&amp;A'!AT48</f>
        <v>0</v>
      </c>
      <c r="AU48" s="27">
        <f>COGS!AU48+'SG&amp;A'!AU48</f>
        <v>0</v>
      </c>
      <c r="AV48" s="27">
        <f>COGS!AV48+'SG&amp;A'!AV48</f>
        <v>0</v>
      </c>
      <c r="AW48" s="27">
        <f>COGS!AW48+'SG&amp;A'!AW48</f>
        <v>0</v>
      </c>
      <c r="AX48" s="27">
        <f>COGS!AX48+'SG&amp;A'!AX48</f>
        <v>0</v>
      </c>
      <c r="AY48" s="27">
        <f>COGS!AY48+'SG&amp;A'!AY48</f>
        <v>0</v>
      </c>
      <c r="AZ48" s="27">
        <f>COGS!AZ48+'SG&amp;A'!AZ48</f>
        <v>0</v>
      </c>
      <c r="BA48" s="27">
        <f>COGS!BA48+'SG&amp;A'!BA48</f>
        <v>0</v>
      </c>
      <c r="BB48" s="27">
        <f>COGS!BB48+'SG&amp;A'!BB48</f>
        <v>0</v>
      </c>
      <c r="BC48" s="27">
        <f>COGS!BC48+'SG&amp;A'!BC48</f>
        <v>0</v>
      </c>
      <c r="BD48" s="27">
        <f>COGS!BD48+'SG&amp;A'!BD48</f>
        <v>0</v>
      </c>
      <c r="BE48" s="27">
        <f>COGS!BE48+'SG&amp;A'!BE48</f>
        <v>0</v>
      </c>
      <c r="BF48" s="27">
        <f>COGS!BF48+'SG&amp;A'!BF48</f>
        <v>0</v>
      </c>
      <c r="BG48" s="27">
        <f>COGS!BG48+'SG&amp;A'!BG48</f>
        <v>0</v>
      </c>
      <c r="BH48" s="27">
        <f>COGS!BH48+'SG&amp;A'!BH48</f>
        <v>0</v>
      </c>
      <c r="BI48" s="27">
        <f>COGS!BI48+'SG&amp;A'!BI48</f>
        <v>0</v>
      </c>
      <c r="BJ48" s="27">
        <f>COGS!BJ48+'SG&amp;A'!BJ48</f>
        <v>6.2635756100000002</v>
      </c>
      <c r="BK48" s="27">
        <f>COGS!BK48+'SG&amp;A'!BK48</f>
        <v>6.6138918499999999</v>
      </c>
      <c r="BL48" s="27">
        <f>COGS!BL48+'SG&amp;A'!BL48</f>
        <v>6.3832812800000003</v>
      </c>
      <c r="BM48" s="27">
        <f>COGS!BM48+'SG&amp;A'!BM48</f>
        <v>6.5683847999999951</v>
      </c>
      <c r="BN48" s="27">
        <f>COGS!BN48+'SG&amp;A'!BN48</f>
        <v>25.829133539999994</v>
      </c>
      <c r="BO48" s="27">
        <f>COGS!BO48+'SG&amp;A'!BO48</f>
        <v>7.5923169799999997</v>
      </c>
      <c r="BP48" s="27">
        <f>COGS!BP48+'SG&amp;A'!BP48</f>
        <v>8.8058060900000008</v>
      </c>
      <c r="BQ48" s="27">
        <f>COGS!BQ48+'SG&amp;A'!BQ48</f>
        <v>8.0197980300000005</v>
      </c>
      <c r="BR48" s="27">
        <f>COGS!BR48+'SG&amp;A'!BR48</f>
        <v>8.4403888300000034</v>
      </c>
      <c r="BS48" s="27">
        <f>COGS!BS48+'SG&amp;A'!BS48</f>
        <v>32.858309930000004</v>
      </c>
      <c r="BT48" s="27">
        <f>COGS!BT48+'SG&amp;A'!BT48</f>
        <v>10.255982079999999</v>
      </c>
      <c r="BU48" s="27">
        <f>COGS!BU48+'SG&amp;A'!BU48</f>
        <v>9.4880065100000017</v>
      </c>
      <c r="BV48" s="27">
        <f>COGS!BV48+'SG&amp;A'!BV48</f>
        <v>9.8394770999999999</v>
      </c>
      <c r="BW48" s="27">
        <f>COGS!BW48+'SG&amp;A'!BW48</f>
        <v>11.112725560000005</v>
      </c>
      <c r="BX48" s="27">
        <f>COGS!BX48+'SG&amp;A'!BX48</f>
        <v>40.696191250000005</v>
      </c>
      <c r="BY48" s="27">
        <f>COGS!BY48+'SG&amp;A'!BY48</f>
        <v>11.548885719999999</v>
      </c>
      <c r="BZ48" s="27">
        <f>COGS!BZ48+'SG&amp;A'!BZ48</f>
        <v>12.272290640000003</v>
      </c>
      <c r="CA48" s="27">
        <f>COGS!CA48+'SG&amp;A'!CA48</f>
        <v>12.843856269999998</v>
      </c>
      <c r="CB48" s="27">
        <f>COGS!CB48+'SG&amp;A'!CB48</f>
        <v>16.316891130000002</v>
      </c>
      <c r="CC48" s="27">
        <f>COGS!CC48+'SG&amp;A'!CC48</f>
        <v>52.981923760000001</v>
      </c>
      <c r="CD48" s="27">
        <f>COGS!CD48+'SG&amp;A'!CD48</f>
        <v>15.678602580000002</v>
      </c>
      <c r="CE48" s="27">
        <f>COGS!CE48+'SG&amp;A'!CE48</f>
        <v>22.124952639999997</v>
      </c>
      <c r="CF48" s="27">
        <f>COGS!CF48+'SG&amp;A'!CF48</f>
        <v>21.508909250000002</v>
      </c>
      <c r="CG48" s="27">
        <f>COGS!CG48+'SG&amp;A'!CG48</f>
        <v>21.609228539999997</v>
      </c>
      <c r="CH48" s="27">
        <f>COGS!CH48+'SG&amp;A'!CH48</f>
        <v>80.921693009999998</v>
      </c>
      <c r="CI48" s="27">
        <f>COGS!CI48+'SG&amp;A'!CI48</f>
        <v>21.89948845</v>
      </c>
      <c r="CJ48" s="27">
        <f>COGS!CJ48+'SG&amp;A'!CJ48</f>
        <v>26.101245230000004</v>
      </c>
      <c r="CK48" s="27">
        <f>COGS!CK48+'SG&amp;A'!CK48</f>
        <v>26.418938149999995</v>
      </c>
      <c r="CL48" s="27">
        <f>COGS!CL48+'SG&amp;A'!CL48</f>
        <v>25.302220860000006</v>
      </c>
      <c r="CM48" s="27">
        <f>COGS!CM48+'SG&amp;A'!CM48</f>
        <v>99.721892690000004</v>
      </c>
      <c r="CN48" s="27">
        <f>COGS!CN48+'SG&amp;A'!CN48</f>
        <v>20.406968039999999</v>
      </c>
      <c r="CO48" s="27">
        <f>COGS!CO48+'SG&amp;A'!CO48</f>
        <v>20.674223930000004</v>
      </c>
      <c r="CP48" s="27">
        <f>COGS!CP48+'SG&amp;A'!CP48</f>
        <v>23.492993050000003</v>
      </c>
      <c r="CQ48" s="27">
        <f>COGS!CQ48+'SG&amp;A'!CQ48</f>
        <v>27.777814980000002</v>
      </c>
      <c r="CR48" s="27">
        <f>COGS!CR48+'SG&amp;A'!CR48</f>
        <v>92.352000000000004</v>
      </c>
      <c r="CS48" s="27">
        <f>COGS!CS48+'SG&amp;A'!CS48</f>
        <v>21.209579550000001</v>
      </c>
      <c r="CT48" s="27">
        <f>COGS!CT48+'SG&amp;A'!CT48</f>
        <v>26.434564479999999</v>
      </c>
      <c r="CU48" s="27">
        <f>COGS!CU48+'SG&amp;A'!CU48</f>
        <v>22.339321290000004</v>
      </c>
      <c r="CV48" s="27">
        <f>COGS!CV48+'SG&amp;A'!CV48</f>
        <v>29.830650989999985</v>
      </c>
      <c r="CW48" s="27">
        <f>COGS!CW48+'SG&amp;A'!CW48</f>
        <v>99.814116309999989</v>
      </c>
      <c r="CX48" s="27">
        <f>COGS!CX48+'SG&amp;A'!CX48</f>
        <v>21.451000000000001</v>
      </c>
      <c r="CY48" s="27">
        <f>COGS!CY48+'SG&amp;A'!CY48</f>
        <v>22.004999999999999</v>
      </c>
      <c r="CZ48" s="27">
        <f>COGS!CZ48+'SG&amp;A'!CZ48</f>
        <v>25.097999999999999</v>
      </c>
      <c r="DA48" s="27">
        <f>COGS!DA48+'SG&amp;A'!DA48</f>
        <v>25.649000000000001</v>
      </c>
      <c r="DB48" s="27">
        <f>COGS!DB48+'SG&amp;A'!DB48</f>
        <v>94.203000000000003</v>
      </c>
      <c r="DC48" s="27">
        <f>COGS!DC48+'SG&amp;A'!DC48</f>
        <v>26.945</v>
      </c>
      <c r="DD48" s="27">
        <f>COGS!DD48+'SG&amp;A'!DD48</f>
        <v>24.869</v>
      </c>
      <c r="DE48" s="27">
        <f>COGS!DE48+'SG&amp;A'!DE48</f>
        <v>32.706000000000003</v>
      </c>
      <c r="DF48" s="27">
        <f>COGS!DF48+'SG&amp;A'!DF48</f>
        <v>33.407000000000004</v>
      </c>
      <c r="DG48" s="27">
        <f>COGS!DG48+'SG&amp;A'!DG48</f>
        <v>117.92700000000001</v>
      </c>
      <c r="DH48" s="27">
        <f>COGS!DH48+'SG&amp;A'!DH48</f>
        <v>35.085999999999999</v>
      </c>
      <c r="DI48" s="27">
        <f>COGS!DI48+'SG&amp;A'!DI48</f>
        <v>32.292000000000002</v>
      </c>
      <c r="DJ48" s="27">
        <f>COGS!DJ48+'SG&amp;A'!DJ48</f>
        <v>36.177999999999997</v>
      </c>
      <c r="DK48" s="27">
        <f>COGS!DK48+'SG&amp;A'!DK48</f>
        <v>30.428000000000001</v>
      </c>
      <c r="DL48" s="27">
        <f>COGS!DL48+'SG&amp;A'!DL48</f>
        <v>133.98400000000001</v>
      </c>
      <c r="DM48" s="27">
        <f>COGS!DM48+'SG&amp;A'!DM48</f>
        <v>36.668999999999997</v>
      </c>
      <c r="DN48" s="27">
        <f>COGS!DN48+'SG&amp;A'!DN48</f>
        <v>41.838000000000001</v>
      </c>
      <c r="DO48" s="27">
        <f>COGS!DO48+'SG&amp;A'!DO48</f>
        <v>43.83</v>
      </c>
      <c r="DP48" s="27">
        <f>COGS!DP48+'SG&amp;A'!DP48</f>
        <v>33.605000000000004</v>
      </c>
      <c r="DQ48" s="27">
        <f>COGS!DQ48+'SG&amp;A'!DQ48</f>
        <v>155.94199999999998</v>
      </c>
      <c r="DR48" s="27">
        <f>COGS!DR48+'SG&amp;A'!DR48</f>
        <v>47.900999999999996</v>
      </c>
      <c r="DS48" s="27">
        <f>COGS!DS48+'SG&amp;A'!DS48</f>
        <v>47.284999999999997</v>
      </c>
      <c r="DT48" s="27">
        <f>COGS!DT48+'SG&amp;A'!DT48</f>
        <v>46.596999999999994</v>
      </c>
      <c r="DU48" s="27">
        <f>COGS!DU48+'SG&amp;A'!DU48</f>
        <v>57.253</v>
      </c>
      <c r="DV48" s="27">
        <f>COGS!DV48+'SG&amp;A'!DV48</f>
        <v>199.036</v>
      </c>
      <c r="DW48" s="27">
        <f>COGS!DW48+'SG&amp;A'!DW48</f>
        <v>48.539000000000001</v>
      </c>
      <c r="DX48" s="27">
        <f>COGS!DX48+'SG&amp;A'!DX48</f>
        <v>42.41251621</v>
      </c>
      <c r="DY48" s="27">
        <f>COGS!DY48+'SG&amp;A'!DY48</f>
        <v>47.90034369</v>
      </c>
      <c r="DZ48" s="27">
        <f>COGS!DZ48+'SG&amp;A'!DZ48</f>
        <v>53.460840900000008</v>
      </c>
      <c r="EA48" s="27">
        <f>COGS!EA48+'SG&amp;A'!EA48</f>
        <v>192.31270080000002</v>
      </c>
      <c r="EB48" s="27">
        <f>COGS!EB48+'SG&amp;A'!EB48</f>
        <v>53.520496709999996</v>
      </c>
      <c r="EC48" s="27">
        <f>COGS!EC48+'SG&amp;A'!EC48</f>
        <v>52.999649479999995</v>
      </c>
      <c r="ED48" s="27">
        <f>COGS!ED48+'SG&amp;A'!ED48</f>
        <v>58.634</v>
      </c>
      <c r="EE48" s="27">
        <f>COGS!EE48+'SG&amp;A'!EE48</f>
        <v>49.518781779999998</v>
      </c>
      <c r="EF48" s="27">
        <f>COGS!EF48+'SG&amp;A'!EF48</f>
        <v>214.67292796999999</v>
      </c>
      <c r="EG48" s="27">
        <f>COGS!EG48+'SG&amp;A'!EG48</f>
        <v>57.936158839999997</v>
      </c>
      <c r="EH48" s="27">
        <f>COGS!EH48+'SG&amp;A'!EH48</f>
        <v>60.8934091</v>
      </c>
      <c r="EI48" s="27">
        <f>COGS!EI48+'SG&amp;A'!EI48</f>
        <v>65.301998460000007</v>
      </c>
    </row>
    <row r="49" spans="1:139" ht="15" thickBot="1" x14ac:dyDescent="0.35">
      <c r="A49" s="2" t="s">
        <v>323</v>
      </c>
      <c r="B49" s="28">
        <f>COGS!B49+'SG&amp;A'!B49</f>
        <v>0</v>
      </c>
      <c r="C49" s="28">
        <f>COGS!C49+'SG&amp;A'!C49</f>
        <v>0</v>
      </c>
      <c r="D49" s="28">
        <f>COGS!D49+'SG&amp;A'!D49</f>
        <v>0</v>
      </c>
      <c r="E49" s="28">
        <f>COGS!E49+'SG&amp;A'!E49</f>
        <v>0</v>
      </c>
      <c r="F49" s="28">
        <f>COGS!F49+'SG&amp;A'!F49</f>
        <v>0</v>
      </c>
      <c r="G49" s="28">
        <f>COGS!G49+'SG&amp;A'!G49</f>
        <v>0</v>
      </c>
      <c r="H49" s="28">
        <f>COGS!H49+'SG&amp;A'!H49</f>
        <v>0</v>
      </c>
      <c r="I49" s="28">
        <f>COGS!I49+'SG&amp;A'!I49</f>
        <v>0</v>
      </c>
      <c r="J49" s="28">
        <f>COGS!J49+'SG&amp;A'!J49</f>
        <v>0</v>
      </c>
      <c r="K49" s="28">
        <f>COGS!K49+'SG&amp;A'!K49</f>
        <v>0</v>
      </c>
      <c r="L49" s="28">
        <f>COGS!L49+'SG&amp;A'!L49</f>
        <v>0</v>
      </c>
      <c r="M49" s="28">
        <f>COGS!M49+'SG&amp;A'!M49</f>
        <v>0</v>
      </c>
      <c r="N49" s="28">
        <f>COGS!N49+'SG&amp;A'!N49</f>
        <v>0</v>
      </c>
      <c r="O49" s="28">
        <f>COGS!O49+'SG&amp;A'!O49</f>
        <v>0</v>
      </c>
      <c r="P49" s="28">
        <f>COGS!P49+'SG&amp;A'!P49</f>
        <v>0</v>
      </c>
      <c r="Q49" s="28">
        <f>COGS!Q49+'SG&amp;A'!Q49</f>
        <v>0</v>
      </c>
      <c r="R49" s="28">
        <f>COGS!R49+'SG&amp;A'!R49</f>
        <v>0</v>
      </c>
      <c r="S49" s="28">
        <f>COGS!S49+'SG&amp;A'!S49</f>
        <v>0</v>
      </c>
      <c r="T49" s="28">
        <f>COGS!T49+'SG&amp;A'!T49</f>
        <v>0</v>
      </c>
      <c r="U49" s="28">
        <f>COGS!U49+'SG&amp;A'!U49</f>
        <v>0</v>
      </c>
      <c r="V49" s="28">
        <f>COGS!V49+'SG&amp;A'!V49</f>
        <v>0</v>
      </c>
      <c r="W49" s="28">
        <f>COGS!W49+'SG&amp;A'!W49</f>
        <v>0</v>
      </c>
      <c r="X49" s="28">
        <f>COGS!X49+'SG&amp;A'!X49</f>
        <v>0</v>
      </c>
      <c r="Y49" s="28">
        <f>COGS!Y49+'SG&amp;A'!Y49</f>
        <v>0</v>
      </c>
      <c r="Z49" s="28">
        <f>COGS!Z49+'SG&amp;A'!Z49</f>
        <v>0</v>
      </c>
      <c r="AA49" s="28">
        <f>COGS!AA49+'SG&amp;A'!AA49</f>
        <v>0</v>
      </c>
      <c r="AB49" s="28">
        <f>COGS!AB49+'SG&amp;A'!AB49</f>
        <v>0</v>
      </c>
      <c r="AC49" s="28">
        <f>COGS!AC49+'SG&amp;A'!AC49</f>
        <v>0</v>
      </c>
      <c r="AD49" s="28">
        <f>COGS!AD49+'SG&amp;A'!AD49</f>
        <v>0</v>
      </c>
      <c r="AE49" s="28">
        <f>COGS!AE49+'SG&amp;A'!AE49</f>
        <v>0</v>
      </c>
      <c r="AF49" s="28">
        <f>COGS!AF49+'SG&amp;A'!AF49</f>
        <v>0</v>
      </c>
      <c r="AG49" s="28">
        <f>COGS!AG49+'SG&amp;A'!AG49</f>
        <v>0</v>
      </c>
      <c r="AH49" s="28">
        <f>COGS!AH49+'SG&amp;A'!AH49</f>
        <v>0</v>
      </c>
      <c r="AI49" s="28">
        <f>COGS!AI49+'SG&amp;A'!AI49</f>
        <v>0</v>
      </c>
      <c r="AJ49" s="28">
        <f>COGS!AJ49+'SG&amp;A'!AJ49</f>
        <v>0</v>
      </c>
      <c r="AK49" s="28">
        <f>COGS!AK49+'SG&amp;A'!AK49</f>
        <v>0</v>
      </c>
      <c r="AL49" s="28">
        <f>COGS!AL49+'SG&amp;A'!AL49</f>
        <v>0</v>
      </c>
      <c r="AM49" s="28">
        <f>COGS!AM49+'SG&amp;A'!AM49</f>
        <v>0</v>
      </c>
      <c r="AN49" s="28">
        <f>COGS!AN49+'SG&amp;A'!AN49</f>
        <v>0</v>
      </c>
      <c r="AO49" s="28">
        <f>COGS!AO49+'SG&amp;A'!AO49</f>
        <v>0</v>
      </c>
      <c r="AP49" s="28">
        <f>COGS!AP49+'SG&amp;A'!AP49</f>
        <v>0</v>
      </c>
      <c r="AQ49" s="28">
        <f>COGS!AQ49+'SG&amp;A'!AQ49</f>
        <v>0</v>
      </c>
      <c r="AR49" s="28">
        <f>COGS!AR49+'SG&amp;A'!AR49</f>
        <v>0</v>
      </c>
      <c r="AS49" s="28">
        <f>COGS!AS49+'SG&amp;A'!AS49</f>
        <v>0</v>
      </c>
      <c r="AT49" s="28">
        <f>COGS!AT49+'SG&amp;A'!AT49</f>
        <v>0</v>
      </c>
      <c r="AU49" s="28">
        <f>COGS!AU49+'SG&amp;A'!AU49</f>
        <v>0</v>
      </c>
      <c r="AV49" s="28">
        <f>COGS!AV49+'SG&amp;A'!AV49</f>
        <v>0</v>
      </c>
      <c r="AW49" s="28">
        <f>COGS!AW49+'SG&amp;A'!AW49</f>
        <v>0</v>
      </c>
      <c r="AX49" s="28">
        <f>COGS!AX49+'SG&amp;A'!AX49</f>
        <v>0</v>
      </c>
      <c r="AY49" s="28">
        <f>COGS!AY49+'SG&amp;A'!AY49</f>
        <v>0</v>
      </c>
      <c r="AZ49" s="28">
        <f>COGS!AZ49+'SG&amp;A'!AZ49</f>
        <v>0</v>
      </c>
      <c r="BA49" s="28">
        <f>COGS!BA49+'SG&amp;A'!BA49</f>
        <v>0</v>
      </c>
      <c r="BB49" s="28">
        <f>COGS!BB49+'SG&amp;A'!BB49</f>
        <v>0</v>
      </c>
      <c r="BC49" s="28">
        <f>COGS!BC49+'SG&amp;A'!BC49</f>
        <v>0</v>
      </c>
      <c r="BD49" s="28">
        <f>COGS!BD49+'SG&amp;A'!BD49</f>
        <v>0</v>
      </c>
      <c r="BE49" s="28">
        <f>COGS!BE49+'SG&amp;A'!BE49</f>
        <v>0</v>
      </c>
      <c r="BF49" s="28">
        <f>COGS!BF49+'SG&amp;A'!BF49</f>
        <v>0</v>
      </c>
      <c r="BG49" s="28">
        <f>COGS!BG49+'SG&amp;A'!BG49</f>
        <v>0</v>
      </c>
      <c r="BH49" s="28">
        <f>COGS!BH49+'SG&amp;A'!BH49</f>
        <v>0</v>
      </c>
      <c r="BI49" s="28">
        <f>COGS!BI49+'SG&amp;A'!BI49</f>
        <v>0</v>
      </c>
      <c r="BJ49" s="28">
        <f>COGS!BJ49+'SG&amp;A'!BJ49</f>
        <v>0</v>
      </c>
      <c r="BK49" s="28">
        <f>COGS!BK49+'SG&amp;A'!BK49</f>
        <v>0</v>
      </c>
      <c r="BL49" s="28">
        <f>COGS!BL49+'SG&amp;A'!BL49</f>
        <v>0</v>
      </c>
      <c r="BM49" s="28">
        <f>COGS!BM49+'SG&amp;A'!BM49</f>
        <v>0</v>
      </c>
      <c r="BN49" s="28">
        <f>COGS!BN49+'SG&amp;A'!BN49</f>
        <v>0</v>
      </c>
      <c r="BO49" s="28">
        <f>COGS!BO49+'SG&amp;A'!BO49</f>
        <v>0</v>
      </c>
      <c r="BP49" s="28">
        <f>COGS!BP49+'SG&amp;A'!BP49</f>
        <v>0</v>
      </c>
      <c r="BQ49" s="28">
        <f>COGS!BQ49+'SG&amp;A'!BQ49</f>
        <v>0</v>
      </c>
      <c r="BR49" s="28">
        <f>COGS!BR49+'SG&amp;A'!BR49</f>
        <v>0</v>
      </c>
      <c r="BS49" s="28">
        <f>COGS!BS49+'SG&amp;A'!BS49</f>
        <v>0</v>
      </c>
      <c r="BT49" s="28">
        <f>COGS!BT49+'SG&amp;A'!BT49</f>
        <v>0</v>
      </c>
      <c r="BU49" s="28">
        <f>COGS!BU49+'SG&amp;A'!BU49</f>
        <v>0</v>
      </c>
      <c r="BV49" s="28">
        <f>COGS!BV49+'SG&amp;A'!BV49</f>
        <v>0</v>
      </c>
      <c r="BW49" s="28">
        <f>COGS!BW49+'SG&amp;A'!BW49</f>
        <v>0</v>
      </c>
      <c r="BX49" s="28">
        <f>COGS!BX49+'SG&amp;A'!BX49</f>
        <v>0</v>
      </c>
      <c r="BY49" s="28">
        <f>COGS!BY49+'SG&amp;A'!BY49</f>
        <v>0</v>
      </c>
      <c r="BZ49" s="28">
        <f>COGS!BZ49+'SG&amp;A'!BZ49</f>
        <v>0</v>
      </c>
      <c r="CA49" s="28">
        <f>COGS!CA49+'SG&amp;A'!CA49</f>
        <v>0</v>
      </c>
      <c r="CB49" s="28">
        <f>COGS!CB49+'SG&amp;A'!CB49</f>
        <v>0</v>
      </c>
      <c r="CC49" s="28">
        <f>COGS!CC49+'SG&amp;A'!CC49</f>
        <v>0</v>
      </c>
      <c r="CD49" s="28">
        <f>COGS!CD49+'SG&amp;A'!CD49</f>
        <v>0</v>
      </c>
      <c r="CE49" s="28">
        <f>COGS!CE49+'SG&amp;A'!CE49</f>
        <v>0</v>
      </c>
      <c r="CF49" s="28">
        <f>COGS!CF49+'SG&amp;A'!CF49</f>
        <v>0</v>
      </c>
      <c r="CG49" s="28">
        <f>COGS!CG49+'SG&amp;A'!CG49</f>
        <v>0</v>
      </c>
      <c r="CH49" s="28">
        <f>COGS!CH49+'SG&amp;A'!CH49</f>
        <v>0</v>
      </c>
      <c r="CI49" s="28">
        <f>COGS!CI49+'SG&amp;A'!CI49</f>
        <v>0</v>
      </c>
      <c r="CJ49" s="28">
        <f>COGS!CJ49+'SG&amp;A'!CJ49</f>
        <v>0</v>
      </c>
      <c r="CK49" s="28">
        <f>COGS!CK49+'SG&amp;A'!CK49</f>
        <v>0</v>
      </c>
      <c r="CL49" s="28">
        <f>COGS!CL49+'SG&amp;A'!CL49</f>
        <v>0</v>
      </c>
      <c r="CM49" s="28">
        <f>COGS!CM49+'SG&amp;A'!CM49</f>
        <v>0</v>
      </c>
      <c r="CN49" s="28">
        <f>COGS!CN49+'SG&amp;A'!CN49</f>
        <v>0</v>
      </c>
      <c r="CO49" s="28">
        <f>COGS!CO49+'SG&amp;A'!CO49</f>
        <v>0</v>
      </c>
      <c r="CP49" s="28">
        <f>COGS!CP49+'SG&amp;A'!CP49</f>
        <v>0</v>
      </c>
      <c r="CQ49" s="28">
        <f>COGS!CQ49+'SG&amp;A'!CQ49</f>
        <v>0</v>
      </c>
      <c r="CR49" s="28">
        <f>COGS!CR49+'SG&amp;A'!CR49</f>
        <v>0</v>
      </c>
      <c r="CS49" s="28">
        <f>COGS!CS49+'SG&amp;A'!CS49</f>
        <v>0</v>
      </c>
      <c r="CT49" s="28">
        <f>COGS!CT49+'SG&amp;A'!CT49</f>
        <v>0</v>
      </c>
      <c r="CU49" s="28">
        <f>COGS!CU49+'SG&amp;A'!CU49</f>
        <v>0</v>
      </c>
      <c r="CV49" s="28">
        <f>COGS!CV49+'SG&amp;A'!CV49</f>
        <v>0</v>
      </c>
      <c r="CW49" s="28">
        <f>COGS!CW49+'SG&amp;A'!CW49</f>
        <v>0</v>
      </c>
      <c r="CX49" s="28">
        <f>COGS!CX49+'SG&amp;A'!CX49</f>
        <v>0</v>
      </c>
      <c r="CY49" s="28">
        <f>COGS!CY49+'SG&amp;A'!CY49</f>
        <v>0</v>
      </c>
      <c r="CZ49" s="28">
        <f>COGS!CZ49+'SG&amp;A'!CZ49</f>
        <v>0</v>
      </c>
      <c r="DA49" s="28">
        <f>COGS!DA49+'SG&amp;A'!DA49</f>
        <v>0</v>
      </c>
      <c r="DB49" s="28">
        <f>COGS!DB49+'SG&amp;A'!DB49</f>
        <v>0</v>
      </c>
      <c r="DC49" s="28">
        <f>COGS!DC49+'SG&amp;A'!DC49</f>
        <v>0</v>
      </c>
      <c r="DD49" s="28">
        <f>COGS!DD49+'SG&amp;A'!DD49</f>
        <v>0</v>
      </c>
      <c r="DE49" s="28">
        <f>COGS!DE49+'SG&amp;A'!DE49</f>
        <v>0</v>
      </c>
      <c r="DF49" s="28">
        <f>COGS!DF49+'SG&amp;A'!DF49</f>
        <v>0</v>
      </c>
      <c r="DG49" s="28">
        <f>COGS!DG49+'SG&amp;A'!DG49</f>
        <v>0</v>
      </c>
      <c r="DH49" s="28">
        <f>COGS!DH49+'SG&amp;A'!DH49</f>
        <v>0</v>
      </c>
      <c r="DI49" s="28">
        <f>COGS!DI49+'SG&amp;A'!DI49</f>
        <v>0</v>
      </c>
      <c r="DJ49" s="28">
        <f>COGS!DJ49+'SG&amp;A'!DJ49</f>
        <v>0</v>
      </c>
      <c r="DK49" s="28">
        <f>COGS!DK49+'SG&amp;A'!DK49</f>
        <v>0</v>
      </c>
      <c r="DL49" s="28">
        <f>COGS!DL49+'SG&amp;A'!DL49</f>
        <v>0</v>
      </c>
      <c r="DM49" s="28">
        <f>COGS!DM49+'SG&amp;A'!DM49</f>
        <v>0</v>
      </c>
      <c r="DN49" s="28">
        <f>COGS!DN49+'SG&amp;A'!DN49</f>
        <v>0</v>
      </c>
      <c r="DO49" s="28">
        <f>COGS!DO49+'SG&amp;A'!DO49</f>
        <v>0</v>
      </c>
      <c r="DP49" s="28">
        <f>COGS!DP49+'SG&amp;A'!DP49</f>
        <v>0</v>
      </c>
      <c r="DQ49" s="28">
        <f>COGS!DQ49+'SG&amp;A'!DQ49</f>
        <v>0</v>
      </c>
      <c r="DR49" s="28">
        <f>COGS!DR49+'SG&amp;A'!DR49</f>
        <v>0</v>
      </c>
      <c r="DS49" s="28">
        <f>COGS!DS49+'SG&amp;A'!DS49</f>
        <v>0</v>
      </c>
      <c r="DT49" s="28">
        <f>COGS!DT49+'SG&amp;A'!DT49</f>
        <v>0</v>
      </c>
      <c r="DU49" s="28">
        <f>COGS!DU49+'SG&amp;A'!DU49</f>
        <v>0</v>
      </c>
      <c r="DV49" s="28">
        <f>COGS!DV49+'SG&amp;A'!DV49</f>
        <v>0</v>
      </c>
      <c r="DW49" s="28">
        <f>COGS!DW49+'SG&amp;A'!DW49</f>
        <v>0</v>
      </c>
      <c r="DX49" s="28">
        <f>COGS!DX49+'SG&amp;A'!DX49</f>
        <v>0</v>
      </c>
      <c r="DY49" s="28">
        <f>COGS!DY49+'SG&amp;A'!DY49</f>
        <v>0</v>
      </c>
      <c r="DZ49" s="28">
        <f>COGS!DZ49+'SG&amp;A'!DZ49</f>
        <v>0</v>
      </c>
      <c r="EA49" s="28">
        <f>COGS!EA49+'SG&amp;A'!EA49</f>
        <v>0</v>
      </c>
      <c r="EB49" s="28">
        <f>COGS!EB49+'SG&amp;A'!EB49</f>
        <v>0</v>
      </c>
      <c r="EC49" s="28">
        <f>COGS!EC49+'SG&amp;A'!EC49</f>
        <v>0</v>
      </c>
      <c r="ED49" s="28">
        <f>COGS!ED49+'SG&amp;A'!ED49</f>
        <v>0</v>
      </c>
      <c r="EE49" s="28">
        <f>COGS!EE49+'SG&amp;A'!EE49</f>
        <v>0</v>
      </c>
      <c r="EF49" s="28">
        <f>COGS!EF49+'SG&amp;A'!EF49</f>
        <v>0</v>
      </c>
      <c r="EG49" s="28">
        <f>COGS!EG49+'SG&amp;A'!EG49</f>
        <v>0</v>
      </c>
      <c r="EH49" s="28">
        <f>COGS!EH49+'SG&amp;A'!EH49</f>
        <v>0</v>
      </c>
      <c r="EI49" s="28">
        <f>COGS!EI49+'SG&amp;A'!EI49</f>
        <v>0</v>
      </c>
    </row>
    <row r="50" spans="1:139" ht="15" thickTop="1" x14ac:dyDescent="0.3">
      <c r="A50" s="1" t="s">
        <v>322</v>
      </c>
      <c r="B50" s="27">
        <f>COGS!B50+'SG&amp;A'!B50</f>
        <v>0</v>
      </c>
      <c r="C50" s="27">
        <f>COGS!C50+'SG&amp;A'!C50</f>
        <v>0</v>
      </c>
      <c r="D50" s="27">
        <f>COGS!D50+'SG&amp;A'!D50</f>
        <v>0</v>
      </c>
      <c r="E50" s="27">
        <f>COGS!E50+'SG&amp;A'!E50</f>
        <v>0</v>
      </c>
      <c r="F50" s="27">
        <f>COGS!F50+'SG&amp;A'!F50</f>
        <v>0</v>
      </c>
      <c r="G50" s="27">
        <f>COGS!G50+'SG&amp;A'!G50</f>
        <v>0</v>
      </c>
      <c r="H50" s="27">
        <f>COGS!H50+'SG&amp;A'!H50</f>
        <v>0</v>
      </c>
      <c r="I50" s="27">
        <f>COGS!I50+'SG&amp;A'!I50</f>
        <v>0</v>
      </c>
      <c r="J50" s="27">
        <f>COGS!J50+'SG&amp;A'!J50</f>
        <v>0</v>
      </c>
      <c r="K50" s="27">
        <f>COGS!K50+'SG&amp;A'!K50</f>
        <v>0</v>
      </c>
      <c r="L50" s="27">
        <f>COGS!L50+'SG&amp;A'!L50</f>
        <v>0</v>
      </c>
      <c r="M50" s="27">
        <f>COGS!M50+'SG&amp;A'!M50</f>
        <v>0</v>
      </c>
      <c r="N50" s="27">
        <f>COGS!N50+'SG&amp;A'!N50</f>
        <v>0</v>
      </c>
      <c r="O50" s="27">
        <f>COGS!O50+'SG&amp;A'!O50</f>
        <v>0</v>
      </c>
      <c r="P50" s="27">
        <f>COGS!P50+'SG&amp;A'!P50</f>
        <v>0</v>
      </c>
      <c r="Q50" s="27">
        <f>COGS!Q50+'SG&amp;A'!Q50</f>
        <v>0</v>
      </c>
      <c r="R50" s="27">
        <f>COGS!R50+'SG&amp;A'!R50</f>
        <v>0</v>
      </c>
      <c r="S50" s="27">
        <f>COGS!S50+'SG&amp;A'!S50</f>
        <v>0</v>
      </c>
      <c r="T50" s="27">
        <f>COGS!T50+'SG&amp;A'!T50</f>
        <v>0</v>
      </c>
      <c r="U50" s="27">
        <f>COGS!U50+'SG&amp;A'!U50</f>
        <v>0</v>
      </c>
      <c r="V50" s="27">
        <f>COGS!V50+'SG&amp;A'!V50</f>
        <v>0</v>
      </c>
      <c r="W50" s="27">
        <f>COGS!W50+'SG&amp;A'!W50</f>
        <v>0</v>
      </c>
      <c r="X50" s="27">
        <f>COGS!X50+'SG&amp;A'!X50</f>
        <v>0</v>
      </c>
      <c r="Y50" s="27">
        <f>COGS!Y50+'SG&amp;A'!Y50</f>
        <v>0</v>
      </c>
      <c r="Z50" s="27">
        <f>COGS!Z50+'SG&amp;A'!Z50</f>
        <v>0</v>
      </c>
      <c r="AA50" s="27">
        <f>COGS!AA50+'SG&amp;A'!AA50</f>
        <v>0</v>
      </c>
      <c r="AB50" s="27">
        <f>COGS!AB50+'SG&amp;A'!AB50</f>
        <v>0</v>
      </c>
      <c r="AC50" s="27">
        <f>COGS!AC50+'SG&amp;A'!AC50</f>
        <v>0</v>
      </c>
      <c r="AD50" s="27">
        <f>COGS!AD50+'SG&amp;A'!AD50</f>
        <v>0</v>
      </c>
      <c r="AE50" s="27">
        <f>COGS!AE50+'SG&amp;A'!AE50</f>
        <v>0</v>
      </c>
      <c r="AF50" s="27">
        <f>COGS!AF50+'SG&amp;A'!AF50</f>
        <v>0</v>
      </c>
      <c r="AG50" s="27">
        <f>COGS!AG50+'SG&amp;A'!AG50</f>
        <v>0</v>
      </c>
      <c r="AH50" s="27">
        <f>COGS!AH50+'SG&amp;A'!AH50</f>
        <v>0</v>
      </c>
      <c r="AI50" s="27">
        <f>COGS!AI50+'SG&amp;A'!AI50</f>
        <v>0</v>
      </c>
      <c r="AJ50" s="27">
        <f>COGS!AJ50+'SG&amp;A'!AJ50</f>
        <v>0</v>
      </c>
      <c r="AK50" s="27">
        <f>COGS!AK50+'SG&amp;A'!AK50</f>
        <v>0</v>
      </c>
      <c r="AL50" s="27">
        <f>COGS!AL50+'SG&amp;A'!AL50</f>
        <v>0</v>
      </c>
      <c r="AM50" s="27">
        <f>COGS!AM50+'SG&amp;A'!AM50</f>
        <v>0</v>
      </c>
      <c r="AN50" s="27">
        <f>COGS!AN50+'SG&amp;A'!AN50</f>
        <v>0</v>
      </c>
      <c r="AO50" s="27">
        <f>COGS!AO50+'SG&amp;A'!AO50</f>
        <v>0</v>
      </c>
      <c r="AP50" s="27">
        <f>COGS!AP50+'SG&amp;A'!AP50</f>
        <v>0</v>
      </c>
      <c r="AQ50" s="27">
        <f>COGS!AQ50+'SG&amp;A'!AQ50</f>
        <v>0</v>
      </c>
      <c r="AR50" s="27">
        <f>COGS!AR50+'SG&amp;A'!AR50</f>
        <v>0</v>
      </c>
      <c r="AS50" s="27">
        <f>COGS!AS50+'SG&amp;A'!AS50</f>
        <v>0</v>
      </c>
      <c r="AT50" s="27">
        <f>COGS!AT50+'SG&amp;A'!AT50</f>
        <v>0</v>
      </c>
      <c r="AU50" s="27">
        <f>COGS!AU50+'SG&amp;A'!AU50</f>
        <v>0</v>
      </c>
      <c r="AV50" s="27">
        <f>COGS!AV50+'SG&amp;A'!AV50</f>
        <v>0</v>
      </c>
      <c r="AW50" s="27">
        <f>COGS!AW50+'SG&amp;A'!AW50</f>
        <v>0</v>
      </c>
      <c r="AX50" s="27">
        <f>COGS!AX50+'SG&amp;A'!AX50</f>
        <v>0</v>
      </c>
      <c r="AY50" s="27">
        <f>COGS!AY50+'SG&amp;A'!AY50</f>
        <v>0</v>
      </c>
      <c r="AZ50" s="27">
        <f>COGS!AZ50+'SG&amp;A'!AZ50</f>
        <v>0</v>
      </c>
      <c r="BA50" s="27">
        <f>COGS!BA50+'SG&amp;A'!BA50</f>
        <v>0</v>
      </c>
      <c r="BB50" s="27">
        <f>COGS!BB50+'SG&amp;A'!BB50</f>
        <v>0</v>
      </c>
      <c r="BC50" s="27">
        <f>COGS!BC50+'SG&amp;A'!BC50</f>
        <v>0</v>
      </c>
      <c r="BD50" s="27">
        <f>COGS!BD50+'SG&amp;A'!BD50</f>
        <v>0</v>
      </c>
      <c r="BE50" s="27">
        <f>COGS!BE50+'SG&amp;A'!BE50</f>
        <v>0</v>
      </c>
      <c r="BF50" s="27">
        <f>COGS!BF50+'SG&amp;A'!BF50</f>
        <v>0</v>
      </c>
      <c r="BG50" s="27">
        <f>COGS!BG50+'SG&amp;A'!BG50</f>
        <v>0</v>
      </c>
      <c r="BH50" s="27">
        <f>COGS!BH50+'SG&amp;A'!BH50</f>
        <v>0</v>
      </c>
      <c r="BI50" s="27">
        <f>COGS!BI50+'SG&amp;A'!BI50</f>
        <v>0</v>
      </c>
      <c r="BJ50" s="27">
        <f>COGS!BJ50+'SG&amp;A'!BJ50</f>
        <v>0</v>
      </c>
      <c r="BK50" s="27">
        <f>COGS!BK50+'SG&amp;A'!BK50</f>
        <v>0</v>
      </c>
      <c r="BL50" s="27">
        <f>COGS!BL50+'SG&amp;A'!BL50</f>
        <v>0</v>
      </c>
      <c r="BM50" s="27">
        <f>COGS!BM50+'SG&amp;A'!BM50</f>
        <v>0</v>
      </c>
      <c r="BN50" s="27">
        <f>COGS!BN50+'SG&amp;A'!BN50</f>
        <v>0</v>
      </c>
      <c r="BO50" s="27">
        <f>COGS!BO50+'SG&amp;A'!BO50</f>
        <v>0</v>
      </c>
      <c r="BP50" s="27">
        <f>COGS!BP50+'SG&amp;A'!BP50</f>
        <v>0</v>
      </c>
      <c r="BQ50" s="27">
        <f>COGS!BQ50+'SG&amp;A'!BQ50</f>
        <v>0</v>
      </c>
      <c r="BR50" s="27">
        <f>COGS!BR50+'SG&amp;A'!BR50</f>
        <v>0</v>
      </c>
      <c r="BS50" s="27">
        <f>COGS!BS50+'SG&amp;A'!BS50</f>
        <v>0</v>
      </c>
      <c r="BT50" s="27">
        <f>COGS!BT50+'SG&amp;A'!BT50</f>
        <v>0</v>
      </c>
      <c r="BU50" s="27">
        <f>COGS!BU50+'SG&amp;A'!BU50</f>
        <v>0</v>
      </c>
      <c r="BV50" s="27">
        <f>COGS!BV50+'SG&amp;A'!BV50</f>
        <v>0</v>
      </c>
      <c r="BW50" s="27">
        <f>COGS!BW50+'SG&amp;A'!BW50</f>
        <v>0</v>
      </c>
      <c r="BX50" s="27">
        <f>COGS!BX50+'SG&amp;A'!BX50</f>
        <v>0</v>
      </c>
      <c r="BY50" s="27">
        <f>COGS!BY50+'SG&amp;A'!BY50</f>
        <v>0</v>
      </c>
      <c r="BZ50" s="27">
        <f>COGS!BZ50+'SG&amp;A'!BZ50</f>
        <v>0</v>
      </c>
      <c r="CA50" s="27">
        <f>COGS!CA50+'SG&amp;A'!CA50</f>
        <v>0</v>
      </c>
      <c r="CB50" s="27">
        <f>COGS!CB50+'SG&amp;A'!CB50</f>
        <v>0</v>
      </c>
      <c r="CC50" s="27">
        <f>COGS!CC50+'SG&amp;A'!CC50</f>
        <v>0</v>
      </c>
      <c r="CD50" s="27">
        <f>COGS!CD50+'SG&amp;A'!CD50</f>
        <v>0</v>
      </c>
      <c r="CE50" s="27">
        <f>COGS!CE50+'SG&amp;A'!CE50</f>
        <v>0</v>
      </c>
      <c r="CF50" s="27">
        <f>COGS!CF50+'SG&amp;A'!CF50</f>
        <v>0</v>
      </c>
      <c r="CG50" s="27">
        <f>COGS!CG50+'SG&amp;A'!CG50</f>
        <v>0</v>
      </c>
      <c r="CH50" s="27">
        <f>COGS!CH50+'SG&amp;A'!CH50</f>
        <v>0</v>
      </c>
      <c r="CI50" s="27">
        <f>COGS!CI50+'SG&amp;A'!CI50</f>
        <v>0</v>
      </c>
      <c r="CJ50" s="27">
        <f>COGS!CJ50+'SG&amp;A'!CJ50</f>
        <v>0</v>
      </c>
      <c r="CK50" s="27">
        <f>COGS!CK50+'SG&amp;A'!CK50</f>
        <v>0</v>
      </c>
      <c r="CL50" s="27">
        <f>COGS!CL50+'SG&amp;A'!CL50</f>
        <v>0</v>
      </c>
      <c r="CM50" s="27">
        <f>COGS!CM50+'SG&amp;A'!CM50</f>
        <v>0</v>
      </c>
      <c r="CN50" s="27">
        <f>COGS!CN50+'SG&amp;A'!CN50</f>
        <v>0</v>
      </c>
      <c r="CO50" s="27">
        <f>COGS!CO50+'SG&amp;A'!CO50</f>
        <v>0</v>
      </c>
      <c r="CP50" s="27">
        <f>COGS!CP50+'SG&amp;A'!CP50</f>
        <v>0</v>
      </c>
      <c r="CQ50" s="27">
        <f>COGS!CQ50+'SG&amp;A'!CQ50</f>
        <v>0</v>
      </c>
      <c r="CR50" s="27">
        <f>COGS!CR50+'SG&amp;A'!CR50</f>
        <v>0</v>
      </c>
      <c r="CS50" s="27">
        <f>COGS!CS50+'SG&amp;A'!CS50</f>
        <v>0</v>
      </c>
      <c r="CT50" s="27">
        <f>COGS!CT50+'SG&amp;A'!CT50</f>
        <v>0</v>
      </c>
      <c r="CU50" s="27">
        <f>COGS!CU50+'SG&amp;A'!CU50</f>
        <v>0</v>
      </c>
      <c r="CV50" s="27">
        <f>COGS!CV50+'SG&amp;A'!CV50</f>
        <v>0</v>
      </c>
      <c r="CW50" s="27">
        <f>COGS!CW50+'SG&amp;A'!CW50</f>
        <v>0</v>
      </c>
      <c r="CX50" s="27">
        <f>COGS!CX50+'SG&amp;A'!CX50</f>
        <v>0</v>
      </c>
      <c r="CY50" s="27">
        <f>COGS!CY50+'SG&amp;A'!CY50</f>
        <v>0</v>
      </c>
      <c r="CZ50" s="27">
        <f>COGS!CZ50+'SG&amp;A'!CZ50</f>
        <v>0</v>
      </c>
      <c r="DA50" s="27">
        <f>COGS!DA50+'SG&amp;A'!DA50</f>
        <v>0</v>
      </c>
      <c r="DB50" s="27">
        <f>COGS!DB50+'SG&amp;A'!DB50</f>
        <v>0</v>
      </c>
      <c r="DC50" s="27">
        <f>COGS!DC50+'SG&amp;A'!DC50</f>
        <v>0</v>
      </c>
      <c r="DD50" s="27">
        <f>COGS!DD50+'SG&amp;A'!DD50</f>
        <v>0</v>
      </c>
      <c r="DE50" s="27">
        <f>COGS!DE50+'SG&amp;A'!DE50</f>
        <v>0</v>
      </c>
      <c r="DF50" s="27">
        <f>COGS!DF50+'SG&amp;A'!DF50</f>
        <v>0</v>
      </c>
      <c r="DG50" s="27">
        <f>COGS!DG50+'SG&amp;A'!DG50</f>
        <v>0</v>
      </c>
      <c r="DH50" s="27">
        <f>COGS!DH50+'SG&amp;A'!DH50</f>
        <v>0</v>
      </c>
      <c r="DI50" s="27">
        <f>COGS!DI50+'SG&amp;A'!DI50</f>
        <v>0</v>
      </c>
      <c r="DJ50" s="27">
        <f>COGS!DJ50+'SG&amp;A'!DJ50</f>
        <v>0</v>
      </c>
      <c r="DK50" s="27">
        <f>COGS!DK50+'SG&amp;A'!DK50</f>
        <v>0</v>
      </c>
      <c r="DL50" s="27">
        <f>COGS!DL50+'SG&amp;A'!DL50</f>
        <v>0</v>
      </c>
      <c r="DM50" s="27">
        <f>COGS!DM50+'SG&amp;A'!DM50</f>
        <v>0</v>
      </c>
      <c r="DN50" s="27">
        <f>COGS!DN50+'SG&amp;A'!DN50</f>
        <v>0</v>
      </c>
      <c r="DO50" s="27">
        <f>COGS!DO50+'SG&amp;A'!DO50</f>
        <v>0</v>
      </c>
      <c r="DP50" s="27">
        <f>COGS!DP50+'SG&amp;A'!DP50</f>
        <v>5.8000000000000003E-2</v>
      </c>
      <c r="DQ50" s="27">
        <f>COGS!DQ50+'SG&amp;A'!DQ50</f>
        <v>0</v>
      </c>
      <c r="DR50" s="27">
        <f>COGS!DR50+'SG&amp;A'!DR50</f>
        <v>8.5999999999999993E-2</v>
      </c>
      <c r="DS50" s="27">
        <f>COGS!DS50+'SG&amp;A'!DS50</f>
        <v>-6.9000000000000006E-2</v>
      </c>
      <c r="DT50" s="27">
        <f>COGS!DT50+'SG&amp;A'!DT50</f>
        <v>8.9999999999999993E-3</v>
      </c>
      <c r="DU50" s="27">
        <f>COGS!DU50+'SG&amp;A'!DU50</f>
        <v>8.0000000000000002E-3</v>
      </c>
      <c r="DV50" s="27">
        <f>COGS!DV50+'SG&amp;A'!DV50</f>
        <v>0</v>
      </c>
      <c r="DW50" s="27">
        <f>COGS!DW50+'SG&amp;A'!DW50</f>
        <v>8.9999999999999993E-3</v>
      </c>
      <c r="DX50" s="27">
        <f>COGS!DX50+'SG&amp;A'!DX50</f>
        <v>8.6400000000000001E-3</v>
      </c>
      <c r="DY50" s="27">
        <f>COGS!DY50+'SG&amp;A'!DY50</f>
        <v>8.6400000000000001E-3</v>
      </c>
      <c r="DZ50" s="27">
        <f>COGS!DZ50+'SG&amp;A'!DZ50</f>
        <v>8.6400000000000001E-3</v>
      </c>
      <c r="EA50" s="27">
        <f>COGS!EA50+'SG&amp;A'!EA50</f>
        <v>0</v>
      </c>
      <c r="EB50" s="27">
        <f>COGS!EB50+'SG&amp;A'!EB50</f>
        <v>8.6400000000000001E-3</v>
      </c>
      <c r="EC50" s="27">
        <f>COGS!EC50+'SG&amp;A'!EC50</f>
        <v>8.6400000000000001E-3</v>
      </c>
      <c r="ED50" s="27">
        <f>COGS!ED50+'SG&amp;A'!ED50</f>
        <v>8.9999999999999993E-3</v>
      </c>
      <c r="EE50" s="27">
        <f>COGS!EE50+'SG&amp;A'!EE50</f>
        <v>1.0483629999999997E-2</v>
      </c>
      <c r="EF50" s="27">
        <f>COGS!EF50+'SG&amp;A'!EF50</f>
        <v>0</v>
      </c>
      <c r="EG50" s="27">
        <f>COGS!EG50+'SG&amp;A'!EG50</f>
        <v>8.6400000000000001E-3</v>
      </c>
      <c r="EH50" s="27">
        <f>COGS!EH50+'SG&amp;A'!EH50</f>
        <v>8.6400000000000001E-3</v>
      </c>
      <c r="EI50" s="27">
        <f>COGS!EI50+'SG&amp;A'!EI50</f>
        <v>8.6400000000000001E-3</v>
      </c>
    </row>
    <row r="51" spans="1:139" ht="15" thickBot="1" x14ac:dyDescent="0.35">
      <c r="A51" s="2" t="s">
        <v>370</v>
      </c>
      <c r="B51" s="28">
        <f>COGS!B51+'SG&amp;A'!B51</f>
        <v>0</v>
      </c>
      <c r="C51" s="28">
        <f>COGS!C51+'SG&amp;A'!C51</f>
        <v>0</v>
      </c>
      <c r="D51" s="28">
        <f>COGS!D51+'SG&amp;A'!D51</f>
        <v>0</v>
      </c>
      <c r="E51" s="28">
        <f>COGS!E51+'SG&amp;A'!E51</f>
        <v>0</v>
      </c>
      <c r="F51" s="28">
        <f>COGS!F51+'SG&amp;A'!F51</f>
        <v>0</v>
      </c>
      <c r="G51" s="28">
        <f>COGS!G51+'SG&amp;A'!G51</f>
        <v>0</v>
      </c>
      <c r="H51" s="28">
        <f>COGS!H51+'SG&amp;A'!H51</f>
        <v>0</v>
      </c>
      <c r="I51" s="28">
        <f>COGS!I51+'SG&amp;A'!I51</f>
        <v>0</v>
      </c>
      <c r="J51" s="28">
        <f>COGS!J51+'SG&amp;A'!J51</f>
        <v>0</v>
      </c>
      <c r="K51" s="28">
        <f>COGS!K51+'SG&amp;A'!K51</f>
        <v>0</v>
      </c>
      <c r="L51" s="28">
        <f>COGS!L51+'SG&amp;A'!L51</f>
        <v>0</v>
      </c>
      <c r="M51" s="28">
        <f>COGS!M51+'SG&amp;A'!M51</f>
        <v>0</v>
      </c>
      <c r="N51" s="28">
        <f>COGS!N51+'SG&amp;A'!N51</f>
        <v>0</v>
      </c>
      <c r="O51" s="28">
        <f>COGS!O51+'SG&amp;A'!O51</f>
        <v>0</v>
      </c>
      <c r="P51" s="28">
        <f>COGS!P51+'SG&amp;A'!P51</f>
        <v>0</v>
      </c>
      <c r="Q51" s="28">
        <f>COGS!Q51+'SG&amp;A'!Q51</f>
        <v>0</v>
      </c>
      <c r="R51" s="28">
        <f>COGS!R51+'SG&amp;A'!R51</f>
        <v>0</v>
      </c>
      <c r="S51" s="28">
        <f>COGS!S51+'SG&amp;A'!S51</f>
        <v>0</v>
      </c>
      <c r="T51" s="28">
        <f>COGS!T51+'SG&amp;A'!T51</f>
        <v>0</v>
      </c>
      <c r="U51" s="28">
        <f>COGS!U51+'SG&amp;A'!U51</f>
        <v>0</v>
      </c>
      <c r="V51" s="28">
        <f>COGS!V51+'SG&amp;A'!V51</f>
        <v>0</v>
      </c>
      <c r="W51" s="28">
        <f>COGS!W51+'SG&amp;A'!W51</f>
        <v>0</v>
      </c>
      <c r="X51" s="28">
        <f>COGS!X51+'SG&amp;A'!X51</f>
        <v>0</v>
      </c>
      <c r="Y51" s="28">
        <f>COGS!Y51+'SG&amp;A'!Y51</f>
        <v>0</v>
      </c>
      <c r="Z51" s="28">
        <f>COGS!Z51+'SG&amp;A'!Z51</f>
        <v>0</v>
      </c>
      <c r="AA51" s="28">
        <f>COGS!AA51+'SG&amp;A'!AA51</f>
        <v>0</v>
      </c>
      <c r="AB51" s="28">
        <f>COGS!AB51+'SG&amp;A'!AB51</f>
        <v>0</v>
      </c>
      <c r="AC51" s="28">
        <f>COGS!AC51+'SG&amp;A'!AC51</f>
        <v>0</v>
      </c>
      <c r="AD51" s="28">
        <f>COGS!AD51+'SG&amp;A'!AD51</f>
        <v>0</v>
      </c>
      <c r="AE51" s="28">
        <f>COGS!AE51+'SG&amp;A'!AE51</f>
        <v>0</v>
      </c>
      <c r="AF51" s="28">
        <f>COGS!AF51+'SG&amp;A'!AF51</f>
        <v>0</v>
      </c>
      <c r="AG51" s="28">
        <f>COGS!AG51+'SG&amp;A'!AG51</f>
        <v>0</v>
      </c>
      <c r="AH51" s="28">
        <f>COGS!AH51+'SG&amp;A'!AH51</f>
        <v>0</v>
      </c>
      <c r="AI51" s="28">
        <f>COGS!AI51+'SG&amp;A'!AI51</f>
        <v>0</v>
      </c>
      <c r="AJ51" s="28">
        <f>COGS!AJ51+'SG&amp;A'!AJ51</f>
        <v>0</v>
      </c>
      <c r="AK51" s="28">
        <f>COGS!AK51+'SG&amp;A'!AK51</f>
        <v>0</v>
      </c>
      <c r="AL51" s="28">
        <f>COGS!AL51+'SG&amp;A'!AL51</f>
        <v>0</v>
      </c>
      <c r="AM51" s="28">
        <f>COGS!AM51+'SG&amp;A'!AM51</f>
        <v>0</v>
      </c>
      <c r="AN51" s="28">
        <f>COGS!AN51+'SG&amp;A'!AN51</f>
        <v>0</v>
      </c>
      <c r="AO51" s="28">
        <f>COGS!AO51+'SG&amp;A'!AO51</f>
        <v>0</v>
      </c>
      <c r="AP51" s="28">
        <f>COGS!AP51+'SG&amp;A'!AP51</f>
        <v>0</v>
      </c>
      <c r="AQ51" s="28">
        <f>COGS!AQ51+'SG&amp;A'!AQ51</f>
        <v>0</v>
      </c>
      <c r="AR51" s="28">
        <f>COGS!AR51+'SG&amp;A'!AR51</f>
        <v>0</v>
      </c>
      <c r="AS51" s="28">
        <f>COGS!AS51+'SG&amp;A'!AS51</f>
        <v>0</v>
      </c>
      <c r="AT51" s="28">
        <f>COGS!AT51+'SG&amp;A'!AT51</f>
        <v>0</v>
      </c>
      <c r="AU51" s="28">
        <f>COGS!AU51+'SG&amp;A'!AU51</f>
        <v>0</v>
      </c>
      <c r="AV51" s="28">
        <f>COGS!AV51+'SG&amp;A'!AV51</f>
        <v>0</v>
      </c>
      <c r="AW51" s="28">
        <f>COGS!AW51+'SG&amp;A'!AW51</f>
        <v>0</v>
      </c>
      <c r="AX51" s="28">
        <f>COGS!AX51+'SG&amp;A'!AX51</f>
        <v>0</v>
      </c>
      <c r="AY51" s="28">
        <f>COGS!AY51+'SG&amp;A'!AY51</f>
        <v>0</v>
      </c>
      <c r="AZ51" s="28">
        <f>COGS!AZ51+'SG&amp;A'!AZ51</f>
        <v>0</v>
      </c>
      <c r="BA51" s="28">
        <f>COGS!BA51+'SG&amp;A'!BA51</f>
        <v>0</v>
      </c>
      <c r="BB51" s="28">
        <f>COGS!BB51+'SG&amp;A'!BB51</f>
        <v>0</v>
      </c>
      <c r="BC51" s="28">
        <f>COGS!BC51+'SG&amp;A'!BC51</f>
        <v>0</v>
      </c>
      <c r="BD51" s="28">
        <f>COGS!BD51+'SG&amp;A'!BD51</f>
        <v>0</v>
      </c>
      <c r="BE51" s="28">
        <f>COGS!BE51+'SG&amp;A'!BE51</f>
        <v>0</v>
      </c>
      <c r="BF51" s="28">
        <f>COGS!BF51+'SG&amp;A'!BF51</f>
        <v>0</v>
      </c>
      <c r="BG51" s="28">
        <f>COGS!BG51+'SG&amp;A'!BG51</f>
        <v>0</v>
      </c>
      <c r="BH51" s="28">
        <f>COGS!BH51+'SG&amp;A'!BH51</f>
        <v>0</v>
      </c>
      <c r="BI51" s="28">
        <f>COGS!BI51+'SG&amp;A'!BI51</f>
        <v>0</v>
      </c>
      <c r="BJ51" s="28">
        <f>COGS!BJ51+'SG&amp;A'!BJ51</f>
        <v>0.91349465000000007</v>
      </c>
      <c r="BK51" s="28">
        <f>COGS!BK51+'SG&amp;A'!BK51</f>
        <v>1.5485326799999997</v>
      </c>
      <c r="BL51" s="28">
        <f>COGS!BL51+'SG&amp;A'!BL51</f>
        <v>1.5680911600000003</v>
      </c>
      <c r="BM51" s="28">
        <f>COGS!BM51+'SG&amp;A'!BM51</f>
        <v>1.8036691899999999</v>
      </c>
      <c r="BN51" s="28">
        <f>COGS!BN51+'SG&amp;A'!BN51</f>
        <v>5.8337876800000004</v>
      </c>
      <c r="BO51" s="28">
        <f>COGS!BO51+'SG&amp;A'!BO51</f>
        <v>16.5363066</v>
      </c>
      <c r="BP51" s="28">
        <f>COGS!BP51+'SG&amp;A'!BP51</f>
        <v>26.387548160000001</v>
      </c>
      <c r="BQ51" s="28">
        <f>COGS!BQ51+'SG&amp;A'!BQ51</f>
        <v>23.000840070000002</v>
      </c>
      <c r="BR51" s="28">
        <f>COGS!BR51+'SG&amp;A'!BR51</f>
        <v>24.091124719999986</v>
      </c>
      <c r="BS51" s="28">
        <f>COGS!BS51+'SG&amp;A'!BS51</f>
        <v>90.015819549999989</v>
      </c>
      <c r="BT51" s="28">
        <f>COGS!BT51+'SG&amp;A'!BT51</f>
        <v>0</v>
      </c>
      <c r="BU51" s="28">
        <f>COGS!BU51+'SG&amp;A'!BU51</f>
        <v>0</v>
      </c>
      <c r="BV51" s="28">
        <f>COGS!BV51+'SG&amp;A'!BV51</f>
        <v>0</v>
      </c>
      <c r="BW51" s="28">
        <f>COGS!BW51+'SG&amp;A'!BW51</f>
        <v>0</v>
      </c>
      <c r="BX51" s="28">
        <f>COGS!BX51+'SG&amp;A'!BX51</f>
        <v>0</v>
      </c>
      <c r="BY51" s="28">
        <f>COGS!BY51+'SG&amp;A'!BY51</f>
        <v>0</v>
      </c>
      <c r="BZ51" s="28">
        <f>COGS!BZ51+'SG&amp;A'!BZ51</f>
        <v>0</v>
      </c>
      <c r="CA51" s="28">
        <f>COGS!CA51+'SG&amp;A'!CA51</f>
        <v>0</v>
      </c>
      <c r="CB51" s="28">
        <f>COGS!CB51+'SG&amp;A'!CB51</f>
        <v>0</v>
      </c>
      <c r="CC51" s="28">
        <f>COGS!CC51+'SG&amp;A'!CC51</f>
        <v>0</v>
      </c>
      <c r="CD51" s="28">
        <f>COGS!CD51+'SG&amp;A'!CD51</f>
        <v>0</v>
      </c>
      <c r="CE51" s="28">
        <f>COGS!CE51+'SG&amp;A'!CE51</f>
        <v>0</v>
      </c>
      <c r="CF51" s="28">
        <f>COGS!CF51+'SG&amp;A'!CF51</f>
        <v>0</v>
      </c>
      <c r="CG51" s="28">
        <f>COGS!CG51+'SG&amp;A'!CG51</f>
        <v>0</v>
      </c>
      <c r="CH51" s="28">
        <f>COGS!CH51+'SG&amp;A'!CH51</f>
        <v>0</v>
      </c>
      <c r="CI51" s="28">
        <f>COGS!CI51+'SG&amp;A'!CI51</f>
        <v>0</v>
      </c>
      <c r="CJ51" s="28">
        <f>COGS!CJ51+'SG&amp;A'!CJ51</f>
        <v>0</v>
      </c>
      <c r="CK51" s="28">
        <f>COGS!CK51+'SG&amp;A'!CK51</f>
        <v>0</v>
      </c>
      <c r="CL51" s="28">
        <f>COGS!CL51+'SG&amp;A'!CL51</f>
        <v>0</v>
      </c>
      <c r="CM51" s="28">
        <f>COGS!CM51+'SG&amp;A'!CM51</f>
        <v>0</v>
      </c>
      <c r="CN51" s="28">
        <f>COGS!CN51+'SG&amp;A'!CN51</f>
        <v>0</v>
      </c>
      <c r="CO51" s="28">
        <f>COGS!CO51+'SG&amp;A'!CO51</f>
        <v>0</v>
      </c>
      <c r="CP51" s="28">
        <f>COGS!CP51+'SG&amp;A'!CP51</f>
        <v>0</v>
      </c>
      <c r="CQ51" s="28">
        <f>COGS!CQ51+'SG&amp;A'!CQ51</f>
        <v>0</v>
      </c>
      <c r="CR51" s="28">
        <f>COGS!CR51+'SG&amp;A'!CR51</f>
        <v>0</v>
      </c>
      <c r="CS51" s="28">
        <f>COGS!CS51+'SG&amp;A'!CS51</f>
        <v>0</v>
      </c>
      <c r="CT51" s="28">
        <f>COGS!CT51+'SG&amp;A'!CT51</f>
        <v>0</v>
      </c>
      <c r="CU51" s="28">
        <f>COGS!CU51+'SG&amp;A'!CU51</f>
        <v>0</v>
      </c>
      <c r="CV51" s="28">
        <f>COGS!CV51+'SG&amp;A'!CV51</f>
        <v>0</v>
      </c>
      <c r="CW51" s="28">
        <f>COGS!CW51+'SG&amp;A'!CW51</f>
        <v>0</v>
      </c>
      <c r="CX51" s="28">
        <f>COGS!CX51+'SG&amp;A'!CX51</f>
        <v>0</v>
      </c>
      <c r="CY51" s="28">
        <f>COGS!CY51+'SG&amp;A'!CY51</f>
        <v>0</v>
      </c>
      <c r="CZ51" s="28">
        <f>COGS!CZ51+'SG&amp;A'!CZ51</f>
        <v>0</v>
      </c>
      <c r="DA51" s="28">
        <f>COGS!DA51+'SG&amp;A'!DA51</f>
        <v>0</v>
      </c>
      <c r="DB51" s="28">
        <f>COGS!DB51+'SG&amp;A'!DB51</f>
        <v>0</v>
      </c>
      <c r="DC51" s="28">
        <f>COGS!DC51+'SG&amp;A'!DC51</f>
        <v>0</v>
      </c>
      <c r="DD51" s="28">
        <f>COGS!DD51+'SG&amp;A'!DD51</f>
        <v>0</v>
      </c>
      <c r="DE51" s="28">
        <f>COGS!DE51+'SG&amp;A'!DE51</f>
        <v>0</v>
      </c>
      <c r="DF51" s="28">
        <f>COGS!DF51+'SG&amp;A'!DF51</f>
        <v>0</v>
      </c>
      <c r="DG51" s="28">
        <f>COGS!DG51+'SG&amp;A'!DG51</f>
        <v>0</v>
      </c>
      <c r="DH51" s="28">
        <f>COGS!DH51+'SG&amp;A'!DH51</f>
        <v>0</v>
      </c>
      <c r="DI51" s="28">
        <f>COGS!DI51+'SG&amp;A'!DI51</f>
        <v>0</v>
      </c>
      <c r="DJ51" s="28">
        <f>COGS!DJ51+'SG&amp;A'!DJ51</f>
        <v>0</v>
      </c>
      <c r="DK51" s="28">
        <f>COGS!DK51+'SG&amp;A'!DK51</f>
        <v>0</v>
      </c>
      <c r="DL51" s="28">
        <f>COGS!DL51+'SG&amp;A'!DL51</f>
        <v>0</v>
      </c>
      <c r="DM51" s="28">
        <f>COGS!DM51+'SG&amp;A'!DM51</f>
        <v>0</v>
      </c>
      <c r="DN51" s="28">
        <f>COGS!DN51+'SG&amp;A'!DN51</f>
        <v>0</v>
      </c>
      <c r="DO51" s="28">
        <f>COGS!DO51+'SG&amp;A'!DO51</f>
        <v>0</v>
      </c>
      <c r="DP51" s="28">
        <f>COGS!DP51+'SG&amp;A'!DP51</f>
        <v>0</v>
      </c>
      <c r="DQ51" s="28">
        <f>COGS!DQ51+'SG&amp;A'!DQ51</f>
        <v>0</v>
      </c>
      <c r="DR51" s="28">
        <f>COGS!DR51+'SG&amp;A'!DR51</f>
        <v>0</v>
      </c>
      <c r="DS51" s="28">
        <f>COGS!DS51+'SG&amp;A'!DS51</f>
        <v>0</v>
      </c>
      <c r="DT51" s="28">
        <f>COGS!DT51+'SG&amp;A'!DT51</f>
        <v>0</v>
      </c>
      <c r="DU51" s="28">
        <f>COGS!DU51+'SG&amp;A'!DU51</f>
        <v>0</v>
      </c>
      <c r="DV51" s="28">
        <f>COGS!DV51+'SG&amp;A'!DV51</f>
        <v>0</v>
      </c>
      <c r="DW51" s="28">
        <f>COGS!DW51+'SG&amp;A'!DW51</f>
        <v>0</v>
      </c>
      <c r="DX51" s="28">
        <f>COGS!DX51+'SG&amp;A'!DX51</f>
        <v>0</v>
      </c>
      <c r="DY51" s="28">
        <f>COGS!DY51+'SG&amp;A'!DY51</f>
        <v>0</v>
      </c>
      <c r="DZ51" s="28">
        <f>COGS!DZ51+'SG&amp;A'!DZ51</f>
        <v>0</v>
      </c>
      <c r="EA51" s="28">
        <f>COGS!EA51+'SG&amp;A'!EA51</f>
        <v>0</v>
      </c>
      <c r="EB51" s="28">
        <f>COGS!EB51+'SG&amp;A'!EB51</f>
        <v>0</v>
      </c>
      <c r="EC51" s="28">
        <f>COGS!EC51+'SG&amp;A'!EC51</f>
        <v>0</v>
      </c>
      <c r="ED51" s="28">
        <f>COGS!ED51+'SG&amp;A'!ED51</f>
        <v>0</v>
      </c>
      <c r="EE51" s="28">
        <f>COGS!EE51+'SG&amp;A'!EE51</f>
        <v>0</v>
      </c>
      <c r="EF51" s="28">
        <f>COGS!EF51+'SG&amp;A'!EF51</f>
        <v>0</v>
      </c>
      <c r="EG51" s="28">
        <f>COGS!EG51+'SG&amp;A'!EG51</f>
        <v>0</v>
      </c>
      <c r="EH51" s="28">
        <f>COGS!EH51+'SG&amp;A'!EH51</f>
        <v>0</v>
      </c>
      <c r="EI51" s="28">
        <f>COGS!EI51+'SG&amp;A'!EI51</f>
        <v>0</v>
      </c>
    </row>
    <row r="52" spans="1:139" ht="15" thickTop="1" x14ac:dyDescent="0.3">
      <c r="A52" s="1" t="s">
        <v>338</v>
      </c>
      <c r="B52" s="27">
        <f>COGS!B52+'SG&amp;A'!B52</f>
        <v>0</v>
      </c>
      <c r="C52" s="27">
        <f>COGS!C52+'SG&amp;A'!C52</f>
        <v>0</v>
      </c>
      <c r="D52" s="27">
        <f>COGS!D52+'SG&amp;A'!D52</f>
        <v>0</v>
      </c>
      <c r="E52" s="27">
        <f>COGS!E52+'SG&amp;A'!E52</f>
        <v>0</v>
      </c>
      <c r="F52" s="27">
        <f>COGS!F52+'SG&amp;A'!F52</f>
        <v>0</v>
      </c>
      <c r="G52" s="27">
        <f>COGS!G52+'SG&amp;A'!G52</f>
        <v>0</v>
      </c>
      <c r="H52" s="27">
        <f>COGS!H52+'SG&amp;A'!H52</f>
        <v>0</v>
      </c>
      <c r="I52" s="27">
        <f>COGS!I52+'SG&amp;A'!I52</f>
        <v>0</v>
      </c>
      <c r="J52" s="27">
        <f>COGS!J52+'SG&amp;A'!J52</f>
        <v>0</v>
      </c>
      <c r="K52" s="27">
        <f>COGS!K52+'SG&amp;A'!K52</f>
        <v>0</v>
      </c>
      <c r="L52" s="27">
        <f>COGS!L52+'SG&amp;A'!L52</f>
        <v>0</v>
      </c>
      <c r="M52" s="27">
        <f>COGS!M52+'SG&amp;A'!M52</f>
        <v>0</v>
      </c>
      <c r="N52" s="27">
        <f>COGS!N52+'SG&amp;A'!N52</f>
        <v>0</v>
      </c>
      <c r="O52" s="27">
        <f>COGS!O52+'SG&amp;A'!O52</f>
        <v>0</v>
      </c>
      <c r="P52" s="27">
        <f>COGS!P52+'SG&amp;A'!P52</f>
        <v>0</v>
      </c>
      <c r="Q52" s="27">
        <f>COGS!Q52+'SG&amp;A'!Q52</f>
        <v>0</v>
      </c>
      <c r="R52" s="27">
        <f>COGS!R52+'SG&amp;A'!R52</f>
        <v>0</v>
      </c>
      <c r="S52" s="27">
        <f>COGS!S52+'SG&amp;A'!S52</f>
        <v>0</v>
      </c>
      <c r="T52" s="27">
        <f>COGS!T52+'SG&amp;A'!T52</f>
        <v>0</v>
      </c>
      <c r="U52" s="27">
        <f>COGS!U52+'SG&amp;A'!U52</f>
        <v>0</v>
      </c>
      <c r="V52" s="27">
        <f>COGS!V52+'SG&amp;A'!V52</f>
        <v>0</v>
      </c>
      <c r="W52" s="27">
        <f>COGS!W52+'SG&amp;A'!W52</f>
        <v>0</v>
      </c>
      <c r="X52" s="27">
        <f>COGS!X52+'SG&amp;A'!X52</f>
        <v>0</v>
      </c>
      <c r="Y52" s="27">
        <f>COGS!Y52+'SG&amp;A'!Y52</f>
        <v>0</v>
      </c>
      <c r="Z52" s="27">
        <f>COGS!Z52+'SG&amp;A'!Z52</f>
        <v>0</v>
      </c>
      <c r="AA52" s="27">
        <f>COGS!AA52+'SG&amp;A'!AA52</f>
        <v>0</v>
      </c>
      <c r="AB52" s="27">
        <f>COGS!AB52+'SG&amp;A'!AB52</f>
        <v>0</v>
      </c>
      <c r="AC52" s="27">
        <f>COGS!AC52+'SG&amp;A'!AC52</f>
        <v>0</v>
      </c>
      <c r="AD52" s="27">
        <f>COGS!AD52+'SG&amp;A'!AD52</f>
        <v>0</v>
      </c>
      <c r="AE52" s="27">
        <f>COGS!AE52+'SG&amp;A'!AE52</f>
        <v>0</v>
      </c>
      <c r="AF52" s="27">
        <f>COGS!AF52+'SG&amp;A'!AF52</f>
        <v>0</v>
      </c>
      <c r="AG52" s="27">
        <f>COGS!AG52+'SG&amp;A'!AG52</f>
        <v>0</v>
      </c>
      <c r="AH52" s="27">
        <f>COGS!AH52+'SG&amp;A'!AH52</f>
        <v>0</v>
      </c>
      <c r="AI52" s="27">
        <f>COGS!AI52+'SG&amp;A'!AI52</f>
        <v>0</v>
      </c>
      <c r="AJ52" s="27">
        <f>COGS!AJ52+'SG&amp;A'!AJ52</f>
        <v>0</v>
      </c>
      <c r="AK52" s="27">
        <f>COGS!AK52+'SG&amp;A'!AK52</f>
        <v>0</v>
      </c>
      <c r="AL52" s="27">
        <f>COGS!AL52+'SG&amp;A'!AL52</f>
        <v>0</v>
      </c>
      <c r="AM52" s="27">
        <f>COGS!AM52+'SG&amp;A'!AM52</f>
        <v>0</v>
      </c>
      <c r="AN52" s="27">
        <f>COGS!AN52+'SG&amp;A'!AN52</f>
        <v>0</v>
      </c>
      <c r="AO52" s="27">
        <f>COGS!AO52+'SG&amp;A'!AO52</f>
        <v>0</v>
      </c>
      <c r="AP52" s="27">
        <f>COGS!AP52+'SG&amp;A'!AP52</f>
        <v>0</v>
      </c>
      <c r="AQ52" s="27">
        <f>COGS!AQ52+'SG&amp;A'!AQ52</f>
        <v>0</v>
      </c>
      <c r="AR52" s="27">
        <f>COGS!AR52+'SG&amp;A'!AR52</f>
        <v>0</v>
      </c>
      <c r="AS52" s="27">
        <f>COGS!AS52+'SG&amp;A'!AS52</f>
        <v>0</v>
      </c>
      <c r="AT52" s="27">
        <f>COGS!AT52+'SG&amp;A'!AT52</f>
        <v>0</v>
      </c>
      <c r="AU52" s="27">
        <f>COGS!AU52+'SG&amp;A'!AU52</f>
        <v>0</v>
      </c>
      <c r="AV52" s="27">
        <f>COGS!AV52+'SG&amp;A'!AV52</f>
        <v>0</v>
      </c>
      <c r="AW52" s="27">
        <f>COGS!AW52+'SG&amp;A'!AW52</f>
        <v>0</v>
      </c>
      <c r="AX52" s="27">
        <f>COGS!AX52+'SG&amp;A'!AX52</f>
        <v>0</v>
      </c>
      <c r="AY52" s="27">
        <f>COGS!AY52+'SG&amp;A'!AY52</f>
        <v>0</v>
      </c>
      <c r="AZ52" s="27">
        <f>COGS!AZ52+'SG&amp;A'!AZ52</f>
        <v>0</v>
      </c>
      <c r="BA52" s="27">
        <f>COGS!BA52+'SG&amp;A'!BA52</f>
        <v>0</v>
      </c>
      <c r="BB52" s="27">
        <f>COGS!BB52+'SG&amp;A'!BB52</f>
        <v>0</v>
      </c>
      <c r="BC52" s="27">
        <f>COGS!BC52+'SG&amp;A'!BC52</f>
        <v>0</v>
      </c>
      <c r="BD52" s="27">
        <f>COGS!BD52+'SG&amp;A'!BD52</f>
        <v>0</v>
      </c>
      <c r="BE52" s="27">
        <f>COGS!BE52+'SG&amp;A'!BE52</f>
        <v>0</v>
      </c>
      <c r="BF52" s="27">
        <f>COGS!BF52+'SG&amp;A'!BF52</f>
        <v>0</v>
      </c>
      <c r="BG52" s="27">
        <f>COGS!BG52+'SG&amp;A'!BG52</f>
        <v>0</v>
      </c>
      <c r="BH52" s="27">
        <f>COGS!BH52+'SG&amp;A'!BH52</f>
        <v>0</v>
      </c>
      <c r="BI52" s="27">
        <f>COGS!BI52+'SG&amp;A'!BI52</f>
        <v>0</v>
      </c>
      <c r="BJ52" s="27">
        <f>COGS!BJ52+'SG&amp;A'!BJ52</f>
        <v>1.9833692900000002</v>
      </c>
      <c r="BK52" s="27">
        <f>COGS!BK52+'SG&amp;A'!BK52</f>
        <v>1.5631594799999997</v>
      </c>
      <c r="BL52" s="27">
        <f>COGS!BL52+'SG&amp;A'!BL52</f>
        <v>1.8268870699999993</v>
      </c>
      <c r="BM52" s="27">
        <f>COGS!BM52+'SG&amp;A'!BM52</f>
        <v>2.182672230000001</v>
      </c>
      <c r="BN52" s="27">
        <f>COGS!BN52+'SG&amp;A'!BN52</f>
        <v>7.5560880699999995</v>
      </c>
      <c r="BO52" s="27">
        <f>COGS!BO52+'SG&amp;A'!BO52</f>
        <v>2.0675735900000003</v>
      </c>
      <c r="BP52" s="27">
        <f>COGS!BP52+'SG&amp;A'!BP52</f>
        <v>1.93854945</v>
      </c>
      <c r="BQ52" s="27">
        <f>COGS!BQ52+'SG&amp;A'!BQ52</f>
        <v>2.2676168800000003</v>
      </c>
      <c r="BR52" s="27">
        <f>COGS!BR52+'SG&amp;A'!BR52</f>
        <v>2.7154835100000003</v>
      </c>
      <c r="BS52" s="27">
        <f>COGS!BS52+'SG&amp;A'!BS52</f>
        <v>8.9892234299999991</v>
      </c>
      <c r="BT52" s="27">
        <f>COGS!BT52+'SG&amp;A'!BT52</f>
        <v>0</v>
      </c>
      <c r="BU52" s="27">
        <f>COGS!BU52+'SG&amp;A'!BU52</f>
        <v>0</v>
      </c>
      <c r="BV52" s="27">
        <f>COGS!BV52+'SG&amp;A'!BV52</f>
        <v>0</v>
      </c>
      <c r="BW52" s="27">
        <f>COGS!BW52+'SG&amp;A'!BW52</f>
        <v>0</v>
      </c>
      <c r="BX52" s="27">
        <f>COGS!BX52+'SG&amp;A'!BX52</f>
        <v>0</v>
      </c>
      <c r="BY52" s="27">
        <f>COGS!BY52+'SG&amp;A'!BY52</f>
        <v>0</v>
      </c>
      <c r="BZ52" s="27">
        <f>COGS!BZ52+'SG&amp;A'!BZ52</f>
        <v>0</v>
      </c>
      <c r="CA52" s="27">
        <f>COGS!CA52+'SG&amp;A'!CA52</f>
        <v>0</v>
      </c>
      <c r="CB52" s="27">
        <f>COGS!CB52+'SG&amp;A'!CB52</f>
        <v>0</v>
      </c>
      <c r="CC52" s="27">
        <f>COGS!CC52+'SG&amp;A'!CC52</f>
        <v>0</v>
      </c>
      <c r="CD52" s="27">
        <f>COGS!CD52+'SG&amp;A'!CD52</f>
        <v>0</v>
      </c>
      <c r="CE52" s="27">
        <f>COGS!CE52+'SG&amp;A'!CE52</f>
        <v>0</v>
      </c>
      <c r="CF52" s="27">
        <f>COGS!CF52+'SG&amp;A'!CF52</f>
        <v>0</v>
      </c>
      <c r="CG52" s="27">
        <f>COGS!CG52+'SG&amp;A'!CG52</f>
        <v>0</v>
      </c>
      <c r="CH52" s="27">
        <f>COGS!CH52+'SG&amp;A'!CH52</f>
        <v>0</v>
      </c>
      <c r="CI52" s="27">
        <f>COGS!CI52+'SG&amp;A'!CI52</f>
        <v>0</v>
      </c>
      <c r="CJ52" s="27">
        <f>COGS!CJ52+'SG&amp;A'!CJ52</f>
        <v>0</v>
      </c>
      <c r="CK52" s="27">
        <f>COGS!CK52+'SG&amp;A'!CK52</f>
        <v>0</v>
      </c>
      <c r="CL52" s="27">
        <f>COGS!CL52+'SG&amp;A'!CL52</f>
        <v>0</v>
      </c>
      <c r="CM52" s="27">
        <f>COGS!CM52+'SG&amp;A'!CM52</f>
        <v>0</v>
      </c>
      <c r="CN52" s="27">
        <f>COGS!CN52+'SG&amp;A'!CN52</f>
        <v>0</v>
      </c>
      <c r="CO52" s="27">
        <f>COGS!CO52+'SG&amp;A'!CO52</f>
        <v>0</v>
      </c>
      <c r="CP52" s="27">
        <f>COGS!CP52+'SG&amp;A'!CP52</f>
        <v>0</v>
      </c>
      <c r="CQ52" s="27">
        <f>COGS!CQ52+'SG&amp;A'!CQ52</f>
        <v>0.105</v>
      </c>
      <c r="CR52" s="27">
        <f>COGS!CR52+'SG&amp;A'!CR52</f>
        <v>0.105</v>
      </c>
      <c r="CS52" s="27">
        <f>COGS!CS52+'SG&amp;A'!CS52</f>
        <v>0.113</v>
      </c>
      <c r="CT52" s="27">
        <f>COGS!CT52+'SG&amp;A'!CT52</f>
        <v>0</v>
      </c>
      <c r="CU52" s="27">
        <f>COGS!CU52+'SG&amp;A'!CU52</f>
        <v>0</v>
      </c>
      <c r="CV52" s="27">
        <f>COGS!CV52+'SG&amp;A'!CV52</f>
        <v>0</v>
      </c>
      <c r="CW52" s="27">
        <f>COGS!CW52+'SG&amp;A'!CW52</f>
        <v>0.113</v>
      </c>
      <c r="CX52" s="27">
        <f>COGS!CX52+'SG&amp;A'!CX52</f>
        <v>0</v>
      </c>
      <c r="CY52" s="27">
        <f>COGS!CY52+'SG&amp;A'!CY52</f>
        <v>0</v>
      </c>
      <c r="CZ52" s="27">
        <f>COGS!CZ52+'SG&amp;A'!CZ52</f>
        <v>0</v>
      </c>
      <c r="DA52" s="27">
        <f>COGS!DA52+'SG&amp;A'!DA52</f>
        <v>1.7000000000000001E-2</v>
      </c>
      <c r="DB52" s="27">
        <f>COGS!DB52+'SG&amp;A'!DB52</f>
        <v>1.7000000000000001E-2</v>
      </c>
      <c r="DC52" s="27">
        <f>COGS!DC52+'SG&amp;A'!DC52</f>
        <v>0</v>
      </c>
      <c r="DD52" s="27">
        <f>COGS!DD52+'SG&amp;A'!DD52</f>
        <v>0.222</v>
      </c>
      <c r="DE52" s="27">
        <f>COGS!DE52+'SG&amp;A'!DE52</f>
        <v>-0.09</v>
      </c>
      <c r="DF52" s="27">
        <f>COGS!DF52+'SG&amp;A'!DF52</f>
        <v>0</v>
      </c>
      <c r="DG52" s="27">
        <f>COGS!DG52+'SG&amp;A'!DG52</f>
        <v>0.13200000000000001</v>
      </c>
      <c r="DH52" s="27">
        <f>COGS!DH52+'SG&amp;A'!DH52</f>
        <v>0</v>
      </c>
      <c r="DI52" s="27">
        <f>COGS!DI52+'SG&amp;A'!DI52</f>
        <v>3.6999999999999998E-2</v>
      </c>
      <c r="DJ52" s="27">
        <f>COGS!DJ52+'SG&amp;A'!DJ52</f>
        <v>5.2999999999999999E-2</v>
      </c>
      <c r="DK52" s="27">
        <f>COGS!DK52+'SG&amp;A'!DK52</f>
        <v>9.9000000000000005E-2</v>
      </c>
      <c r="DL52" s="27">
        <f>COGS!DL52+'SG&amp;A'!DL52</f>
        <v>0.189</v>
      </c>
      <c r="DM52" s="27">
        <f>COGS!DM52+'SG&amp;A'!DM52</f>
        <v>0</v>
      </c>
      <c r="DN52" s="27">
        <f>COGS!DN52+'SG&amp;A'!DN52</f>
        <v>0</v>
      </c>
      <c r="DO52" s="27">
        <f>COGS!DO52+'SG&amp;A'!DO52</f>
        <v>0</v>
      </c>
      <c r="DP52" s="27">
        <f>COGS!DP52+'SG&amp;A'!DP52</f>
        <v>0</v>
      </c>
      <c r="DQ52" s="27">
        <f>COGS!DQ52+'SG&amp;A'!DQ52</f>
        <v>0</v>
      </c>
      <c r="DR52" s="27">
        <f>COGS!DR52+'SG&amp;A'!DR52</f>
        <v>-4.0000000000000001E-3</v>
      </c>
      <c r="DS52" s="27">
        <f>COGS!DS52+'SG&amp;A'!DS52</f>
        <v>0</v>
      </c>
      <c r="DT52" s="27">
        <f>COGS!DT52+'SG&amp;A'!DT52</f>
        <v>8.2000000000000003E-2</v>
      </c>
      <c r="DU52" s="27">
        <f>COGS!DU52+'SG&amp;A'!DU52</f>
        <v>0</v>
      </c>
      <c r="DV52" s="27">
        <f>COGS!DV52+'SG&amp;A'!DV52</f>
        <v>7.8E-2</v>
      </c>
      <c r="DW52" s="27">
        <f>COGS!DW52+'SG&amp;A'!DW52</f>
        <v>0</v>
      </c>
      <c r="DX52" s="27">
        <f>COGS!DX52+'SG&amp;A'!DX52</f>
        <v>0</v>
      </c>
      <c r="DY52" s="27">
        <f>COGS!DY52+'SG&amp;A'!DY52</f>
        <v>0</v>
      </c>
      <c r="DZ52" s="27">
        <f>COGS!DZ52+'SG&amp;A'!DZ52</f>
        <v>4.9216379999999997E-2</v>
      </c>
      <c r="EA52" s="27">
        <f>COGS!EA52+'SG&amp;A'!EA52</f>
        <v>4.9216379999999997E-2</v>
      </c>
      <c r="EB52" s="27">
        <f>COGS!EB52+'SG&amp;A'!EB52</f>
        <v>0.10333160000000001</v>
      </c>
      <c r="EC52" s="27">
        <f>COGS!EC52+'SG&amp;A'!EC52</f>
        <v>0.20707623</v>
      </c>
      <c r="ED52" s="27">
        <f>COGS!ED52+'SG&amp;A'!ED52</f>
        <v>0.14499999999999999</v>
      </c>
      <c r="EE52" s="27">
        <f>COGS!EE52+'SG&amp;A'!EE52</f>
        <v>0.12558592999999998</v>
      </c>
      <c r="EF52" s="27">
        <f>COGS!EF52+'SG&amp;A'!EF52</f>
        <v>0.58099375999999991</v>
      </c>
      <c r="EG52" s="27">
        <f>COGS!EG52+'SG&amp;A'!EG52</f>
        <v>0.15159021</v>
      </c>
      <c r="EH52" s="27">
        <f>COGS!EH52+'SG&amp;A'!EH52</f>
        <v>0.15300316</v>
      </c>
      <c r="EI52" s="27">
        <f>COGS!EI52+'SG&amp;A'!EI52</f>
        <v>0.45933511999999999</v>
      </c>
    </row>
    <row r="53" spans="1:139" ht="15" thickBot="1" x14ac:dyDescent="0.35">
      <c r="A53" s="2" t="s">
        <v>331</v>
      </c>
      <c r="B53" s="28">
        <f>COGS!B53+'SG&amp;A'!B53</f>
        <v>0</v>
      </c>
      <c r="C53" s="28">
        <f>COGS!C53+'SG&amp;A'!C53</f>
        <v>0</v>
      </c>
      <c r="D53" s="28">
        <f>COGS!D53+'SG&amp;A'!D53</f>
        <v>0</v>
      </c>
      <c r="E53" s="28">
        <f>COGS!E53+'SG&amp;A'!E53</f>
        <v>0</v>
      </c>
      <c r="F53" s="28">
        <f>COGS!F53+'SG&amp;A'!F53</f>
        <v>0</v>
      </c>
      <c r="G53" s="28">
        <f>COGS!G53+'SG&amp;A'!G53</f>
        <v>0</v>
      </c>
      <c r="H53" s="28">
        <f>COGS!H53+'SG&amp;A'!H53</f>
        <v>0</v>
      </c>
      <c r="I53" s="28">
        <f>COGS!I53+'SG&amp;A'!I53</f>
        <v>0</v>
      </c>
      <c r="J53" s="28">
        <f>COGS!J53+'SG&amp;A'!J53</f>
        <v>0</v>
      </c>
      <c r="K53" s="28">
        <f>COGS!K53+'SG&amp;A'!K53</f>
        <v>0</v>
      </c>
      <c r="L53" s="28">
        <f>COGS!L53+'SG&amp;A'!L53</f>
        <v>0</v>
      </c>
      <c r="M53" s="28">
        <f>COGS!M53+'SG&amp;A'!M53</f>
        <v>0</v>
      </c>
      <c r="N53" s="28">
        <f>COGS!N53+'SG&amp;A'!N53</f>
        <v>0</v>
      </c>
      <c r="O53" s="28">
        <f>COGS!O53+'SG&amp;A'!O53</f>
        <v>0</v>
      </c>
      <c r="P53" s="28">
        <f>COGS!P53+'SG&amp;A'!P53</f>
        <v>0</v>
      </c>
      <c r="Q53" s="28">
        <f>COGS!Q53+'SG&amp;A'!Q53</f>
        <v>0</v>
      </c>
      <c r="R53" s="28">
        <f>COGS!R53+'SG&amp;A'!R53</f>
        <v>0</v>
      </c>
      <c r="S53" s="28">
        <f>COGS!S53+'SG&amp;A'!S53</f>
        <v>0</v>
      </c>
      <c r="T53" s="28">
        <f>COGS!T53+'SG&amp;A'!T53</f>
        <v>0</v>
      </c>
      <c r="U53" s="28">
        <f>COGS!U53+'SG&amp;A'!U53</f>
        <v>0</v>
      </c>
      <c r="V53" s="28">
        <f>COGS!V53+'SG&amp;A'!V53</f>
        <v>0</v>
      </c>
      <c r="W53" s="28">
        <f>COGS!W53+'SG&amp;A'!W53</f>
        <v>0</v>
      </c>
      <c r="X53" s="28">
        <f>COGS!X53+'SG&amp;A'!X53</f>
        <v>0</v>
      </c>
      <c r="Y53" s="28">
        <f>COGS!Y53+'SG&amp;A'!Y53</f>
        <v>0</v>
      </c>
      <c r="Z53" s="28">
        <f>COGS!Z53+'SG&amp;A'!Z53</f>
        <v>0</v>
      </c>
      <c r="AA53" s="28">
        <f>COGS!AA53+'SG&amp;A'!AA53</f>
        <v>0</v>
      </c>
      <c r="AB53" s="28">
        <f>COGS!AB53+'SG&amp;A'!AB53</f>
        <v>0</v>
      </c>
      <c r="AC53" s="28">
        <f>COGS!AC53+'SG&amp;A'!AC53</f>
        <v>0</v>
      </c>
      <c r="AD53" s="28">
        <f>COGS!AD53+'SG&amp;A'!AD53</f>
        <v>0</v>
      </c>
      <c r="AE53" s="28">
        <f>COGS!AE53+'SG&amp;A'!AE53</f>
        <v>0</v>
      </c>
      <c r="AF53" s="28">
        <f>COGS!AF53+'SG&amp;A'!AF53</f>
        <v>0</v>
      </c>
      <c r="AG53" s="28">
        <f>COGS!AG53+'SG&amp;A'!AG53</f>
        <v>0</v>
      </c>
      <c r="AH53" s="28">
        <f>COGS!AH53+'SG&amp;A'!AH53</f>
        <v>0</v>
      </c>
      <c r="AI53" s="28">
        <f>COGS!AI53+'SG&amp;A'!AI53</f>
        <v>0</v>
      </c>
      <c r="AJ53" s="28">
        <f>COGS!AJ53+'SG&amp;A'!AJ53</f>
        <v>0</v>
      </c>
      <c r="AK53" s="28">
        <f>COGS!AK53+'SG&amp;A'!AK53</f>
        <v>0</v>
      </c>
      <c r="AL53" s="28">
        <f>COGS!AL53+'SG&amp;A'!AL53</f>
        <v>0</v>
      </c>
      <c r="AM53" s="28">
        <f>COGS!AM53+'SG&amp;A'!AM53</f>
        <v>0</v>
      </c>
      <c r="AN53" s="28">
        <f>COGS!AN53+'SG&amp;A'!AN53</f>
        <v>0</v>
      </c>
      <c r="AO53" s="28">
        <f>COGS!AO53+'SG&amp;A'!AO53</f>
        <v>0</v>
      </c>
      <c r="AP53" s="28">
        <f>COGS!AP53+'SG&amp;A'!AP53</f>
        <v>0</v>
      </c>
      <c r="AQ53" s="28">
        <f>COGS!AQ53+'SG&amp;A'!AQ53</f>
        <v>0</v>
      </c>
      <c r="AR53" s="28">
        <f>COGS!AR53+'SG&amp;A'!AR53</f>
        <v>0</v>
      </c>
      <c r="AS53" s="28">
        <f>COGS!AS53+'SG&amp;A'!AS53</f>
        <v>0</v>
      </c>
      <c r="AT53" s="28">
        <f>COGS!AT53+'SG&amp;A'!AT53</f>
        <v>0</v>
      </c>
      <c r="AU53" s="28">
        <f>COGS!AU53+'SG&amp;A'!AU53</f>
        <v>0</v>
      </c>
      <c r="AV53" s="28">
        <f>COGS!AV53+'SG&amp;A'!AV53</f>
        <v>0</v>
      </c>
      <c r="AW53" s="28">
        <f>COGS!AW53+'SG&amp;A'!AW53</f>
        <v>0</v>
      </c>
      <c r="AX53" s="28">
        <f>COGS!AX53+'SG&amp;A'!AX53</f>
        <v>0</v>
      </c>
      <c r="AY53" s="28">
        <f>COGS!AY53+'SG&amp;A'!AY53</f>
        <v>0</v>
      </c>
      <c r="AZ53" s="28">
        <f>COGS!AZ53+'SG&amp;A'!AZ53</f>
        <v>0</v>
      </c>
      <c r="BA53" s="28">
        <f>COGS!BA53+'SG&amp;A'!BA53</f>
        <v>0</v>
      </c>
      <c r="BB53" s="28">
        <f>COGS!BB53+'SG&amp;A'!BB53</f>
        <v>0</v>
      </c>
      <c r="BC53" s="28">
        <f>COGS!BC53+'SG&amp;A'!BC53</f>
        <v>0</v>
      </c>
      <c r="BD53" s="28">
        <f>COGS!BD53+'SG&amp;A'!BD53</f>
        <v>0</v>
      </c>
      <c r="BE53" s="28">
        <f>COGS!BE53+'SG&amp;A'!BE53</f>
        <v>0</v>
      </c>
      <c r="BF53" s="28">
        <f>COGS!BF53+'SG&amp;A'!BF53</f>
        <v>0</v>
      </c>
      <c r="BG53" s="28">
        <f>COGS!BG53+'SG&amp;A'!BG53</f>
        <v>0</v>
      </c>
      <c r="BH53" s="28">
        <f>COGS!BH53+'SG&amp;A'!BH53</f>
        <v>0</v>
      </c>
      <c r="BI53" s="28">
        <f>COGS!BI53+'SG&amp;A'!BI53</f>
        <v>0</v>
      </c>
      <c r="BJ53" s="28">
        <f>COGS!BJ53+'SG&amp;A'!BJ53</f>
        <v>6.9584903000000002</v>
      </c>
      <c r="BK53" s="28">
        <f>COGS!BK53+'SG&amp;A'!BK53</f>
        <v>4.1532202299999996</v>
      </c>
      <c r="BL53" s="28">
        <f>COGS!BL53+'SG&amp;A'!BL53</f>
        <v>4.0813061600000013</v>
      </c>
      <c r="BM53" s="28">
        <f>COGS!BM53+'SG&amp;A'!BM53</f>
        <v>4.222578030000002</v>
      </c>
      <c r="BN53" s="28">
        <f>COGS!BN53+'SG&amp;A'!BN53</f>
        <v>19.415594720000001</v>
      </c>
      <c r="BO53" s="28">
        <f>COGS!BO53+'SG&amp;A'!BO53</f>
        <v>4.50550753</v>
      </c>
      <c r="BP53" s="28">
        <f>COGS!BP53+'SG&amp;A'!BP53</f>
        <v>5.9328275899999996</v>
      </c>
      <c r="BQ53" s="28">
        <f>COGS!BQ53+'SG&amp;A'!BQ53</f>
        <v>5.5243957499999992</v>
      </c>
      <c r="BR53" s="28">
        <f>COGS!BR53+'SG&amp;A'!BR53</f>
        <v>4.8877232200000007</v>
      </c>
      <c r="BS53" s="28">
        <f>COGS!BS53+'SG&amp;A'!BS53</f>
        <v>20.850454089999999</v>
      </c>
      <c r="BT53" s="28">
        <f>COGS!BT53+'SG&amp;A'!BT53</f>
        <v>6.7872362599999994</v>
      </c>
      <c r="BU53" s="28">
        <f>COGS!BU53+'SG&amp;A'!BU53</f>
        <v>5.4475320200000015</v>
      </c>
      <c r="BV53" s="28">
        <f>COGS!BV53+'SG&amp;A'!BV53</f>
        <v>5.2406490499999991</v>
      </c>
      <c r="BW53" s="28">
        <f>COGS!BW53+'SG&amp;A'!BW53</f>
        <v>7.5252812100000037</v>
      </c>
      <c r="BX53" s="28">
        <f>COGS!BX53+'SG&amp;A'!BX53</f>
        <v>25.000698540000002</v>
      </c>
      <c r="BY53" s="28">
        <f>COGS!BY53+'SG&amp;A'!BY53</f>
        <v>5.6872865499999996</v>
      </c>
      <c r="BZ53" s="28">
        <f>COGS!BZ53+'SG&amp;A'!BZ53</f>
        <v>5.4902873100000011</v>
      </c>
      <c r="CA53" s="28">
        <f>COGS!CA53+'SG&amp;A'!CA53</f>
        <v>5.8248570599999976</v>
      </c>
      <c r="CB53" s="28">
        <f>COGS!CB53+'SG&amp;A'!CB53</f>
        <v>5.8880364500000031</v>
      </c>
      <c r="CC53" s="28">
        <f>COGS!CC53+'SG&amp;A'!CC53</f>
        <v>22.890467370000003</v>
      </c>
      <c r="CD53" s="28">
        <f>COGS!CD53+'SG&amp;A'!CD53</f>
        <v>13.571332700000001</v>
      </c>
      <c r="CE53" s="28">
        <f>COGS!CE53+'SG&amp;A'!CE53</f>
        <v>7.7883626800000005</v>
      </c>
      <c r="CF53" s="28">
        <f>COGS!CF53+'SG&amp;A'!CF53</f>
        <v>11.918260209999998</v>
      </c>
      <c r="CG53" s="28">
        <f>COGS!CG53+'SG&amp;A'!CG53</f>
        <v>10.2755621</v>
      </c>
      <c r="CH53" s="28">
        <f>COGS!CH53+'SG&amp;A'!CH53</f>
        <v>43.55351769</v>
      </c>
      <c r="CI53" s="28">
        <f>COGS!CI53+'SG&amp;A'!CI53</f>
        <v>10.79035369</v>
      </c>
      <c r="CJ53" s="28">
        <f>COGS!CJ53+'SG&amp;A'!CJ53</f>
        <v>5.7312121100000013</v>
      </c>
      <c r="CK53" s="28">
        <f>COGS!CK53+'SG&amp;A'!CK53</f>
        <v>3.5180454999999995</v>
      </c>
      <c r="CL53" s="28">
        <f>COGS!CL53+'SG&amp;A'!CL53</f>
        <v>9.3116584300000014</v>
      </c>
      <c r="CM53" s="28">
        <f>COGS!CM53+'SG&amp;A'!CM53</f>
        <v>29.351269730000002</v>
      </c>
      <c r="CN53" s="28">
        <f>COGS!CN53+'SG&amp;A'!CN53</f>
        <v>4.0576290300000002</v>
      </c>
      <c r="CO53" s="28">
        <f>COGS!CO53+'SG&amp;A'!CO53</f>
        <v>5.2141980600000002</v>
      </c>
      <c r="CP53" s="28">
        <f>COGS!CP53+'SG&amp;A'!CP53</f>
        <v>2.1873024799999996</v>
      </c>
      <c r="CQ53" s="28">
        <f>COGS!CQ53+'SG&amp;A'!CQ53</f>
        <v>3.0158704299999997</v>
      </c>
      <c r="CR53" s="28">
        <f>COGS!CR53+'SG&amp;A'!CR53</f>
        <v>14.475</v>
      </c>
      <c r="CS53" s="28">
        <f>COGS!CS53+'SG&amp;A'!CS53</f>
        <v>7.0674835400000005</v>
      </c>
      <c r="CT53" s="28">
        <f>COGS!CT53+'SG&amp;A'!CT53</f>
        <v>0.98151645999999904</v>
      </c>
      <c r="CU53" s="28">
        <f>COGS!CU53+'SG&amp;A'!CU53</f>
        <v>7.0135963800000001</v>
      </c>
      <c r="CV53" s="28">
        <f>COGS!CV53+'SG&amp;A'!CV53</f>
        <v>5.01018031</v>
      </c>
      <c r="CW53" s="28">
        <f>COGS!CW53+'SG&amp;A'!CW53</f>
        <v>20.072776689999998</v>
      </c>
      <c r="CX53" s="28">
        <f>COGS!CX53+'SG&amp;A'!CX53</f>
        <v>4.7169999999999996</v>
      </c>
      <c r="CY53" s="28">
        <f>COGS!CY53+'SG&amp;A'!CY53</f>
        <v>2.6110000000000002</v>
      </c>
      <c r="CZ53" s="28">
        <f>COGS!CZ53+'SG&amp;A'!CZ53</f>
        <v>8.1690000000000005</v>
      </c>
      <c r="DA53" s="28">
        <f>COGS!DA53+'SG&amp;A'!DA53</f>
        <v>5.6260000000000003</v>
      </c>
      <c r="DB53" s="28">
        <f>COGS!DB53+'SG&amp;A'!DB53</f>
        <v>21.123000000000001</v>
      </c>
      <c r="DC53" s="28">
        <f>COGS!DC53+'SG&amp;A'!DC53</f>
        <v>10.332000000000001</v>
      </c>
      <c r="DD53" s="28">
        <f>COGS!DD53+'SG&amp;A'!DD53</f>
        <v>8.3610000000000007</v>
      </c>
      <c r="DE53" s="28">
        <f>COGS!DE53+'SG&amp;A'!DE53</f>
        <v>18.026</v>
      </c>
      <c r="DF53" s="28">
        <f>COGS!DF53+'SG&amp;A'!DF53</f>
        <v>3.879</v>
      </c>
      <c r="DG53" s="28">
        <f>COGS!DG53+'SG&amp;A'!DG53</f>
        <v>40.597999999999999</v>
      </c>
      <c r="DH53" s="28">
        <f>COGS!DH53+'SG&amp;A'!DH53</f>
        <v>3.911</v>
      </c>
      <c r="DI53" s="28">
        <f>COGS!DI53+'SG&amp;A'!DI53</f>
        <v>3.5920000000000001</v>
      </c>
      <c r="DJ53" s="28">
        <f>COGS!DJ53+'SG&amp;A'!DJ53</f>
        <v>3.476</v>
      </c>
      <c r="DK53" s="28">
        <f>COGS!DK53+'SG&amp;A'!DK53</f>
        <v>1.5640000000000001</v>
      </c>
      <c r="DL53" s="28">
        <f>COGS!DL53+'SG&amp;A'!DL53</f>
        <v>12.542999999999999</v>
      </c>
      <c r="DM53" s="28">
        <f>COGS!DM53+'SG&amp;A'!DM53</f>
        <v>3.8140000000000001</v>
      </c>
      <c r="DN53" s="28">
        <f>COGS!DN53+'SG&amp;A'!DN53</f>
        <v>4.9349999999999996</v>
      </c>
      <c r="DO53" s="28">
        <f>COGS!DO53+'SG&amp;A'!DO53</f>
        <v>3.6419999999999999</v>
      </c>
      <c r="DP53" s="28">
        <f>COGS!DP53+'SG&amp;A'!DP53</f>
        <v>-0.64600000000000002</v>
      </c>
      <c r="DQ53" s="28">
        <f>COGS!DQ53+'SG&amp;A'!DQ53</f>
        <v>11.744999999999997</v>
      </c>
      <c r="DR53" s="28">
        <f>COGS!DR53+'SG&amp;A'!DR53</f>
        <v>4.8970000000000002</v>
      </c>
      <c r="DS53" s="28">
        <f>COGS!DS53+'SG&amp;A'!DS53</f>
        <v>3.4529999999999998</v>
      </c>
      <c r="DT53" s="28">
        <f>COGS!DT53+'SG&amp;A'!DT53</f>
        <v>6.5410000000000004</v>
      </c>
      <c r="DU53" s="28">
        <f>COGS!DU53+'SG&amp;A'!DU53</f>
        <v>4.5910000000000002</v>
      </c>
      <c r="DV53" s="28">
        <f>COGS!DV53+'SG&amp;A'!DV53</f>
        <v>19.481999999999999</v>
      </c>
      <c r="DW53" s="28">
        <f>COGS!DW53+'SG&amp;A'!DW53</f>
        <v>5.923</v>
      </c>
      <c r="DX53" s="28">
        <f>COGS!DX53+'SG&amp;A'!DX53</f>
        <v>6.6879970499999999</v>
      </c>
      <c r="DY53" s="28">
        <f>COGS!DY53+'SG&amp;A'!DY53</f>
        <v>6.5263622100000012</v>
      </c>
      <c r="DZ53" s="28">
        <f>COGS!DZ53+'SG&amp;A'!DZ53</f>
        <v>10.590448969999999</v>
      </c>
      <c r="EA53" s="28">
        <f>COGS!EA53+'SG&amp;A'!EA53</f>
        <v>29.727808230000001</v>
      </c>
      <c r="EB53" s="28">
        <f>COGS!EB53+'SG&amp;A'!EB53</f>
        <v>7.9232905999999996</v>
      </c>
      <c r="EC53" s="28">
        <f>COGS!EC53+'SG&amp;A'!EC53</f>
        <v>7.7514774100000006</v>
      </c>
      <c r="ED53" s="28">
        <f>COGS!ED53+'SG&amp;A'!ED53</f>
        <v>7.0259999999999998</v>
      </c>
      <c r="EE53" s="28">
        <f>COGS!EE53+'SG&amp;A'!EE53</f>
        <v>4.161837150000002</v>
      </c>
      <c r="EF53" s="28">
        <f>COGS!EF53+'SG&amp;A'!EF53</f>
        <v>26.862605160000001</v>
      </c>
      <c r="EG53" s="28">
        <f>COGS!EG53+'SG&amp;A'!EG53</f>
        <v>7.6455368300000002</v>
      </c>
      <c r="EH53" s="28">
        <f>COGS!EH53+'SG&amp;A'!EH53</f>
        <v>8.503893119999999</v>
      </c>
      <c r="EI53" s="28">
        <f>COGS!EI53+'SG&amp;A'!EI53</f>
        <v>8.352074570000001</v>
      </c>
    </row>
    <row r="54" spans="1:139" ht="15" thickTop="1" x14ac:dyDescent="0.3">
      <c r="A54" s="1" t="s">
        <v>308</v>
      </c>
      <c r="B54" s="27">
        <f>COGS!B54+'SG&amp;A'!B54</f>
        <v>0</v>
      </c>
      <c r="C54" s="27">
        <f>COGS!C54+'SG&amp;A'!C54</f>
        <v>0</v>
      </c>
      <c r="D54" s="27">
        <f>COGS!D54+'SG&amp;A'!D54</f>
        <v>0</v>
      </c>
      <c r="E54" s="27">
        <f>COGS!E54+'SG&amp;A'!E54</f>
        <v>0</v>
      </c>
      <c r="F54" s="27">
        <f>COGS!F54+'SG&amp;A'!F54</f>
        <v>0</v>
      </c>
      <c r="G54" s="27">
        <f>COGS!G54+'SG&amp;A'!G54</f>
        <v>0</v>
      </c>
      <c r="H54" s="27">
        <f>COGS!H54+'SG&amp;A'!H54</f>
        <v>0</v>
      </c>
      <c r="I54" s="27">
        <f>COGS!I54+'SG&amp;A'!I54</f>
        <v>0</v>
      </c>
      <c r="J54" s="27">
        <f>COGS!J54+'SG&amp;A'!J54</f>
        <v>0</v>
      </c>
      <c r="K54" s="27">
        <f>COGS!K54+'SG&amp;A'!K54</f>
        <v>0</v>
      </c>
      <c r="L54" s="27">
        <f>COGS!L54+'SG&amp;A'!L54</f>
        <v>0</v>
      </c>
      <c r="M54" s="27">
        <f>COGS!M54+'SG&amp;A'!M54</f>
        <v>0</v>
      </c>
      <c r="N54" s="27">
        <f>COGS!N54+'SG&amp;A'!N54</f>
        <v>0</v>
      </c>
      <c r="O54" s="27">
        <f>COGS!O54+'SG&amp;A'!O54</f>
        <v>0</v>
      </c>
      <c r="P54" s="27">
        <f>COGS!P54+'SG&amp;A'!P54</f>
        <v>0</v>
      </c>
      <c r="Q54" s="27">
        <f>COGS!Q54+'SG&amp;A'!Q54</f>
        <v>0</v>
      </c>
      <c r="R54" s="27">
        <f>COGS!R54+'SG&amp;A'!R54</f>
        <v>0</v>
      </c>
      <c r="S54" s="27">
        <f>COGS!S54+'SG&amp;A'!S54</f>
        <v>0</v>
      </c>
      <c r="T54" s="27">
        <f>COGS!T54+'SG&amp;A'!T54</f>
        <v>0</v>
      </c>
      <c r="U54" s="27">
        <f>COGS!U54+'SG&amp;A'!U54</f>
        <v>0</v>
      </c>
      <c r="V54" s="27">
        <f>COGS!V54+'SG&amp;A'!V54</f>
        <v>0</v>
      </c>
      <c r="W54" s="27">
        <f>COGS!W54+'SG&amp;A'!W54</f>
        <v>0</v>
      </c>
      <c r="X54" s="27">
        <f>COGS!X54+'SG&amp;A'!X54</f>
        <v>0</v>
      </c>
      <c r="Y54" s="27">
        <f>COGS!Y54+'SG&amp;A'!Y54</f>
        <v>0</v>
      </c>
      <c r="Z54" s="27">
        <f>COGS!Z54+'SG&amp;A'!Z54</f>
        <v>0</v>
      </c>
      <c r="AA54" s="27">
        <f>COGS!AA54+'SG&amp;A'!AA54</f>
        <v>0</v>
      </c>
      <c r="AB54" s="27">
        <f>COGS!AB54+'SG&amp;A'!AB54</f>
        <v>0</v>
      </c>
      <c r="AC54" s="27">
        <f>COGS!AC54+'SG&amp;A'!AC54</f>
        <v>0</v>
      </c>
      <c r="AD54" s="27">
        <f>COGS!AD54+'SG&amp;A'!AD54</f>
        <v>0</v>
      </c>
      <c r="AE54" s="27">
        <f>COGS!AE54+'SG&amp;A'!AE54</f>
        <v>0</v>
      </c>
      <c r="AF54" s="27">
        <f>COGS!AF54+'SG&amp;A'!AF54</f>
        <v>0</v>
      </c>
      <c r="AG54" s="27">
        <f>COGS!AG54+'SG&amp;A'!AG54</f>
        <v>0</v>
      </c>
      <c r="AH54" s="27">
        <f>COGS!AH54+'SG&amp;A'!AH54</f>
        <v>0</v>
      </c>
      <c r="AI54" s="27">
        <f>COGS!AI54+'SG&amp;A'!AI54</f>
        <v>0</v>
      </c>
      <c r="AJ54" s="27">
        <f>COGS!AJ54+'SG&amp;A'!AJ54</f>
        <v>0</v>
      </c>
      <c r="AK54" s="27">
        <f>COGS!AK54+'SG&amp;A'!AK54</f>
        <v>0</v>
      </c>
      <c r="AL54" s="27">
        <f>COGS!AL54+'SG&amp;A'!AL54</f>
        <v>0</v>
      </c>
      <c r="AM54" s="27">
        <f>COGS!AM54+'SG&amp;A'!AM54</f>
        <v>0</v>
      </c>
      <c r="AN54" s="27">
        <f>COGS!AN54+'SG&amp;A'!AN54</f>
        <v>0</v>
      </c>
      <c r="AO54" s="27">
        <f>COGS!AO54+'SG&amp;A'!AO54</f>
        <v>0</v>
      </c>
      <c r="AP54" s="27">
        <f>COGS!AP54+'SG&amp;A'!AP54</f>
        <v>0</v>
      </c>
      <c r="AQ54" s="27">
        <f>COGS!AQ54+'SG&amp;A'!AQ54</f>
        <v>0</v>
      </c>
      <c r="AR54" s="27">
        <f>COGS!AR54+'SG&amp;A'!AR54</f>
        <v>0</v>
      </c>
      <c r="AS54" s="27">
        <f>COGS!AS54+'SG&amp;A'!AS54</f>
        <v>0</v>
      </c>
      <c r="AT54" s="27">
        <f>COGS!AT54+'SG&amp;A'!AT54</f>
        <v>0</v>
      </c>
      <c r="AU54" s="27">
        <f>COGS!AU54+'SG&amp;A'!AU54</f>
        <v>0</v>
      </c>
      <c r="AV54" s="27">
        <f>COGS!AV54+'SG&amp;A'!AV54</f>
        <v>0</v>
      </c>
      <c r="AW54" s="27">
        <f>COGS!AW54+'SG&amp;A'!AW54</f>
        <v>0</v>
      </c>
      <c r="AX54" s="27">
        <f>COGS!AX54+'SG&amp;A'!AX54</f>
        <v>0</v>
      </c>
      <c r="AY54" s="27">
        <f>COGS!AY54+'SG&amp;A'!AY54</f>
        <v>0</v>
      </c>
      <c r="AZ54" s="27">
        <f>COGS!AZ54+'SG&amp;A'!AZ54</f>
        <v>0</v>
      </c>
      <c r="BA54" s="27">
        <f>COGS!BA54+'SG&amp;A'!BA54</f>
        <v>0</v>
      </c>
      <c r="BB54" s="27">
        <f>COGS!BB54+'SG&amp;A'!BB54</f>
        <v>0</v>
      </c>
      <c r="BC54" s="27">
        <f>COGS!BC54+'SG&amp;A'!BC54</f>
        <v>0</v>
      </c>
      <c r="BD54" s="27">
        <f>COGS!BD54+'SG&amp;A'!BD54</f>
        <v>0</v>
      </c>
      <c r="BE54" s="27">
        <f>COGS!BE54+'SG&amp;A'!BE54</f>
        <v>0</v>
      </c>
      <c r="BF54" s="27">
        <f>COGS!BF54+'SG&amp;A'!BF54</f>
        <v>0</v>
      </c>
      <c r="BG54" s="27">
        <f>COGS!BG54+'SG&amp;A'!BG54</f>
        <v>0</v>
      </c>
      <c r="BH54" s="27">
        <f>COGS!BH54+'SG&amp;A'!BH54</f>
        <v>0</v>
      </c>
      <c r="BI54" s="27">
        <f>COGS!BI54+'SG&amp;A'!BI54</f>
        <v>0</v>
      </c>
      <c r="BJ54" s="27">
        <f>COGS!BJ54+'SG&amp;A'!BJ54</f>
        <v>0</v>
      </c>
      <c r="BK54" s="27">
        <f>COGS!BK54+'SG&amp;A'!BK54</f>
        <v>-0.30970652999999998</v>
      </c>
      <c r="BL54" s="27">
        <f>COGS!BL54+'SG&amp;A'!BL54</f>
        <v>-0.31361825000000004</v>
      </c>
      <c r="BM54" s="27">
        <f>COGS!BM54+'SG&amp;A'!BM54</f>
        <v>-0.36073383999999992</v>
      </c>
      <c r="BN54" s="27">
        <f>COGS!BN54+'SG&amp;A'!BN54</f>
        <v>-0.98405861999999988</v>
      </c>
      <c r="BO54" s="27">
        <f>COGS!BO54+'SG&amp;A'!BO54</f>
        <v>-3.3072613099999999</v>
      </c>
      <c r="BP54" s="27">
        <f>COGS!BP54+'SG&amp;A'!BP54</f>
        <v>-5.277509610000001</v>
      </c>
      <c r="BQ54" s="27">
        <f>COGS!BQ54+'SG&amp;A'!BQ54</f>
        <v>-4.6001682499999994</v>
      </c>
      <c r="BR54" s="27">
        <f>COGS!BR54+'SG&amp;A'!BR54</f>
        <v>-5.0182247499999999</v>
      </c>
      <c r="BS54" s="27">
        <f>COGS!BS54+'SG&amp;A'!BS54</f>
        <v>-18.203163920000001</v>
      </c>
      <c r="BT54" s="27">
        <f>COGS!BT54+'SG&amp;A'!BT54</f>
        <v>0</v>
      </c>
      <c r="BU54" s="27">
        <f>COGS!BU54+'SG&amp;A'!BU54</f>
        <v>0</v>
      </c>
      <c r="BV54" s="27">
        <f>COGS!BV54+'SG&amp;A'!BV54</f>
        <v>0.10000000000000009</v>
      </c>
      <c r="BW54" s="27">
        <f>COGS!BW54+'SG&amp;A'!BW54</f>
        <v>-0.39999999999999991</v>
      </c>
      <c r="BX54" s="27">
        <f>COGS!BX54+'SG&amp;A'!BX54</f>
        <v>-0.29999999999999893</v>
      </c>
      <c r="BY54" s="27">
        <f>COGS!BY54+'SG&amp;A'!BY54</f>
        <v>-0.10000000000000009</v>
      </c>
      <c r="BZ54" s="27">
        <f>COGS!BZ54+'SG&amp;A'!BZ54</f>
        <v>0</v>
      </c>
      <c r="CA54" s="27">
        <f>COGS!CA54+'SG&amp;A'!CA54</f>
        <v>0.10000000000000009</v>
      </c>
      <c r="CB54" s="27">
        <f>COGS!CB54+'SG&amp;A'!CB54</f>
        <v>0</v>
      </c>
      <c r="CC54" s="27">
        <f>COGS!CC54+'SG&amp;A'!CC54</f>
        <v>0</v>
      </c>
      <c r="CD54" s="27">
        <f>COGS!CD54+'SG&amp;A'!CD54</f>
        <v>-0.11320229000000026</v>
      </c>
      <c r="CE54" s="27">
        <f>COGS!CE54+'SG&amp;A'!CE54</f>
        <v>0.11341007999999952</v>
      </c>
      <c r="CF54" s="27">
        <f>COGS!CF54+'SG&amp;A'!CF54</f>
        <v>-0.10000000000000009</v>
      </c>
      <c r="CG54" s="27">
        <f>COGS!CG54+'SG&amp;A'!CG54</f>
        <v>0</v>
      </c>
      <c r="CH54" s="27">
        <f>COGS!CH54+'SG&amp;A'!CH54</f>
        <v>-9.9792210000001269E-2</v>
      </c>
      <c r="CI54" s="27">
        <f>COGS!CI54+'SG&amp;A'!CI54</f>
        <v>0</v>
      </c>
      <c r="CJ54" s="27">
        <f>COGS!CJ54+'SG&amp;A'!CJ54</f>
        <v>0</v>
      </c>
      <c r="CK54" s="27">
        <f>COGS!CK54+'SG&amp;A'!CK54</f>
        <v>0</v>
      </c>
      <c r="CL54" s="27">
        <f>COGS!CL54+'SG&amp;A'!CL54</f>
        <v>0</v>
      </c>
      <c r="CM54" s="27">
        <f>COGS!CM54+'SG&amp;A'!CM54</f>
        <v>0</v>
      </c>
      <c r="CN54" s="27">
        <f>COGS!CN54+'SG&amp;A'!CN54</f>
        <v>0.10021072000000331</v>
      </c>
      <c r="CO54" s="27">
        <f>COGS!CO54+'SG&amp;A'!CO54</f>
        <v>-2.1072000000330049E-4</v>
      </c>
      <c r="CP54" s="27">
        <f>COGS!CP54+'SG&amp;A'!CP54</f>
        <v>-0.1</v>
      </c>
      <c r="CQ54" s="27">
        <f>COGS!CQ54+'SG&amp;A'!CQ54</f>
        <v>0</v>
      </c>
      <c r="CR54" s="27">
        <f>COGS!CR54+'SG&amp;A'!CR54</f>
        <v>0</v>
      </c>
      <c r="CS54" s="27">
        <f>COGS!CS54+'SG&amp;A'!CS54</f>
        <v>0</v>
      </c>
      <c r="CT54" s="27">
        <f>COGS!CT54+'SG&amp;A'!CT54</f>
        <v>0</v>
      </c>
      <c r="CU54" s="27">
        <f>COGS!CU54+'SG&amp;A'!CU54</f>
        <v>0</v>
      </c>
      <c r="CV54" s="27">
        <f>COGS!CV54+'SG&amp;A'!CV54</f>
        <v>0</v>
      </c>
      <c r="CW54" s="27">
        <f>COGS!CW54+'SG&amp;A'!CW54</f>
        <v>0</v>
      </c>
      <c r="CX54" s="27">
        <f>COGS!CX54+'SG&amp;A'!CX54</f>
        <v>0</v>
      </c>
      <c r="CY54" s="27">
        <f>COGS!CY54+'SG&amp;A'!CY54</f>
        <v>0</v>
      </c>
      <c r="CZ54" s="27">
        <f>COGS!CZ54+'SG&amp;A'!CZ54</f>
        <v>0</v>
      </c>
      <c r="DA54" s="27">
        <f>COGS!DA54+'SG&amp;A'!DA54</f>
        <v>0</v>
      </c>
      <c r="DB54" s="27">
        <f>COGS!DB54+'SG&amp;A'!DB54</f>
        <v>0</v>
      </c>
      <c r="DC54" s="27">
        <f>COGS!DC54+'SG&amp;A'!DC54</f>
        <v>1.8</v>
      </c>
      <c r="DD54" s="27">
        <f>COGS!DD54+'SG&amp;A'!DD54</f>
        <v>0</v>
      </c>
      <c r="DE54" s="27">
        <f>COGS!DE54+'SG&amp;A'!DE54</f>
        <v>-2.6669999999999998</v>
      </c>
      <c r="DF54" s="27">
        <f>COGS!DF54+'SG&amp;A'!DF54</f>
        <v>-3.5859999999999999</v>
      </c>
      <c r="DG54" s="27">
        <f>COGS!DG54+'SG&amp;A'!DG54</f>
        <v>-4.4529999999999994</v>
      </c>
      <c r="DH54" s="27">
        <f>COGS!DH54+'SG&amp;A'!DH54</f>
        <v>-5.26</v>
      </c>
      <c r="DI54" s="27">
        <f>COGS!DI54+'SG&amp;A'!DI54</f>
        <v>-6.6840000000000002</v>
      </c>
      <c r="DJ54" s="27">
        <f>COGS!DJ54+'SG&amp;A'!DJ54</f>
        <v>-6.2960000000000003</v>
      </c>
      <c r="DK54" s="27">
        <f>COGS!DK54+'SG&amp;A'!DK54</f>
        <v>-9.61</v>
      </c>
      <c r="DL54" s="27">
        <f>COGS!DL54+'SG&amp;A'!DL54</f>
        <v>-27.849999999999998</v>
      </c>
      <c r="DM54" s="27">
        <f>COGS!DM54+'SG&amp;A'!DM54</f>
        <v>-7.5419999999999998</v>
      </c>
      <c r="DN54" s="27">
        <f>COGS!DN54+'SG&amp;A'!DN54</f>
        <v>-7.5419999999999998</v>
      </c>
      <c r="DO54" s="27">
        <f>COGS!DO54+'SG&amp;A'!DO54</f>
        <v>-7.6050000000000004</v>
      </c>
      <c r="DP54" s="27">
        <f>COGS!DP54+'SG&amp;A'!DP54</f>
        <v>-8.8420000000000005</v>
      </c>
      <c r="DQ54" s="27">
        <f>COGS!DQ54+'SG&amp;A'!DQ54</f>
        <v>-31.530999999999999</v>
      </c>
      <c r="DR54" s="27">
        <f>COGS!DR54+'SG&amp;A'!DR54</f>
        <v>-8.3000000000000007</v>
      </c>
      <c r="DS54" s="27">
        <f>COGS!DS54+'SG&amp;A'!DS54</f>
        <v>-8.3000000000000007</v>
      </c>
      <c r="DT54" s="27">
        <f>COGS!DT54+'SG&amp;A'!DT54</f>
        <v>-8.2989999999999995</v>
      </c>
      <c r="DU54" s="27">
        <f>COGS!DU54+'SG&amp;A'!DU54</f>
        <v>-13.202999999999999</v>
      </c>
      <c r="DV54" s="27">
        <f>COGS!DV54+'SG&amp;A'!DV54</f>
        <v>-38.102000000000004</v>
      </c>
      <c r="DW54" s="27">
        <f>COGS!DW54+'SG&amp;A'!DW54</f>
        <v>-8.1289999999999996</v>
      </c>
      <c r="DX54" s="27">
        <f>COGS!DX54+'SG&amp;A'!DX54</f>
        <v>-7.96</v>
      </c>
      <c r="DY54" s="27">
        <f>COGS!DY54+'SG&amp;A'!DY54</f>
        <v>-8.9329626299999987</v>
      </c>
      <c r="DZ54" s="27">
        <f>COGS!DZ54+'SG&amp;A'!DZ54</f>
        <v>-8.7716992300000047</v>
      </c>
      <c r="EA54" s="27">
        <f>COGS!EA54+'SG&amp;A'!EA54</f>
        <v>-33.79366186</v>
      </c>
      <c r="EB54" s="27">
        <f>COGS!EB54+'SG&amp;A'!EB54</f>
        <v>-11.395472659999999</v>
      </c>
      <c r="EC54" s="27">
        <f>COGS!EC54+'SG&amp;A'!EC54</f>
        <v>-13.81425628</v>
      </c>
      <c r="ED54" s="27">
        <f>COGS!ED54+'SG&amp;A'!ED54</f>
        <v>-10.805</v>
      </c>
      <c r="EE54" s="27">
        <f>COGS!EE54+'SG&amp;A'!EE54</f>
        <v>-13.511448210000001</v>
      </c>
      <c r="EF54" s="27">
        <f>COGS!EF54+'SG&amp;A'!EF54</f>
        <v>-49.526177149999995</v>
      </c>
      <c r="EG54" s="27">
        <f>COGS!EG54+'SG&amp;A'!EG54</f>
        <v>-25.293250920000002</v>
      </c>
      <c r="EH54" s="27">
        <f>COGS!EH54+'SG&amp;A'!EH54</f>
        <v>-24.737684429999998</v>
      </c>
      <c r="EI54" s="27">
        <f>COGS!EI54+'SG&amp;A'!EI54</f>
        <v>-26.860266999999993</v>
      </c>
    </row>
    <row r="55" spans="1:139" x14ac:dyDescent="0.3">
      <c r="A55" s="5" t="s">
        <v>311</v>
      </c>
      <c r="B55" s="10">
        <f>SUM(B32:B54)</f>
        <v>0</v>
      </c>
      <c r="C55" s="10">
        <f t="shared" ref="C55:BI55" si="4">SUM(C32:C54)</f>
        <v>0</v>
      </c>
      <c r="D55" s="10">
        <f t="shared" si="4"/>
        <v>0</v>
      </c>
      <c r="E55" s="10">
        <f t="shared" si="4"/>
        <v>0</v>
      </c>
      <c r="F55" s="10">
        <f t="shared" si="4"/>
        <v>0</v>
      </c>
      <c r="G55" s="10">
        <f t="shared" si="4"/>
        <v>0</v>
      </c>
      <c r="H55" s="10">
        <f t="shared" si="4"/>
        <v>0</v>
      </c>
      <c r="I55" s="10">
        <f t="shared" si="4"/>
        <v>0</v>
      </c>
      <c r="J55" s="10">
        <f t="shared" si="4"/>
        <v>0</v>
      </c>
      <c r="K55" s="10">
        <f t="shared" si="4"/>
        <v>0</v>
      </c>
      <c r="L55" s="10">
        <f t="shared" si="4"/>
        <v>0</v>
      </c>
      <c r="M55" s="10">
        <f t="shared" si="4"/>
        <v>0</v>
      </c>
      <c r="N55" s="10">
        <f t="shared" si="4"/>
        <v>0</v>
      </c>
      <c r="O55" s="10">
        <f t="shared" si="4"/>
        <v>0</v>
      </c>
      <c r="P55" s="10">
        <f t="shared" si="4"/>
        <v>0</v>
      </c>
      <c r="Q55" s="10">
        <f t="shared" si="4"/>
        <v>0</v>
      </c>
      <c r="R55" s="10">
        <f t="shared" si="4"/>
        <v>0</v>
      </c>
      <c r="S55" s="10">
        <f t="shared" si="4"/>
        <v>0</v>
      </c>
      <c r="T55" s="10">
        <f t="shared" si="4"/>
        <v>0</v>
      </c>
      <c r="U55" s="10">
        <f t="shared" si="4"/>
        <v>0</v>
      </c>
      <c r="V55" s="10">
        <f t="shared" si="4"/>
        <v>0</v>
      </c>
      <c r="W55" s="10">
        <f t="shared" si="4"/>
        <v>0</v>
      </c>
      <c r="X55" s="10">
        <f t="shared" si="4"/>
        <v>0</v>
      </c>
      <c r="Y55" s="10">
        <f t="shared" si="4"/>
        <v>0</v>
      </c>
      <c r="Z55" s="10">
        <f t="shared" si="4"/>
        <v>0</v>
      </c>
      <c r="AA55" s="10">
        <f t="shared" si="4"/>
        <v>0</v>
      </c>
      <c r="AB55" s="10">
        <f t="shared" si="4"/>
        <v>0</v>
      </c>
      <c r="AC55" s="10">
        <f t="shared" si="4"/>
        <v>0</v>
      </c>
      <c r="AD55" s="10">
        <f t="shared" si="4"/>
        <v>0</v>
      </c>
      <c r="AE55" s="10">
        <f t="shared" si="4"/>
        <v>0</v>
      </c>
      <c r="AF55" s="10">
        <f t="shared" si="4"/>
        <v>0</v>
      </c>
      <c r="AG55" s="10">
        <f t="shared" si="4"/>
        <v>0</v>
      </c>
      <c r="AH55" s="10">
        <f t="shared" si="4"/>
        <v>0</v>
      </c>
      <c r="AI55" s="10">
        <f t="shared" si="4"/>
        <v>0</v>
      </c>
      <c r="AJ55" s="10">
        <f t="shared" si="4"/>
        <v>0</v>
      </c>
      <c r="AK55" s="10">
        <f t="shared" si="4"/>
        <v>0</v>
      </c>
      <c r="AL55" s="10">
        <f t="shared" si="4"/>
        <v>0</v>
      </c>
      <c r="AM55" s="10">
        <f t="shared" si="4"/>
        <v>0</v>
      </c>
      <c r="AN55" s="10">
        <f t="shared" si="4"/>
        <v>0</v>
      </c>
      <c r="AO55" s="10">
        <f t="shared" si="4"/>
        <v>0</v>
      </c>
      <c r="AP55" s="10">
        <f t="shared" si="4"/>
        <v>0</v>
      </c>
      <c r="AQ55" s="10">
        <f t="shared" si="4"/>
        <v>0</v>
      </c>
      <c r="AR55" s="10">
        <f t="shared" si="4"/>
        <v>0</v>
      </c>
      <c r="AS55" s="10">
        <f t="shared" si="4"/>
        <v>0</v>
      </c>
      <c r="AT55" s="10">
        <f t="shared" si="4"/>
        <v>0</v>
      </c>
      <c r="AU55" s="10">
        <f t="shared" si="4"/>
        <v>0</v>
      </c>
      <c r="AV55" s="10">
        <f t="shared" si="4"/>
        <v>0</v>
      </c>
      <c r="AW55" s="10">
        <f t="shared" si="4"/>
        <v>0</v>
      </c>
      <c r="AX55" s="10">
        <f t="shared" si="4"/>
        <v>0</v>
      </c>
      <c r="AY55" s="10">
        <f t="shared" si="4"/>
        <v>0</v>
      </c>
      <c r="AZ55" s="10">
        <f t="shared" si="4"/>
        <v>0</v>
      </c>
      <c r="BA55" s="10">
        <f t="shared" si="4"/>
        <v>0</v>
      </c>
      <c r="BB55" s="10">
        <f t="shared" si="4"/>
        <v>0</v>
      </c>
      <c r="BC55" s="10">
        <f t="shared" si="4"/>
        <v>0</v>
      </c>
      <c r="BD55" s="10">
        <f t="shared" si="4"/>
        <v>0</v>
      </c>
      <c r="BE55" s="10">
        <f t="shared" si="4"/>
        <v>0</v>
      </c>
      <c r="BF55" s="10">
        <f t="shared" si="4"/>
        <v>0</v>
      </c>
      <c r="BG55" s="10">
        <f t="shared" si="4"/>
        <v>0</v>
      </c>
      <c r="BH55" s="10">
        <f t="shared" si="4"/>
        <v>0</v>
      </c>
      <c r="BI55" s="10">
        <f t="shared" si="4"/>
        <v>0</v>
      </c>
      <c r="BJ55" s="29">
        <f>SUM(BJ32:BJ54)</f>
        <v>35.150358759999996</v>
      </c>
      <c r="BK55" s="29">
        <f t="shared" ref="BK55:DT55" si="5">SUM(BK32:BK54)</f>
        <v>32.255854679999999</v>
      </c>
      <c r="BL55" s="29">
        <f t="shared" si="5"/>
        <v>30.000199930000001</v>
      </c>
      <c r="BM55" s="29">
        <f t="shared" si="5"/>
        <v>33.813599589999995</v>
      </c>
      <c r="BN55" s="29">
        <f t="shared" si="5"/>
        <v>131.22001295999999</v>
      </c>
      <c r="BO55" s="29">
        <f t="shared" si="5"/>
        <v>46.988839720000001</v>
      </c>
      <c r="BP55" s="29">
        <f t="shared" si="5"/>
        <v>57.370720409999997</v>
      </c>
      <c r="BQ55" s="29">
        <f t="shared" si="5"/>
        <v>53.64304095</v>
      </c>
      <c r="BR55" s="29">
        <f t="shared" si="5"/>
        <v>54.367985709999985</v>
      </c>
      <c r="BS55" s="29">
        <f t="shared" si="5"/>
        <v>212.37058679</v>
      </c>
      <c r="BT55" s="29">
        <f t="shared" si="5"/>
        <v>39.701514349999997</v>
      </c>
      <c r="BU55" s="29">
        <f t="shared" si="5"/>
        <v>46.892130090000002</v>
      </c>
      <c r="BV55" s="29">
        <f t="shared" si="5"/>
        <v>65.984984889999993</v>
      </c>
      <c r="BW55" s="29">
        <f t="shared" si="5"/>
        <v>78.642797280000011</v>
      </c>
      <c r="BX55" s="29">
        <f t="shared" si="5"/>
        <v>231.22142660999998</v>
      </c>
      <c r="BY55" s="29">
        <f t="shared" si="5"/>
        <v>71.050068460000006</v>
      </c>
      <c r="BZ55" s="29">
        <f t="shared" si="5"/>
        <v>76.739508160000014</v>
      </c>
      <c r="CA55" s="29">
        <f t="shared" si="5"/>
        <v>79.67243633999999</v>
      </c>
      <c r="CB55" s="29">
        <f t="shared" si="5"/>
        <v>85.662599069999999</v>
      </c>
      <c r="CC55" s="29">
        <f t="shared" si="5"/>
        <v>313.12461202999998</v>
      </c>
      <c r="CD55" s="29">
        <f t="shared" si="5"/>
        <v>86.108381479999991</v>
      </c>
      <c r="CE55" s="29">
        <f t="shared" si="5"/>
        <v>97.447466079999998</v>
      </c>
      <c r="CF55" s="29">
        <f t="shared" si="5"/>
        <v>97.014201600000007</v>
      </c>
      <c r="CG55" s="29">
        <f t="shared" si="5"/>
        <v>92.769149359999986</v>
      </c>
      <c r="CH55" s="29">
        <f t="shared" si="5"/>
        <v>373.33919851999997</v>
      </c>
      <c r="CI55" s="29">
        <f t="shared" si="5"/>
        <v>94.001018020000004</v>
      </c>
      <c r="CJ55" s="29">
        <f t="shared" si="5"/>
        <v>104.41405515000001</v>
      </c>
      <c r="CK55" s="29">
        <f t="shared" si="5"/>
        <v>93.119836179999993</v>
      </c>
      <c r="CL55" s="29">
        <f t="shared" si="5"/>
        <v>96.787484680000006</v>
      </c>
      <c r="CM55" s="29">
        <f t="shared" si="5"/>
        <v>388.32239403000005</v>
      </c>
      <c r="CN55" s="29">
        <f t="shared" si="5"/>
        <v>81.515904579999997</v>
      </c>
      <c r="CO55" s="29">
        <f t="shared" si="5"/>
        <v>82.740954650000006</v>
      </c>
      <c r="CP55" s="29">
        <f t="shared" si="5"/>
        <v>79.866523889999996</v>
      </c>
      <c r="CQ55" s="29">
        <f t="shared" si="5"/>
        <v>88.51761688000002</v>
      </c>
      <c r="CR55" s="29">
        <f t="shared" si="5"/>
        <v>332.64100000000008</v>
      </c>
      <c r="CS55" s="29">
        <f t="shared" si="5"/>
        <v>79.897098619999994</v>
      </c>
      <c r="CT55" s="29">
        <f t="shared" si="5"/>
        <v>82.231490349999987</v>
      </c>
      <c r="CU55" s="29">
        <f t="shared" si="5"/>
        <v>79.960758150000004</v>
      </c>
      <c r="CV55" s="29">
        <f t="shared" si="5"/>
        <v>88.585279919999977</v>
      </c>
      <c r="CW55" s="29">
        <f t="shared" si="5"/>
        <v>330.67462704000002</v>
      </c>
      <c r="CX55" s="29">
        <f t="shared" si="5"/>
        <v>76.445000000000007</v>
      </c>
      <c r="CY55" s="29">
        <f t="shared" si="5"/>
        <v>76.679999999999993</v>
      </c>
      <c r="CZ55" s="29">
        <f t="shared" si="5"/>
        <v>84.78</v>
      </c>
      <c r="DA55" s="29">
        <f t="shared" si="5"/>
        <v>83.679000000000002</v>
      </c>
      <c r="DB55" s="29">
        <f t="shared" si="5"/>
        <v>321.58399999999995</v>
      </c>
      <c r="DC55" s="29">
        <f t="shared" si="5"/>
        <v>95.761999999999986</v>
      </c>
      <c r="DD55" s="29">
        <f t="shared" si="5"/>
        <v>92.871000000000009</v>
      </c>
      <c r="DE55" s="29">
        <f t="shared" si="5"/>
        <v>121.154</v>
      </c>
      <c r="DF55" s="29">
        <f t="shared" si="5"/>
        <v>98.207999999999998</v>
      </c>
      <c r="DG55" s="29">
        <f t="shared" si="5"/>
        <v>407.99500000000006</v>
      </c>
      <c r="DH55" s="29">
        <f t="shared" si="5"/>
        <v>97.858999999999995</v>
      </c>
      <c r="DI55" s="29">
        <f t="shared" si="5"/>
        <v>85.567000000000007</v>
      </c>
      <c r="DJ55" s="29">
        <f t="shared" si="5"/>
        <v>98.694999999999979</v>
      </c>
      <c r="DK55" s="29">
        <f t="shared" si="5"/>
        <v>94.626000000000019</v>
      </c>
      <c r="DL55" s="29">
        <f t="shared" si="5"/>
        <v>376.74700000000001</v>
      </c>
      <c r="DM55" s="29">
        <f t="shared" si="5"/>
        <v>104.07499999999999</v>
      </c>
      <c r="DN55" s="29">
        <f t="shared" si="5"/>
        <v>116.42400000000001</v>
      </c>
      <c r="DO55" s="29">
        <f t="shared" si="5"/>
        <v>119.21299999999999</v>
      </c>
      <c r="DP55" s="29">
        <f t="shared" si="5"/>
        <v>100.774</v>
      </c>
      <c r="DQ55" s="29">
        <f t="shared" si="5"/>
        <v>440.42799999999994</v>
      </c>
      <c r="DR55" s="29">
        <f t="shared" si="5"/>
        <v>119.80399999999999</v>
      </c>
      <c r="DS55" s="29">
        <f t="shared" si="5"/>
        <v>122.56099999999999</v>
      </c>
      <c r="DT55" s="29">
        <f t="shared" si="5"/>
        <v>122.32999999999998</v>
      </c>
      <c r="DU55" s="29">
        <f t="shared" ref="DU55:EA55" si="6">SUM(DU32:DU54)</f>
        <v>135.80700000000002</v>
      </c>
      <c r="DV55" s="29">
        <f t="shared" si="6"/>
        <v>500.46799999999996</v>
      </c>
      <c r="DW55" s="29">
        <f t="shared" si="6"/>
        <v>135.79300000000001</v>
      </c>
      <c r="DX55" s="29">
        <f t="shared" si="6"/>
        <v>141.58574774000002</v>
      </c>
      <c r="DY55" s="29">
        <f t="shared" si="6"/>
        <v>149.94431675000001</v>
      </c>
      <c r="DZ55" s="29">
        <f t="shared" si="6"/>
        <v>163.97469954000005</v>
      </c>
      <c r="EA55" s="29">
        <f t="shared" si="6"/>
        <v>591.26284403</v>
      </c>
      <c r="EB55" s="29">
        <f>SUM(EB32:EB54)</f>
        <v>155.26315273</v>
      </c>
      <c r="EC55" s="29">
        <f>SUM(EC32:EC54)</f>
        <v>145.51090620000005</v>
      </c>
      <c r="ED55" s="29">
        <f>SUM(ED32:ED54)</f>
        <v>165.06900000000002</v>
      </c>
      <c r="EE55" s="29">
        <f>SUM(EE32:EE54)</f>
        <v>157.00862094000004</v>
      </c>
      <c r="EF55" s="29">
        <f t="shared" ref="EF55" si="7">SUM(EF32:EF54)</f>
        <v>622.81491624</v>
      </c>
      <c r="EG55" s="29">
        <f>SUM(EG32:EG54)</f>
        <v>147.59781857000002</v>
      </c>
      <c r="EH55" s="29">
        <f>SUM(EH32:EH54)</f>
        <v>170.87526433999997</v>
      </c>
      <c r="EI55" s="29">
        <f>SUM(EI32:EI54)</f>
        <v>179.92626721000008</v>
      </c>
    </row>
    <row r="56" spans="1:139" x14ac:dyDescent="0.3">
      <c r="A56" s="20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</row>
    <row r="57" spans="1:139" x14ac:dyDescent="0.3">
      <c r="A57" s="20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</row>
    <row r="58" spans="1:139" x14ac:dyDescent="0.3">
      <c r="A58" s="3" t="s">
        <v>373</v>
      </c>
      <c r="B58" s="6" t="s">
        <v>4</v>
      </c>
      <c r="C58" s="6" t="s">
        <v>5</v>
      </c>
      <c r="D58" s="6" t="s">
        <v>6</v>
      </c>
      <c r="E58" s="6" t="s">
        <v>7</v>
      </c>
      <c r="F58" s="6">
        <v>2018</v>
      </c>
      <c r="G58" s="6" t="s">
        <v>8</v>
      </c>
      <c r="H58" s="6" t="s">
        <v>9</v>
      </c>
      <c r="I58" s="6" t="s">
        <v>10</v>
      </c>
      <c r="J58" s="6" t="s">
        <v>11</v>
      </c>
      <c r="K58" s="6">
        <v>2019</v>
      </c>
      <c r="L58" s="6" t="s">
        <v>12</v>
      </c>
      <c r="M58" s="6" t="s">
        <v>13</v>
      </c>
      <c r="N58" s="6" t="s">
        <v>14</v>
      </c>
      <c r="O58" s="6" t="s">
        <v>15</v>
      </c>
      <c r="P58" s="6">
        <v>2000</v>
      </c>
      <c r="Q58" s="6" t="s">
        <v>16</v>
      </c>
      <c r="R58" s="6" t="s">
        <v>17</v>
      </c>
      <c r="S58" s="6" t="s">
        <v>18</v>
      </c>
      <c r="T58" s="6" t="s">
        <v>19</v>
      </c>
      <c r="U58" s="6">
        <v>2001</v>
      </c>
      <c r="V58" s="6" t="s">
        <v>20</v>
      </c>
      <c r="W58" s="6" t="s">
        <v>21</v>
      </c>
      <c r="X58" s="6" t="s">
        <v>22</v>
      </c>
      <c r="Y58" s="6" t="s">
        <v>23</v>
      </c>
      <c r="Z58" s="6">
        <v>2002</v>
      </c>
      <c r="AA58" s="6" t="s">
        <v>24</v>
      </c>
      <c r="AB58" s="6" t="s">
        <v>25</v>
      </c>
      <c r="AC58" s="6" t="s">
        <v>26</v>
      </c>
      <c r="AD58" s="6" t="s">
        <v>27</v>
      </c>
      <c r="AE58" s="6">
        <v>2003</v>
      </c>
      <c r="AF58" s="6" t="s">
        <v>28</v>
      </c>
      <c r="AG58" s="6" t="s">
        <v>29</v>
      </c>
      <c r="AH58" s="6" t="s">
        <v>30</v>
      </c>
      <c r="AI58" s="6" t="s">
        <v>31</v>
      </c>
      <c r="AJ58" s="6">
        <v>2004</v>
      </c>
      <c r="AK58" s="6" t="s">
        <v>32</v>
      </c>
      <c r="AL58" s="6" t="s">
        <v>33</v>
      </c>
      <c r="AM58" s="6" t="s">
        <v>34</v>
      </c>
      <c r="AN58" s="6" t="s">
        <v>35</v>
      </c>
      <c r="AO58" s="6">
        <v>2005</v>
      </c>
      <c r="AP58" s="6" t="s">
        <v>36</v>
      </c>
      <c r="AQ58" s="6" t="s">
        <v>37</v>
      </c>
      <c r="AR58" s="6" t="s">
        <v>38</v>
      </c>
      <c r="AS58" s="6" t="s">
        <v>39</v>
      </c>
      <c r="AT58" s="6">
        <v>2006</v>
      </c>
      <c r="AU58" s="6" t="s">
        <v>40</v>
      </c>
      <c r="AV58" s="6" t="s">
        <v>41</v>
      </c>
      <c r="AW58" s="6" t="s">
        <v>42</v>
      </c>
      <c r="AX58" s="6" t="s">
        <v>43</v>
      </c>
      <c r="AY58" s="6">
        <v>2007</v>
      </c>
      <c r="AZ58" s="6" t="s">
        <v>44</v>
      </c>
      <c r="BA58" s="6" t="s">
        <v>45</v>
      </c>
      <c r="BB58" s="6" t="s">
        <v>46</v>
      </c>
      <c r="BC58" s="6" t="s">
        <v>47</v>
      </c>
      <c r="BD58" s="6">
        <v>2008</v>
      </c>
      <c r="BE58" s="6" t="s">
        <v>48</v>
      </c>
      <c r="BF58" s="6" t="s">
        <v>49</v>
      </c>
      <c r="BG58" s="6" t="s">
        <v>50</v>
      </c>
      <c r="BH58" s="6" t="s">
        <v>51</v>
      </c>
      <c r="BI58" s="6">
        <v>2009</v>
      </c>
      <c r="BJ58" s="6" t="s">
        <v>52</v>
      </c>
      <c r="BK58" s="6" t="s">
        <v>53</v>
      </c>
      <c r="BL58" s="6" t="s">
        <v>54</v>
      </c>
      <c r="BM58" s="6" t="s">
        <v>55</v>
      </c>
      <c r="BN58" s="6">
        <v>2010</v>
      </c>
      <c r="BO58" s="6" t="s">
        <v>56</v>
      </c>
      <c r="BP58" s="6" t="s">
        <v>57</v>
      </c>
      <c r="BQ58" s="6" t="s">
        <v>58</v>
      </c>
      <c r="BR58" s="6" t="s">
        <v>59</v>
      </c>
      <c r="BS58" s="6">
        <v>2011</v>
      </c>
      <c r="BT58" s="6" t="s">
        <v>60</v>
      </c>
      <c r="BU58" s="6" t="s">
        <v>61</v>
      </c>
      <c r="BV58" s="6" t="s">
        <v>62</v>
      </c>
      <c r="BW58" s="6" t="s">
        <v>63</v>
      </c>
      <c r="BX58" s="6">
        <v>2012</v>
      </c>
      <c r="BY58" s="6" t="s">
        <v>64</v>
      </c>
      <c r="BZ58" s="6" t="s">
        <v>65</v>
      </c>
      <c r="CA58" s="6" t="s">
        <v>66</v>
      </c>
      <c r="CB58" s="6" t="s">
        <v>67</v>
      </c>
      <c r="CC58" s="6">
        <v>2013</v>
      </c>
      <c r="CD58" s="6" t="s">
        <v>68</v>
      </c>
      <c r="CE58" s="6" t="s">
        <v>69</v>
      </c>
      <c r="CF58" s="6" t="s">
        <v>70</v>
      </c>
      <c r="CG58" s="6" t="s">
        <v>71</v>
      </c>
      <c r="CH58" s="6">
        <v>2014</v>
      </c>
      <c r="CI58" s="6" t="s">
        <v>72</v>
      </c>
      <c r="CJ58" s="6" t="s">
        <v>73</v>
      </c>
      <c r="CK58" s="6" t="s">
        <v>74</v>
      </c>
      <c r="CL58" s="6" t="s">
        <v>75</v>
      </c>
      <c r="CM58" s="6">
        <v>2015</v>
      </c>
      <c r="CN58" s="6" t="s">
        <v>76</v>
      </c>
      <c r="CO58" s="6" t="s">
        <v>77</v>
      </c>
      <c r="CP58" s="6" t="s">
        <v>78</v>
      </c>
      <c r="CQ58" s="6" t="s">
        <v>79</v>
      </c>
      <c r="CR58" s="6">
        <v>2016</v>
      </c>
      <c r="CS58" s="6" t="s">
        <v>80</v>
      </c>
      <c r="CT58" s="6" t="s">
        <v>81</v>
      </c>
      <c r="CU58" s="6" t="s">
        <v>82</v>
      </c>
      <c r="CV58" s="6" t="s">
        <v>83</v>
      </c>
      <c r="CW58" s="6">
        <v>2017</v>
      </c>
      <c r="CX58" s="6" t="s">
        <v>84</v>
      </c>
      <c r="CY58" s="6" t="s">
        <v>85</v>
      </c>
      <c r="CZ58" s="6" t="s">
        <v>86</v>
      </c>
      <c r="DA58" s="6" t="s">
        <v>87</v>
      </c>
      <c r="DB58" s="6">
        <v>2018</v>
      </c>
      <c r="DC58" s="6" t="s">
        <v>88</v>
      </c>
      <c r="DD58" s="6" t="s">
        <v>89</v>
      </c>
      <c r="DE58" s="6" t="s">
        <v>90</v>
      </c>
      <c r="DF58" s="6" t="s">
        <v>91</v>
      </c>
      <c r="DG58" s="6">
        <v>2019</v>
      </c>
      <c r="DH58" s="6" t="s">
        <v>92</v>
      </c>
      <c r="DI58" s="6" t="s">
        <v>93</v>
      </c>
      <c r="DJ58" s="6" t="s">
        <v>94</v>
      </c>
      <c r="DK58" s="6" t="s">
        <v>95</v>
      </c>
      <c r="DL58" s="6">
        <v>2020</v>
      </c>
      <c r="DM58" s="6" t="s">
        <v>96</v>
      </c>
      <c r="DN58" s="6" t="s">
        <v>97</v>
      </c>
      <c r="DO58" s="6" t="s">
        <v>98</v>
      </c>
      <c r="DP58" s="6" t="s">
        <v>99</v>
      </c>
      <c r="DQ58" s="6">
        <v>2021</v>
      </c>
      <c r="DR58" s="6" t="s">
        <v>100</v>
      </c>
      <c r="DS58" s="6" t="s">
        <v>101</v>
      </c>
      <c r="DT58" s="6" t="s">
        <v>200</v>
      </c>
      <c r="DU58" s="6" t="s">
        <v>380</v>
      </c>
      <c r="DV58" s="6">
        <v>2022</v>
      </c>
      <c r="DW58" s="6" t="s">
        <v>379</v>
      </c>
      <c r="DX58" s="6" t="s">
        <v>402</v>
      </c>
      <c r="DY58" s="6" t="s">
        <v>414</v>
      </c>
      <c r="DZ58" s="6" t="s">
        <v>419</v>
      </c>
      <c r="EA58" s="6">
        <v>2023</v>
      </c>
      <c r="EB58" s="6" t="s">
        <v>424</v>
      </c>
      <c r="EC58" s="6" t="s">
        <v>429</v>
      </c>
      <c r="ED58" s="6" t="str">
        <f>$ED$1</f>
        <v>3T24</v>
      </c>
      <c r="EE58" s="6" t="str">
        <f>$EE$1</f>
        <v>4T24</v>
      </c>
      <c r="EF58" s="6">
        <f>$EF$1</f>
        <v>2024</v>
      </c>
      <c r="EG58" s="6" t="str">
        <f>EG$1</f>
        <v>1T25</v>
      </c>
      <c r="EH58" s="6" t="str">
        <f>EH$1</f>
        <v>2T25</v>
      </c>
      <c r="EI58" s="6" t="str">
        <f>EI$1</f>
        <v>3T25</v>
      </c>
    </row>
    <row r="59" spans="1:139" ht="15" thickBot="1" x14ac:dyDescent="0.35">
      <c r="A59" s="4" t="s">
        <v>374</v>
      </c>
      <c r="B59" s="7" t="s">
        <v>102</v>
      </c>
      <c r="C59" s="7" t="s">
        <v>103</v>
      </c>
      <c r="D59" s="7" t="s">
        <v>104</v>
      </c>
      <c r="E59" s="7" t="s">
        <v>105</v>
      </c>
      <c r="F59" s="7">
        <v>2018</v>
      </c>
      <c r="G59" s="7" t="s">
        <v>106</v>
      </c>
      <c r="H59" s="7" t="s">
        <v>107</v>
      </c>
      <c r="I59" s="7" t="s">
        <v>108</v>
      </c>
      <c r="J59" s="7" t="s">
        <v>109</v>
      </c>
      <c r="K59" s="7">
        <v>2019</v>
      </c>
      <c r="L59" s="7" t="s">
        <v>110</v>
      </c>
      <c r="M59" s="7" t="s">
        <v>111</v>
      </c>
      <c r="N59" s="7" t="s">
        <v>112</v>
      </c>
      <c r="O59" s="7" t="s">
        <v>113</v>
      </c>
      <c r="P59" s="7">
        <v>2000</v>
      </c>
      <c r="Q59" s="7" t="s">
        <v>114</v>
      </c>
      <c r="R59" s="7" t="s">
        <v>115</v>
      </c>
      <c r="S59" s="7" t="s">
        <v>116</v>
      </c>
      <c r="T59" s="7" t="s">
        <v>117</v>
      </c>
      <c r="U59" s="7">
        <v>2001</v>
      </c>
      <c r="V59" s="7" t="s">
        <v>118</v>
      </c>
      <c r="W59" s="7" t="s">
        <v>119</v>
      </c>
      <c r="X59" s="7" t="s">
        <v>120</v>
      </c>
      <c r="Y59" s="7" t="s">
        <v>121</v>
      </c>
      <c r="Z59" s="7">
        <v>2002</v>
      </c>
      <c r="AA59" s="7" t="s">
        <v>122</v>
      </c>
      <c r="AB59" s="7" t="s">
        <v>123</v>
      </c>
      <c r="AC59" s="7" t="s">
        <v>124</v>
      </c>
      <c r="AD59" s="7" t="s">
        <v>125</v>
      </c>
      <c r="AE59" s="7">
        <v>2003</v>
      </c>
      <c r="AF59" s="7" t="s">
        <v>126</v>
      </c>
      <c r="AG59" s="7" t="s">
        <v>127</v>
      </c>
      <c r="AH59" s="7" t="s">
        <v>128</v>
      </c>
      <c r="AI59" s="7" t="s">
        <v>129</v>
      </c>
      <c r="AJ59" s="7">
        <v>2004</v>
      </c>
      <c r="AK59" s="7" t="s">
        <v>130</v>
      </c>
      <c r="AL59" s="7" t="s">
        <v>131</v>
      </c>
      <c r="AM59" s="7" t="s">
        <v>132</v>
      </c>
      <c r="AN59" s="7" t="s">
        <v>133</v>
      </c>
      <c r="AO59" s="7">
        <v>2005</v>
      </c>
      <c r="AP59" s="7" t="s">
        <v>134</v>
      </c>
      <c r="AQ59" s="7" t="s">
        <v>135</v>
      </c>
      <c r="AR59" s="7" t="s">
        <v>136</v>
      </c>
      <c r="AS59" s="7" t="s">
        <v>137</v>
      </c>
      <c r="AT59" s="7">
        <v>2006</v>
      </c>
      <c r="AU59" s="7" t="s">
        <v>138</v>
      </c>
      <c r="AV59" s="7" t="s">
        <v>139</v>
      </c>
      <c r="AW59" s="7" t="s">
        <v>140</v>
      </c>
      <c r="AX59" s="7" t="s">
        <v>141</v>
      </c>
      <c r="AY59" s="7">
        <v>2007</v>
      </c>
      <c r="AZ59" s="7" t="s">
        <v>142</v>
      </c>
      <c r="BA59" s="7" t="s">
        <v>143</v>
      </c>
      <c r="BB59" s="7" t="s">
        <v>144</v>
      </c>
      <c r="BC59" s="7" t="s">
        <v>145</v>
      </c>
      <c r="BD59" s="7">
        <v>2008</v>
      </c>
      <c r="BE59" s="7" t="s">
        <v>146</v>
      </c>
      <c r="BF59" s="7" t="s">
        <v>147</v>
      </c>
      <c r="BG59" s="7" t="s">
        <v>148</v>
      </c>
      <c r="BH59" s="7" t="s">
        <v>149</v>
      </c>
      <c r="BI59" s="7">
        <v>2009</v>
      </c>
      <c r="BJ59" s="7" t="s">
        <v>150</v>
      </c>
      <c r="BK59" s="7" t="s">
        <v>151</v>
      </c>
      <c r="BL59" s="7" t="s">
        <v>152</v>
      </c>
      <c r="BM59" s="7" t="s">
        <v>153</v>
      </c>
      <c r="BN59" s="7">
        <v>2010</v>
      </c>
      <c r="BO59" s="7" t="s">
        <v>154</v>
      </c>
      <c r="BP59" s="7" t="s">
        <v>155</v>
      </c>
      <c r="BQ59" s="7" t="s">
        <v>156</v>
      </c>
      <c r="BR59" s="7" t="s">
        <v>157</v>
      </c>
      <c r="BS59" s="7">
        <v>2011</v>
      </c>
      <c r="BT59" s="7" t="s">
        <v>158</v>
      </c>
      <c r="BU59" s="7" t="s">
        <v>159</v>
      </c>
      <c r="BV59" s="7" t="s">
        <v>160</v>
      </c>
      <c r="BW59" s="7" t="s">
        <v>161</v>
      </c>
      <c r="BX59" s="7">
        <v>2012</v>
      </c>
      <c r="BY59" s="7" t="s">
        <v>162</v>
      </c>
      <c r="BZ59" s="7" t="s">
        <v>163</v>
      </c>
      <c r="CA59" s="7" t="s">
        <v>164</v>
      </c>
      <c r="CB59" s="7" t="s">
        <v>165</v>
      </c>
      <c r="CC59" s="7">
        <v>2013</v>
      </c>
      <c r="CD59" s="7" t="s">
        <v>166</v>
      </c>
      <c r="CE59" s="7" t="s">
        <v>167</v>
      </c>
      <c r="CF59" s="7" t="s">
        <v>168</v>
      </c>
      <c r="CG59" s="7" t="s">
        <v>169</v>
      </c>
      <c r="CH59" s="7">
        <v>2014</v>
      </c>
      <c r="CI59" s="7" t="s">
        <v>170</v>
      </c>
      <c r="CJ59" s="7" t="s">
        <v>171</v>
      </c>
      <c r="CK59" s="7" t="s">
        <v>172</v>
      </c>
      <c r="CL59" s="7" t="s">
        <v>173</v>
      </c>
      <c r="CM59" s="7">
        <v>2015</v>
      </c>
      <c r="CN59" s="7" t="s">
        <v>174</v>
      </c>
      <c r="CO59" s="7" t="s">
        <v>175</v>
      </c>
      <c r="CP59" s="7" t="s">
        <v>176</v>
      </c>
      <c r="CQ59" s="7" t="s">
        <v>177</v>
      </c>
      <c r="CR59" s="7">
        <v>2016</v>
      </c>
      <c r="CS59" s="7" t="s">
        <v>178</v>
      </c>
      <c r="CT59" s="7" t="s">
        <v>179</v>
      </c>
      <c r="CU59" s="7" t="s">
        <v>180</v>
      </c>
      <c r="CV59" s="7" t="s">
        <v>181</v>
      </c>
      <c r="CW59" s="7">
        <v>2017</v>
      </c>
      <c r="CX59" s="7" t="s">
        <v>182</v>
      </c>
      <c r="CY59" s="7" t="s">
        <v>183</v>
      </c>
      <c r="CZ59" s="7" t="s">
        <v>184</v>
      </c>
      <c r="DA59" s="7" t="s">
        <v>185</v>
      </c>
      <c r="DB59" s="7">
        <v>2018</v>
      </c>
      <c r="DC59" s="7" t="s">
        <v>186</v>
      </c>
      <c r="DD59" s="7" t="s">
        <v>187</v>
      </c>
      <c r="DE59" s="7" t="s">
        <v>188</v>
      </c>
      <c r="DF59" s="7" t="s">
        <v>189</v>
      </c>
      <c r="DG59" s="7">
        <v>2019</v>
      </c>
      <c r="DH59" s="7" t="s">
        <v>190</v>
      </c>
      <c r="DI59" s="7" t="s">
        <v>191</v>
      </c>
      <c r="DJ59" s="7" t="s">
        <v>192</v>
      </c>
      <c r="DK59" s="7" t="s">
        <v>193</v>
      </c>
      <c r="DL59" s="7">
        <v>2020</v>
      </c>
      <c r="DM59" s="7" t="s">
        <v>194</v>
      </c>
      <c r="DN59" s="7" t="s">
        <v>195</v>
      </c>
      <c r="DO59" s="7" t="s">
        <v>196</v>
      </c>
      <c r="DP59" s="7" t="s">
        <v>197</v>
      </c>
      <c r="DQ59" s="7">
        <v>2021</v>
      </c>
      <c r="DR59" s="7" t="s">
        <v>198</v>
      </c>
      <c r="DS59" s="7" t="s">
        <v>199</v>
      </c>
      <c r="DT59" s="7" t="s">
        <v>201</v>
      </c>
      <c r="DU59" s="7" t="s">
        <v>381</v>
      </c>
      <c r="DV59" s="7">
        <v>2022</v>
      </c>
      <c r="DW59" s="7" t="s">
        <v>382</v>
      </c>
      <c r="DX59" s="7" t="s">
        <v>403</v>
      </c>
      <c r="DY59" s="7" t="s">
        <v>415</v>
      </c>
      <c r="DZ59" s="7" t="s">
        <v>420</v>
      </c>
      <c r="EA59" s="7">
        <v>2023</v>
      </c>
      <c r="EB59" s="7" t="s">
        <v>425</v>
      </c>
      <c r="EC59" s="7" t="s">
        <v>430</v>
      </c>
      <c r="ED59" s="7" t="str">
        <f>$ED$2</f>
        <v>3Q24</v>
      </c>
      <c r="EE59" s="7" t="str">
        <f>$EE$2</f>
        <v>4Q24</v>
      </c>
      <c r="EF59" s="7">
        <f>$EF$2</f>
        <v>2024</v>
      </c>
      <c r="EG59" s="7" t="str">
        <f>EG$2</f>
        <v>1Q25</v>
      </c>
      <c r="EH59" s="7" t="str">
        <f>EH$2</f>
        <v>2Q25</v>
      </c>
      <c r="EI59" s="7" t="str">
        <f>EI$2</f>
        <v>3Q25</v>
      </c>
    </row>
    <row r="60" spans="1:139" ht="15" thickTop="1" x14ac:dyDescent="0.3">
      <c r="A60" s="1" t="s">
        <v>2</v>
      </c>
      <c r="B60" s="27">
        <f>COGS!B60+'SG&amp;A'!B60</f>
        <v>0</v>
      </c>
      <c r="C60" s="27">
        <f>COGS!C60+'SG&amp;A'!C60</f>
        <v>0</v>
      </c>
      <c r="D60" s="27">
        <f>COGS!D60+'SG&amp;A'!D60</f>
        <v>0</v>
      </c>
      <c r="E60" s="27">
        <f>COGS!E60+'SG&amp;A'!E60</f>
        <v>0</v>
      </c>
      <c r="F60" s="27">
        <f>COGS!F60+'SG&amp;A'!F60</f>
        <v>0</v>
      </c>
      <c r="G60" s="27">
        <f>COGS!G60+'SG&amp;A'!G60</f>
        <v>0</v>
      </c>
      <c r="H60" s="27">
        <f>COGS!H60+'SG&amp;A'!H60</f>
        <v>0</v>
      </c>
      <c r="I60" s="27">
        <f>COGS!I60+'SG&amp;A'!I60</f>
        <v>0</v>
      </c>
      <c r="J60" s="27">
        <f>COGS!J60+'SG&amp;A'!J60</f>
        <v>0</v>
      </c>
      <c r="K60" s="27">
        <f>COGS!K60+'SG&amp;A'!K60</f>
        <v>0</v>
      </c>
      <c r="L60" s="27">
        <f>COGS!L60+'SG&amp;A'!L60</f>
        <v>0</v>
      </c>
      <c r="M60" s="27">
        <f>COGS!M60+'SG&amp;A'!M60</f>
        <v>0</v>
      </c>
      <c r="N60" s="27">
        <f>COGS!N60+'SG&amp;A'!N60</f>
        <v>0</v>
      </c>
      <c r="O60" s="27">
        <f>COGS!O60+'SG&amp;A'!O60</f>
        <v>0</v>
      </c>
      <c r="P60" s="27">
        <f>COGS!P60+'SG&amp;A'!P60</f>
        <v>0</v>
      </c>
      <c r="Q60" s="27">
        <f>COGS!Q60+'SG&amp;A'!Q60</f>
        <v>0</v>
      </c>
      <c r="R60" s="27">
        <f>COGS!R60+'SG&amp;A'!R60</f>
        <v>0</v>
      </c>
      <c r="S60" s="27">
        <f>COGS!S60+'SG&amp;A'!S60</f>
        <v>0</v>
      </c>
      <c r="T60" s="27">
        <f>COGS!T60+'SG&amp;A'!T60</f>
        <v>0</v>
      </c>
      <c r="U60" s="27">
        <f>COGS!U60+'SG&amp;A'!U60</f>
        <v>0</v>
      </c>
      <c r="V60" s="27">
        <f>COGS!V60+'SG&amp;A'!V60</f>
        <v>0</v>
      </c>
      <c r="W60" s="27">
        <f>COGS!W60+'SG&amp;A'!W60</f>
        <v>0</v>
      </c>
      <c r="X60" s="27">
        <f>COGS!X60+'SG&amp;A'!X60</f>
        <v>0</v>
      </c>
      <c r="Y60" s="27">
        <f>COGS!Y60+'SG&amp;A'!Y60</f>
        <v>0</v>
      </c>
      <c r="Z60" s="27">
        <f>COGS!Z60+'SG&amp;A'!Z60</f>
        <v>0</v>
      </c>
      <c r="AA60" s="27">
        <f>COGS!AA60+'SG&amp;A'!AA60</f>
        <v>0</v>
      </c>
      <c r="AB60" s="27">
        <f>COGS!AB60+'SG&amp;A'!AB60</f>
        <v>0</v>
      </c>
      <c r="AC60" s="27">
        <f>COGS!AC60+'SG&amp;A'!AC60</f>
        <v>0</v>
      </c>
      <c r="AD60" s="27">
        <f>COGS!AD60+'SG&amp;A'!AD60</f>
        <v>0</v>
      </c>
      <c r="AE60" s="27">
        <f>COGS!AE60+'SG&amp;A'!AE60</f>
        <v>0</v>
      </c>
      <c r="AF60" s="27">
        <f>COGS!AF60+'SG&amp;A'!AF60</f>
        <v>0</v>
      </c>
      <c r="AG60" s="27">
        <f>COGS!AG60+'SG&amp;A'!AG60</f>
        <v>0</v>
      </c>
      <c r="AH60" s="27">
        <f>COGS!AH60+'SG&amp;A'!AH60</f>
        <v>0</v>
      </c>
      <c r="AI60" s="27">
        <f>COGS!AI60+'SG&amp;A'!AI60</f>
        <v>0</v>
      </c>
      <c r="AJ60" s="27">
        <f>COGS!AJ60+'SG&amp;A'!AJ60</f>
        <v>0</v>
      </c>
      <c r="AK60" s="27">
        <f>COGS!AK60+'SG&amp;A'!AK60</f>
        <v>0</v>
      </c>
      <c r="AL60" s="27">
        <f>COGS!AL60+'SG&amp;A'!AL60</f>
        <v>0</v>
      </c>
      <c r="AM60" s="27">
        <f>COGS!AM60+'SG&amp;A'!AM60</f>
        <v>0</v>
      </c>
      <c r="AN60" s="27">
        <f>COGS!AN60+'SG&amp;A'!AN60</f>
        <v>0</v>
      </c>
      <c r="AO60" s="27">
        <f>COGS!AO60+'SG&amp;A'!AO60</f>
        <v>0</v>
      </c>
      <c r="AP60" s="27">
        <f>COGS!AP60+'SG&amp;A'!AP60</f>
        <v>0</v>
      </c>
      <c r="AQ60" s="27">
        <f>COGS!AQ60+'SG&amp;A'!AQ60</f>
        <v>0</v>
      </c>
      <c r="AR60" s="27">
        <f>COGS!AR60+'SG&amp;A'!AR60</f>
        <v>0</v>
      </c>
      <c r="AS60" s="27">
        <f>COGS!AS60+'SG&amp;A'!AS60</f>
        <v>0</v>
      </c>
      <c r="AT60" s="27">
        <f>COGS!AT60+'SG&amp;A'!AT60</f>
        <v>0</v>
      </c>
      <c r="AU60" s="27">
        <f>COGS!AU60+'SG&amp;A'!AU60</f>
        <v>0</v>
      </c>
      <c r="AV60" s="27">
        <f>COGS!AV60+'SG&amp;A'!AV60</f>
        <v>0</v>
      </c>
      <c r="AW60" s="27">
        <f>COGS!AW60+'SG&amp;A'!AW60</f>
        <v>0</v>
      </c>
      <c r="AX60" s="27">
        <f>COGS!AX60+'SG&amp;A'!AX60</f>
        <v>0</v>
      </c>
      <c r="AY60" s="27">
        <f>COGS!AY60+'SG&amp;A'!AY60</f>
        <v>0</v>
      </c>
      <c r="AZ60" s="27">
        <f>COGS!AZ60+'SG&amp;A'!AZ60</f>
        <v>0</v>
      </c>
      <c r="BA60" s="27">
        <f>COGS!BA60+'SG&amp;A'!BA60</f>
        <v>0</v>
      </c>
      <c r="BB60" s="27">
        <f>COGS!BB60+'SG&amp;A'!BB60</f>
        <v>0</v>
      </c>
      <c r="BC60" s="27">
        <f>COGS!BC60+'SG&amp;A'!BC60</f>
        <v>0</v>
      </c>
      <c r="BD60" s="27">
        <f>COGS!BD60+'SG&amp;A'!BD60</f>
        <v>0</v>
      </c>
      <c r="BE60" s="27">
        <f>COGS!BE60+'SG&amp;A'!BE60</f>
        <v>0</v>
      </c>
      <c r="BF60" s="27">
        <f>COGS!BF60+'SG&amp;A'!BF60</f>
        <v>0</v>
      </c>
      <c r="BG60" s="27">
        <f>COGS!BG60+'SG&amp;A'!BG60</f>
        <v>0</v>
      </c>
      <c r="BH60" s="27">
        <f>COGS!BH60+'SG&amp;A'!BH60</f>
        <v>0</v>
      </c>
      <c r="BI60" s="27">
        <f>COGS!BI60+'SG&amp;A'!BI60</f>
        <v>0</v>
      </c>
      <c r="BJ60" s="27">
        <f>COGS!BJ60+'SG&amp;A'!BJ60</f>
        <v>2.5376012700000001</v>
      </c>
      <c r="BK60" s="27">
        <f>COGS!BK60+'SG&amp;A'!BK60</f>
        <v>1.8601644500000001</v>
      </c>
      <c r="BL60" s="27">
        <f>COGS!BL60+'SG&amp;A'!BL60</f>
        <v>4.4600945999999988</v>
      </c>
      <c r="BM60" s="27">
        <f>COGS!BM60+'SG&amp;A'!BM60</f>
        <v>5.1633491200000003</v>
      </c>
      <c r="BN60" s="27">
        <f>COGS!BN60+'SG&amp;A'!BN60</f>
        <v>14.021209439999998</v>
      </c>
      <c r="BO60" s="27">
        <f>COGS!BO60+'SG&amp;A'!BO60</f>
        <v>4.00604856</v>
      </c>
      <c r="BP60" s="27">
        <f>COGS!BP60+'SG&amp;A'!BP60</f>
        <v>0.86958258999999982</v>
      </c>
      <c r="BQ60" s="27">
        <f>COGS!BQ60+'SG&amp;A'!BQ60</f>
        <v>2.8007089799999991</v>
      </c>
      <c r="BR60" s="27">
        <f>COGS!BR60+'SG&amp;A'!BR60</f>
        <v>4.4757278699999992</v>
      </c>
      <c r="BS60" s="27">
        <f>COGS!BS60+'SG&amp;A'!BS60</f>
        <v>12.152067999999998</v>
      </c>
      <c r="BT60" s="27">
        <f>COGS!BT60+'SG&amp;A'!BT60</f>
        <v>2.33206377</v>
      </c>
      <c r="BU60" s="27">
        <f>COGS!BU60+'SG&amp;A'!BU60</f>
        <v>2.5501509799999997</v>
      </c>
      <c r="BV60" s="27">
        <f>COGS!BV60+'SG&amp;A'!BV60</f>
        <v>2.7514545699999999</v>
      </c>
      <c r="BW60" s="27">
        <f>COGS!BW60+'SG&amp;A'!BW60</f>
        <v>3.0136626399999984</v>
      </c>
      <c r="BX60" s="27">
        <f>COGS!BX60+'SG&amp;A'!BX60</f>
        <v>10.647331959999999</v>
      </c>
      <c r="BY60" s="27">
        <f>COGS!BY60+'SG&amp;A'!BY60</f>
        <v>4.2743300499999988</v>
      </c>
      <c r="BZ60" s="27">
        <f>COGS!BZ60+'SG&amp;A'!BZ60</f>
        <v>2.4708944300000009</v>
      </c>
      <c r="CA60" s="27">
        <f>COGS!CA60+'SG&amp;A'!CA60</f>
        <v>3.8134822399999999</v>
      </c>
      <c r="CB60" s="27">
        <f>COGS!CB60+'SG&amp;A'!CB60</f>
        <v>7.2925759900000013</v>
      </c>
      <c r="CC60" s="27">
        <f>COGS!CC60+'SG&amp;A'!CC60</f>
        <v>17.85128271</v>
      </c>
      <c r="CD60" s="27">
        <f>COGS!CD60+'SG&amp;A'!CD60</f>
        <v>4.2466736600000008</v>
      </c>
      <c r="CE60" s="27">
        <f>COGS!CE60+'SG&amp;A'!CE60</f>
        <v>3.0391942099999989</v>
      </c>
      <c r="CF60" s="27">
        <f>COGS!CF60+'SG&amp;A'!CF60</f>
        <v>4.59531388</v>
      </c>
      <c r="CG60" s="27">
        <f>COGS!CG60+'SG&amp;A'!CG60</f>
        <v>3.3722666900000009</v>
      </c>
      <c r="CH60" s="27">
        <f>COGS!CH60+'SG&amp;A'!CH60</f>
        <v>15.253448440000001</v>
      </c>
      <c r="CI60" s="27">
        <f>COGS!CI60+'SG&amp;A'!CI60</f>
        <v>2.7662926799999998</v>
      </c>
      <c r="CJ60" s="27">
        <f>COGS!CJ60+'SG&amp;A'!CJ60</f>
        <v>2.9327497800000004</v>
      </c>
      <c r="CK60" s="27">
        <f>COGS!CK60+'SG&amp;A'!CK60</f>
        <v>2.6952063399999999</v>
      </c>
      <c r="CL60" s="27">
        <f>COGS!CL60+'SG&amp;A'!CL60</f>
        <v>4.0266718700000004</v>
      </c>
      <c r="CM60" s="27">
        <f>COGS!CM60+'SG&amp;A'!CM60</f>
        <v>12.420920670000001</v>
      </c>
      <c r="CN60" s="27">
        <f>COGS!CN60+'SG&amp;A'!CN60</f>
        <v>2.2276014799999997</v>
      </c>
      <c r="CO60" s="27">
        <f>COGS!CO60+'SG&amp;A'!CO60</f>
        <v>2.2221079600000002</v>
      </c>
      <c r="CP60" s="27">
        <f>COGS!CP60+'SG&amp;A'!CP60</f>
        <v>2.7375640300000006</v>
      </c>
      <c r="CQ60" s="27">
        <f>COGS!CQ60+'SG&amp;A'!CQ60</f>
        <v>3.1097265299999997</v>
      </c>
      <c r="CR60" s="27">
        <f>COGS!CR60+'SG&amp;A'!CR60</f>
        <v>10.297000000000001</v>
      </c>
      <c r="CS60" s="27">
        <f>COGS!CS60+'SG&amp;A'!CS60</f>
        <v>2.49615206</v>
      </c>
      <c r="CT60" s="27">
        <f>COGS!CT60+'SG&amp;A'!CT60</f>
        <v>2.7073212999999998</v>
      </c>
      <c r="CU60" s="27">
        <f>COGS!CU60+'SG&amp;A'!CU60</f>
        <v>2.5129482499999996</v>
      </c>
      <c r="CV60" s="27">
        <f>COGS!CV60+'SG&amp;A'!CV60</f>
        <v>2.9052694499999996</v>
      </c>
      <c r="CW60" s="27">
        <f>COGS!CW60+'SG&amp;A'!CW60</f>
        <v>10.62169106</v>
      </c>
      <c r="CX60" s="27">
        <f>COGS!CX60+'SG&amp;A'!CX60</f>
        <v>2.1</v>
      </c>
      <c r="CY60" s="27">
        <f>COGS!CY60+'SG&amp;A'!CY60</f>
        <v>2.758</v>
      </c>
      <c r="CZ60" s="27">
        <f>COGS!CZ60+'SG&amp;A'!CZ60</f>
        <v>2.8460000000000001</v>
      </c>
      <c r="DA60" s="27">
        <f>COGS!DA60+'SG&amp;A'!DA60</f>
        <v>2.7630000000000003</v>
      </c>
      <c r="DB60" s="27">
        <f>COGS!DB60+'SG&amp;A'!DB60</f>
        <v>10.466999999999999</v>
      </c>
      <c r="DC60" s="27">
        <f>COGS!DC60+'SG&amp;A'!DC60</f>
        <v>2.4</v>
      </c>
      <c r="DD60" s="27">
        <f>COGS!DD60+'SG&amp;A'!DD60</f>
        <v>2.8550000000000004</v>
      </c>
      <c r="DE60" s="27">
        <f>COGS!DE60+'SG&amp;A'!DE60</f>
        <v>2.706</v>
      </c>
      <c r="DF60" s="27">
        <f>COGS!DF60+'SG&amp;A'!DF60</f>
        <v>4.8930000000000007</v>
      </c>
      <c r="DG60" s="27">
        <f>COGS!DG60+'SG&amp;A'!DG60</f>
        <v>12.854000000000001</v>
      </c>
      <c r="DH60" s="27">
        <f>COGS!DH60+'SG&amp;A'!DH60</f>
        <v>3.2639999999999998</v>
      </c>
      <c r="DI60" s="27">
        <f>COGS!DI60+'SG&amp;A'!DI60</f>
        <v>3.181</v>
      </c>
      <c r="DJ60" s="27">
        <f>COGS!DJ60+'SG&amp;A'!DJ60</f>
        <v>3.206</v>
      </c>
      <c r="DK60" s="27">
        <f>COGS!DK60+'SG&amp;A'!DK60</f>
        <v>5.0379999999999994</v>
      </c>
      <c r="DL60" s="27">
        <f>COGS!DL60+'SG&amp;A'!DL60</f>
        <v>14.689</v>
      </c>
      <c r="DM60" s="27">
        <f>COGS!DM60+'SG&amp;A'!DM60</f>
        <v>4.5449999999999999</v>
      </c>
      <c r="DN60" s="27">
        <f>COGS!DN60+'SG&amp;A'!DN60</f>
        <v>4.6129999999999995</v>
      </c>
      <c r="DO60" s="27">
        <f>COGS!DO60+'SG&amp;A'!DO60</f>
        <v>3.6710000000000003</v>
      </c>
      <c r="DP60" s="27">
        <f>COGS!DP60+'SG&amp;A'!DP60</f>
        <v>2.7959999999999998</v>
      </c>
      <c r="DQ60" s="27">
        <f>COGS!DQ60+'SG&amp;A'!DQ60</f>
        <v>15.625000000000002</v>
      </c>
      <c r="DR60" s="27">
        <f>COGS!DR60+'SG&amp;A'!DR60</f>
        <v>0.998</v>
      </c>
      <c r="DS60" s="27">
        <f>COGS!DS60+'SG&amp;A'!DS60</f>
        <v>1E-3</v>
      </c>
      <c r="DT60" s="27">
        <f>COGS!DT60+'SG&amp;A'!DT60</f>
        <v>3.2000000000000001E-2</v>
      </c>
      <c r="DU60" s="27">
        <f>COGS!DU60+'SG&amp;A'!DU60</f>
        <v>8.7999999999999967E-2</v>
      </c>
      <c r="DV60" s="27">
        <f>COGS!DV60+'SG&amp;A'!DV60</f>
        <v>1.119</v>
      </c>
      <c r="DW60" s="27">
        <f>COGS!DW60+'SG&amp;A'!DW60</f>
        <v>0.15</v>
      </c>
      <c r="DX60" s="27">
        <f>COGS!DX60+'SG&amp;A'!DX60</f>
        <v>0</v>
      </c>
      <c r="DY60" s="27">
        <f>COGS!DY60+'SG&amp;A'!DY60</f>
        <v>0</v>
      </c>
      <c r="DZ60" s="27">
        <f>COGS!DZ60+'SG&amp;A'!DZ60</f>
        <v>0.12096</v>
      </c>
      <c r="EA60" s="27">
        <f>COGS!EA60+'SG&amp;A'!EA60</f>
        <v>0.27095999999999998</v>
      </c>
      <c r="EB60" s="27">
        <f>COGS!EB60+'SG&amp;A'!EB60</f>
        <v>1.5299999999999999E-2</v>
      </c>
      <c r="EC60" s="27">
        <f>COGS!EC60+'SG&amp;A'!EC60</f>
        <v>2.2000000000000001E-3</v>
      </c>
      <c r="ED60" s="27">
        <f>COGS!ED60+'SG&amp;A'!ED60</f>
        <v>0</v>
      </c>
      <c r="EE60" s="27">
        <f>COGS!EE60+'SG&amp;A'!EE60</f>
        <v>0</v>
      </c>
      <c r="EF60" s="27">
        <f>COGS!EF60+'SG&amp;A'!EF60</f>
        <v>1.7499999999999998E-2</v>
      </c>
      <c r="EG60" s="27">
        <f>COGS!EG60+'SG&amp;A'!EG60</f>
        <v>0</v>
      </c>
      <c r="EH60" s="27">
        <f>COGS!EH60+'SG&amp;A'!EH60</f>
        <v>-7.2585600000000007E-3</v>
      </c>
      <c r="EI60" s="27">
        <f>COGS!EI60+'SG&amp;A'!EI60</f>
        <v>-4.83104E-3</v>
      </c>
    </row>
    <row r="61" spans="1:139" ht="15" thickBot="1" x14ac:dyDescent="0.35">
      <c r="A61" s="2" t="s">
        <v>454</v>
      </c>
      <c r="B61" s="28">
        <f>COGS!B61+'SG&amp;A'!B61</f>
        <v>0</v>
      </c>
      <c r="C61" s="28">
        <f>COGS!C61+'SG&amp;A'!C61</f>
        <v>0</v>
      </c>
      <c r="D61" s="28">
        <f>COGS!D61+'SG&amp;A'!D61</f>
        <v>0</v>
      </c>
      <c r="E61" s="28">
        <f>COGS!E61+'SG&amp;A'!E61</f>
        <v>0</v>
      </c>
      <c r="F61" s="28">
        <f>COGS!F61+'SG&amp;A'!F61</f>
        <v>0</v>
      </c>
      <c r="G61" s="28">
        <f>COGS!G61+'SG&amp;A'!G61</f>
        <v>0</v>
      </c>
      <c r="H61" s="28">
        <f>COGS!H61+'SG&amp;A'!H61</f>
        <v>0</v>
      </c>
      <c r="I61" s="28">
        <f>COGS!I61+'SG&amp;A'!I61</f>
        <v>0</v>
      </c>
      <c r="J61" s="28">
        <f>COGS!J61+'SG&amp;A'!J61</f>
        <v>0</v>
      </c>
      <c r="K61" s="28">
        <f>COGS!K61+'SG&amp;A'!K61</f>
        <v>0</v>
      </c>
      <c r="L61" s="28">
        <f>COGS!L61+'SG&amp;A'!L61</f>
        <v>0</v>
      </c>
      <c r="M61" s="28">
        <f>COGS!M61+'SG&amp;A'!M61</f>
        <v>0</v>
      </c>
      <c r="N61" s="28">
        <f>COGS!N61+'SG&amp;A'!N61</f>
        <v>0</v>
      </c>
      <c r="O61" s="28">
        <f>COGS!O61+'SG&amp;A'!O61</f>
        <v>0</v>
      </c>
      <c r="P61" s="28">
        <f>COGS!P61+'SG&amp;A'!P61</f>
        <v>0</v>
      </c>
      <c r="Q61" s="28">
        <f>COGS!Q61+'SG&amp;A'!Q61</f>
        <v>0</v>
      </c>
      <c r="R61" s="28">
        <f>COGS!R61+'SG&amp;A'!R61</f>
        <v>0</v>
      </c>
      <c r="S61" s="28">
        <f>COGS!S61+'SG&amp;A'!S61</f>
        <v>0</v>
      </c>
      <c r="T61" s="28">
        <f>COGS!T61+'SG&amp;A'!T61</f>
        <v>0</v>
      </c>
      <c r="U61" s="28">
        <f>COGS!U61+'SG&amp;A'!U61</f>
        <v>0</v>
      </c>
      <c r="V61" s="28">
        <f>COGS!V61+'SG&amp;A'!V61</f>
        <v>0</v>
      </c>
      <c r="W61" s="28">
        <f>COGS!W61+'SG&amp;A'!W61</f>
        <v>0</v>
      </c>
      <c r="X61" s="28">
        <f>COGS!X61+'SG&amp;A'!X61</f>
        <v>0</v>
      </c>
      <c r="Y61" s="28">
        <f>COGS!Y61+'SG&amp;A'!Y61</f>
        <v>0</v>
      </c>
      <c r="Z61" s="28">
        <f>COGS!Z61+'SG&amp;A'!Z61</f>
        <v>0</v>
      </c>
      <c r="AA61" s="28">
        <f>COGS!AA61+'SG&amp;A'!AA61</f>
        <v>0</v>
      </c>
      <c r="AB61" s="28">
        <f>COGS!AB61+'SG&amp;A'!AB61</f>
        <v>0</v>
      </c>
      <c r="AC61" s="28">
        <f>COGS!AC61+'SG&amp;A'!AC61</f>
        <v>0</v>
      </c>
      <c r="AD61" s="28">
        <f>COGS!AD61+'SG&amp;A'!AD61</f>
        <v>0</v>
      </c>
      <c r="AE61" s="28">
        <f>COGS!AE61+'SG&amp;A'!AE61</f>
        <v>0</v>
      </c>
      <c r="AF61" s="28">
        <f>COGS!AF61+'SG&amp;A'!AF61</f>
        <v>0</v>
      </c>
      <c r="AG61" s="28">
        <f>COGS!AG61+'SG&amp;A'!AG61</f>
        <v>0</v>
      </c>
      <c r="AH61" s="28">
        <f>COGS!AH61+'SG&amp;A'!AH61</f>
        <v>0</v>
      </c>
      <c r="AI61" s="28">
        <f>COGS!AI61+'SG&amp;A'!AI61</f>
        <v>0</v>
      </c>
      <c r="AJ61" s="28">
        <f>COGS!AJ61+'SG&amp;A'!AJ61</f>
        <v>0</v>
      </c>
      <c r="AK61" s="28">
        <f>COGS!AK61+'SG&amp;A'!AK61</f>
        <v>0</v>
      </c>
      <c r="AL61" s="28">
        <f>COGS!AL61+'SG&amp;A'!AL61</f>
        <v>0</v>
      </c>
      <c r="AM61" s="28">
        <f>COGS!AM61+'SG&amp;A'!AM61</f>
        <v>0</v>
      </c>
      <c r="AN61" s="28">
        <f>COGS!AN61+'SG&amp;A'!AN61</f>
        <v>0</v>
      </c>
      <c r="AO61" s="28">
        <f>COGS!AO61+'SG&amp;A'!AO61</f>
        <v>0</v>
      </c>
      <c r="AP61" s="28">
        <f>COGS!AP61+'SG&amp;A'!AP61</f>
        <v>0</v>
      </c>
      <c r="AQ61" s="28">
        <f>COGS!AQ61+'SG&amp;A'!AQ61</f>
        <v>0</v>
      </c>
      <c r="AR61" s="28">
        <f>COGS!AR61+'SG&amp;A'!AR61</f>
        <v>0</v>
      </c>
      <c r="AS61" s="28">
        <f>COGS!AS61+'SG&amp;A'!AS61</f>
        <v>0</v>
      </c>
      <c r="AT61" s="28">
        <f>COGS!AT61+'SG&amp;A'!AT61</f>
        <v>0</v>
      </c>
      <c r="AU61" s="28">
        <f>COGS!AU61+'SG&amp;A'!AU61</f>
        <v>0</v>
      </c>
      <c r="AV61" s="28">
        <f>COGS!AV61+'SG&amp;A'!AV61</f>
        <v>0</v>
      </c>
      <c r="AW61" s="28">
        <f>COGS!AW61+'SG&amp;A'!AW61</f>
        <v>0</v>
      </c>
      <c r="AX61" s="28">
        <f>COGS!AX61+'SG&amp;A'!AX61</f>
        <v>0</v>
      </c>
      <c r="AY61" s="28">
        <f>COGS!AY61+'SG&amp;A'!AY61</f>
        <v>0</v>
      </c>
      <c r="AZ61" s="28">
        <f>COGS!AZ61+'SG&amp;A'!AZ61</f>
        <v>0</v>
      </c>
      <c r="BA61" s="28">
        <f>COGS!BA61+'SG&amp;A'!BA61</f>
        <v>0</v>
      </c>
      <c r="BB61" s="28">
        <f>COGS!BB61+'SG&amp;A'!BB61</f>
        <v>0</v>
      </c>
      <c r="BC61" s="28">
        <f>COGS!BC61+'SG&amp;A'!BC61</f>
        <v>0</v>
      </c>
      <c r="BD61" s="28">
        <f>COGS!BD61+'SG&amp;A'!BD61</f>
        <v>0</v>
      </c>
      <c r="BE61" s="28">
        <f>COGS!BE61+'SG&amp;A'!BE61</f>
        <v>0</v>
      </c>
      <c r="BF61" s="28">
        <f>COGS!BF61+'SG&amp;A'!BF61</f>
        <v>0</v>
      </c>
      <c r="BG61" s="28">
        <f>COGS!BG61+'SG&amp;A'!BG61</f>
        <v>0</v>
      </c>
      <c r="BH61" s="28">
        <f>COGS!BH61+'SG&amp;A'!BH61</f>
        <v>0</v>
      </c>
      <c r="BI61" s="28">
        <f>COGS!BI61+'SG&amp;A'!BI61</f>
        <v>0</v>
      </c>
      <c r="BJ61" s="28">
        <f>COGS!BJ61+'SG&amp;A'!BJ61</f>
        <v>2.6949438000000003</v>
      </c>
      <c r="BK61" s="28">
        <f>COGS!BK61+'SG&amp;A'!BK61</f>
        <v>2.1262842799999997</v>
      </c>
      <c r="BL61" s="28">
        <f>COGS!BL61+'SG&amp;A'!BL61</f>
        <v>2.4874114300000003</v>
      </c>
      <c r="BM61" s="28">
        <f>COGS!BM61+'SG&amp;A'!BM61</f>
        <v>1.6991293099999984</v>
      </c>
      <c r="BN61" s="28">
        <f>COGS!BN61+'SG&amp;A'!BN61</f>
        <v>9.007768819999999</v>
      </c>
      <c r="BO61" s="28">
        <f>COGS!BO61+'SG&amp;A'!BO61</f>
        <v>2.22579496</v>
      </c>
      <c r="BP61" s="28">
        <f>COGS!BP61+'SG&amp;A'!BP61</f>
        <v>2.4091496800000005</v>
      </c>
      <c r="BQ61" s="28">
        <f>COGS!BQ61+'SG&amp;A'!BQ61</f>
        <v>2.4178004999999994</v>
      </c>
      <c r="BR61" s="28">
        <f>COGS!BR61+'SG&amp;A'!BR61</f>
        <v>1.8996758199999999</v>
      </c>
      <c r="BS61" s="28">
        <f>COGS!BS61+'SG&amp;A'!BS61</f>
        <v>8.9524209599999995</v>
      </c>
      <c r="BT61" s="28">
        <f>COGS!BT61+'SG&amp;A'!BT61</f>
        <v>1.6909784899999998</v>
      </c>
      <c r="BU61" s="28">
        <f>COGS!BU61+'SG&amp;A'!BU61</f>
        <v>2.6214322299999999</v>
      </c>
      <c r="BV61" s="28">
        <f>COGS!BV61+'SG&amp;A'!BV61</f>
        <v>0.87139108000000032</v>
      </c>
      <c r="BW61" s="28">
        <f>COGS!BW61+'SG&amp;A'!BW61</f>
        <v>1.3288114500000006</v>
      </c>
      <c r="BX61" s="28">
        <f>COGS!BX61+'SG&amp;A'!BX61</f>
        <v>6.5126132500000002</v>
      </c>
      <c r="BY61" s="28">
        <f>COGS!BY61+'SG&amp;A'!BY61</f>
        <v>2.4881555600000005</v>
      </c>
      <c r="BZ61" s="28">
        <f>COGS!BZ61+'SG&amp;A'!BZ61</f>
        <v>3.4299513199999989</v>
      </c>
      <c r="CA61" s="28">
        <f>COGS!CA61+'SG&amp;A'!CA61</f>
        <v>3.1169072900000012</v>
      </c>
      <c r="CB61" s="28">
        <f>COGS!CB61+'SG&amp;A'!CB61</f>
        <v>2.9552036700000004</v>
      </c>
      <c r="CC61" s="28">
        <f>COGS!CC61+'SG&amp;A'!CC61</f>
        <v>11.990217840000001</v>
      </c>
      <c r="CD61" s="28">
        <f>COGS!CD61+'SG&amp;A'!CD61</f>
        <v>3.0797711100000003</v>
      </c>
      <c r="CE61" s="28">
        <f>COGS!CE61+'SG&amp;A'!CE61</f>
        <v>2.73739607</v>
      </c>
      <c r="CF61" s="28">
        <f>COGS!CF61+'SG&amp;A'!CF61</f>
        <v>2.1180758000000002</v>
      </c>
      <c r="CG61" s="28">
        <f>COGS!CG61+'SG&amp;A'!CG61</f>
        <v>1.4374702200000005</v>
      </c>
      <c r="CH61" s="28">
        <f>COGS!CH61+'SG&amp;A'!CH61</f>
        <v>9.3727132000000015</v>
      </c>
      <c r="CI61" s="28">
        <f>COGS!CI61+'SG&amp;A'!CI61</f>
        <v>2.3474883000000002</v>
      </c>
      <c r="CJ61" s="28">
        <f>COGS!CJ61+'SG&amp;A'!CJ61</f>
        <v>2.5353530899999996</v>
      </c>
      <c r="CK61" s="28">
        <f>COGS!CK61+'SG&amp;A'!CK61</f>
        <v>2.5739415600000002</v>
      </c>
      <c r="CL61" s="28">
        <f>COGS!CL61+'SG&amp;A'!CL61</f>
        <v>2.9068008799999991</v>
      </c>
      <c r="CM61" s="28">
        <f>COGS!CM61+'SG&amp;A'!CM61</f>
        <v>10.36358383</v>
      </c>
      <c r="CN61" s="28">
        <f>COGS!CN61+'SG&amp;A'!CN61</f>
        <v>2.3705940299999999</v>
      </c>
      <c r="CO61" s="28">
        <f>COGS!CO61+'SG&amp;A'!CO61</f>
        <v>3.0211808600000003</v>
      </c>
      <c r="CP61" s="28">
        <f>COGS!CP61+'SG&amp;A'!CP61</f>
        <v>3.1056405400000013</v>
      </c>
      <c r="CQ61" s="28">
        <f>COGS!CQ61+'SG&amp;A'!CQ61</f>
        <v>3.2195845699999994</v>
      </c>
      <c r="CR61" s="28">
        <f>COGS!CR61+'SG&amp;A'!CR61</f>
        <v>11.717000000000001</v>
      </c>
      <c r="CS61" s="28">
        <f>COGS!CS61+'SG&amp;A'!CS61</f>
        <v>2.92066632</v>
      </c>
      <c r="CT61" s="28">
        <f>COGS!CT61+'SG&amp;A'!CT61</f>
        <v>3.0901416000000004</v>
      </c>
      <c r="CU61" s="28">
        <f>COGS!CU61+'SG&amp;A'!CU61</f>
        <v>3.20008552</v>
      </c>
      <c r="CV61" s="28">
        <f>COGS!CV61+'SG&amp;A'!CV61</f>
        <v>3.2041159199999996</v>
      </c>
      <c r="CW61" s="28">
        <f>COGS!CW61+'SG&amp;A'!CW61</f>
        <v>12.415009359999999</v>
      </c>
      <c r="CX61" s="28">
        <f>COGS!CX61+'SG&amp;A'!CX61</f>
        <v>3.25</v>
      </c>
      <c r="CY61" s="28">
        <f>COGS!CY61+'SG&amp;A'!CY61</f>
        <v>3.44</v>
      </c>
      <c r="CZ61" s="28">
        <f>COGS!CZ61+'SG&amp;A'!CZ61</f>
        <v>2.5129999999999999</v>
      </c>
      <c r="DA61" s="28">
        <f>COGS!DA61+'SG&amp;A'!DA61</f>
        <v>2.9259999999999997</v>
      </c>
      <c r="DB61" s="28">
        <f>COGS!DB61+'SG&amp;A'!DB61</f>
        <v>12.129</v>
      </c>
      <c r="DC61" s="28">
        <f>COGS!DC61+'SG&amp;A'!DC61</f>
        <v>3.2510000000000003</v>
      </c>
      <c r="DD61" s="28">
        <f>COGS!DD61+'SG&amp;A'!DD61</f>
        <v>3.6120000000000001</v>
      </c>
      <c r="DE61" s="28">
        <f>COGS!DE61+'SG&amp;A'!DE61</f>
        <v>3.52</v>
      </c>
      <c r="DF61" s="28">
        <f>COGS!DF61+'SG&amp;A'!DF61</f>
        <v>3.0819999999999999</v>
      </c>
      <c r="DG61" s="28">
        <f>COGS!DG61+'SG&amp;A'!DG61</f>
        <v>13.465</v>
      </c>
      <c r="DH61" s="28">
        <f>COGS!DH61+'SG&amp;A'!DH61</f>
        <v>3.3490000000000002</v>
      </c>
      <c r="DI61" s="28">
        <f>COGS!DI61+'SG&amp;A'!DI61</f>
        <v>2.4780000000000002</v>
      </c>
      <c r="DJ61" s="28">
        <f>COGS!DJ61+'SG&amp;A'!DJ61</f>
        <v>3.3149999999999999</v>
      </c>
      <c r="DK61" s="28">
        <f>COGS!DK61+'SG&amp;A'!DK61</f>
        <v>3.5230000000000001</v>
      </c>
      <c r="DL61" s="28">
        <f>COGS!DL61+'SG&amp;A'!DL61</f>
        <v>12.665000000000001</v>
      </c>
      <c r="DM61" s="28">
        <f>COGS!DM61+'SG&amp;A'!DM61</f>
        <v>3.2879999999999998</v>
      </c>
      <c r="DN61" s="28">
        <f>COGS!DN61+'SG&amp;A'!DN61</f>
        <v>3.8290000000000002</v>
      </c>
      <c r="DO61" s="28">
        <f>COGS!DO61+'SG&amp;A'!DO61</f>
        <v>3.9659999999999997</v>
      </c>
      <c r="DP61" s="28">
        <f>COGS!DP61+'SG&amp;A'!DP61</f>
        <v>3.9819999999999998</v>
      </c>
      <c r="DQ61" s="28">
        <f>COGS!DQ61+'SG&amp;A'!DQ61</f>
        <v>15.065</v>
      </c>
      <c r="DR61" s="28">
        <f>COGS!DR61+'SG&amp;A'!DR61</f>
        <v>3.65</v>
      </c>
      <c r="DS61" s="28">
        <f>COGS!DS61+'SG&amp;A'!DS61</f>
        <v>4.3539999999999992</v>
      </c>
      <c r="DT61" s="28">
        <f>COGS!DT61+'SG&amp;A'!DT61</f>
        <v>2.8839999999999999</v>
      </c>
      <c r="DU61" s="28">
        <f>COGS!DU61+'SG&amp;A'!DU61</f>
        <v>-2.2210000000000001</v>
      </c>
      <c r="DV61" s="28">
        <f>COGS!DV61+'SG&amp;A'!DV61</f>
        <v>8.6669999999999998</v>
      </c>
      <c r="DW61" s="28">
        <f>COGS!DW61+'SG&amp;A'!DW61</f>
        <v>2.6569999999999996</v>
      </c>
      <c r="DX61" s="28">
        <f>COGS!DX61+'SG&amp;A'!DX61</f>
        <v>3.4276727</v>
      </c>
      <c r="DY61" s="28">
        <f>COGS!DY61+'SG&amp;A'!DY61</f>
        <v>2.3793364299999995</v>
      </c>
      <c r="DZ61" s="28">
        <f>COGS!DZ61+'SG&amp;A'!DZ61</f>
        <v>3.0282600900000007</v>
      </c>
      <c r="EA61" s="28">
        <f>COGS!EA61+'SG&amp;A'!EA61</f>
        <v>11.492269219999999</v>
      </c>
      <c r="EB61" s="28">
        <f>COGS!EB61+'SG&amp;A'!EB61</f>
        <v>2.9262183799999999</v>
      </c>
      <c r="EC61" s="28">
        <f>COGS!EC61+'SG&amp;A'!EC61</f>
        <v>2.59851988</v>
      </c>
      <c r="ED61" s="28">
        <f>COGS!ED61+'SG&amp;A'!ED61</f>
        <v>2.72</v>
      </c>
      <c r="EE61" s="28">
        <f>COGS!EE61+'SG&amp;A'!EE61</f>
        <v>2.8730388699999994</v>
      </c>
      <c r="EF61" s="28">
        <f>COGS!EF61+'SG&amp;A'!EF61</f>
        <v>11.117777129999999</v>
      </c>
      <c r="EG61" s="28">
        <f>COGS!EG61+'SG&amp;A'!EG61</f>
        <v>1.8235489599999999</v>
      </c>
      <c r="EH61" s="28">
        <f>COGS!EH61+'SG&amp;A'!EH61</f>
        <v>1.7777131600000002</v>
      </c>
      <c r="EI61" s="28">
        <f>COGS!EI61+'SG&amp;A'!EI61</f>
        <v>1.65880714</v>
      </c>
    </row>
    <row r="62" spans="1:139" ht="15" thickTop="1" x14ac:dyDescent="0.3">
      <c r="A62" s="1" t="s">
        <v>442</v>
      </c>
      <c r="B62" s="27">
        <f>COGS!B62+'SG&amp;A'!B62</f>
        <v>0</v>
      </c>
      <c r="C62" s="27">
        <f>COGS!C62+'SG&amp;A'!C62</f>
        <v>0</v>
      </c>
      <c r="D62" s="27">
        <f>COGS!D62+'SG&amp;A'!D62</f>
        <v>0</v>
      </c>
      <c r="E62" s="27">
        <f>COGS!E62+'SG&amp;A'!E62</f>
        <v>0</v>
      </c>
      <c r="F62" s="27">
        <f>COGS!F62+'SG&amp;A'!F62</f>
        <v>0</v>
      </c>
      <c r="G62" s="27">
        <f>COGS!G62+'SG&amp;A'!G62</f>
        <v>0</v>
      </c>
      <c r="H62" s="27">
        <f>COGS!H62+'SG&amp;A'!H62</f>
        <v>0</v>
      </c>
      <c r="I62" s="27">
        <f>COGS!I62+'SG&amp;A'!I62</f>
        <v>0</v>
      </c>
      <c r="J62" s="27">
        <f>COGS!J62+'SG&amp;A'!J62</f>
        <v>0</v>
      </c>
      <c r="K62" s="27">
        <f>COGS!K62+'SG&amp;A'!K62</f>
        <v>0</v>
      </c>
      <c r="L62" s="27">
        <f>COGS!L62+'SG&amp;A'!L62</f>
        <v>0</v>
      </c>
      <c r="M62" s="27">
        <f>COGS!M62+'SG&amp;A'!M62</f>
        <v>0</v>
      </c>
      <c r="N62" s="27">
        <f>COGS!N62+'SG&amp;A'!N62</f>
        <v>0</v>
      </c>
      <c r="O62" s="27">
        <f>COGS!O62+'SG&amp;A'!O62</f>
        <v>0</v>
      </c>
      <c r="P62" s="27">
        <f>COGS!P62+'SG&amp;A'!P62</f>
        <v>0</v>
      </c>
      <c r="Q62" s="27">
        <f>COGS!Q62+'SG&amp;A'!Q62</f>
        <v>0</v>
      </c>
      <c r="R62" s="27">
        <f>COGS!R62+'SG&amp;A'!R62</f>
        <v>0</v>
      </c>
      <c r="S62" s="27">
        <f>COGS!S62+'SG&amp;A'!S62</f>
        <v>0</v>
      </c>
      <c r="T62" s="27">
        <f>COGS!T62+'SG&amp;A'!T62</f>
        <v>0</v>
      </c>
      <c r="U62" s="27">
        <f>COGS!U62+'SG&amp;A'!U62</f>
        <v>0</v>
      </c>
      <c r="V62" s="27">
        <f>COGS!V62+'SG&amp;A'!V62</f>
        <v>0</v>
      </c>
      <c r="W62" s="27">
        <f>COGS!W62+'SG&amp;A'!W62</f>
        <v>0</v>
      </c>
      <c r="X62" s="27">
        <f>COGS!X62+'SG&amp;A'!X62</f>
        <v>0</v>
      </c>
      <c r="Y62" s="27">
        <f>COGS!Y62+'SG&amp;A'!Y62</f>
        <v>0</v>
      </c>
      <c r="Z62" s="27">
        <f>COGS!Z62+'SG&amp;A'!Z62</f>
        <v>0</v>
      </c>
      <c r="AA62" s="27">
        <f>COGS!AA62+'SG&amp;A'!AA62</f>
        <v>0</v>
      </c>
      <c r="AB62" s="27">
        <f>COGS!AB62+'SG&amp;A'!AB62</f>
        <v>0</v>
      </c>
      <c r="AC62" s="27">
        <f>COGS!AC62+'SG&amp;A'!AC62</f>
        <v>0</v>
      </c>
      <c r="AD62" s="27">
        <f>COGS!AD62+'SG&amp;A'!AD62</f>
        <v>0</v>
      </c>
      <c r="AE62" s="27">
        <f>COGS!AE62+'SG&amp;A'!AE62</f>
        <v>0</v>
      </c>
      <c r="AF62" s="27">
        <f>COGS!AF62+'SG&amp;A'!AF62</f>
        <v>0</v>
      </c>
      <c r="AG62" s="27">
        <f>COGS!AG62+'SG&amp;A'!AG62</f>
        <v>0</v>
      </c>
      <c r="AH62" s="27">
        <f>COGS!AH62+'SG&amp;A'!AH62</f>
        <v>0</v>
      </c>
      <c r="AI62" s="27">
        <f>COGS!AI62+'SG&amp;A'!AI62</f>
        <v>0</v>
      </c>
      <c r="AJ62" s="27">
        <f>COGS!AJ62+'SG&amp;A'!AJ62</f>
        <v>0</v>
      </c>
      <c r="AK62" s="27">
        <f>COGS!AK62+'SG&amp;A'!AK62</f>
        <v>0</v>
      </c>
      <c r="AL62" s="27">
        <f>COGS!AL62+'SG&amp;A'!AL62</f>
        <v>0</v>
      </c>
      <c r="AM62" s="27">
        <f>COGS!AM62+'SG&amp;A'!AM62</f>
        <v>0</v>
      </c>
      <c r="AN62" s="27">
        <f>COGS!AN62+'SG&amp;A'!AN62</f>
        <v>0</v>
      </c>
      <c r="AO62" s="27">
        <f>COGS!AO62+'SG&amp;A'!AO62</f>
        <v>0</v>
      </c>
      <c r="AP62" s="27">
        <f>COGS!AP62+'SG&amp;A'!AP62</f>
        <v>0</v>
      </c>
      <c r="AQ62" s="27">
        <f>COGS!AQ62+'SG&amp;A'!AQ62</f>
        <v>0</v>
      </c>
      <c r="AR62" s="27">
        <f>COGS!AR62+'SG&amp;A'!AR62</f>
        <v>0</v>
      </c>
      <c r="AS62" s="27">
        <f>COGS!AS62+'SG&amp;A'!AS62</f>
        <v>0</v>
      </c>
      <c r="AT62" s="27">
        <f>COGS!AT62+'SG&amp;A'!AT62</f>
        <v>0</v>
      </c>
      <c r="AU62" s="27">
        <f>COGS!AU62+'SG&amp;A'!AU62</f>
        <v>0</v>
      </c>
      <c r="AV62" s="27">
        <f>COGS!AV62+'SG&amp;A'!AV62</f>
        <v>0</v>
      </c>
      <c r="AW62" s="27">
        <f>COGS!AW62+'SG&amp;A'!AW62</f>
        <v>0</v>
      </c>
      <c r="AX62" s="27">
        <f>COGS!AX62+'SG&amp;A'!AX62</f>
        <v>0</v>
      </c>
      <c r="AY62" s="27">
        <f>COGS!AY62+'SG&amp;A'!AY62</f>
        <v>0</v>
      </c>
      <c r="AZ62" s="27">
        <f>COGS!AZ62+'SG&amp;A'!AZ62</f>
        <v>0</v>
      </c>
      <c r="BA62" s="27">
        <f>COGS!BA62+'SG&amp;A'!BA62</f>
        <v>0</v>
      </c>
      <c r="BB62" s="27">
        <f>COGS!BB62+'SG&amp;A'!BB62</f>
        <v>0</v>
      </c>
      <c r="BC62" s="27">
        <f>COGS!BC62+'SG&amp;A'!BC62</f>
        <v>0</v>
      </c>
      <c r="BD62" s="27">
        <f>COGS!BD62+'SG&amp;A'!BD62</f>
        <v>0</v>
      </c>
      <c r="BE62" s="27">
        <f>COGS!BE62+'SG&amp;A'!BE62</f>
        <v>0</v>
      </c>
      <c r="BF62" s="27">
        <f>COGS!BF62+'SG&amp;A'!BF62</f>
        <v>0</v>
      </c>
      <c r="BG62" s="27">
        <f>COGS!BG62+'SG&amp;A'!BG62</f>
        <v>0</v>
      </c>
      <c r="BH62" s="27">
        <f>COGS!BH62+'SG&amp;A'!BH62</f>
        <v>0</v>
      </c>
      <c r="BI62" s="27">
        <f>COGS!BI62+'SG&amp;A'!BI62</f>
        <v>0</v>
      </c>
      <c r="BJ62" s="27">
        <f>COGS!BJ62+'SG&amp;A'!BJ62</f>
        <v>3.7565734000000006</v>
      </c>
      <c r="BK62" s="27">
        <f>COGS!BK62+'SG&amp;A'!BK62</f>
        <v>5.1922506399999993</v>
      </c>
      <c r="BL62" s="27">
        <f>COGS!BL62+'SG&amp;A'!BL62</f>
        <v>5.3053963500000005</v>
      </c>
      <c r="BM62" s="27">
        <f>COGS!BM62+'SG&amp;A'!BM62</f>
        <v>4.5576615499999962</v>
      </c>
      <c r="BN62" s="27">
        <f>COGS!BN62+'SG&amp;A'!BN62</f>
        <v>18.811881939999999</v>
      </c>
      <c r="BO62" s="27">
        <f>COGS!BO62+'SG&amp;A'!BO62</f>
        <v>4.4347752200000006</v>
      </c>
      <c r="BP62" s="27">
        <f>COGS!BP62+'SG&amp;A'!BP62</f>
        <v>4.0052664699999996</v>
      </c>
      <c r="BQ62" s="27">
        <f>COGS!BQ62+'SG&amp;A'!BQ62</f>
        <v>4.7906185299999979</v>
      </c>
      <c r="BR62" s="27">
        <f>COGS!BR62+'SG&amp;A'!BR62</f>
        <v>2.7097171400000026</v>
      </c>
      <c r="BS62" s="27">
        <f>COGS!BS62+'SG&amp;A'!BS62</f>
        <v>15.940377360000001</v>
      </c>
      <c r="BT62" s="27">
        <f>COGS!BT62+'SG&amp;A'!BT62</f>
        <v>2.9785311700000001</v>
      </c>
      <c r="BU62" s="27">
        <f>COGS!BU62+'SG&amp;A'!BU62</f>
        <v>4.0937016699999988</v>
      </c>
      <c r="BV62" s="27">
        <f>COGS!BV62+'SG&amp;A'!BV62</f>
        <v>5.4819817200000003</v>
      </c>
      <c r="BW62" s="27">
        <f>COGS!BW62+'SG&amp;A'!BW62</f>
        <v>5.7064457599999994</v>
      </c>
      <c r="BX62" s="27">
        <f>COGS!BX62+'SG&amp;A'!BX62</f>
        <v>18.26066032</v>
      </c>
      <c r="BY62" s="27">
        <f>COGS!BY62+'SG&amp;A'!BY62</f>
        <v>4.7778919699999998</v>
      </c>
      <c r="BZ62" s="27">
        <f>COGS!BZ62+'SG&amp;A'!BZ62</f>
        <v>4.8550878700000002</v>
      </c>
      <c r="CA62" s="27">
        <f>COGS!CA62+'SG&amp;A'!CA62</f>
        <v>3.1315299700000003</v>
      </c>
      <c r="CB62" s="27">
        <f>COGS!CB62+'SG&amp;A'!CB62</f>
        <v>4.6029680499999985</v>
      </c>
      <c r="CC62" s="27">
        <f>COGS!CC62+'SG&amp;A'!CC62</f>
        <v>17.367477860000001</v>
      </c>
      <c r="CD62" s="27">
        <f>COGS!CD62+'SG&amp;A'!CD62</f>
        <v>3.3166549300000003</v>
      </c>
      <c r="CE62" s="27">
        <f>COGS!CE62+'SG&amp;A'!CE62</f>
        <v>3.3782461599999993</v>
      </c>
      <c r="CF62" s="27">
        <f>COGS!CF62+'SG&amp;A'!CF62</f>
        <v>3.9017365999999991</v>
      </c>
      <c r="CG62" s="27">
        <f>COGS!CG62+'SG&amp;A'!CG62</f>
        <v>2.9485817000000023</v>
      </c>
      <c r="CH62" s="27">
        <f>COGS!CH62+'SG&amp;A'!CH62</f>
        <v>13.54521939</v>
      </c>
      <c r="CI62" s="27">
        <f>COGS!CI62+'SG&amp;A'!CI62</f>
        <v>3.5991493700000001</v>
      </c>
      <c r="CJ62" s="27">
        <f>COGS!CJ62+'SG&amp;A'!CJ62</f>
        <v>3.0388334599999993</v>
      </c>
      <c r="CK62" s="27">
        <f>COGS!CK62+'SG&amp;A'!CK62</f>
        <v>2.7884033500000003</v>
      </c>
      <c r="CL62" s="27">
        <f>COGS!CL62+'SG&amp;A'!CL62</f>
        <v>3.6708466799999995</v>
      </c>
      <c r="CM62" s="27">
        <f>COGS!CM62+'SG&amp;A'!CM62</f>
        <v>13.09723286</v>
      </c>
      <c r="CN62" s="27">
        <f>COGS!CN62+'SG&amp;A'!CN62</f>
        <v>3.0617892900000001</v>
      </c>
      <c r="CO62" s="27">
        <f>COGS!CO62+'SG&amp;A'!CO62</f>
        <v>2.6303724499999994</v>
      </c>
      <c r="CP62" s="27">
        <f>COGS!CP62+'SG&amp;A'!CP62</f>
        <v>2.3432210600000007</v>
      </c>
      <c r="CQ62" s="27">
        <f>COGS!CQ62+'SG&amp;A'!CQ62</f>
        <v>2.6506171999999988</v>
      </c>
      <c r="CR62" s="27">
        <f>COGS!CR62+'SG&amp;A'!CR62</f>
        <v>10.686</v>
      </c>
      <c r="CS62" s="27">
        <f>COGS!CS62+'SG&amp;A'!CS62</f>
        <v>2.2896991199999999</v>
      </c>
      <c r="CT62" s="27">
        <f>COGS!CT62+'SG&amp;A'!CT62</f>
        <v>2.6763502400000001</v>
      </c>
      <c r="CU62" s="27">
        <f>COGS!CU62+'SG&amp;A'!CU62</f>
        <v>2.4775808499999998</v>
      </c>
      <c r="CV62" s="27">
        <f>COGS!CV62+'SG&amp;A'!CV62</f>
        <v>2.8698422699999999</v>
      </c>
      <c r="CW62" s="27">
        <f>COGS!CW62+'SG&amp;A'!CW62</f>
        <v>10.31347248</v>
      </c>
      <c r="CX62" s="27">
        <f>COGS!CX62+'SG&amp;A'!CX62</f>
        <v>2.7649999999999997</v>
      </c>
      <c r="CY62" s="27">
        <f>COGS!CY62+'SG&amp;A'!CY62</f>
        <v>2.4020000000000001</v>
      </c>
      <c r="CZ62" s="27">
        <f>COGS!CZ62+'SG&amp;A'!CZ62</f>
        <v>2.3780000000000001</v>
      </c>
      <c r="DA62" s="27">
        <f>COGS!DA62+'SG&amp;A'!DA62</f>
        <v>2.5049999999999999</v>
      </c>
      <c r="DB62" s="27">
        <f>COGS!DB62+'SG&amp;A'!DB62</f>
        <v>10.050000000000001</v>
      </c>
      <c r="DC62" s="27">
        <f>COGS!DC62+'SG&amp;A'!DC62</f>
        <v>2.6179999999999999</v>
      </c>
      <c r="DD62" s="27">
        <f>COGS!DD62+'SG&amp;A'!DD62</f>
        <v>1.994</v>
      </c>
      <c r="DE62" s="27">
        <f>COGS!DE62+'SG&amp;A'!DE62</f>
        <v>2.3339999999999996</v>
      </c>
      <c r="DF62" s="27">
        <f>COGS!DF62+'SG&amp;A'!DF62</f>
        <v>3.4540000000000002</v>
      </c>
      <c r="DG62" s="27">
        <f>COGS!DG62+'SG&amp;A'!DG62</f>
        <v>10.399999999999999</v>
      </c>
      <c r="DH62" s="27">
        <f>COGS!DH62+'SG&amp;A'!DH62</f>
        <v>5.4079999999999995</v>
      </c>
      <c r="DI62" s="27">
        <f>COGS!DI62+'SG&amp;A'!DI62</f>
        <v>4.9320000000000004</v>
      </c>
      <c r="DJ62" s="27">
        <f>COGS!DJ62+'SG&amp;A'!DJ62</f>
        <v>5.4470000000000001</v>
      </c>
      <c r="DK62" s="27">
        <f>COGS!DK62+'SG&amp;A'!DK62</f>
        <v>9.6269999999999989</v>
      </c>
      <c r="DL62" s="27">
        <f>COGS!DL62+'SG&amp;A'!DL62</f>
        <v>25.413999999999998</v>
      </c>
      <c r="DM62" s="27">
        <f>COGS!DM62+'SG&amp;A'!DM62</f>
        <v>7.4060000000000006</v>
      </c>
      <c r="DN62" s="27">
        <f>COGS!DN62+'SG&amp;A'!DN62</f>
        <v>8.3229999999999986</v>
      </c>
      <c r="DO62" s="27">
        <f>COGS!DO62+'SG&amp;A'!DO62</f>
        <v>9.254999999999999</v>
      </c>
      <c r="DP62" s="27">
        <f>COGS!DP62+'SG&amp;A'!DP62</f>
        <v>10.274999999999999</v>
      </c>
      <c r="DQ62" s="27">
        <f>COGS!DQ62+'SG&amp;A'!DQ62</f>
        <v>35.259</v>
      </c>
      <c r="DR62" s="27">
        <f>COGS!DR62+'SG&amp;A'!DR62</f>
        <v>8.1470000000000002</v>
      </c>
      <c r="DS62" s="27">
        <f>COGS!DS62+'SG&amp;A'!DS62</f>
        <v>9.7929999999999993</v>
      </c>
      <c r="DT62" s="27">
        <f>COGS!DT62+'SG&amp;A'!DT62</f>
        <v>9.048</v>
      </c>
      <c r="DU62" s="27">
        <f>COGS!DU62+'SG&amp;A'!DU62</f>
        <v>7.2700000000000005</v>
      </c>
      <c r="DV62" s="27">
        <f>COGS!DV62+'SG&amp;A'!DV62</f>
        <v>34.257999999999996</v>
      </c>
      <c r="DW62" s="27">
        <f>COGS!DW62+'SG&amp;A'!DW62</f>
        <v>9.597999999999999</v>
      </c>
      <c r="DX62" s="27">
        <f>COGS!DX62+'SG&amp;A'!DX62</f>
        <v>9.5976069299999995</v>
      </c>
      <c r="DY62" s="27">
        <f>COGS!DY62+'SG&amp;A'!DY62</f>
        <v>9.3638650300000013</v>
      </c>
      <c r="DZ62" s="27">
        <f>COGS!DZ62+'SG&amp;A'!DZ62</f>
        <v>9.0237389600000029</v>
      </c>
      <c r="EA62" s="27">
        <f>COGS!EA62+'SG&amp;A'!EA62</f>
        <v>37.583210919999999</v>
      </c>
      <c r="EB62" s="27">
        <f>COGS!EB62+'SG&amp;A'!EB62</f>
        <v>8.9187245300000004</v>
      </c>
      <c r="EC62" s="27">
        <f>COGS!EC62+'SG&amp;A'!EC62</f>
        <v>11.33505267</v>
      </c>
      <c r="ED62" s="27">
        <f>COGS!ED62+'SG&amp;A'!ED62</f>
        <v>10.747999999999999</v>
      </c>
      <c r="EE62" s="27">
        <f>COGS!EE62+'SG&amp;A'!EE62</f>
        <v>10.593695480000001</v>
      </c>
      <c r="EF62" s="27">
        <f>COGS!EF62+'SG&amp;A'!EF62</f>
        <v>41.59547268</v>
      </c>
      <c r="EG62" s="27">
        <f>COGS!EG62+'SG&amp;A'!EG62</f>
        <v>10.089271220000001</v>
      </c>
      <c r="EH62" s="27">
        <f>COGS!EH62+'SG&amp;A'!EH62</f>
        <v>10.11988663</v>
      </c>
      <c r="EI62" s="27">
        <f>COGS!EI62+'SG&amp;A'!EI62</f>
        <v>6.9873643900000006</v>
      </c>
    </row>
    <row r="63" spans="1:139" ht="15" thickBot="1" x14ac:dyDescent="0.35">
      <c r="A63" s="2" t="s">
        <v>3</v>
      </c>
      <c r="B63" s="28">
        <f>COGS!B63+'SG&amp;A'!B63</f>
        <v>0</v>
      </c>
      <c r="C63" s="28">
        <f>COGS!C63+'SG&amp;A'!C63</f>
        <v>0</v>
      </c>
      <c r="D63" s="28">
        <f>COGS!D63+'SG&amp;A'!D63</f>
        <v>0</v>
      </c>
      <c r="E63" s="28">
        <f>COGS!E63+'SG&amp;A'!E63</f>
        <v>0</v>
      </c>
      <c r="F63" s="28">
        <f>COGS!F63+'SG&amp;A'!F63</f>
        <v>0</v>
      </c>
      <c r="G63" s="28">
        <f>COGS!G63+'SG&amp;A'!G63</f>
        <v>0</v>
      </c>
      <c r="H63" s="28">
        <f>COGS!H63+'SG&amp;A'!H63</f>
        <v>0</v>
      </c>
      <c r="I63" s="28">
        <f>COGS!I63+'SG&amp;A'!I63</f>
        <v>0</v>
      </c>
      <c r="J63" s="28">
        <f>COGS!J63+'SG&amp;A'!J63</f>
        <v>0</v>
      </c>
      <c r="K63" s="28">
        <f>COGS!K63+'SG&amp;A'!K63</f>
        <v>0</v>
      </c>
      <c r="L63" s="28">
        <f>COGS!L63+'SG&amp;A'!L63</f>
        <v>0</v>
      </c>
      <c r="M63" s="28">
        <f>COGS!M63+'SG&amp;A'!M63</f>
        <v>0</v>
      </c>
      <c r="N63" s="28">
        <f>COGS!N63+'SG&amp;A'!N63</f>
        <v>0</v>
      </c>
      <c r="O63" s="28">
        <f>COGS!O63+'SG&amp;A'!O63</f>
        <v>0</v>
      </c>
      <c r="P63" s="28">
        <f>COGS!P63+'SG&amp;A'!P63</f>
        <v>0</v>
      </c>
      <c r="Q63" s="28">
        <f>COGS!Q63+'SG&amp;A'!Q63</f>
        <v>0</v>
      </c>
      <c r="R63" s="28">
        <f>COGS!R63+'SG&amp;A'!R63</f>
        <v>0</v>
      </c>
      <c r="S63" s="28">
        <f>COGS!S63+'SG&amp;A'!S63</f>
        <v>0</v>
      </c>
      <c r="T63" s="28">
        <f>COGS!T63+'SG&amp;A'!T63</f>
        <v>0</v>
      </c>
      <c r="U63" s="28">
        <f>COGS!U63+'SG&amp;A'!U63</f>
        <v>0</v>
      </c>
      <c r="V63" s="28">
        <f>COGS!V63+'SG&amp;A'!V63</f>
        <v>0</v>
      </c>
      <c r="W63" s="28">
        <f>COGS!W63+'SG&amp;A'!W63</f>
        <v>0</v>
      </c>
      <c r="X63" s="28">
        <f>COGS!X63+'SG&amp;A'!X63</f>
        <v>0</v>
      </c>
      <c r="Y63" s="28">
        <f>COGS!Y63+'SG&amp;A'!Y63</f>
        <v>0</v>
      </c>
      <c r="Z63" s="28">
        <f>COGS!Z63+'SG&amp;A'!Z63</f>
        <v>0</v>
      </c>
      <c r="AA63" s="28">
        <f>COGS!AA63+'SG&amp;A'!AA63</f>
        <v>0</v>
      </c>
      <c r="AB63" s="28">
        <f>COGS!AB63+'SG&amp;A'!AB63</f>
        <v>0</v>
      </c>
      <c r="AC63" s="28">
        <f>COGS!AC63+'SG&amp;A'!AC63</f>
        <v>0</v>
      </c>
      <c r="AD63" s="28">
        <f>COGS!AD63+'SG&amp;A'!AD63</f>
        <v>0</v>
      </c>
      <c r="AE63" s="28">
        <f>COGS!AE63+'SG&amp;A'!AE63</f>
        <v>0</v>
      </c>
      <c r="AF63" s="28">
        <f>COGS!AF63+'SG&amp;A'!AF63</f>
        <v>0</v>
      </c>
      <c r="AG63" s="28">
        <f>COGS!AG63+'SG&amp;A'!AG63</f>
        <v>0</v>
      </c>
      <c r="AH63" s="28">
        <f>COGS!AH63+'SG&amp;A'!AH63</f>
        <v>0</v>
      </c>
      <c r="AI63" s="28">
        <f>COGS!AI63+'SG&amp;A'!AI63</f>
        <v>0</v>
      </c>
      <c r="AJ63" s="28">
        <f>COGS!AJ63+'SG&amp;A'!AJ63</f>
        <v>0</v>
      </c>
      <c r="AK63" s="28">
        <f>COGS!AK63+'SG&amp;A'!AK63</f>
        <v>0</v>
      </c>
      <c r="AL63" s="28">
        <f>COGS!AL63+'SG&amp;A'!AL63</f>
        <v>0</v>
      </c>
      <c r="AM63" s="28">
        <f>COGS!AM63+'SG&amp;A'!AM63</f>
        <v>0</v>
      </c>
      <c r="AN63" s="28">
        <f>COGS!AN63+'SG&amp;A'!AN63</f>
        <v>0</v>
      </c>
      <c r="AO63" s="28">
        <f>COGS!AO63+'SG&amp;A'!AO63</f>
        <v>0</v>
      </c>
      <c r="AP63" s="28">
        <f>COGS!AP63+'SG&amp;A'!AP63</f>
        <v>0</v>
      </c>
      <c r="AQ63" s="28">
        <f>COGS!AQ63+'SG&amp;A'!AQ63</f>
        <v>0</v>
      </c>
      <c r="AR63" s="28">
        <f>COGS!AR63+'SG&amp;A'!AR63</f>
        <v>0</v>
      </c>
      <c r="AS63" s="28">
        <f>COGS!AS63+'SG&amp;A'!AS63</f>
        <v>0</v>
      </c>
      <c r="AT63" s="28">
        <f>COGS!AT63+'SG&amp;A'!AT63</f>
        <v>0</v>
      </c>
      <c r="AU63" s="28">
        <f>COGS!AU63+'SG&amp;A'!AU63</f>
        <v>0</v>
      </c>
      <c r="AV63" s="28">
        <f>COGS!AV63+'SG&amp;A'!AV63</f>
        <v>0</v>
      </c>
      <c r="AW63" s="28">
        <f>COGS!AW63+'SG&amp;A'!AW63</f>
        <v>0</v>
      </c>
      <c r="AX63" s="28">
        <f>COGS!AX63+'SG&amp;A'!AX63</f>
        <v>0</v>
      </c>
      <c r="AY63" s="28">
        <f>COGS!AY63+'SG&amp;A'!AY63</f>
        <v>0</v>
      </c>
      <c r="AZ63" s="28">
        <f>COGS!AZ63+'SG&amp;A'!AZ63</f>
        <v>0</v>
      </c>
      <c r="BA63" s="28">
        <f>COGS!BA63+'SG&amp;A'!BA63</f>
        <v>0</v>
      </c>
      <c r="BB63" s="28">
        <f>COGS!BB63+'SG&amp;A'!BB63</f>
        <v>0</v>
      </c>
      <c r="BC63" s="28">
        <f>COGS!BC63+'SG&amp;A'!BC63</f>
        <v>0</v>
      </c>
      <c r="BD63" s="28">
        <f>COGS!BD63+'SG&amp;A'!BD63</f>
        <v>0</v>
      </c>
      <c r="BE63" s="28">
        <f>COGS!BE63+'SG&amp;A'!BE63</f>
        <v>0</v>
      </c>
      <c r="BF63" s="28">
        <f>COGS!BF63+'SG&amp;A'!BF63</f>
        <v>0</v>
      </c>
      <c r="BG63" s="28">
        <f>COGS!BG63+'SG&amp;A'!BG63</f>
        <v>0</v>
      </c>
      <c r="BH63" s="28">
        <f>COGS!BH63+'SG&amp;A'!BH63</f>
        <v>0</v>
      </c>
      <c r="BI63" s="28">
        <f>COGS!BI63+'SG&amp;A'!BI63</f>
        <v>0</v>
      </c>
      <c r="BJ63" s="28">
        <f>COGS!BJ63+'SG&amp;A'!BJ63</f>
        <v>2.7199196800000003</v>
      </c>
      <c r="BK63" s="28">
        <f>COGS!BK63+'SG&amp;A'!BK63</f>
        <v>2.8620956500000005</v>
      </c>
      <c r="BL63" s="28">
        <f>COGS!BL63+'SG&amp;A'!BL63</f>
        <v>1.9992959599999991</v>
      </c>
      <c r="BM63" s="28">
        <f>COGS!BM63+'SG&amp;A'!BM63</f>
        <v>3.095602560000001</v>
      </c>
      <c r="BN63" s="28">
        <f>COGS!BN63+'SG&amp;A'!BN63</f>
        <v>10.67691385</v>
      </c>
      <c r="BO63" s="28">
        <f>COGS!BO63+'SG&amp;A'!BO63</f>
        <v>2.8191776799999997</v>
      </c>
      <c r="BP63" s="28">
        <f>COGS!BP63+'SG&amp;A'!BP63</f>
        <v>3.1351341100000005</v>
      </c>
      <c r="BQ63" s="28">
        <f>COGS!BQ63+'SG&amp;A'!BQ63</f>
        <v>2.1631170699999993</v>
      </c>
      <c r="BR63" s="28">
        <f>COGS!BR63+'SG&amp;A'!BR63</f>
        <v>3.3232289500000012</v>
      </c>
      <c r="BS63" s="28">
        <f>COGS!BS63+'SG&amp;A'!BS63</f>
        <v>11.440657810000001</v>
      </c>
      <c r="BT63" s="28">
        <f>COGS!BT63+'SG&amp;A'!BT63</f>
        <v>3.3263536500000002</v>
      </c>
      <c r="BU63" s="28">
        <f>COGS!BU63+'SG&amp;A'!BU63</f>
        <v>2.9435030599999994</v>
      </c>
      <c r="BV63" s="28">
        <f>COGS!BV63+'SG&amp;A'!BV63</f>
        <v>2.1412699499999994</v>
      </c>
      <c r="BW63" s="28">
        <f>COGS!BW63+'SG&amp;A'!BW63</f>
        <v>1.787226930000001</v>
      </c>
      <c r="BX63" s="28">
        <f>COGS!BX63+'SG&amp;A'!BX63</f>
        <v>10.19835359</v>
      </c>
      <c r="BY63" s="28">
        <f>COGS!BY63+'SG&amp;A'!BY63</f>
        <v>2.6388067000000004</v>
      </c>
      <c r="BZ63" s="28">
        <f>COGS!BZ63+'SG&amp;A'!BZ63</f>
        <v>3.6593850700000004</v>
      </c>
      <c r="CA63" s="28">
        <f>COGS!CA63+'SG&amp;A'!CA63</f>
        <v>5.5899485299999991</v>
      </c>
      <c r="CB63" s="28">
        <f>COGS!CB63+'SG&amp;A'!CB63</f>
        <v>5.9035058400000011</v>
      </c>
      <c r="CC63" s="28">
        <f>COGS!CC63+'SG&amp;A'!CC63</f>
        <v>17.791646140000001</v>
      </c>
      <c r="CD63" s="28">
        <f>COGS!CD63+'SG&amp;A'!CD63</f>
        <v>5.0225991199999998</v>
      </c>
      <c r="CE63" s="28">
        <f>COGS!CE63+'SG&amp;A'!CE63</f>
        <v>1.8048356399999996</v>
      </c>
      <c r="CF63" s="28">
        <f>COGS!CF63+'SG&amp;A'!CF63</f>
        <v>3.1704450300000002</v>
      </c>
      <c r="CG63" s="28">
        <f>COGS!CG63+'SG&amp;A'!CG63</f>
        <v>4.4093314900000022</v>
      </c>
      <c r="CH63" s="28">
        <f>COGS!CH63+'SG&amp;A'!CH63</f>
        <v>14.407211280000002</v>
      </c>
      <c r="CI63" s="28">
        <f>COGS!CI63+'SG&amp;A'!CI63</f>
        <v>3.7192336799999999</v>
      </c>
      <c r="CJ63" s="28">
        <f>COGS!CJ63+'SG&amp;A'!CJ63</f>
        <v>2.5647155100000001</v>
      </c>
      <c r="CK63" s="28">
        <f>COGS!CK63+'SG&amp;A'!CK63</f>
        <v>2.6505173399999999</v>
      </c>
      <c r="CL63" s="28">
        <f>COGS!CL63+'SG&amp;A'!CL63</f>
        <v>3.5196238199999992</v>
      </c>
      <c r="CM63" s="28">
        <f>COGS!CM63+'SG&amp;A'!CM63</f>
        <v>12.45409035</v>
      </c>
      <c r="CN63" s="28">
        <f>COGS!CN63+'SG&amp;A'!CN63</f>
        <v>2.8869530699999997</v>
      </c>
      <c r="CO63" s="28">
        <f>COGS!CO63+'SG&amp;A'!CO63</f>
        <v>3.0891601100000003</v>
      </c>
      <c r="CP63" s="28">
        <f>COGS!CP63+'SG&amp;A'!CP63</f>
        <v>3.1207250900000014</v>
      </c>
      <c r="CQ63" s="28">
        <f>COGS!CQ63+'SG&amp;A'!CQ63</f>
        <v>3.4461617299999991</v>
      </c>
      <c r="CR63" s="28">
        <f>COGS!CR63+'SG&amp;A'!CR63</f>
        <v>12.543000000000001</v>
      </c>
      <c r="CS63" s="28">
        <f>COGS!CS63+'SG&amp;A'!CS63</f>
        <v>3.0565903300000001</v>
      </c>
      <c r="CT63" s="28">
        <f>COGS!CT63+'SG&amp;A'!CT63</f>
        <v>2.9767289899999998</v>
      </c>
      <c r="CU63" s="28">
        <f>COGS!CU63+'SG&amp;A'!CU63</f>
        <v>3.2866816100000009</v>
      </c>
      <c r="CV63" s="28">
        <f>COGS!CV63+'SG&amp;A'!CV63</f>
        <v>3.4267747699999984</v>
      </c>
      <c r="CW63" s="28">
        <f>COGS!CW63+'SG&amp;A'!CW63</f>
        <v>12.746775699999999</v>
      </c>
      <c r="CX63" s="28">
        <f>COGS!CX63+'SG&amp;A'!CX63</f>
        <v>3.4549999999999996</v>
      </c>
      <c r="CY63" s="28">
        <f>COGS!CY63+'SG&amp;A'!CY63</f>
        <v>3.1869999999999998</v>
      </c>
      <c r="CZ63" s="28">
        <f>COGS!CZ63+'SG&amp;A'!CZ63</f>
        <v>3.2209999999999996</v>
      </c>
      <c r="DA63" s="28">
        <f>COGS!DA63+'SG&amp;A'!DA63</f>
        <v>3.5649999999999999</v>
      </c>
      <c r="DB63" s="28">
        <f>COGS!DB63+'SG&amp;A'!DB63</f>
        <v>13.427999999999999</v>
      </c>
      <c r="DC63" s="28">
        <f>COGS!DC63+'SG&amp;A'!DC63</f>
        <v>3.294</v>
      </c>
      <c r="DD63" s="28">
        <f>COGS!DD63+'SG&amp;A'!DD63</f>
        <v>2.9939999999999998</v>
      </c>
      <c r="DE63" s="28">
        <f>COGS!DE63+'SG&amp;A'!DE63</f>
        <v>4.29</v>
      </c>
      <c r="DF63" s="28">
        <f>COGS!DF63+'SG&amp;A'!DF63</f>
        <v>3.895</v>
      </c>
      <c r="DG63" s="28">
        <f>COGS!DG63+'SG&amp;A'!DG63</f>
        <v>14.473000000000003</v>
      </c>
      <c r="DH63" s="28">
        <f>COGS!DH63+'SG&amp;A'!DH63</f>
        <v>3.2839999999999998</v>
      </c>
      <c r="DI63" s="28">
        <f>COGS!DI63+'SG&amp;A'!DI63</f>
        <v>3.0250000000000004</v>
      </c>
      <c r="DJ63" s="28">
        <f>COGS!DJ63+'SG&amp;A'!DJ63</f>
        <v>3.3090000000000002</v>
      </c>
      <c r="DK63" s="28">
        <f>COGS!DK63+'SG&amp;A'!DK63</f>
        <v>4.3229999999999995</v>
      </c>
      <c r="DL63" s="28">
        <f>COGS!DL63+'SG&amp;A'!DL63</f>
        <v>13.940999999999999</v>
      </c>
      <c r="DM63" s="28">
        <f>COGS!DM63+'SG&amp;A'!DM63</f>
        <v>4.0289999999999999</v>
      </c>
      <c r="DN63" s="28">
        <f>COGS!DN63+'SG&amp;A'!DN63</f>
        <v>4.4039999999999999</v>
      </c>
      <c r="DO63" s="28">
        <f>COGS!DO63+'SG&amp;A'!DO63</f>
        <v>3.7650000000000001</v>
      </c>
      <c r="DP63" s="28">
        <f>COGS!DP63+'SG&amp;A'!DP63</f>
        <v>1.643</v>
      </c>
      <c r="DQ63" s="28">
        <f>COGS!DQ63+'SG&amp;A'!DQ63</f>
        <v>13.840999999999999</v>
      </c>
      <c r="DR63" s="28">
        <f>COGS!DR63+'SG&amp;A'!DR63</f>
        <v>6.6000000000000003E-2</v>
      </c>
      <c r="DS63" s="28">
        <f>COGS!DS63+'SG&amp;A'!DS63</f>
        <v>0.27300000000000002</v>
      </c>
      <c r="DT63" s="28">
        <f>COGS!DT63+'SG&amp;A'!DT63</f>
        <v>0</v>
      </c>
      <c r="DU63" s="28">
        <f>COGS!DU63+'SG&amp;A'!DU63</f>
        <v>-5.0000000000000044E-3</v>
      </c>
      <c r="DV63" s="28">
        <f>COGS!DV63+'SG&amp;A'!DV63</f>
        <v>0.33400000000000002</v>
      </c>
      <c r="DW63" s="28">
        <f>COGS!DW63+'SG&amp;A'!DW63</f>
        <v>-4.0000000000000001E-3</v>
      </c>
      <c r="DX63" s="28">
        <f>COGS!DX63+'SG&amp;A'!DX63</f>
        <v>0</v>
      </c>
      <c r="DY63" s="28">
        <f>COGS!DY63+'SG&amp;A'!DY63</f>
        <v>0</v>
      </c>
      <c r="DZ63" s="28">
        <f>COGS!DZ63+'SG&amp;A'!DZ63</f>
        <v>0</v>
      </c>
      <c r="EA63" s="28">
        <f>COGS!EA63+'SG&amp;A'!EA63</f>
        <v>-4.0000000000000001E-3</v>
      </c>
      <c r="EB63" s="28">
        <f>COGS!EB63+'SG&amp;A'!EB63</f>
        <v>0</v>
      </c>
      <c r="EC63" s="28">
        <f>COGS!EC63+'SG&amp;A'!EC63</f>
        <v>1.973571E-2</v>
      </c>
      <c r="ED63" s="28">
        <f>COGS!ED63+'SG&amp;A'!ED63</f>
        <v>0</v>
      </c>
      <c r="EE63" s="28">
        <f>COGS!EE63+'SG&amp;A'!EE63</f>
        <v>1.8971430000000001E-2</v>
      </c>
      <c r="EF63" s="28">
        <f>COGS!EF63+'SG&amp;A'!EF63</f>
        <v>3.8707140000000001E-2</v>
      </c>
      <c r="EG63" s="28">
        <f>COGS!EG63+'SG&amp;A'!EG63</f>
        <v>0</v>
      </c>
      <c r="EH63" s="28">
        <f>COGS!EH63+'SG&amp;A'!EH63</f>
        <v>-5.7162700000000007E-3</v>
      </c>
      <c r="EI63" s="28">
        <f>COGS!EI63+'SG&amp;A'!EI63</f>
        <v>1.4360500000000001E-3</v>
      </c>
    </row>
    <row r="64" spans="1:139" ht="15" thickTop="1" x14ac:dyDescent="0.3">
      <c r="A64" s="1" t="s">
        <v>443</v>
      </c>
      <c r="B64" s="27">
        <f>COGS!B64+'SG&amp;A'!B64</f>
        <v>0</v>
      </c>
      <c r="C64" s="27">
        <f>COGS!C64+'SG&amp;A'!C64</f>
        <v>0</v>
      </c>
      <c r="D64" s="27">
        <f>COGS!D64+'SG&amp;A'!D64</f>
        <v>0</v>
      </c>
      <c r="E64" s="27">
        <f>COGS!E64+'SG&amp;A'!E64</f>
        <v>0</v>
      </c>
      <c r="F64" s="27">
        <f>COGS!F64+'SG&amp;A'!F64</f>
        <v>0</v>
      </c>
      <c r="G64" s="27">
        <f>COGS!G64+'SG&amp;A'!G64</f>
        <v>0</v>
      </c>
      <c r="H64" s="27">
        <f>COGS!H64+'SG&amp;A'!H64</f>
        <v>0</v>
      </c>
      <c r="I64" s="27">
        <f>COGS!I64+'SG&amp;A'!I64</f>
        <v>0</v>
      </c>
      <c r="J64" s="27">
        <f>COGS!J64+'SG&amp;A'!J64</f>
        <v>0</v>
      </c>
      <c r="K64" s="27">
        <f>COGS!K64+'SG&amp;A'!K64</f>
        <v>0</v>
      </c>
      <c r="L64" s="27">
        <f>COGS!L64+'SG&amp;A'!L64</f>
        <v>0</v>
      </c>
      <c r="M64" s="27">
        <f>COGS!M64+'SG&amp;A'!M64</f>
        <v>0</v>
      </c>
      <c r="N64" s="27">
        <f>COGS!N64+'SG&amp;A'!N64</f>
        <v>0</v>
      </c>
      <c r="O64" s="27">
        <f>COGS!O64+'SG&amp;A'!O64</f>
        <v>0</v>
      </c>
      <c r="P64" s="27">
        <f>COGS!P64+'SG&amp;A'!P64</f>
        <v>0</v>
      </c>
      <c r="Q64" s="27">
        <f>COGS!Q64+'SG&amp;A'!Q64</f>
        <v>0</v>
      </c>
      <c r="R64" s="27">
        <f>COGS!R64+'SG&amp;A'!R64</f>
        <v>0</v>
      </c>
      <c r="S64" s="27">
        <f>COGS!S64+'SG&amp;A'!S64</f>
        <v>0</v>
      </c>
      <c r="T64" s="27">
        <f>COGS!T64+'SG&amp;A'!T64</f>
        <v>0</v>
      </c>
      <c r="U64" s="27">
        <f>COGS!U64+'SG&amp;A'!U64</f>
        <v>0</v>
      </c>
      <c r="V64" s="27">
        <f>COGS!V64+'SG&amp;A'!V64</f>
        <v>0</v>
      </c>
      <c r="W64" s="27">
        <f>COGS!W64+'SG&amp;A'!W64</f>
        <v>0</v>
      </c>
      <c r="X64" s="27">
        <f>COGS!X64+'SG&amp;A'!X64</f>
        <v>0</v>
      </c>
      <c r="Y64" s="27">
        <f>COGS!Y64+'SG&amp;A'!Y64</f>
        <v>0</v>
      </c>
      <c r="Z64" s="27">
        <f>COGS!Z64+'SG&amp;A'!Z64</f>
        <v>0</v>
      </c>
      <c r="AA64" s="27">
        <f>COGS!AA64+'SG&amp;A'!AA64</f>
        <v>0</v>
      </c>
      <c r="AB64" s="27">
        <f>COGS!AB64+'SG&amp;A'!AB64</f>
        <v>0</v>
      </c>
      <c r="AC64" s="27">
        <f>COGS!AC64+'SG&amp;A'!AC64</f>
        <v>0</v>
      </c>
      <c r="AD64" s="27">
        <f>COGS!AD64+'SG&amp;A'!AD64</f>
        <v>0</v>
      </c>
      <c r="AE64" s="27">
        <f>COGS!AE64+'SG&amp;A'!AE64</f>
        <v>0</v>
      </c>
      <c r="AF64" s="27">
        <f>COGS!AF64+'SG&amp;A'!AF64</f>
        <v>0</v>
      </c>
      <c r="AG64" s="27">
        <f>COGS!AG64+'SG&amp;A'!AG64</f>
        <v>0</v>
      </c>
      <c r="AH64" s="27">
        <f>COGS!AH64+'SG&amp;A'!AH64</f>
        <v>0</v>
      </c>
      <c r="AI64" s="27">
        <f>COGS!AI64+'SG&amp;A'!AI64</f>
        <v>0</v>
      </c>
      <c r="AJ64" s="27">
        <f>COGS!AJ64+'SG&amp;A'!AJ64</f>
        <v>0</v>
      </c>
      <c r="AK64" s="27">
        <f>COGS!AK64+'SG&amp;A'!AK64</f>
        <v>0</v>
      </c>
      <c r="AL64" s="27">
        <f>COGS!AL64+'SG&amp;A'!AL64</f>
        <v>0</v>
      </c>
      <c r="AM64" s="27">
        <f>COGS!AM64+'SG&amp;A'!AM64</f>
        <v>0</v>
      </c>
      <c r="AN64" s="27">
        <f>COGS!AN64+'SG&amp;A'!AN64</f>
        <v>0</v>
      </c>
      <c r="AO64" s="27">
        <f>COGS!AO64+'SG&amp;A'!AO64</f>
        <v>0</v>
      </c>
      <c r="AP64" s="27">
        <f>COGS!AP64+'SG&amp;A'!AP64</f>
        <v>0</v>
      </c>
      <c r="AQ64" s="27">
        <f>COGS!AQ64+'SG&amp;A'!AQ64</f>
        <v>0</v>
      </c>
      <c r="AR64" s="27">
        <f>COGS!AR64+'SG&amp;A'!AR64</f>
        <v>0</v>
      </c>
      <c r="AS64" s="27">
        <f>COGS!AS64+'SG&amp;A'!AS64</f>
        <v>0</v>
      </c>
      <c r="AT64" s="27">
        <f>COGS!AT64+'SG&amp;A'!AT64</f>
        <v>0</v>
      </c>
      <c r="AU64" s="27">
        <f>COGS!AU64+'SG&amp;A'!AU64</f>
        <v>0</v>
      </c>
      <c r="AV64" s="27">
        <f>COGS!AV64+'SG&amp;A'!AV64</f>
        <v>0</v>
      </c>
      <c r="AW64" s="27">
        <f>COGS!AW64+'SG&amp;A'!AW64</f>
        <v>0</v>
      </c>
      <c r="AX64" s="27">
        <f>COGS!AX64+'SG&amp;A'!AX64</f>
        <v>0</v>
      </c>
      <c r="AY64" s="27">
        <f>COGS!AY64+'SG&amp;A'!AY64</f>
        <v>0</v>
      </c>
      <c r="AZ64" s="27">
        <f>COGS!AZ64+'SG&amp;A'!AZ64</f>
        <v>0</v>
      </c>
      <c r="BA64" s="27">
        <f>COGS!BA64+'SG&amp;A'!BA64</f>
        <v>0</v>
      </c>
      <c r="BB64" s="27">
        <f>COGS!BB64+'SG&amp;A'!BB64</f>
        <v>0</v>
      </c>
      <c r="BC64" s="27">
        <f>COGS!BC64+'SG&amp;A'!BC64</f>
        <v>0</v>
      </c>
      <c r="BD64" s="27">
        <f>COGS!BD64+'SG&amp;A'!BD64</f>
        <v>0</v>
      </c>
      <c r="BE64" s="27">
        <f>COGS!BE64+'SG&amp;A'!BE64</f>
        <v>0</v>
      </c>
      <c r="BF64" s="27">
        <f>COGS!BF64+'SG&amp;A'!BF64</f>
        <v>0</v>
      </c>
      <c r="BG64" s="27">
        <f>COGS!BG64+'SG&amp;A'!BG64</f>
        <v>0</v>
      </c>
      <c r="BH64" s="27">
        <f>COGS!BH64+'SG&amp;A'!BH64</f>
        <v>0</v>
      </c>
      <c r="BI64" s="27">
        <f>COGS!BI64+'SG&amp;A'!BI64</f>
        <v>0</v>
      </c>
      <c r="BJ64" s="27">
        <f>COGS!BJ64+'SG&amp;A'!BJ64</f>
        <v>2.8808821200000003</v>
      </c>
      <c r="BK64" s="27">
        <f>COGS!BK64+'SG&amp;A'!BK64</f>
        <v>2.1552006900000005</v>
      </c>
      <c r="BL64" s="27">
        <f>COGS!BL64+'SG&amp;A'!BL64</f>
        <v>2.1790587999999995</v>
      </c>
      <c r="BM64" s="27">
        <f>COGS!BM64+'SG&amp;A'!BM64</f>
        <v>3.0562448200000012</v>
      </c>
      <c r="BN64" s="27">
        <f>COGS!BN64+'SG&amp;A'!BN64</f>
        <v>10.271386430000002</v>
      </c>
      <c r="BO64" s="27">
        <f>COGS!BO64+'SG&amp;A'!BO64</f>
        <v>2.1195058700000002</v>
      </c>
      <c r="BP64" s="27">
        <f>COGS!BP64+'SG&amp;A'!BP64</f>
        <v>2.6606748099999997</v>
      </c>
      <c r="BQ64" s="27">
        <f>COGS!BQ64+'SG&amp;A'!BQ64</f>
        <v>2.4161181000000007</v>
      </c>
      <c r="BR64" s="27">
        <f>COGS!BR64+'SG&amp;A'!BR64</f>
        <v>3.1557374000000005</v>
      </c>
      <c r="BS64" s="27">
        <f>COGS!BS64+'SG&amp;A'!BS64</f>
        <v>10.352036180000001</v>
      </c>
      <c r="BT64" s="27">
        <f>COGS!BT64+'SG&amp;A'!BT64</f>
        <v>2.7391225399999999</v>
      </c>
      <c r="BU64" s="27">
        <f>COGS!BU64+'SG&amp;A'!BU64</f>
        <v>2.5689357000000008</v>
      </c>
      <c r="BV64" s="27">
        <f>COGS!BV64+'SG&amp;A'!BV64</f>
        <v>2.3371245800000002</v>
      </c>
      <c r="BW64" s="27">
        <f>COGS!BW64+'SG&amp;A'!BW64</f>
        <v>3.1244767999999992</v>
      </c>
      <c r="BX64" s="27">
        <f>COGS!BX64+'SG&amp;A'!BX64</f>
        <v>10.769659620000001</v>
      </c>
      <c r="BY64" s="27">
        <f>COGS!BY64+'SG&amp;A'!BY64</f>
        <v>2.2311280199999999</v>
      </c>
      <c r="BZ64" s="27">
        <f>COGS!BZ64+'SG&amp;A'!BZ64</f>
        <v>2.35162804</v>
      </c>
      <c r="CA64" s="27">
        <f>COGS!CA64+'SG&amp;A'!CA64</f>
        <v>2.19024829</v>
      </c>
      <c r="CB64" s="27">
        <f>COGS!CB64+'SG&amp;A'!CB64</f>
        <v>3.4617763600000009</v>
      </c>
      <c r="CC64" s="27">
        <f>COGS!CC64+'SG&amp;A'!CC64</f>
        <v>10.234780710000001</v>
      </c>
      <c r="CD64" s="27">
        <f>COGS!CD64+'SG&amp;A'!CD64</f>
        <v>2.2504897799999997</v>
      </c>
      <c r="CE64" s="27">
        <f>COGS!CE64+'SG&amp;A'!CE64</f>
        <v>2.3248084799999988</v>
      </c>
      <c r="CF64" s="27">
        <f>COGS!CF64+'SG&amp;A'!CF64</f>
        <v>2.5646712000000011</v>
      </c>
      <c r="CG64" s="27">
        <f>COGS!CG64+'SG&amp;A'!CG64</f>
        <v>4.7365160099999999</v>
      </c>
      <c r="CH64" s="27">
        <f>COGS!CH64+'SG&amp;A'!CH64</f>
        <v>11.876485469999999</v>
      </c>
      <c r="CI64" s="27">
        <f>COGS!CI64+'SG&amp;A'!CI64</f>
        <v>2.2817573499999999</v>
      </c>
      <c r="CJ64" s="27">
        <f>COGS!CJ64+'SG&amp;A'!CJ64</f>
        <v>2.1287264000000001</v>
      </c>
      <c r="CK64" s="27">
        <f>COGS!CK64+'SG&amp;A'!CK64</f>
        <v>2.2144048399999998</v>
      </c>
      <c r="CL64" s="27">
        <f>COGS!CL64+'SG&amp;A'!CL64</f>
        <v>2.2225472499999999</v>
      </c>
      <c r="CM64" s="27">
        <f>COGS!CM64+'SG&amp;A'!CM64</f>
        <v>8.8474358399999993</v>
      </c>
      <c r="CN64" s="27">
        <f>COGS!CN64+'SG&amp;A'!CN64</f>
        <v>1.89516551</v>
      </c>
      <c r="CO64" s="27">
        <f>COGS!CO64+'SG&amp;A'!CO64</f>
        <v>1.43965874</v>
      </c>
      <c r="CP64" s="27">
        <f>COGS!CP64+'SG&amp;A'!CP64</f>
        <v>1.81727573</v>
      </c>
      <c r="CQ64" s="27">
        <f>COGS!CQ64+'SG&amp;A'!CQ64</f>
        <v>2.1339000200000005</v>
      </c>
      <c r="CR64" s="27">
        <f>COGS!CR64+'SG&amp;A'!CR64</f>
        <v>7.2860000000000005</v>
      </c>
      <c r="CS64" s="27">
        <f>COGS!CS64+'SG&amp;A'!CS64</f>
        <v>1.8352364499999998</v>
      </c>
      <c r="CT64" s="27">
        <f>COGS!CT64+'SG&amp;A'!CT64</f>
        <v>1.5736374399999999</v>
      </c>
      <c r="CU64" s="27">
        <f>COGS!CU64+'SG&amp;A'!CU64</f>
        <v>1.6223095400000003</v>
      </c>
      <c r="CV64" s="27">
        <f>COGS!CV64+'SG&amp;A'!CV64</f>
        <v>2.1925899699999998</v>
      </c>
      <c r="CW64" s="27">
        <f>COGS!CW64+'SG&amp;A'!CW64</f>
        <v>7.2237733999999998</v>
      </c>
      <c r="CX64" s="27">
        <f>COGS!CX64+'SG&amp;A'!CX64</f>
        <v>1.65</v>
      </c>
      <c r="CY64" s="27">
        <f>COGS!CY64+'SG&amp;A'!CY64</f>
        <v>1.6190000000000002</v>
      </c>
      <c r="CZ64" s="27">
        <f>COGS!CZ64+'SG&amp;A'!CZ64</f>
        <v>1.2210000000000001</v>
      </c>
      <c r="DA64" s="27">
        <f>COGS!DA64+'SG&amp;A'!DA64</f>
        <v>1.9810000000000001</v>
      </c>
      <c r="DB64" s="27">
        <f>COGS!DB64+'SG&amp;A'!DB64</f>
        <v>6.471000000000001</v>
      </c>
      <c r="DC64" s="27">
        <f>COGS!DC64+'SG&amp;A'!DC64</f>
        <v>1.615</v>
      </c>
      <c r="DD64" s="27">
        <f>COGS!DD64+'SG&amp;A'!DD64</f>
        <v>2.238</v>
      </c>
      <c r="DE64" s="27">
        <f>COGS!DE64+'SG&amp;A'!DE64</f>
        <v>2.4929999999999999</v>
      </c>
      <c r="DF64" s="27">
        <f>COGS!DF64+'SG&amp;A'!DF64</f>
        <v>2.1850000000000001</v>
      </c>
      <c r="DG64" s="27">
        <f>COGS!DG64+'SG&amp;A'!DG64</f>
        <v>8.5310000000000006</v>
      </c>
      <c r="DH64" s="27">
        <f>COGS!DH64+'SG&amp;A'!DH64</f>
        <v>2.0329999999999999</v>
      </c>
      <c r="DI64" s="27">
        <f>COGS!DI64+'SG&amp;A'!DI64</f>
        <v>1.4809999999999999</v>
      </c>
      <c r="DJ64" s="27">
        <f>COGS!DJ64+'SG&amp;A'!DJ64</f>
        <v>1.5720000000000001</v>
      </c>
      <c r="DK64" s="27">
        <f>COGS!DK64+'SG&amp;A'!DK64</f>
        <v>1.9670000000000001</v>
      </c>
      <c r="DL64" s="27">
        <f>COGS!DL64+'SG&amp;A'!DL64</f>
        <v>7.0529999999999999</v>
      </c>
      <c r="DM64" s="27">
        <f>COGS!DM64+'SG&amp;A'!DM64</f>
        <v>1.2250000000000001</v>
      </c>
      <c r="DN64" s="27">
        <f>COGS!DN64+'SG&amp;A'!DN64</f>
        <v>2.226</v>
      </c>
      <c r="DO64" s="27">
        <f>COGS!DO64+'SG&amp;A'!DO64</f>
        <v>2.6889999999999996</v>
      </c>
      <c r="DP64" s="27">
        <f>COGS!DP64+'SG&amp;A'!DP64</f>
        <v>2.4289999999999998</v>
      </c>
      <c r="DQ64" s="27">
        <f>COGS!DQ64+'SG&amp;A'!DQ64</f>
        <v>8.5690000000000008</v>
      </c>
      <c r="DR64" s="27">
        <f>COGS!DR64+'SG&amp;A'!DR64</f>
        <v>2.1510000000000002</v>
      </c>
      <c r="DS64" s="27">
        <f>COGS!DS64+'SG&amp;A'!DS64</f>
        <v>2.6459999999999999</v>
      </c>
      <c r="DT64" s="27">
        <f>COGS!DT64+'SG&amp;A'!DT64</f>
        <v>0.41500000000000004</v>
      </c>
      <c r="DU64" s="27">
        <f>COGS!DU64+'SG&amp;A'!DU64</f>
        <v>3.1310000000000002</v>
      </c>
      <c r="DV64" s="27">
        <f>COGS!DV64+'SG&amp;A'!DV64</f>
        <v>8.343</v>
      </c>
      <c r="DW64" s="27">
        <f>COGS!DW64+'SG&amp;A'!DW64</f>
        <v>2.8559999999999999</v>
      </c>
      <c r="DX64" s="27">
        <f>COGS!DX64+'SG&amp;A'!DX64</f>
        <v>1.855</v>
      </c>
      <c r="DY64" s="27">
        <f>COGS!DY64+'SG&amp;A'!DY64</f>
        <v>4.9646050000000006</v>
      </c>
      <c r="DZ64" s="27">
        <f>COGS!DZ64+'SG&amp;A'!DZ64</f>
        <v>3.4010701699999997</v>
      </c>
      <c r="EA64" s="27">
        <f>COGS!EA64+'SG&amp;A'!EA64</f>
        <v>13.076675169999998</v>
      </c>
      <c r="EB64" s="27">
        <f>COGS!EB64+'SG&amp;A'!EB64</f>
        <v>4.8311389699999996</v>
      </c>
      <c r="EC64" s="27">
        <f>COGS!EC64+'SG&amp;A'!EC64</f>
        <v>2.4346489</v>
      </c>
      <c r="ED64" s="27">
        <f>COGS!ED64+'SG&amp;A'!ED64</f>
        <v>5.5809999999999995</v>
      </c>
      <c r="EE64" s="27">
        <f>COGS!EE64+'SG&amp;A'!EE64</f>
        <v>4.80606315</v>
      </c>
      <c r="EF64" s="27">
        <f>COGS!EF64+'SG&amp;A'!EF64</f>
        <v>17.65285102</v>
      </c>
      <c r="EG64" s="27">
        <f>COGS!EG64+'SG&amp;A'!EG64</f>
        <v>3.4932534599999996</v>
      </c>
      <c r="EH64" s="27">
        <f>COGS!EH64+'SG&amp;A'!EH64</f>
        <v>3.7660846500000003</v>
      </c>
      <c r="EI64" s="27">
        <f>COGS!EI64+'SG&amp;A'!EI64</f>
        <v>3.8678355799999986</v>
      </c>
    </row>
    <row r="65" spans="1:139" ht="15" thickBot="1" x14ac:dyDescent="0.35">
      <c r="A65" s="2" t="s">
        <v>481</v>
      </c>
      <c r="B65" s="28">
        <f>COGS!B65+'SG&amp;A'!B65</f>
        <v>0</v>
      </c>
      <c r="C65" s="28">
        <f>COGS!C65+'SG&amp;A'!C65</f>
        <v>0</v>
      </c>
      <c r="D65" s="28">
        <f>COGS!D65+'SG&amp;A'!D65</f>
        <v>0</v>
      </c>
      <c r="E65" s="28">
        <f>COGS!E65+'SG&amp;A'!E65</f>
        <v>0</v>
      </c>
      <c r="F65" s="28">
        <f>COGS!F65+'SG&amp;A'!F65</f>
        <v>0</v>
      </c>
      <c r="G65" s="28">
        <f>COGS!G65+'SG&amp;A'!G65</f>
        <v>0</v>
      </c>
      <c r="H65" s="28">
        <f>COGS!H65+'SG&amp;A'!H65</f>
        <v>0</v>
      </c>
      <c r="I65" s="28">
        <f>COGS!I65+'SG&amp;A'!I65</f>
        <v>0</v>
      </c>
      <c r="J65" s="28">
        <f>COGS!J65+'SG&amp;A'!J65</f>
        <v>0</v>
      </c>
      <c r="K65" s="28">
        <f>COGS!K65+'SG&amp;A'!K65</f>
        <v>0</v>
      </c>
      <c r="L65" s="28">
        <f>COGS!L65+'SG&amp;A'!L65</f>
        <v>0</v>
      </c>
      <c r="M65" s="28">
        <f>COGS!M65+'SG&amp;A'!M65</f>
        <v>0</v>
      </c>
      <c r="N65" s="28">
        <f>COGS!N65+'SG&amp;A'!N65</f>
        <v>0</v>
      </c>
      <c r="O65" s="28">
        <f>COGS!O65+'SG&amp;A'!O65</f>
        <v>0</v>
      </c>
      <c r="P65" s="28">
        <f>COGS!P65+'SG&amp;A'!P65</f>
        <v>0</v>
      </c>
      <c r="Q65" s="28">
        <f>COGS!Q65+'SG&amp;A'!Q65</f>
        <v>0</v>
      </c>
      <c r="R65" s="28">
        <f>COGS!R65+'SG&amp;A'!R65</f>
        <v>0</v>
      </c>
      <c r="S65" s="28">
        <f>COGS!S65+'SG&amp;A'!S65</f>
        <v>0</v>
      </c>
      <c r="T65" s="28">
        <f>COGS!T65+'SG&amp;A'!T65</f>
        <v>0</v>
      </c>
      <c r="U65" s="28">
        <f>COGS!U65+'SG&amp;A'!U65</f>
        <v>0</v>
      </c>
      <c r="V65" s="28">
        <f>COGS!V65+'SG&amp;A'!V65</f>
        <v>0</v>
      </c>
      <c r="W65" s="28">
        <f>COGS!W65+'SG&amp;A'!W65</f>
        <v>0</v>
      </c>
      <c r="X65" s="28">
        <f>COGS!X65+'SG&amp;A'!X65</f>
        <v>0</v>
      </c>
      <c r="Y65" s="28">
        <f>COGS!Y65+'SG&amp;A'!Y65</f>
        <v>0</v>
      </c>
      <c r="Z65" s="28">
        <f>COGS!Z65+'SG&amp;A'!Z65</f>
        <v>0</v>
      </c>
      <c r="AA65" s="28">
        <f>COGS!AA65+'SG&amp;A'!AA65</f>
        <v>0</v>
      </c>
      <c r="AB65" s="28">
        <f>COGS!AB65+'SG&amp;A'!AB65</f>
        <v>0</v>
      </c>
      <c r="AC65" s="28">
        <f>COGS!AC65+'SG&amp;A'!AC65</f>
        <v>0</v>
      </c>
      <c r="AD65" s="28">
        <f>COGS!AD65+'SG&amp;A'!AD65</f>
        <v>0</v>
      </c>
      <c r="AE65" s="28">
        <f>COGS!AE65+'SG&amp;A'!AE65</f>
        <v>0</v>
      </c>
      <c r="AF65" s="28">
        <f>COGS!AF65+'SG&amp;A'!AF65</f>
        <v>0</v>
      </c>
      <c r="AG65" s="28">
        <f>COGS!AG65+'SG&amp;A'!AG65</f>
        <v>0</v>
      </c>
      <c r="AH65" s="28">
        <f>COGS!AH65+'SG&amp;A'!AH65</f>
        <v>0</v>
      </c>
      <c r="AI65" s="28">
        <f>COGS!AI65+'SG&amp;A'!AI65</f>
        <v>0</v>
      </c>
      <c r="AJ65" s="28">
        <f>COGS!AJ65+'SG&amp;A'!AJ65</f>
        <v>0</v>
      </c>
      <c r="AK65" s="28">
        <f>COGS!AK65+'SG&amp;A'!AK65</f>
        <v>0</v>
      </c>
      <c r="AL65" s="28">
        <f>COGS!AL65+'SG&amp;A'!AL65</f>
        <v>0</v>
      </c>
      <c r="AM65" s="28">
        <f>COGS!AM65+'SG&amp;A'!AM65</f>
        <v>0</v>
      </c>
      <c r="AN65" s="28">
        <f>COGS!AN65+'SG&amp;A'!AN65</f>
        <v>0</v>
      </c>
      <c r="AO65" s="28">
        <f>COGS!AO65+'SG&amp;A'!AO65</f>
        <v>0</v>
      </c>
      <c r="AP65" s="28">
        <f>COGS!AP65+'SG&amp;A'!AP65</f>
        <v>0</v>
      </c>
      <c r="AQ65" s="28">
        <f>COGS!AQ65+'SG&amp;A'!AQ65</f>
        <v>0</v>
      </c>
      <c r="AR65" s="28">
        <f>COGS!AR65+'SG&amp;A'!AR65</f>
        <v>0</v>
      </c>
      <c r="AS65" s="28">
        <f>COGS!AS65+'SG&amp;A'!AS65</f>
        <v>0</v>
      </c>
      <c r="AT65" s="28">
        <f>COGS!AT65+'SG&amp;A'!AT65</f>
        <v>0</v>
      </c>
      <c r="AU65" s="28">
        <f>COGS!AU65+'SG&amp;A'!AU65</f>
        <v>0</v>
      </c>
      <c r="AV65" s="28">
        <f>COGS!AV65+'SG&amp;A'!AV65</f>
        <v>0</v>
      </c>
      <c r="AW65" s="28">
        <f>COGS!AW65+'SG&amp;A'!AW65</f>
        <v>0</v>
      </c>
      <c r="AX65" s="28">
        <f>COGS!AX65+'SG&amp;A'!AX65</f>
        <v>0</v>
      </c>
      <c r="AY65" s="28">
        <f>COGS!AY65+'SG&amp;A'!AY65</f>
        <v>0</v>
      </c>
      <c r="AZ65" s="28">
        <f>COGS!AZ65+'SG&amp;A'!AZ65</f>
        <v>0</v>
      </c>
      <c r="BA65" s="28">
        <f>COGS!BA65+'SG&amp;A'!BA65</f>
        <v>0</v>
      </c>
      <c r="BB65" s="28">
        <f>COGS!BB65+'SG&amp;A'!BB65</f>
        <v>0</v>
      </c>
      <c r="BC65" s="28">
        <f>COGS!BC65+'SG&amp;A'!BC65</f>
        <v>0</v>
      </c>
      <c r="BD65" s="28">
        <f>COGS!BD65+'SG&amp;A'!BD65</f>
        <v>0</v>
      </c>
      <c r="BE65" s="28">
        <f>COGS!BE65+'SG&amp;A'!BE65</f>
        <v>0</v>
      </c>
      <c r="BF65" s="28">
        <f>COGS!BF65+'SG&amp;A'!BF65</f>
        <v>0</v>
      </c>
      <c r="BG65" s="28">
        <f>COGS!BG65+'SG&amp;A'!BG65</f>
        <v>0</v>
      </c>
      <c r="BH65" s="28">
        <f>COGS!BH65+'SG&amp;A'!BH65</f>
        <v>0</v>
      </c>
      <c r="BI65" s="28">
        <f>COGS!BI65+'SG&amp;A'!BI65</f>
        <v>0</v>
      </c>
      <c r="BJ65" s="28">
        <f>COGS!BJ65+'SG&amp;A'!BJ65</f>
        <v>0</v>
      </c>
      <c r="BK65" s="28">
        <f>COGS!BK65+'SG&amp;A'!BK65</f>
        <v>0</v>
      </c>
      <c r="BL65" s="28">
        <f>COGS!BL65+'SG&amp;A'!BL65</f>
        <v>0</v>
      </c>
      <c r="BM65" s="28">
        <f>COGS!BM65+'SG&amp;A'!BM65</f>
        <v>0</v>
      </c>
      <c r="BN65" s="28">
        <f>COGS!BN65+'SG&amp;A'!BN65</f>
        <v>0</v>
      </c>
      <c r="BO65" s="28">
        <f>COGS!BO65+'SG&amp;A'!BO65</f>
        <v>0</v>
      </c>
      <c r="BP65" s="28">
        <f>COGS!BP65+'SG&amp;A'!BP65</f>
        <v>0</v>
      </c>
      <c r="BQ65" s="28">
        <f>COGS!BQ65+'SG&amp;A'!BQ65</f>
        <v>0</v>
      </c>
      <c r="BR65" s="28">
        <f>COGS!BR65+'SG&amp;A'!BR65</f>
        <v>0</v>
      </c>
      <c r="BS65" s="28">
        <f>COGS!BS65+'SG&amp;A'!BS65</f>
        <v>0</v>
      </c>
      <c r="BT65" s="28">
        <f>COGS!BT65+'SG&amp;A'!BT65</f>
        <v>0</v>
      </c>
      <c r="BU65" s="28">
        <f>COGS!BU65+'SG&amp;A'!BU65</f>
        <v>0</v>
      </c>
      <c r="BV65" s="28">
        <f>COGS!BV65+'SG&amp;A'!BV65</f>
        <v>7.1296510000000007E-2</v>
      </c>
      <c r="BW65" s="28">
        <f>COGS!BW65+'SG&amp;A'!BW65</f>
        <v>3.6173560000000007E-2</v>
      </c>
      <c r="BX65" s="28">
        <f>COGS!BX65+'SG&amp;A'!BX65</f>
        <v>0.10747007</v>
      </c>
      <c r="BY65" s="28">
        <f>COGS!BY65+'SG&amp;A'!BY65</f>
        <v>5.1833500000000006E-3</v>
      </c>
      <c r="BZ65" s="28">
        <f>COGS!BZ65+'SG&amp;A'!BZ65</f>
        <v>3.6111899999999989E-3</v>
      </c>
      <c r="CA65" s="28">
        <f>COGS!CA65+'SG&amp;A'!CA65</f>
        <v>4.7233980000000002E-2</v>
      </c>
      <c r="CB65" s="28">
        <f>COGS!CB65+'SG&amp;A'!CB65</f>
        <v>1.23044876</v>
      </c>
      <c r="CC65" s="28">
        <f>COGS!CC65+'SG&amp;A'!CC65</f>
        <v>1.2864772799999999</v>
      </c>
      <c r="CD65" s="28">
        <f>COGS!CD65+'SG&amp;A'!CD65</f>
        <v>0.45716705000000002</v>
      </c>
      <c r="CE65" s="28">
        <f>COGS!CE65+'SG&amp;A'!CE65</f>
        <v>0.23940183000000007</v>
      </c>
      <c r="CF65" s="28">
        <f>COGS!CF65+'SG&amp;A'!CF65</f>
        <v>3.0642053200000001</v>
      </c>
      <c r="CG65" s="28">
        <f>COGS!CG65+'SG&amp;A'!CG65</f>
        <v>2.1331164100000004</v>
      </c>
      <c r="CH65" s="28">
        <f>COGS!CH65+'SG&amp;A'!CH65</f>
        <v>5.8938906100000006</v>
      </c>
      <c r="CI65" s="28">
        <f>COGS!CI65+'SG&amp;A'!CI65</f>
        <v>3.7378144600000001</v>
      </c>
      <c r="CJ65" s="28">
        <f>COGS!CJ65+'SG&amp;A'!CJ65</f>
        <v>5.1412969999999989</v>
      </c>
      <c r="CK65" s="28">
        <f>COGS!CK65+'SG&amp;A'!CK65</f>
        <v>4.1236483900000014</v>
      </c>
      <c r="CL65" s="28">
        <f>COGS!CL65+'SG&amp;A'!CL65</f>
        <v>3.8796152399999988</v>
      </c>
      <c r="CM65" s="28">
        <f>COGS!CM65+'SG&amp;A'!CM65</f>
        <v>16.88237509</v>
      </c>
      <c r="CN65" s="28">
        <f>COGS!CN65+'SG&amp;A'!CN65</f>
        <v>3.6851803799999998</v>
      </c>
      <c r="CO65" s="28">
        <f>COGS!CO65+'SG&amp;A'!CO65</f>
        <v>4.1284164000000008</v>
      </c>
      <c r="CP65" s="28">
        <f>COGS!CP65+'SG&amp;A'!CP65</f>
        <v>3.8446545099999994</v>
      </c>
      <c r="CQ65" s="28">
        <f>COGS!CQ65+'SG&amp;A'!CQ65</f>
        <v>3.5357487100000009</v>
      </c>
      <c r="CR65" s="28">
        <f>COGS!CR65+'SG&amp;A'!CR65</f>
        <v>15.194000000000001</v>
      </c>
      <c r="CS65" s="28">
        <f>COGS!CS65+'SG&amp;A'!CS65</f>
        <v>3.10069587</v>
      </c>
      <c r="CT65" s="28">
        <f>COGS!CT65+'SG&amp;A'!CT65</f>
        <v>3.7015327600000001</v>
      </c>
      <c r="CU65" s="28">
        <f>COGS!CU65+'SG&amp;A'!CU65</f>
        <v>3.2184325200000008</v>
      </c>
      <c r="CV65" s="28">
        <f>COGS!CV65+'SG&amp;A'!CV65</f>
        <v>3.0192625299999998</v>
      </c>
      <c r="CW65" s="28">
        <f>COGS!CW65+'SG&amp;A'!CW65</f>
        <v>13.039923680000001</v>
      </c>
      <c r="CX65" s="28">
        <f>COGS!CX65+'SG&amp;A'!CX65</f>
        <v>3.234</v>
      </c>
      <c r="CY65" s="28">
        <f>COGS!CY65+'SG&amp;A'!CY65</f>
        <v>3.5510000000000002</v>
      </c>
      <c r="CZ65" s="28">
        <f>COGS!CZ65+'SG&amp;A'!CZ65</f>
        <v>3.7920000000000003</v>
      </c>
      <c r="DA65" s="28">
        <f>COGS!DA65+'SG&amp;A'!DA65</f>
        <v>3.7819999999999996</v>
      </c>
      <c r="DB65" s="28">
        <f>COGS!DB65+'SG&amp;A'!DB65</f>
        <v>14.358999999999998</v>
      </c>
      <c r="DC65" s="28">
        <f>COGS!DC65+'SG&amp;A'!DC65</f>
        <v>3.444</v>
      </c>
      <c r="DD65" s="28">
        <f>COGS!DD65+'SG&amp;A'!DD65</f>
        <v>4.4909999999999997</v>
      </c>
      <c r="DE65" s="28">
        <f>COGS!DE65+'SG&amp;A'!DE65</f>
        <v>4.9770000000000003</v>
      </c>
      <c r="DF65" s="28">
        <f>COGS!DF65+'SG&amp;A'!DF65</f>
        <v>5.7850000000000001</v>
      </c>
      <c r="DG65" s="28">
        <f>COGS!DG65+'SG&amp;A'!DG65</f>
        <v>18.696999999999999</v>
      </c>
      <c r="DH65" s="28">
        <f>COGS!DH65+'SG&amp;A'!DH65</f>
        <v>4.9169999999999998</v>
      </c>
      <c r="DI65" s="28">
        <f>COGS!DI65+'SG&amp;A'!DI65</f>
        <v>4.5280000000000005</v>
      </c>
      <c r="DJ65" s="28">
        <f>COGS!DJ65+'SG&amp;A'!DJ65</f>
        <v>2.6109999999999998</v>
      </c>
      <c r="DK65" s="28">
        <f>COGS!DK65+'SG&amp;A'!DK65</f>
        <v>3.5619999999999998</v>
      </c>
      <c r="DL65" s="28">
        <f>COGS!DL65+'SG&amp;A'!DL65</f>
        <v>15.618</v>
      </c>
      <c r="DM65" s="28">
        <f>COGS!DM65+'SG&amp;A'!DM65</f>
        <v>4.3220000000000001</v>
      </c>
      <c r="DN65" s="28">
        <f>COGS!DN65+'SG&amp;A'!DN65</f>
        <v>3.508</v>
      </c>
      <c r="DO65" s="28">
        <f>COGS!DO65+'SG&amp;A'!DO65</f>
        <v>6.202</v>
      </c>
      <c r="DP65" s="28">
        <f>COGS!DP65+'SG&amp;A'!DP65</f>
        <v>5.3650000000000002</v>
      </c>
      <c r="DQ65" s="28">
        <f>COGS!DQ65+'SG&amp;A'!DQ65</f>
        <v>19.396999999999998</v>
      </c>
      <c r="DR65" s="28">
        <f>COGS!DR65+'SG&amp;A'!DR65</f>
        <v>5.319</v>
      </c>
      <c r="DS65" s="28">
        <f>COGS!DS65+'SG&amp;A'!DS65</f>
        <v>5.8740000000000006</v>
      </c>
      <c r="DT65" s="28">
        <f>COGS!DT65+'SG&amp;A'!DT65</f>
        <v>6.5279999999999996</v>
      </c>
      <c r="DU65" s="28">
        <f>COGS!DU65+'SG&amp;A'!DU65</f>
        <v>5.4370000000000003</v>
      </c>
      <c r="DV65" s="28">
        <f>COGS!DV65+'SG&amp;A'!DV65</f>
        <v>23.157999999999998</v>
      </c>
      <c r="DW65" s="28">
        <f>COGS!DW65+'SG&amp;A'!DW65</f>
        <v>4.766</v>
      </c>
      <c r="DX65" s="28">
        <f>COGS!DX65+'SG&amp;A'!DX65</f>
        <v>6.8183440499999994</v>
      </c>
      <c r="DY65" s="28">
        <f>COGS!DY65+'SG&amp;A'!DY65</f>
        <v>7.6202326600000019</v>
      </c>
      <c r="DZ65" s="28">
        <f>COGS!DZ65+'SG&amp;A'!DZ65</f>
        <v>5.8193145499999979</v>
      </c>
      <c r="EA65" s="28">
        <f>COGS!EA65+'SG&amp;A'!EA65</f>
        <v>25.023891259999999</v>
      </c>
      <c r="EB65" s="28">
        <f>COGS!EB65+'SG&amp;A'!EB65</f>
        <v>4.7419306699999995</v>
      </c>
      <c r="EC65" s="28">
        <f>COGS!EC65+'SG&amp;A'!EC65</f>
        <v>8.2289385300000006</v>
      </c>
      <c r="ED65" s="28">
        <f>COGS!ED65+'SG&amp;A'!ED65</f>
        <v>5.2279999999999998</v>
      </c>
      <c r="EE65" s="28">
        <f>COGS!EE65+'SG&amp;A'!EE65</f>
        <v>6.9022064500000004</v>
      </c>
      <c r="EF65" s="28">
        <f>COGS!EF65+'SG&amp;A'!EF65</f>
        <v>25.101075649999999</v>
      </c>
      <c r="EG65" s="28">
        <f>COGS!EG65+'SG&amp;A'!EG65</f>
        <v>4.2340343499999991</v>
      </c>
      <c r="EH65" s="28">
        <f>COGS!EH65+'SG&amp;A'!EH65</f>
        <v>6.4196940599999994</v>
      </c>
      <c r="EI65" s="28">
        <f>COGS!EI65+'SG&amp;A'!EI65</f>
        <v>4.659257750000001</v>
      </c>
    </row>
    <row r="66" spans="1:139" ht="15" thickTop="1" x14ac:dyDescent="0.3">
      <c r="A66" s="1" t="s">
        <v>445</v>
      </c>
      <c r="B66" s="27">
        <f>COGS!B66+'SG&amp;A'!B66</f>
        <v>0</v>
      </c>
      <c r="C66" s="27">
        <f>COGS!C66+'SG&amp;A'!C66</f>
        <v>0</v>
      </c>
      <c r="D66" s="27">
        <f>COGS!D66+'SG&amp;A'!D66</f>
        <v>0</v>
      </c>
      <c r="E66" s="27">
        <f>COGS!E66+'SG&amp;A'!E66</f>
        <v>0</v>
      </c>
      <c r="F66" s="27">
        <f>COGS!F66+'SG&amp;A'!F66</f>
        <v>0</v>
      </c>
      <c r="G66" s="27">
        <f>COGS!G66+'SG&amp;A'!G66</f>
        <v>0</v>
      </c>
      <c r="H66" s="27">
        <f>COGS!H66+'SG&amp;A'!H66</f>
        <v>0</v>
      </c>
      <c r="I66" s="27">
        <f>COGS!I66+'SG&amp;A'!I66</f>
        <v>0</v>
      </c>
      <c r="J66" s="27">
        <f>COGS!J66+'SG&amp;A'!J66</f>
        <v>0</v>
      </c>
      <c r="K66" s="27">
        <f>COGS!K66+'SG&amp;A'!K66</f>
        <v>0</v>
      </c>
      <c r="L66" s="27">
        <f>COGS!L66+'SG&amp;A'!L66</f>
        <v>0</v>
      </c>
      <c r="M66" s="27">
        <f>COGS!M66+'SG&amp;A'!M66</f>
        <v>0</v>
      </c>
      <c r="N66" s="27">
        <f>COGS!N66+'SG&amp;A'!N66</f>
        <v>0</v>
      </c>
      <c r="O66" s="27">
        <f>COGS!O66+'SG&amp;A'!O66</f>
        <v>0</v>
      </c>
      <c r="P66" s="27">
        <f>COGS!P66+'SG&amp;A'!P66</f>
        <v>0</v>
      </c>
      <c r="Q66" s="27">
        <f>COGS!Q66+'SG&amp;A'!Q66</f>
        <v>0</v>
      </c>
      <c r="R66" s="27">
        <f>COGS!R66+'SG&amp;A'!R66</f>
        <v>0</v>
      </c>
      <c r="S66" s="27">
        <f>COGS!S66+'SG&amp;A'!S66</f>
        <v>0</v>
      </c>
      <c r="T66" s="27">
        <f>COGS!T66+'SG&amp;A'!T66</f>
        <v>0</v>
      </c>
      <c r="U66" s="27">
        <f>COGS!U66+'SG&amp;A'!U66</f>
        <v>0</v>
      </c>
      <c r="V66" s="27">
        <f>COGS!V66+'SG&amp;A'!V66</f>
        <v>0</v>
      </c>
      <c r="W66" s="27">
        <f>COGS!W66+'SG&amp;A'!W66</f>
        <v>0</v>
      </c>
      <c r="X66" s="27">
        <f>COGS!X66+'SG&amp;A'!X66</f>
        <v>0</v>
      </c>
      <c r="Y66" s="27">
        <f>COGS!Y66+'SG&amp;A'!Y66</f>
        <v>0</v>
      </c>
      <c r="Z66" s="27">
        <f>COGS!Z66+'SG&amp;A'!Z66</f>
        <v>0</v>
      </c>
      <c r="AA66" s="27">
        <f>COGS!AA66+'SG&amp;A'!AA66</f>
        <v>0</v>
      </c>
      <c r="AB66" s="27">
        <f>COGS!AB66+'SG&amp;A'!AB66</f>
        <v>0</v>
      </c>
      <c r="AC66" s="27">
        <f>COGS!AC66+'SG&amp;A'!AC66</f>
        <v>0</v>
      </c>
      <c r="AD66" s="27">
        <f>COGS!AD66+'SG&amp;A'!AD66</f>
        <v>0</v>
      </c>
      <c r="AE66" s="27">
        <f>COGS!AE66+'SG&amp;A'!AE66</f>
        <v>0</v>
      </c>
      <c r="AF66" s="27">
        <f>COGS!AF66+'SG&amp;A'!AF66</f>
        <v>0</v>
      </c>
      <c r="AG66" s="27">
        <f>COGS!AG66+'SG&amp;A'!AG66</f>
        <v>0</v>
      </c>
      <c r="AH66" s="27">
        <f>COGS!AH66+'SG&amp;A'!AH66</f>
        <v>0</v>
      </c>
      <c r="AI66" s="27">
        <f>COGS!AI66+'SG&amp;A'!AI66</f>
        <v>0</v>
      </c>
      <c r="AJ66" s="27">
        <f>COGS!AJ66+'SG&amp;A'!AJ66</f>
        <v>0</v>
      </c>
      <c r="AK66" s="27">
        <f>COGS!AK66+'SG&amp;A'!AK66</f>
        <v>0</v>
      </c>
      <c r="AL66" s="27">
        <f>COGS!AL66+'SG&amp;A'!AL66</f>
        <v>0</v>
      </c>
      <c r="AM66" s="27">
        <f>COGS!AM66+'SG&amp;A'!AM66</f>
        <v>0</v>
      </c>
      <c r="AN66" s="27">
        <f>COGS!AN66+'SG&amp;A'!AN66</f>
        <v>0</v>
      </c>
      <c r="AO66" s="27">
        <f>COGS!AO66+'SG&amp;A'!AO66</f>
        <v>0</v>
      </c>
      <c r="AP66" s="27">
        <f>COGS!AP66+'SG&amp;A'!AP66</f>
        <v>0</v>
      </c>
      <c r="AQ66" s="27">
        <f>COGS!AQ66+'SG&amp;A'!AQ66</f>
        <v>0</v>
      </c>
      <c r="AR66" s="27">
        <f>COGS!AR66+'SG&amp;A'!AR66</f>
        <v>0</v>
      </c>
      <c r="AS66" s="27">
        <f>COGS!AS66+'SG&amp;A'!AS66</f>
        <v>0</v>
      </c>
      <c r="AT66" s="27">
        <f>COGS!AT66+'SG&amp;A'!AT66</f>
        <v>0</v>
      </c>
      <c r="AU66" s="27">
        <f>COGS!AU66+'SG&amp;A'!AU66</f>
        <v>0</v>
      </c>
      <c r="AV66" s="27">
        <f>COGS!AV66+'SG&amp;A'!AV66</f>
        <v>0</v>
      </c>
      <c r="AW66" s="27">
        <f>COGS!AW66+'SG&amp;A'!AW66</f>
        <v>0</v>
      </c>
      <c r="AX66" s="27">
        <f>COGS!AX66+'SG&amp;A'!AX66</f>
        <v>0</v>
      </c>
      <c r="AY66" s="27">
        <f>COGS!AY66+'SG&amp;A'!AY66</f>
        <v>0</v>
      </c>
      <c r="AZ66" s="27">
        <f>COGS!AZ66+'SG&amp;A'!AZ66</f>
        <v>0</v>
      </c>
      <c r="BA66" s="27">
        <f>COGS!BA66+'SG&amp;A'!BA66</f>
        <v>0</v>
      </c>
      <c r="BB66" s="27">
        <f>COGS!BB66+'SG&amp;A'!BB66</f>
        <v>0</v>
      </c>
      <c r="BC66" s="27">
        <f>COGS!BC66+'SG&amp;A'!BC66</f>
        <v>0</v>
      </c>
      <c r="BD66" s="27">
        <f>COGS!BD66+'SG&amp;A'!BD66</f>
        <v>0</v>
      </c>
      <c r="BE66" s="27">
        <f>COGS!BE66+'SG&amp;A'!BE66</f>
        <v>0</v>
      </c>
      <c r="BF66" s="27">
        <f>COGS!BF66+'SG&amp;A'!BF66</f>
        <v>0</v>
      </c>
      <c r="BG66" s="27">
        <f>COGS!BG66+'SG&amp;A'!BG66</f>
        <v>0</v>
      </c>
      <c r="BH66" s="27">
        <f>COGS!BH66+'SG&amp;A'!BH66</f>
        <v>0</v>
      </c>
      <c r="BI66" s="27">
        <f>COGS!BI66+'SG&amp;A'!BI66</f>
        <v>0</v>
      </c>
      <c r="BJ66" s="27">
        <f>COGS!BJ66+'SG&amp;A'!BJ66</f>
        <v>0</v>
      </c>
      <c r="BK66" s="27">
        <f>COGS!BK66+'SG&amp;A'!BK66</f>
        <v>0</v>
      </c>
      <c r="BL66" s="27">
        <f>COGS!BL66+'SG&amp;A'!BL66</f>
        <v>0</v>
      </c>
      <c r="BM66" s="27">
        <f>COGS!BM66+'SG&amp;A'!BM66</f>
        <v>0</v>
      </c>
      <c r="BN66" s="27">
        <f>COGS!BN66+'SG&amp;A'!BN66</f>
        <v>0</v>
      </c>
      <c r="BO66" s="27">
        <f>COGS!BO66+'SG&amp;A'!BO66</f>
        <v>0</v>
      </c>
      <c r="BP66" s="27">
        <f>COGS!BP66+'SG&amp;A'!BP66</f>
        <v>0</v>
      </c>
      <c r="BQ66" s="27">
        <f>COGS!BQ66+'SG&amp;A'!BQ66</f>
        <v>0</v>
      </c>
      <c r="BR66" s="27">
        <f>COGS!BR66+'SG&amp;A'!BR66</f>
        <v>0</v>
      </c>
      <c r="BS66" s="27">
        <f>COGS!BS66+'SG&amp;A'!BS66</f>
        <v>0</v>
      </c>
      <c r="BT66" s="27">
        <f>COGS!BT66+'SG&amp;A'!BT66</f>
        <v>0</v>
      </c>
      <c r="BU66" s="27">
        <f>COGS!BU66+'SG&amp;A'!BU66</f>
        <v>0</v>
      </c>
      <c r="BV66" s="27">
        <f>COGS!BV66+'SG&amp;A'!BV66</f>
        <v>0</v>
      </c>
      <c r="BW66" s="27">
        <f>COGS!BW66+'SG&amp;A'!BW66</f>
        <v>0</v>
      </c>
      <c r="BX66" s="27">
        <f>COGS!BX66+'SG&amp;A'!BX66</f>
        <v>0</v>
      </c>
      <c r="BY66" s="27">
        <f>COGS!BY66+'SG&amp;A'!BY66</f>
        <v>0</v>
      </c>
      <c r="BZ66" s="27">
        <f>COGS!BZ66+'SG&amp;A'!BZ66</f>
        <v>0</v>
      </c>
      <c r="CA66" s="27">
        <f>COGS!CA66+'SG&amp;A'!CA66</f>
        <v>0</v>
      </c>
      <c r="CB66" s="27">
        <f>COGS!CB66+'SG&amp;A'!CB66</f>
        <v>0</v>
      </c>
      <c r="CC66" s="27">
        <f>COGS!CC66+'SG&amp;A'!CC66</f>
        <v>0</v>
      </c>
      <c r="CD66" s="27">
        <f>COGS!CD66+'SG&amp;A'!CD66</f>
        <v>0</v>
      </c>
      <c r="CE66" s="27">
        <f>COGS!CE66+'SG&amp;A'!CE66</f>
        <v>0</v>
      </c>
      <c r="CF66" s="27">
        <f>COGS!CF66+'SG&amp;A'!CF66</f>
        <v>0</v>
      </c>
      <c r="CG66" s="27">
        <f>COGS!CG66+'SG&amp;A'!CG66</f>
        <v>0</v>
      </c>
      <c r="CH66" s="27">
        <f>COGS!CH66+'SG&amp;A'!CH66</f>
        <v>0</v>
      </c>
      <c r="CI66" s="27">
        <f>COGS!CI66+'SG&amp;A'!CI66</f>
        <v>0</v>
      </c>
      <c r="CJ66" s="27">
        <f>COGS!CJ66+'SG&amp;A'!CJ66</f>
        <v>0.10208765</v>
      </c>
      <c r="CK66" s="27">
        <f>COGS!CK66+'SG&amp;A'!CK66</f>
        <v>1.1989988299999998</v>
      </c>
      <c r="CL66" s="27">
        <f>COGS!CL66+'SG&amp;A'!CL66</f>
        <v>1.1520508200000004</v>
      </c>
      <c r="CM66" s="27">
        <f>COGS!CM66+'SG&amp;A'!CM66</f>
        <v>2.4531373000000003</v>
      </c>
      <c r="CN66" s="27">
        <f>COGS!CN66+'SG&amp;A'!CN66</f>
        <v>0.87240313999999985</v>
      </c>
      <c r="CO66" s="27">
        <f>COGS!CO66+'SG&amp;A'!CO66</f>
        <v>1.8950375700000002</v>
      </c>
      <c r="CP66" s="27">
        <f>COGS!CP66+'SG&amp;A'!CP66</f>
        <v>1.0039976199999998</v>
      </c>
      <c r="CQ66" s="27">
        <f>COGS!CQ66+'SG&amp;A'!CQ66</f>
        <v>1.0075616700000003</v>
      </c>
      <c r="CR66" s="27">
        <f>COGS!CR66+'SG&amp;A'!CR66</f>
        <v>4.7789999999999999</v>
      </c>
      <c r="CS66" s="27">
        <f>COGS!CS66+'SG&amp;A'!CS66</f>
        <v>1.0167690999999999</v>
      </c>
      <c r="CT66" s="27">
        <f>COGS!CT66+'SG&amp;A'!CT66</f>
        <v>1.1199251700000004</v>
      </c>
      <c r="CU66" s="27">
        <f>COGS!CU66+'SG&amp;A'!CU66</f>
        <v>1.1091858399999999</v>
      </c>
      <c r="CV66" s="27">
        <f>COGS!CV66+'SG&amp;A'!CV66</f>
        <v>1.5701572800000001</v>
      </c>
      <c r="CW66" s="27">
        <f>COGS!CW66+'SG&amp;A'!CW66</f>
        <v>4.81603739</v>
      </c>
      <c r="CX66" s="27">
        <f>COGS!CX66+'SG&amp;A'!CX66</f>
        <v>0.92</v>
      </c>
      <c r="CY66" s="27">
        <f>COGS!CY66+'SG&amp;A'!CY66</f>
        <v>1.48</v>
      </c>
      <c r="CZ66" s="27">
        <f>COGS!CZ66+'SG&amp;A'!CZ66</f>
        <v>1.1459999999999999</v>
      </c>
      <c r="DA66" s="27">
        <f>COGS!DA66+'SG&amp;A'!DA66</f>
        <v>1.226</v>
      </c>
      <c r="DB66" s="27">
        <f>COGS!DB66+'SG&amp;A'!DB66</f>
        <v>4.7719999999999994</v>
      </c>
      <c r="DC66" s="27">
        <f>COGS!DC66+'SG&amp;A'!DC66</f>
        <v>1.1559999999999999</v>
      </c>
      <c r="DD66" s="27">
        <f>COGS!DD66+'SG&amp;A'!DD66</f>
        <v>1.1969999999999998</v>
      </c>
      <c r="DE66" s="27">
        <f>COGS!DE66+'SG&amp;A'!DE66</f>
        <v>1.3089999999999999</v>
      </c>
      <c r="DF66" s="27">
        <f>COGS!DF66+'SG&amp;A'!DF66</f>
        <v>1.9179999999999999</v>
      </c>
      <c r="DG66" s="27">
        <f>COGS!DG66+'SG&amp;A'!DG66</f>
        <v>5.58</v>
      </c>
      <c r="DH66" s="27">
        <f>COGS!DH66+'SG&amp;A'!DH66</f>
        <v>1.1220000000000001</v>
      </c>
      <c r="DI66" s="27">
        <f>COGS!DI66+'SG&amp;A'!DI66</f>
        <v>1.1080000000000001</v>
      </c>
      <c r="DJ66" s="27">
        <f>COGS!DJ66+'SG&amp;A'!DJ66</f>
        <v>1.252</v>
      </c>
      <c r="DK66" s="27">
        <f>COGS!DK66+'SG&amp;A'!DK66</f>
        <v>1.444</v>
      </c>
      <c r="DL66" s="27">
        <f>COGS!DL66+'SG&amp;A'!DL66</f>
        <v>4.9260000000000002</v>
      </c>
      <c r="DM66" s="27">
        <f>COGS!DM66+'SG&amp;A'!DM66</f>
        <v>1.1440000000000001</v>
      </c>
      <c r="DN66" s="27">
        <f>COGS!DN66+'SG&amp;A'!DN66</f>
        <v>1.2130000000000001</v>
      </c>
      <c r="DO66" s="27">
        <f>COGS!DO66+'SG&amp;A'!DO66</f>
        <v>0.85799999999999998</v>
      </c>
      <c r="DP66" s="27">
        <f>COGS!DP66+'SG&amp;A'!DP66</f>
        <v>2.1120000000000001</v>
      </c>
      <c r="DQ66" s="27">
        <f>COGS!DQ66+'SG&amp;A'!DQ66</f>
        <v>5.327</v>
      </c>
      <c r="DR66" s="27">
        <f>COGS!DR66+'SG&amp;A'!DR66</f>
        <v>1.3380000000000001</v>
      </c>
      <c r="DS66" s="27">
        <f>COGS!DS66+'SG&amp;A'!DS66</f>
        <v>1.34</v>
      </c>
      <c r="DT66" s="27">
        <f>COGS!DT66+'SG&amp;A'!DT66</f>
        <v>1.7349999999999999</v>
      </c>
      <c r="DU66" s="27">
        <f>COGS!DU66+'SG&amp;A'!DU66</f>
        <v>1.9490000000000001</v>
      </c>
      <c r="DV66" s="27">
        <f>COGS!DV66+'SG&amp;A'!DV66</f>
        <v>6.3620000000000001</v>
      </c>
      <c r="DW66" s="27">
        <f>COGS!DW66+'SG&amp;A'!DW66</f>
        <v>1.2489999999999999</v>
      </c>
      <c r="DX66" s="27">
        <f>COGS!DX66+'SG&amp;A'!DX66</f>
        <v>1.61356455</v>
      </c>
      <c r="DY66" s="27">
        <f>COGS!DY66+'SG&amp;A'!DY66</f>
        <v>1.8091595399999996</v>
      </c>
      <c r="DZ66" s="27">
        <f>COGS!DZ66+'SG&amp;A'!DZ66</f>
        <v>1.8641467000000005</v>
      </c>
      <c r="EA66" s="27">
        <f>COGS!EA66+'SG&amp;A'!EA66</f>
        <v>6.5358707899999988</v>
      </c>
      <c r="EB66" s="27">
        <f>COGS!EB66+'SG&amp;A'!EB66</f>
        <v>1.7758601599999999</v>
      </c>
      <c r="EC66" s="27">
        <f>COGS!EC66+'SG&amp;A'!EC66</f>
        <v>1.5906302200000002</v>
      </c>
      <c r="ED66" s="27">
        <f>COGS!ED66+'SG&amp;A'!ED66</f>
        <v>1.633</v>
      </c>
      <c r="EE66" s="27">
        <f>COGS!EE66+'SG&amp;A'!EE66</f>
        <v>1.8946935200000004</v>
      </c>
      <c r="EF66" s="27">
        <f>COGS!EF66+'SG&amp;A'!EF66</f>
        <v>6.8941838999999998</v>
      </c>
      <c r="EG66" s="27">
        <f>COGS!EG66+'SG&amp;A'!EG66</f>
        <v>0.69902131000000001</v>
      </c>
      <c r="EH66" s="27">
        <f>COGS!EH66+'SG&amp;A'!EH66</f>
        <v>0.70972219000000014</v>
      </c>
      <c r="EI66" s="27">
        <f>COGS!EI66+'SG&amp;A'!EI66</f>
        <v>3.8289913599999994</v>
      </c>
    </row>
    <row r="67" spans="1:139" ht="15" thickBot="1" x14ac:dyDescent="0.35">
      <c r="A67" s="2" t="s">
        <v>444</v>
      </c>
      <c r="B67" s="28">
        <f>COGS!B67+'SG&amp;A'!B67</f>
        <v>0</v>
      </c>
      <c r="C67" s="28">
        <f>COGS!C67+'SG&amp;A'!C67</f>
        <v>0</v>
      </c>
      <c r="D67" s="28">
        <f>COGS!D67+'SG&amp;A'!D67</f>
        <v>0</v>
      </c>
      <c r="E67" s="28">
        <f>COGS!E67+'SG&amp;A'!E67</f>
        <v>0</v>
      </c>
      <c r="F67" s="28">
        <f>COGS!F67+'SG&amp;A'!F67</f>
        <v>0</v>
      </c>
      <c r="G67" s="28">
        <f>COGS!G67+'SG&amp;A'!G67</f>
        <v>0</v>
      </c>
      <c r="H67" s="28">
        <f>COGS!H67+'SG&amp;A'!H67</f>
        <v>0</v>
      </c>
      <c r="I67" s="28">
        <f>COGS!I67+'SG&amp;A'!I67</f>
        <v>0</v>
      </c>
      <c r="J67" s="28">
        <f>COGS!J67+'SG&amp;A'!J67</f>
        <v>0</v>
      </c>
      <c r="K67" s="28">
        <f>COGS!K67+'SG&amp;A'!K67</f>
        <v>0</v>
      </c>
      <c r="L67" s="28">
        <f>COGS!L67+'SG&amp;A'!L67</f>
        <v>0</v>
      </c>
      <c r="M67" s="28">
        <f>COGS!M67+'SG&amp;A'!M67</f>
        <v>0</v>
      </c>
      <c r="N67" s="28">
        <f>COGS!N67+'SG&amp;A'!N67</f>
        <v>0</v>
      </c>
      <c r="O67" s="28">
        <f>COGS!O67+'SG&amp;A'!O67</f>
        <v>0</v>
      </c>
      <c r="P67" s="28">
        <f>COGS!P67+'SG&amp;A'!P67</f>
        <v>0</v>
      </c>
      <c r="Q67" s="28">
        <f>COGS!Q67+'SG&amp;A'!Q67</f>
        <v>0</v>
      </c>
      <c r="R67" s="28">
        <f>COGS!R67+'SG&amp;A'!R67</f>
        <v>0</v>
      </c>
      <c r="S67" s="28">
        <f>COGS!S67+'SG&amp;A'!S67</f>
        <v>0</v>
      </c>
      <c r="T67" s="28">
        <f>COGS!T67+'SG&amp;A'!T67</f>
        <v>0</v>
      </c>
      <c r="U67" s="28">
        <f>COGS!U67+'SG&amp;A'!U67</f>
        <v>0</v>
      </c>
      <c r="V67" s="28">
        <f>COGS!V67+'SG&amp;A'!V67</f>
        <v>0</v>
      </c>
      <c r="W67" s="28">
        <f>COGS!W67+'SG&amp;A'!W67</f>
        <v>0</v>
      </c>
      <c r="X67" s="28">
        <f>COGS!X67+'SG&amp;A'!X67</f>
        <v>0</v>
      </c>
      <c r="Y67" s="28">
        <f>COGS!Y67+'SG&amp;A'!Y67</f>
        <v>0</v>
      </c>
      <c r="Z67" s="28">
        <f>COGS!Z67+'SG&amp;A'!Z67</f>
        <v>0</v>
      </c>
      <c r="AA67" s="28">
        <f>COGS!AA67+'SG&amp;A'!AA67</f>
        <v>0</v>
      </c>
      <c r="AB67" s="28">
        <f>COGS!AB67+'SG&amp;A'!AB67</f>
        <v>0</v>
      </c>
      <c r="AC67" s="28">
        <f>COGS!AC67+'SG&amp;A'!AC67</f>
        <v>0</v>
      </c>
      <c r="AD67" s="28">
        <f>COGS!AD67+'SG&amp;A'!AD67</f>
        <v>0</v>
      </c>
      <c r="AE67" s="28">
        <f>COGS!AE67+'SG&amp;A'!AE67</f>
        <v>0</v>
      </c>
      <c r="AF67" s="28">
        <f>COGS!AF67+'SG&amp;A'!AF67</f>
        <v>0</v>
      </c>
      <c r="AG67" s="28">
        <f>COGS!AG67+'SG&amp;A'!AG67</f>
        <v>0</v>
      </c>
      <c r="AH67" s="28">
        <f>COGS!AH67+'SG&amp;A'!AH67</f>
        <v>0</v>
      </c>
      <c r="AI67" s="28">
        <f>COGS!AI67+'SG&amp;A'!AI67</f>
        <v>0</v>
      </c>
      <c r="AJ67" s="28">
        <f>COGS!AJ67+'SG&amp;A'!AJ67</f>
        <v>0</v>
      </c>
      <c r="AK67" s="28">
        <f>COGS!AK67+'SG&amp;A'!AK67</f>
        <v>0</v>
      </c>
      <c r="AL67" s="28">
        <f>COGS!AL67+'SG&amp;A'!AL67</f>
        <v>0</v>
      </c>
      <c r="AM67" s="28">
        <f>COGS!AM67+'SG&amp;A'!AM67</f>
        <v>0</v>
      </c>
      <c r="AN67" s="28">
        <f>COGS!AN67+'SG&amp;A'!AN67</f>
        <v>0</v>
      </c>
      <c r="AO67" s="28">
        <f>COGS!AO67+'SG&amp;A'!AO67</f>
        <v>0</v>
      </c>
      <c r="AP67" s="28">
        <f>COGS!AP67+'SG&amp;A'!AP67</f>
        <v>0</v>
      </c>
      <c r="AQ67" s="28">
        <f>COGS!AQ67+'SG&amp;A'!AQ67</f>
        <v>0</v>
      </c>
      <c r="AR67" s="28">
        <f>COGS!AR67+'SG&amp;A'!AR67</f>
        <v>0</v>
      </c>
      <c r="AS67" s="28">
        <f>COGS!AS67+'SG&amp;A'!AS67</f>
        <v>0</v>
      </c>
      <c r="AT67" s="28">
        <f>COGS!AT67+'SG&amp;A'!AT67</f>
        <v>0</v>
      </c>
      <c r="AU67" s="28">
        <f>COGS!AU67+'SG&amp;A'!AU67</f>
        <v>0</v>
      </c>
      <c r="AV67" s="28">
        <f>COGS!AV67+'SG&amp;A'!AV67</f>
        <v>0</v>
      </c>
      <c r="AW67" s="28">
        <f>COGS!AW67+'SG&amp;A'!AW67</f>
        <v>0</v>
      </c>
      <c r="AX67" s="28">
        <f>COGS!AX67+'SG&amp;A'!AX67</f>
        <v>0</v>
      </c>
      <c r="AY67" s="28">
        <f>COGS!AY67+'SG&amp;A'!AY67</f>
        <v>0</v>
      </c>
      <c r="AZ67" s="28">
        <f>COGS!AZ67+'SG&amp;A'!AZ67</f>
        <v>0</v>
      </c>
      <c r="BA67" s="28">
        <f>COGS!BA67+'SG&amp;A'!BA67</f>
        <v>0</v>
      </c>
      <c r="BB67" s="28">
        <f>COGS!BB67+'SG&amp;A'!BB67</f>
        <v>0</v>
      </c>
      <c r="BC67" s="28">
        <f>COGS!BC67+'SG&amp;A'!BC67</f>
        <v>0</v>
      </c>
      <c r="BD67" s="28">
        <f>COGS!BD67+'SG&amp;A'!BD67</f>
        <v>0</v>
      </c>
      <c r="BE67" s="28">
        <f>COGS!BE67+'SG&amp;A'!BE67</f>
        <v>0</v>
      </c>
      <c r="BF67" s="28">
        <f>COGS!BF67+'SG&amp;A'!BF67</f>
        <v>0</v>
      </c>
      <c r="BG67" s="28">
        <f>COGS!BG67+'SG&amp;A'!BG67</f>
        <v>0</v>
      </c>
      <c r="BH67" s="28">
        <f>COGS!BH67+'SG&amp;A'!BH67</f>
        <v>0</v>
      </c>
      <c r="BI67" s="28">
        <f>COGS!BI67+'SG&amp;A'!BI67</f>
        <v>0</v>
      </c>
      <c r="BJ67" s="28">
        <f>COGS!BJ67+'SG&amp;A'!BJ67</f>
        <v>0</v>
      </c>
      <c r="BK67" s="28">
        <f>COGS!BK67+'SG&amp;A'!BK67</f>
        <v>0</v>
      </c>
      <c r="BL67" s="28">
        <f>COGS!BL67+'SG&amp;A'!BL67</f>
        <v>0</v>
      </c>
      <c r="BM67" s="28">
        <f>COGS!BM67+'SG&amp;A'!BM67</f>
        <v>0</v>
      </c>
      <c r="BN67" s="28">
        <f>COGS!BN67+'SG&amp;A'!BN67</f>
        <v>0</v>
      </c>
      <c r="BO67" s="28">
        <f>COGS!BO67+'SG&amp;A'!BO67</f>
        <v>0</v>
      </c>
      <c r="BP67" s="28">
        <f>COGS!BP67+'SG&amp;A'!BP67</f>
        <v>0</v>
      </c>
      <c r="BQ67" s="28">
        <f>COGS!BQ67+'SG&amp;A'!BQ67</f>
        <v>0</v>
      </c>
      <c r="BR67" s="28">
        <f>COGS!BR67+'SG&amp;A'!BR67</f>
        <v>0</v>
      </c>
      <c r="BS67" s="28">
        <f>COGS!BS67+'SG&amp;A'!BS67</f>
        <v>0</v>
      </c>
      <c r="BT67" s="28">
        <f>COGS!BT67+'SG&amp;A'!BT67</f>
        <v>0</v>
      </c>
      <c r="BU67" s="28">
        <f>COGS!BU67+'SG&amp;A'!BU67</f>
        <v>0</v>
      </c>
      <c r="BV67" s="28">
        <f>COGS!BV67+'SG&amp;A'!BV67</f>
        <v>0</v>
      </c>
      <c r="BW67" s="28">
        <f>COGS!BW67+'SG&amp;A'!BW67</f>
        <v>0</v>
      </c>
      <c r="BX67" s="28">
        <f>COGS!BX67+'SG&amp;A'!BX67</f>
        <v>0</v>
      </c>
      <c r="BY67" s="28">
        <f>COGS!BY67+'SG&amp;A'!BY67</f>
        <v>0</v>
      </c>
      <c r="BZ67" s="28">
        <f>COGS!BZ67+'SG&amp;A'!BZ67</f>
        <v>0</v>
      </c>
      <c r="CA67" s="28">
        <f>COGS!CA67+'SG&amp;A'!CA67</f>
        <v>0</v>
      </c>
      <c r="CB67" s="28">
        <f>COGS!CB67+'SG&amp;A'!CB67</f>
        <v>0</v>
      </c>
      <c r="CC67" s="28">
        <f>COGS!CC67+'SG&amp;A'!CC67</f>
        <v>0</v>
      </c>
      <c r="CD67" s="28">
        <f>COGS!CD67+'SG&amp;A'!CD67</f>
        <v>0</v>
      </c>
      <c r="CE67" s="28">
        <f>COGS!CE67+'SG&amp;A'!CE67</f>
        <v>0</v>
      </c>
      <c r="CF67" s="28">
        <f>COGS!CF67+'SG&amp;A'!CF67</f>
        <v>0</v>
      </c>
      <c r="CG67" s="28">
        <f>COGS!CG67+'SG&amp;A'!CG67</f>
        <v>0</v>
      </c>
      <c r="CH67" s="28">
        <f>COGS!CH67+'SG&amp;A'!CH67</f>
        <v>0</v>
      </c>
      <c r="CI67" s="28">
        <f>COGS!CI67+'SG&amp;A'!CI67</f>
        <v>0</v>
      </c>
      <c r="CJ67" s="28">
        <f>COGS!CJ67+'SG&amp;A'!CJ67</f>
        <v>0</v>
      </c>
      <c r="CK67" s="28">
        <f>COGS!CK67+'SG&amp;A'!CK67</f>
        <v>0</v>
      </c>
      <c r="CL67" s="28">
        <f>COGS!CL67+'SG&amp;A'!CL67</f>
        <v>0</v>
      </c>
      <c r="CM67" s="28">
        <f>COGS!CM67+'SG&amp;A'!CM67</f>
        <v>0</v>
      </c>
      <c r="CN67" s="28">
        <f>COGS!CN67+'SG&amp;A'!CN67</f>
        <v>0</v>
      </c>
      <c r="CO67" s="28">
        <f>COGS!CO67+'SG&amp;A'!CO67</f>
        <v>0</v>
      </c>
      <c r="CP67" s="28">
        <f>COGS!CP67+'SG&amp;A'!CP67</f>
        <v>0</v>
      </c>
      <c r="CQ67" s="28">
        <f>COGS!CQ67+'SG&amp;A'!CQ67</f>
        <v>0</v>
      </c>
      <c r="CR67" s="28">
        <f>COGS!CR67+'SG&amp;A'!CR67</f>
        <v>0</v>
      </c>
      <c r="CS67" s="28">
        <f>COGS!CS67+'SG&amp;A'!CS67</f>
        <v>0</v>
      </c>
      <c r="CT67" s="28">
        <f>COGS!CT67+'SG&amp;A'!CT67</f>
        <v>0</v>
      </c>
      <c r="CU67" s="28">
        <f>COGS!CU67+'SG&amp;A'!CU67</f>
        <v>0</v>
      </c>
      <c r="CV67" s="28">
        <f>COGS!CV67+'SG&amp;A'!CV67</f>
        <v>0</v>
      </c>
      <c r="CW67" s="28">
        <f>COGS!CW67+'SG&amp;A'!CW67</f>
        <v>0</v>
      </c>
      <c r="CX67" s="28">
        <f>COGS!CX67+'SG&amp;A'!CX67</f>
        <v>0</v>
      </c>
      <c r="CY67" s="28">
        <f>COGS!CY67+'SG&amp;A'!CY67</f>
        <v>0</v>
      </c>
      <c r="CZ67" s="28">
        <f>COGS!CZ67+'SG&amp;A'!CZ67</f>
        <v>0</v>
      </c>
      <c r="DA67" s="28">
        <f>COGS!DA67+'SG&amp;A'!DA67</f>
        <v>0</v>
      </c>
      <c r="DB67" s="28">
        <f>COGS!DB67+'SG&amp;A'!DB67</f>
        <v>0</v>
      </c>
      <c r="DC67" s="28">
        <f>COGS!DC67+'SG&amp;A'!DC67</f>
        <v>0</v>
      </c>
      <c r="DD67" s="28">
        <f>COGS!DD67+'SG&amp;A'!DD67</f>
        <v>1.321</v>
      </c>
      <c r="DE67" s="28">
        <f>COGS!DE67+'SG&amp;A'!DE67</f>
        <v>3.327</v>
      </c>
      <c r="DF67" s="28">
        <f>COGS!DF67+'SG&amp;A'!DF67</f>
        <v>5.2460000000000004</v>
      </c>
      <c r="DG67" s="28">
        <f>COGS!DG67+'SG&amp;A'!DG67</f>
        <v>9.8940000000000019</v>
      </c>
      <c r="DH67" s="28">
        <f>COGS!DH67+'SG&amp;A'!DH67</f>
        <v>3.7790000000000004</v>
      </c>
      <c r="DI67" s="28">
        <f>COGS!DI67+'SG&amp;A'!DI67</f>
        <v>3.8039999999999998</v>
      </c>
      <c r="DJ67" s="28">
        <f>COGS!DJ67+'SG&amp;A'!DJ67</f>
        <v>3.6869999999999998</v>
      </c>
      <c r="DK67" s="28">
        <f>COGS!DK67+'SG&amp;A'!DK67</f>
        <v>5.0580000000000007</v>
      </c>
      <c r="DL67" s="28">
        <f>COGS!DL67+'SG&amp;A'!DL67</f>
        <v>16.327999999999999</v>
      </c>
      <c r="DM67" s="28">
        <f>COGS!DM67+'SG&amp;A'!DM67</f>
        <v>3.6390000000000002</v>
      </c>
      <c r="DN67" s="28">
        <f>COGS!DN67+'SG&amp;A'!DN67</f>
        <v>2.9019999999999997</v>
      </c>
      <c r="DO67" s="28">
        <f>COGS!DO67+'SG&amp;A'!DO67</f>
        <v>5.3019999999999996</v>
      </c>
      <c r="DP67" s="28">
        <f>COGS!DP67+'SG&amp;A'!DP67</f>
        <v>4.1180000000000003</v>
      </c>
      <c r="DQ67" s="28">
        <f>COGS!DQ67+'SG&amp;A'!DQ67</f>
        <v>15.961</v>
      </c>
      <c r="DR67" s="28">
        <f>COGS!DR67+'SG&amp;A'!DR67</f>
        <v>4.2190000000000003</v>
      </c>
      <c r="DS67" s="28">
        <f>COGS!DS67+'SG&amp;A'!DS67</f>
        <v>4.0870000000000006</v>
      </c>
      <c r="DT67" s="28">
        <f>COGS!DT67+'SG&amp;A'!DT67</f>
        <v>5.016</v>
      </c>
      <c r="DU67" s="28">
        <f>COGS!DU67+'SG&amp;A'!DU67</f>
        <v>4.8559999999999999</v>
      </c>
      <c r="DV67" s="28">
        <f>COGS!DV67+'SG&amp;A'!DV67</f>
        <v>18.177999999999997</v>
      </c>
      <c r="DW67" s="28">
        <f>COGS!DW67+'SG&amp;A'!DW67</f>
        <v>3.9970000000000003</v>
      </c>
      <c r="DX67" s="28">
        <f>COGS!DX67+'SG&amp;A'!DX67</f>
        <v>6.6141259000000003</v>
      </c>
      <c r="DY67" s="28">
        <f>COGS!DY67+'SG&amp;A'!DY67</f>
        <v>5.5249400800000004</v>
      </c>
      <c r="DZ67" s="28">
        <f>COGS!DZ67+'SG&amp;A'!DZ67</f>
        <v>5.6822038699999986</v>
      </c>
      <c r="EA67" s="28">
        <f>COGS!EA67+'SG&amp;A'!EA67</f>
        <v>21.81826985</v>
      </c>
      <c r="EB67" s="28">
        <f>COGS!EB67+'SG&amp;A'!EB67</f>
        <v>5.9752334300000003</v>
      </c>
      <c r="EC67" s="28">
        <f>COGS!EC67+'SG&amp;A'!EC67</f>
        <v>6.0229574999999995</v>
      </c>
      <c r="ED67" s="28">
        <f>COGS!ED67+'SG&amp;A'!ED67</f>
        <v>6.0119999999999996</v>
      </c>
      <c r="EE67" s="28">
        <f>COGS!EE67+'SG&amp;A'!EE67</f>
        <v>5.9209579700000008</v>
      </c>
      <c r="EF67" s="28">
        <f>COGS!EF67+'SG&amp;A'!EF67</f>
        <v>23.9311489</v>
      </c>
      <c r="EG67" s="28">
        <f>COGS!EG67+'SG&amp;A'!EG67</f>
        <v>3.9850310800000002</v>
      </c>
      <c r="EH67" s="28">
        <f>COGS!EH67+'SG&amp;A'!EH67</f>
        <v>4.0173338899999997</v>
      </c>
      <c r="EI67" s="28">
        <f>COGS!EI67+'SG&amp;A'!EI67</f>
        <v>4.4228211000000002</v>
      </c>
    </row>
    <row r="68" spans="1:139" ht="15" thickTop="1" x14ac:dyDescent="0.3">
      <c r="A68" s="1" t="s">
        <v>456</v>
      </c>
      <c r="B68" s="27">
        <f>COGS!B68+'SG&amp;A'!B68</f>
        <v>0</v>
      </c>
      <c r="C68" s="27">
        <f>COGS!C68+'SG&amp;A'!C68</f>
        <v>0</v>
      </c>
      <c r="D68" s="27">
        <f>COGS!D68+'SG&amp;A'!D68</f>
        <v>0</v>
      </c>
      <c r="E68" s="27">
        <f>COGS!E68+'SG&amp;A'!E68</f>
        <v>0</v>
      </c>
      <c r="F68" s="27">
        <f>COGS!F68+'SG&amp;A'!F68</f>
        <v>0</v>
      </c>
      <c r="G68" s="27">
        <f>COGS!G68+'SG&amp;A'!G68</f>
        <v>0</v>
      </c>
      <c r="H68" s="27">
        <f>COGS!H68+'SG&amp;A'!H68</f>
        <v>0</v>
      </c>
      <c r="I68" s="27">
        <f>COGS!I68+'SG&amp;A'!I68</f>
        <v>0</v>
      </c>
      <c r="J68" s="27">
        <f>COGS!J68+'SG&amp;A'!J68</f>
        <v>0</v>
      </c>
      <c r="K68" s="27">
        <f>COGS!K68+'SG&amp;A'!K68</f>
        <v>0</v>
      </c>
      <c r="L68" s="27">
        <f>COGS!L68+'SG&amp;A'!L68</f>
        <v>0</v>
      </c>
      <c r="M68" s="27">
        <f>COGS!M68+'SG&amp;A'!M68</f>
        <v>0</v>
      </c>
      <c r="N68" s="27">
        <f>COGS!N68+'SG&amp;A'!N68</f>
        <v>0</v>
      </c>
      <c r="O68" s="27">
        <f>COGS!O68+'SG&amp;A'!O68</f>
        <v>0</v>
      </c>
      <c r="P68" s="27">
        <f>COGS!P68+'SG&amp;A'!P68</f>
        <v>0</v>
      </c>
      <c r="Q68" s="27">
        <f>COGS!Q68+'SG&amp;A'!Q68</f>
        <v>0</v>
      </c>
      <c r="R68" s="27">
        <f>COGS!R68+'SG&amp;A'!R68</f>
        <v>0</v>
      </c>
      <c r="S68" s="27">
        <f>COGS!S68+'SG&amp;A'!S68</f>
        <v>0</v>
      </c>
      <c r="T68" s="27">
        <f>COGS!T68+'SG&amp;A'!T68</f>
        <v>0</v>
      </c>
      <c r="U68" s="27">
        <f>COGS!U68+'SG&amp;A'!U68</f>
        <v>0</v>
      </c>
      <c r="V68" s="27">
        <f>COGS!V68+'SG&amp;A'!V68</f>
        <v>0</v>
      </c>
      <c r="W68" s="27">
        <f>COGS!W68+'SG&amp;A'!W68</f>
        <v>0</v>
      </c>
      <c r="X68" s="27">
        <f>COGS!X68+'SG&amp;A'!X68</f>
        <v>0</v>
      </c>
      <c r="Y68" s="27">
        <f>COGS!Y68+'SG&amp;A'!Y68</f>
        <v>0</v>
      </c>
      <c r="Z68" s="27">
        <f>COGS!Z68+'SG&amp;A'!Z68</f>
        <v>0</v>
      </c>
      <c r="AA68" s="27">
        <f>COGS!AA68+'SG&amp;A'!AA68</f>
        <v>0</v>
      </c>
      <c r="AB68" s="27">
        <f>COGS!AB68+'SG&amp;A'!AB68</f>
        <v>0</v>
      </c>
      <c r="AC68" s="27">
        <f>COGS!AC68+'SG&amp;A'!AC68</f>
        <v>0</v>
      </c>
      <c r="AD68" s="27">
        <f>COGS!AD68+'SG&amp;A'!AD68</f>
        <v>0</v>
      </c>
      <c r="AE68" s="27">
        <f>COGS!AE68+'SG&amp;A'!AE68</f>
        <v>0</v>
      </c>
      <c r="AF68" s="27">
        <f>COGS!AF68+'SG&amp;A'!AF68</f>
        <v>0</v>
      </c>
      <c r="AG68" s="27">
        <f>COGS!AG68+'SG&amp;A'!AG68</f>
        <v>0</v>
      </c>
      <c r="AH68" s="27">
        <f>COGS!AH68+'SG&amp;A'!AH68</f>
        <v>0</v>
      </c>
      <c r="AI68" s="27">
        <f>COGS!AI68+'SG&amp;A'!AI68</f>
        <v>0</v>
      </c>
      <c r="AJ68" s="27">
        <f>COGS!AJ68+'SG&amp;A'!AJ68</f>
        <v>0</v>
      </c>
      <c r="AK68" s="27">
        <f>COGS!AK68+'SG&amp;A'!AK68</f>
        <v>0</v>
      </c>
      <c r="AL68" s="27">
        <f>COGS!AL68+'SG&amp;A'!AL68</f>
        <v>0</v>
      </c>
      <c r="AM68" s="27">
        <f>COGS!AM68+'SG&amp;A'!AM68</f>
        <v>0</v>
      </c>
      <c r="AN68" s="27">
        <f>COGS!AN68+'SG&amp;A'!AN68</f>
        <v>0</v>
      </c>
      <c r="AO68" s="27">
        <f>COGS!AO68+'SG&amp;A'!AO68</f>
        <v>0</v>
      </c>
      <c r="AP68" s="27">
        <f>COGS!AP68+'SG&amp;A'!AP68</f>
        <v>0</v>
      </c>
      <c r="AQ68" s="27">
        <f>COGS!AQ68+'SG&amp;A'!AQ68</f>
        <v>0</v>
      </c>
      <c r="AR68" s="27">
        <f>COGS!AR68+'SG&amp;A'!AR68</f>
        <v>0</v>
      </c>
      <c r="AS68" s="27">
        <f>COGS!AS68+'SG&amp;A'!AS68</f>
        <v>0</v>
      </c>
      <c r="AT68" s="27">
        <f>COGS!AT68+'SG&amp;A'!AT68</f>
        <v>0</v>
      </c>
      <c r="AU68" s="27">
        <f>COGS!AU68+'SG&amp;A'!AU68</f>
        <v>0</v>
      </c>
      <c r="AV68" s="27">
        <f>COGS!AV68+'SG&amp;A'!AV68</f>
        <v>0</v>
      </c>
      <c r="AW68" s="27">
        <f>COGS!AW68+'SG&amp;A'!AW68</f>
        <v>0</v>
      </c>
      <c r="AX68" s="27">
        <f>COGS!AX68+'SG&amp;A'!AX68</f>
        <v>0</v>
      </c>
      <c r="AY68" s="27">
        <f>COGS!AY68+'SG&amp;A'!AY68</f>
        <v>0</v>
      </c>
      <c r="AZ68" s="27">
        <f>COGS!AZ68+'SG&amp;A'!AZ68</f>
        <v>0</v>
      </c>
      <c r="BA68" s="27">
        <f>COGS!BA68+'SG&amp;A'!BA68</f>
        <v>0</v>
      </c>
      <c r="BB68" s="27">
        <f>COGS!BB68+'SG&amp;A'!BB68</f>
        <v>0</v>
      </c>
      <c r="BC68" s="27">
        <f>COGS!BC68+'SG&amp;A'!BC68</f>
        <v>0</v>
      </c>
      <c r="BD68" s="27">
        <f>COGS!BD68+'SG&amp;A'!BD68</f>
        <v>0</v>
      </c>
      <c r="BE68" s="27">
        <f>COGS!BE68+'SG&amp;A'!BE68</f>
        <v>0</v>
      </c>
      <c r="BF68" s="27">
        <f>COGS!BF68+'SG&amp;A'!BF68</f>
        <v>0</v>
      </c>
      <c r="BG68" s="27">
        <f>COGS!BG68+'SG&amp;A'!BG68</f>
        <v>0</v>
      </c>
      <c r="BH68" s="27">
        <f>COGS!BH68+'SG&amp;A'!BH68</f>
        <v>0</v>
      </c>
      <c r="BI68" s="27">
        <f>COGS!BI68+'SG&amp;A'!BI68</f>
        <v>0</v>
      </c>
      <c r="BJ68" s="27">
        <f>COGS!BJ68+'SG&amp;A'!BJ68</f>
        <v>0</v>
      </c>
      <c r="BK68" s="27">
        <f>COGS!BK68+'SG&amp;A'!BK68</f>
        <v>0</v>
      </c>
      <c r="BL68" s="27">
        <f>COGS!BL68+'SG&amp;A'!BL68</f>
        <v>0</v>
      </c>
      <c r="BM68" s="27">
        <f>COGS!BM68+'SG&amp;A'!BM68</f>
        <v>0</v>
      </c>
      <c r="BN68" s="27">
        <f>COGS!BN68+'SG&amp;A'!BN68</f>
        <v>0</v>
      </c>
      <c r="BO68" s="27">
        <f>COGS!BO68+'SG&amp;A'!BO68</f>
        <v>0</v>
      </c>
      <c r="BP68" s="27">
        <f>COGS!BP68+'SG&amp;A'!BP68</f>
        <v>0</v>
      </c>
      <c r="BQ68" s="27">
        <f>COGS!BQ68+'SG&amp;A'!BQ68</f>
        <v>0</v>
      </c>
      <c r="BR68" s="27">
        <f>COGS!BR68+'SG&amp;A'!BR68</f>
        <v>0</v>
      </c>
      <c r="BS68" s="27">
        <f>COGS!BS68+'SG&amp;A'!BS68</f>
        <v>0</v>
      </c>
      <c r="BT68" s="27">
        <f>COGS!BT68+'SG&amp;A'!BT68</f>
        <v>0</v>
      </c>
      <c r="BU68" s="27">
        <f>COGS!BU68+'SG&amp;A'!BU68</f>
        <v>0</v>
      </c>
      <c r="BV68" s="27">
        <f>COGS!BV68+'SG&amp;A'!BV68</f>
        <v>0</v>
      </c>
      <c r="BW68" s="27">
        <f>COGS!BW68+'SG&amp;A'!BW68</f>
        <v>0</v>
      </c>
      <c r="BX68" s="27">
        <f>COGS!BX68+'SG&amp;A'!BX68</f>
        <v>0</v>
      </c>
      <c r="BY68" s="27">
        <f>COGS!BY68+'SG&amp;A'!BY68</f>
        <v>0</v>
      </c>
      <c r="BZ68" s="27">
        <f>COGS!BZ68+'SG&amp;A'!BZ68</f>
        <v>0</v>
      </c>
      <c r="CA68" s="27">
        <f>COGS!CA68+'SG&amp;A'!CA68</f>
        <v>0</v>
      </c>
      <c r="CB68" s="27">
        <f>COGS!CB68+'SG&amp;A'!CB68</f>
        <v>0</v>
      </c>
      <c r="CC68" s="27">
        <f>COGS!CC68+'SG&amp;A'!CC68</f>
        <v>0</v>
      </c>
      <c r="CD68" s="27">
        <f>COGS!CD68+'SG&amp;A'!CD68</f>
        <v>0</v>
      </c>
      <c r="CE68" s="27">
        <f>COGS!CE68+'SG&amp;A'!CE68</f>
        <v>0</v>
      </c>
      <c r="CF68" s="27">
        <f>COGS!CF68+'SG&amp;A'!CF68</f>
        <v>0</v>
      </c>
      <c r="CG68" s="27">
        <f>COGS!CG68+'SG&amp;A'!CG68</f>
        <v>0</v>
      </c>
      <c r="CH68" s="27">
        <f>COGS!CH68+'SG&amp;A'!CH68</f>
        <v>0</v>
      </c>
      <c r="CI68" s="27">
        <f>COGS!CI68+'SG&amp;A'!CI68</f>
        <v>0</v>
      </c>
      <c r="CJ68" s="27">
        <f>COGS!CJ68+'SG&amp;A'!CJ68</f>
        <v>0</v>
      </c>
      <c r="CK68" s="27">
        <f>COGS!CK68+'SG&amp;A'!CK68</f>
        <v>0</v>
      </c>
      <c r="CL68" s="27">
        <f>COGS!CL68+'SG&amp;A'!CL68</f>
        <v>0</v>
      </c>
      <c r="CM68" s="27">
        <f>COGS!CM68+'SG&amp;A'!CM68</f>
        <v>0</v>
      </c>
      <c r="CN68" s="27">
        <f>COGS!CN68+'SG&amp;A'!CN68</f>
        <v>0</v>
      </c>
      <c r="CO68" s="27">
        <f>COGS!CO68+'SG&amp;A'!CO68</f>
        <v>0</v>
      </c>
      <c r="CP68" s="27">
        <f>COGS!CP68+'SG&amp;A'!CP68</f>
        <v>0</v>
      </c>
      <c r="CQ68" s="27">
        <f>COGS!CQ68+'SG&amp;A'!CQ68</f>
        <v>0</v>
      </c>
      <c r="CR68" s="27">
        <f>COGS!CR68+'SG&amp;A'!CR68</f>
        <v>0</v>
      </c>
      <c r="CS68" s="27">
        <f>COGS!CS68+'SG&amp;A'!CS68</f>
        <v>0</v>
      </c>
      <c r="CT68" s="27">
        <f>COGS!CT68+'SG&amp;A'!CT68</f>
        <v>0</v>
      </c>
      <c r="CU68" s="27">
        <f>COGS!CU68+'SG&amp;A'!CU68</f>
        <v>0</v>
      </c>
      <c r="CV68" s="27">
        <f>COGS!CV68+'SG&amp;A'!CV68</f>
        <v>0</v>
      </c>
      <c r="CW68" s="27">
        <f>COGS!CW68+'SG&amp;A'!CW68</f>
        <v>0</v>
      </c>
      <c r="CX68" s="27">
        <f>COGS!CX68+'SG&amp;A'!CX68</f>
        <v>0</v>
      </c>
      <c r="CY68" s="27">
        <f>COGS!CY68+'SG&amp;A'!CY68</f>
        <v>3.6999999999999998E-2</v>
      </c>
      <c r="CZ68" s="27">
        <f>COGS!CZ68+'SG&amp;A'!CZ68</f>
        <v>0.38800000000000001</v>
      </c>
      <c r="DA68" s="27">
        <f>COGS!DA68+'SG&amp;A'!DA68</f>
        <v>1.2410000000000001</v>
      </c>
      <c r="DB68" s="27">
        <f>COGS!DB68+'SG&amp;A'!DB68</f>
        <v>1.6660000000000001</v>
      </c>
      <c r="DC68" s="27">
        <f>COGS!DC68+'SG&amp;A'!DC68</f>
        <v>1.2799999999999998</v>
      </c>
      <c r="DD68" s="27">
        <f>COGS!DD68+'SG&amp;A'!DD68</f>
        <v>1.2149999999999999</v>
      </c>
      <c r="DE68" s="27">
        <f>COGS!DE68+'SG&amp;A'!DE68</f>
        <v>1.1639999999999999</v>
      </c>
      <c r="DF68" s="27">
        <f>COGS!DF68+'SG&amp;A'!DF68</f>
        <v>1.4750000000000001</v>
      </c>
      <c r="DG68" s="27">
        <f>COGS!DG68+'SG&amp;A'!DG68</f>
        <v>5.1339999999999995</v>
      </c>
      <c r="DH68" s="27">
        <f>COGS!DH68+'SG&amp;A'!DH68</f>
        <v>1.3879999999999999</v>
      </c>
      <c r="DI68" s="27">
        <f>COGS!DI68+'SG&amp;A'!DI68</f>
        <v>1.3820000000000001</v>
      </c>
      <c r="DJ68" s="27">
        <f>COGS!DJ68+'SG&amp;A'!DJ68</f>
        <v>1.3959999999999999</v>
      </c>
      <c r="DK68" s="27">
        <f>COGS!DK68+'SG&amp;A'!DK68</f>
        <v>1.456</v>
      </c>
      <c r="DL68" s="27">
        <f>COGS!DL68+'SG&amp;A'!DL68</f>
        <v>5.6220000000000008</v>
      </c>
      <c r="DM68" s="27">
        <f>COGS!DM68+'SG&amp;A'!DM68</f>
        <v>1.492</v>
      </c>
      <c r="DN68" s="27">
        <f>COGS!DN68+'SG&amp;A'!DN68</f>
        <v>1.4689999999999999</v>
      </c>
      <c r="DO68" s="27">
        <f>COGS!DO68+'SG&amp;A'!DO68</f>
        <v>1.482</v>
      </c>
      <c r="DP68" s="27">
        <f>COGS!DP68+'SG&amp;A'!DP68</f>
        <v>1.6279999999999999</v>
      </c>
      <c r="DQ68" s="27">
        <f>COGS!DQ68+'SG&amp;A'!DQ68</f>
        <v>6.0709999999999997</v>
      </c>
      <c r="DR68" s="27">
        <f>COGS!DR68+'SG&amp;A'!DR68</f>
        <v>1.7919999999999998</v>
      </c>
      <c r="DS68" s="27">
        <f>COGS!DS68+'SG&amp;A'!DS68</f>
        <v>1.722</v>
      </c>
      <c r="DT68" s="27">
        <f>COGS!DT68+'SG&amp;A'!DT68</f>
        <v>1.4610000000000001</v>
      </c>
      <c r="DU68" s="27">
        <f>COGS!DU68+'SG&amp;A'!DU68</f>
        <v>1.7330000000000001</v>
      </c>
      <c r="DV68" s="27">
        <f>COGS!DV68+'SG&amp;A'!DV68</f>
        <v>6.7080000000000002</v>
      </c>
      <c r="DW68" s="27">
        <f>COGS!DW68+'SG&amp;A'!DW68</f>
        <v>1.7650000000000001</v>
      </c>
      <c r="DX68" s="27">
        <f>COGS!DX68+'SG&amp;A'!DX68</f>
        <v>1.89488849</v>
      </c>
      <c r="DY68" s="27">
        <f>COGS!DY68+'SG&amp;A'!DY68</f>
        <v>1.9883654200000001</v>
      </c>
      <c r="DZ68" s="27">
        <f>COGS!DZ68+'SG&amp;A'!DZ68</f>
        <v>1.86977455</v>
      </c>
      <c r="EA68" s="27">
        <f>COGS!EA68+'SG&amp;A'!EA68</f>
        <v>7.5180284599999991</v>
      </c>
      <c r="EB68" s="27">
        <f>COGS!EB68+'SG&amp;A'!EB68</f>
        <v>2.1556959300000003</v>
      </c>
      <c r="EC68" s="27">
        <f>COGS!EC68+'SG&amp;A'!EC68</f>
        <v>1.52971371</v>
      </c>
      <c r="ED68" s="27">
        <f>COGS!ED68+'SG&amp;A'!ED68</f>
        <v>2.6160000000000001</v>
      </c>
      <c r="EE68" s="27">
        <f>COGS!EE68+'SG&amp;A'!EE68</f>
        <v>2.1414400500000008</v>
      </c>
      <c r="EF68" s="27">
        <f>COGS!EF68+'SG&amp;A'!EF68</f>
        <v>8.442849690000001</v>
      </c>
      <c r="EG68" s="27">
        <f>COGS!EG68+'SG&amp;A'!EG68</f>
        <v>1.1472455399999999</v>
      </c>
      <c r="EH68" s="27">
        <f>COGS!EH68+'SG&amp;A'!EH68</f>
        <v>3.6605569300000003</v>
      </c>
      <c r="EI68" s="27">
        <f>COGS!EI68+'SG&amp;A'!EI68</f>
        <v>2.6808967199999993</v>
      </c>
    </row>
    <row r="69" spans="1:139" ht="15" thickBot="1" x14ac:dyDescent="0.35">
      <c r="A69" s="2" t="s">
        <v>446</v>
      </c>
      <c r="B69" s="28">
        <f>COGS!B69+'SG&amp;A'!B69</f>
        <v>0</v>
      </c>
      <c r="C69" s="28">
        <f>COGS!C69+'SG&amp;A'!C69</f>
        <v>0</v>
      </c>
      <c r="D69" s="28">
        <f>COGS!D69+'SG&amp;A'!D69</f>
        <v>0</v>
      </c>
      <c r="E69" s="28">
        <f>COGS!E69+'SG&amp;A'!E69</f>
        <v>0</v>
      </c>
      <c r="F69" s="28">
        <f>COGS!F69+'SG&amp;A'!F69</f>
        <v>0</v>
      </c>
      <c r="G69" s="28">
        <f>COGS!G69+'SG&amp;A'!G69</f>
        <v>0</v>
      </c>
      <c r="H69" s="28">
        <f>COGS!H69+'SG&amp;A'!H69</f>
        <v>0</v>
      </c>
      <c r="I69" s="28">
        <f>COGS!I69+'SG&amp;A'!I69</f>
        <v>0</v>
      </c>
      <c r="J69" s="28">
        <f>COGS!J69+'SG&amp;A'!J69</f>
        <v>0</v>
      </c>
      <c r="K69" s="28">
        <f>COGS!K69+'SG&amp;A'!K69</f>
        <v>0</v>
      </c>
      <c r="L69" s="28">
        <f>COGS!L69+'SG&amp;A'!L69</f>
        <v>0</v>
      </c>
      <c r="M69" s="28">
        <f>COGS!M69+'SG&amp;A'!M69</f>
        <v>0</v>
      </c>
      <c r="N69" s="28">
        <f>COGS!N69+'SG&amp;A'!N69</f>
        <v>0</v>
      </c>
      <c r="O69" s="28">
        <f>COGS!O69+'SG&amp;A'!O69</f>
        <v>0</v>
      </c>
      <c r="P69" s="28">
        <f>COGS!P69+'SG&amp;A'!P69</f>
        <v>0</v>
      </c>
      <c r="Q69" s="28">
        <f>COGS!Q69+'SG&amp;A'!Q69</f>
        <v>0</v>
      </c>
      <c r="R69" s="28">
        <f>COGS!R69+'SG&amp;A'!R69</f>
        <v>0</v>
      </c>
      <c r="S69" s="28">
        <f>COGS!S69+'SG&amp;A'!S69</f>
        <v>0</v>
      </c>
      <c r="T69" s="28">
        <f>COGS!T69+'SG&amp;A'!T69</f>
        <v>0</v>
      </c>
      <c r="U69" s="28">
        <f>COGS!U69+'SG&amp;A'!U69</f>
        <v>0</v>
      </c>
      <c r="V69" s="28">
        <f>COGS!V69+'SG&amp;A'!V69</f>
        <v>0</v>
      </c>
      <c r="W69" s="28">
        <f>COGS!W69+'SG&amp;A'!W69</f>
        <v>0</v>
      </c>
      <c r="X69" s="28">
        <f>COGS!X69+'SG&amp;A'!X69</f>
        <v>0</v>
      </c>
      <c r="Y69" s="28">
        <f>COGS!Y69+'SG&amp;A'!Y69</f>
        <v>0</v>
      </c>
      <c r="Z69" s="28">
        <f>COGS!Z69+'SG&amp;A'!Z69</f>
        <v>0</v>
      </c>
      <c r="AA69" s="28">
        <f>COGS!AA69+'SG&amp;A'!AA69</f>
        <v>0</v>
      </c>
      <c r="AB69" s="28">
        <f>COGS!AB69+'SG&amp;A'!AB69</f>
        <v>0</v>
      </c>
      <c r="AC69" s="28">
        <f>COGS!AC69+'SG&amp;A'!AC69</f>
        <v>0</v>
      </c>
      <c r="AD69" s="28">
        <f>COGS!AD69+'SG&amp;A'!AD69</f>
        <v>0</v>
      </c>
      <c r="AE69" s="28">
        <f>COGS!AE69+'SG&amp;A'!AE69</f>
        <v>0</v>
      </c>
      <c r="AF69" s="28">
        <f>COGS!AF69+'SG&amp;A'!AF69</f>
        <v>0</v>
      </c>
      <c r="AG69" s="28">
        <f>COGS!AG69+'SG&amp;A'!AG69</f>
        <v>0</v>
      </c>
      <c r="AH69" s="28">
        <f>COGS!AH69+'SG&amp;A'!AH69</f>
        <v>0</v>
      </c>
      <c r="AI69" s="28">
        <f>COGS!AI69+'SG&amp;A'!AI69</f>
        <v>0</v>
      </c>
      <c r="AJ69" s="28">
        <f>COGS!AJ69+'SG&amp;A'!AJ69</f>
        <v>0</v>
      </c>
      <c r="AK69" s="28">
        <f>COGS!AK69+'SG&amp;A'!AK69</f>
        <v>0</v>
      </c>
      <c r="AL69" s="28">
        <f>COGS!AL69+'SG&amp;A'!AL69</f>
        <v>0</v>
      </c>
      <c r="AM69" s="28">
        <f>COGS!AM69+'SG&amp;A'!AM69</f>
        <v>0</v>
      </c>
      <c r="AN69" s="28">
        <f>COGS!AN69+'SG&amp;A'!AN69</f>
        <v>0</v>
      </c>
      <c r="AO69" s="28">
        <f>COGS!AO69+'SG&amp;A'!AO69</f>
        <v>0</v>
      </c>
      <c r="AP69" s="28">
        <f>COGS!AP69+'SG&amp;A'!AP69</f>
        <v>0</v>
      </c>
      <c r="AQ69" s="28">
        <f>COGS!AQ69+'SG&amp;A'!AQ69</f>
        <v>0</v>
      </c>
      <c r="AR69" s="28">
        <f>COGS!AR69+'SG&amp;A'!AR69</f>
        <v>0</v>
      </c>
      <c r="AS69" s="28">
        <f>COGS!AS69+'SG&amp;A'!AS69</f>
        <v>0</v>
      </c>
      <c r="AT69" s="28">
        <f>COGS!AT69+'SG&amp;A'!AT69</f>
        <v>0</v>
      </c>
      <c r="AU69" s="28">
        <f>COGS!AU69+'SG&amp;A'!AU69</f>
        <v>0</v>
      </c>
      <c r="AV69" s="28">
        <f>COGS!AV69+'SG&amp;A'!AV69</f>
        <v>0</v>
      </c>
      <c r="AW69" s="28">
        <f>COGS!AW69+'SG&amp;A'!AW69</f>
        <v>0</v>
      </c>
      <c r="AX69" s="28">
        <f>COGS!AX69+'SG&amp;A'!AX69</f>
        <v>0</v>
      </c>
      <c r="AY69" s="28">
        <f>COGS!AY69+'SG&amp;A'!AY69</f>
        <v>0</v>
      </c>
      <c r="AZ69" s="28">
        <f>COGS!AZ69+'SG&amp;A'!AZ69</f>
        <v>0</v>
      </c>
      <c r="BA69" s="28">
        <f>COGS!BA69+'SG&amp;A'!BA69</f>
        <v>0</v>
      </c>
      <c r="BB69" s="28">
        <f>COGS!BB69+'SG&amp;A'!BB69</f>
        <v>0</v>
      </c>
      <c r="BC69" s="28">
        <f>COGS!BC69+'SG&amp;A'!BC69</f>
        <v>0</v>
      </c>
      <c r="BD69" s="28">
        <f>COGS!BD69+'SG&amp;A'!BD69</f>
        <v>0</v>
      </c>
      <c r="BE69" s="28">
        <f>COGS!BE69+'SG&amp;A'!BE69</f>
        <v>0</v>
      </c>
      <c r="BF69" s="28">
        <f>COGS!BF69+'SG&amp;A'!BF69</f>
        <v>0</v>
      </c>
      <c r="BG69" s="28">
        <f>COGS!BG69+'SG&amp;A'!BG69</f>
        <v>0</v>
      </c>
      <c r="BH69" s="28">
        <f>COGS!BH69+'SG&amp;A'!BH69</f>
        <v>0</v>
      </c>
      <c r="BI69" s="28">
        <f>COGS!BI69+'SG&amp;A'!BI69</f>
        <v>0</v>
      </c>
      <c r="BJ69" s="28">
        <f>COGS!BJ69+'SG&amp;A'!BJ69</f>
        <v>0</v>
      </c>
      <c r="BK69" s="28">
        <f>COGS!BK69+'SG&amp;A'!BK69</f>
        <v>0</v>
      </c>
      <c r="BL69" s="28">
        <f>COGS!BL69+'SG&amp;A'!BL69</f>
        <v>0</v>
      </c>
      <c r="BM69" s="28">
        <f>COGS!BM69+'SG&amp;A'!BM69</f>
        <v>0</v>
      </c>
      <c r="BN69" s="28">
        <f>COGS!BN69+'SG&amp;A'!BN69</f>
        <v>0</v>
      </c>
      <c r="BO69" s="28">
        <f>COGS!BO69+'SG&amp;A'!BO69</f>
        <v>0</v>
      </c>
      <c r="BP69" s="28">
        <f>COGS!BP69+'SG&amp;A'!BP69</f>
        <v>0</v>
      </c>
      <c r="BQ69" s="28">
        <f>COGS!BQ69+'SG&amp;A'!BQ69</f>
        <v>0</v>
      </c>
      <c r="BR69" s="28">
        <f>COGS!BR69+'SG&amp;A'!BR69</f>
        <v>0</v>
      </c>
      <c r="BS69" s="28">
        <f>COGS!BS69+'SG&amp;A'!BS69</f>
        <v>0</v>
      </c>
      <c r="BT69" s="28">
        <f>COGS!BT69+'SG&amp;A'!BT69</f>
        <v>0</v>
      </c>
      <c r="BU69" s="28">
        <f>COGS!BU69+'SG&amp;A'!BU69</f>
        <v>0</v>
      </c>
      <c r="BV69" s="28">
        <f>COGS!BV69+'SG&amp;A'!BV69</f>
        <v>0</v>
      </c>
      <c r="BW69" s="28">
        <f>COGS!BW69+'SG&amp;A'!BW69</f>
        <v>0</v>
      </c>
      <c r="BX69" s="28">
        <f>COGS!BX69+'SG&amp;A'!BX69</f>
        <v>0</v>
      </c>
      <c r="BY69" s="28">
        <f>COGS!BY69+'SG&amp;A'!BY69</f>
        <v>0</v>
      </c>
      <c r="BZ69" s="28">
        <f>COGS!BZ69+'SG&amp;A'!BZ69</f>
        <v>0</v>
      </c>
      <c r="CA69" s="28">
        <f>COGS!CA69+'SG&amp;A'!CA69</f>
        <v>0</v>
      </c>
      <c r="CB69" s="28">
        <f>COGS!CB69+'SG&amp;A'!CB69</f>
        <v>0</v>
      </c>
      <c r="CC69" s="28">
        <f>COGS!CC69+'SG&amp;A'!CC69</f>
        <v>0</v>
      </c>
      <c r="CD69" s="28">
        <f>COGS!CD69+'SG&amp;A'!CD69</f>
        <v>0</v>
      </c>
      <c r="CE69" s="28">
        <f>COGS!CE69+'SG&amp;A'!CE69</f>
        <v>0</v>
      </c>
      <c r="CF69" s="28">
        <f>COGS!CF69+'SG&amp;A'!CF69</f>
        <v>0</v>
      </c>
      <c r="CG69" s="28">
        <f>COGS!CG69+'SG&amp;A'!CG69</f>
        <v>0</v>
      </c>
      <c r="CH69" s="28">
        <f>COGS!CH69+'SG&amp;A'!CH69</f>
        <v>0</v>
      </c>
      <c r="CI69" s="28">
        <f>COGS!CI69+'SG&amp;A'!CI69</f>
        <v>0</v>
      </c>
      <c r="CJ69" s="28">
        <f>COGS!CJ69+'SG&amp;A'!CJ69</f>
        <v>0</v>
      </c>
      <c r="CK69" s="28">
        <f>COGS!CK69+'SG&amp;A'!CK69</f>
        <v>0</v>
      </c>
      <c r="CL69" s="28">
        <f>COGS!CL69+'SG&amp;A'!CL69</f>
        <v>0</v>
      </c>
      <c r="CM69" s="28">
        <f>COGS!CM69+'SG&amp;A'!CM69</f>
        <v>0</v>
      </c>
      <c r="CN69" s="28">
        <f>COGS!CN69+'SG&amp;A'!CN69</f>
        <v>0</v>
      </c>
      <c r="CO69" s="28">
        <f>COGS!CO69+'SG&amp;A'!CO69</f>
        <v>0</v>
      </c>
      <c r="CP69" s="28">
        <f>COGS!CP69+'SG&amp;A'!CP69</f>
        <v>0</v>
      </c>
      <c r="CQ69" s="28">
        <f>COGS!CQ69+'SG&amp;A'!CQ69</f>
        <v>0</v>
      </c>
      <c r="CR69" s="28">
        <f>COGS!CR69+'SG&amp;A'!CR69</f>
        <v>0</v>
      </c>
      <c r="CS69" s="28">
        <f>COGS!CS69+'SG&amp;A'!CS69</f>
        <v>0</v>
      </c>
      <c r="CT69" s="28">
        <f>COGS!CT69+'SG&amp;A'!CT69</f>
        <v>0</v>
      </c>
      <c r="CU69" s="28">
        <f>COGS!CU69+'SG&amp;A'!CU69</f>
        <v>0</v>
      </c>
      <c r="CV69" s="28">
        <f>COGS!CV69+'SG&amp;A'!CV69</f>
        <v>0</v>
      </c>
      <c r="CW69" s="28">
        <f>COGS!CW69+'SG&amp;A'!CW69</f>
        <v>0</v>
      </c>
      <c r="CX69" s="28">
        <f>COGS!CX69+'SG&amp;A'!CX69</f>
        <v>0</v>
      </c>
      <c r="CY69" s="28">
        <f>COGS!CY69+'SG&amp;A'!CY69</f>
        <v>0</v>
      </c>
      <c r="CZ69" s="28">
        <f>COGS!CZ69+'SG&amp;A'!CZ69</f>
        <v>0</v>
      </c>
      <c r="DA69" s="28">
        <f>COGS!DA69+'SG&amp;A'!DA69</f>
        <v>0</v>
      </c>
      <c r="DB69" s="28">
        <f>COGS!DB69+'SG&amp;A'!DB69</f>
        <v>0</v>
      </c>
      <c r="DC69" s="28">
        <f>COGS!DC69+'SG&amp;A'!DC69</f>
        <v>0</v>
      </c>
      <c r="DD69" s="28">
        <f>COGS!DD69+'SG&amp;A'!DD69</f>
        <v>0</v>
      </c>
      <c r="DE69" s="28">
        <f>COGS!DE69+'SG&amp;A'!DE69</f>
        <v>0</v>
      </c>
      <c r="DF69" s="28">
        <f>COGS!DF69+'SG&amp;A'!DF69</f>
        <v>0</v>
      </c>
      <c r="DG69" s="28">
        <f>COGS!DG69+'SG&amp;A'!DG69</f>
        <v>0</v>
      </c>
      <c r="DH69" s="28">
        <f>COGS!DH69+'SG&amp;A'!DH69</f>
        <v>6.4000000000000001E-2</v>
      </c>
      <c r="DI69" s="28">
        <f>COGS!DI69+'SG&amp;A'!DI69</f>
        <v>1.2190000000000001</v>
      </c>
      <c r="DJ69" s="28">
        <f>COGS!DJ69+'SG&amp;A'!DJ69</f>
        <v>-0.92800000000000005</v>
      </c>
      <c r="DK69" s="28">
        <f>COGS!DK69+'SG&amp;A'!DK69</f>
        <v>3.5569999999999999</v>
      </c>
      <c r="DL69" s="28">
        <f>COGS!DL69+'SG&amp;A'!DL69</f>
        <v>3.9119999999999999</v>
      </c>
      <c r="DM69" s="28">
        <f>COGS!DM69+'SG&amp;A'!DM69</f>
        <v>4.7039999999999997</v>
      </c>
      <c r="DN69" s="28">
        <f>COGS!DN69+'SG&amp;A'!DN69</f>
        <v>7.8629999999999995</v>
      </c>
      <c r="DO69" s="28">
        <f>COGS!DO69+'SG&amp;A'!DO69</f>
        <v>-5.5000000000000007E-2</v>
      </c>
      <c r="DP69" s="28">
        <f>COGS!DP69+'SG&amp;A'!DP69</f>
        <v>4.7069999999999999</v>
      </c>
      <c r="DQ69" s="28">
        <f>COGS!DQ69+'SG&amp;A'!DQ69</f>
        <v>17.218999999999998</v>
      </c>
      <c r="DR69" s="28">
        <f>COGS!DR69+'SG&amp;A'!DR69</f>
        <v>4.2669999999999995</v>
      </c>
      <c r="DS69" s="28">
        <f>COGS!DS69+'SG&amp;A'!DS69</f>
        <v>4.1320000000000006</v>
      </c>
      <c r="DT69" s="28">
        <f>COGS!DT69+'SG&amp;A'!DT69</f>
        <v>4.7320000000000002</v>
      </c>
      <c r="DU69" s="28">
        <f>COGS!DU69+'SG&amp;A'!DU69</f>
        <v>4.835</v>
      </c>
      <c r="DV69" s="28">
        <f>COGS!DV69+'SG&amp;A'!DV69</f>
        <v>17.966000000000001</v>
      </c>
      <c r="DW69" s="28">
        <f>COGS!DW69+'SG&amp;A'!DW69</f>
        <v>4.5729999999999995</v>
      </c>
      <c r="DX69" s="28">
        <f>COGS!DX69+'SG&amp;A'!DX69</f>
        <v>5.1059435799999999</v>
      </c>
      <c r="DY69" s="28">
        <f>COGS!DY69+'SG&amp;A'!DY69</f>
        <v>6.1389876699999988</v>
      </c>
      <c r="DZ69" s="28">
        <f>COGS!DZ69+'SG&amp;A'!DZ69</f>
        <v>5.2195091099999997</v>
      </c>
      <c r="EA69" s="28">
        <f>COGS!EA69+'SG&amp;A'!EA69</f>
        <v>21.037440359999998</v>
      </c>
      <c r="EB69" s="28">
        <f>COGS!EB69+'SG&amp;A'!EB69</f>
        <v>5.6533199200000004</v>
      </c>
      <c r="EC69" s="28">
        <f>COGS!EC69+'SG&amp;A'!EC69</f>
        <v>5.6639596899999995</v>
      </c>
      <c r="ED69" s="28">
        <f>COGS!ED69+'SG&amp;A'!ED69</f>
        <v>5.7569999999999997</v>
      </c>
      <c r="EE69" s="28">
        <f>COGS!EE69+'SG&amp;A'!EE69</f>
        <v>-1.1836877599999998</v>
      </c>
      <c r="EF69" s="28">
        <f>COGS!EF69+'SG&amp;A'!EF69</f>
        <v>15.890591850000002</v>
      </c>
      <c r="EG69" s="28">
        <f>COGS!EG69+'SG&amp;A'!EG69</f>
        <v>4.4286005799999995</v>
      </c>
      <c r="EH69" s="28">
        <f>COGS!EH69+'SG&amp;A'!EH69</f>
        <v>3.0060733100000001</v>
      </c>
      <c r="EI69" s="28">
        <f>COGS!EI69+'SG&amp;A'!EI69</f>
        <v>5.8060028200000007</v>
      </c>
    </row>
    <row r="70" spans="1:139" ht="15" thickTop="1" x14ac:dyDescent="0.3">
      <c r="A70" s="1" t="s">
        <v>447</v>
      </c>
      <c r="B70" s="27">
        <f>COGS!B70+'SG&amp;A'!B70</f>
        <v>0</v>
      </c>
      <c r="C70" s="27">
        <f>COGS!C70+'SG&amp;A'!C70</f>
        <v>0</v>
      </c>
      <c r="D70" s="27">
        <f>COGS!D70+'SG&amp;A'!D70</f>
        <v>0</v>
      </c>
      <c r="E70" s="27">
        <f>COGS!E70+'SG&amp;A'!E70</f>
        <v>0</v>
      </c>
      <c r="F70" s="27">
        <f>COGS!F70+'SG&amp;A'!F70</f>
        <v>0</v>
      </c>
      <c r="G70" s="27">
        <f>COGS!G70+'SG&amp;A'!G70</f>
        <v>0</v>
      </c>
      <c r="H70" s="27">
        <f>COGS!H70+'SG&amp;A'!H70</f>
        <v>0</v>
      </c>
      <c r="I70" s="27">
        <f>COGS!I70+'SG&amp;A'!I70</f>
        <v>0</v>
      </c>
      <c r="J70" s="27">
        <f>COGS!J70+'SG&amp;A'!J70</f>
        <v>0</v>
      </c>
      <c r="K70" s="27">
        <f>COGS!K70+'SG&amp;A'!K70</f>
        <v>0</v>
      </c>
      <c r="L70" s="27">
        <f>COGS!L70+'SG&amp;A'!L70</f>
        <v>0</v>
      </c>
      <c r="M70" s="27">
        <f>COGS!M70+'SG&amp;A'!M70</f>
        <v>0</v>
      </c>
      <c r="N70" s="27">
        <f>COGS!N70+'SG&amp;A'!N70</f>
        <v>0</v>
      </c>
      <c r="O70" s="27">
        <f>COGS!O70+'SG&amp;A'!O70</f>
        <v>0</v>
      </c>
      <c r="P70" s="27">
        <f>COGS!P70+'SG&amp;A'!P70</f>
        <v>0</v>
      </c>
      <c r="Q70" s="27">
        <f>COGS!Q70+'SG&amp;A'!Q70</f>
        <v>0</v>
      </c>
      <c r="R70" s="27">
        <f>COGS!R70+'SG&amp;A'!R70</f>
        <v>0</v>
      </c>
      <c r="S70" s="27">
        <f>COGS!S70+'SG&amp;A'!S70</f>
        <v>0</v>
      </c>
      <c r="T70" s="27">
        <f>COGS!T70+'SG&amp;A'!T70</f>
        <v>0</v>
      </c>
      <c r="U70" s="27">
        <f>COGS!U70+'SG&amp;A'!U70</f>
        <v>0</v>
      </c>
      <c r="V70" s="27">
        <f>COGS!V70+'SG&amp;A'!V70</f>
        <v>0</v>
      </c>
      <c r="W70" s="27">
        <f>COGS!W70+'SG&amp;A'!W70</f>
        <v>0</v>
      </c>
      <c r="X70" s="27">
        <f>COGS!X70+'SG&amp;A'!X70</f>
        <v>0</v>
      </c>
      <c r="Y70" s="27">
        <f>COGS!Y70+'SG&amp;A'!Y70</f>
        <v>0</v>
      </c>
      <c r="Z70" s="27">
        <f>COGS!Z70+'SG&amp;A'!Z70</f>
        <v>0</v>
      </c>
      <c r="AA70" s="27">
        <f>COGS!AA70+'SG&amp;A'!AA70</f>
        <v>0</v>
      </c>
      <c r="AB70" s="27">
        <f>COGS!AB70+'SG&amp;A'!AB70</f>
        <v>0</v>
      </c>
      <c r="AC70" s="27">
        <f>COGS!AC70+'SG&amp;A'!AC70</f>
        <v>0</v>
      </c>
      <c r="AD70" s="27">
        <f>COGS!AD70+'SG&amp;A'!AD70</f>
        <v>0</v>
      </c>
      <c r="AE70" s="27">
        <f>COGS!AE70+'SG&amp;A'!AE70</f>
        <v>0</v>
      </c>
      <c r="AF70" s="27">
        <f>COGS!AF70+'SG&amp;A'!AF70</f>
        <v>0</v>
      </c>
      <c r="AG70" s="27">
        <f>COGS!AG70+'SG&amp;A'!AG70</f>
        <v>0</v>
      </c>
      <c r="AH70" s="27">
        <f>COGS!AH70+'SG&amp;A'!AH70</f>
        <v>0</v>
      </c>
      <c r="AI70" s="27">
        <f>COGS!AI70+'SG&amp;A'!AI70</f>
        <v>0</v>
      </c>
      <c r="AJ70" s="27">
        <f>COGS!AJ70+'SG&amp;A'!AJ70</f>
        <v>0</v>
      </c>
      <c r="AK70" s="27">
        <f>COGS!AK70+'SG&amp;A'!AK70</f>
        <v>0</v>
      </c>
      <c r="AL70" s="27">
        <f>COGS!AL70+'SG&amp;A'!AL70</f>
        <v>0</v>
      </c>
      <c r="AM70" s="27">
        <f>COGS!AM70+'SG&amp;A'!AM70</f>
        <v>0</v>
      </c>
      <c r="AN70" s="27">
        <f>COGS!AN70+'SG&amp;A'!AN70</f>
        <v>0</v>
      </c>
      <c r="AO70" s="27">
        <f>COGS!AO70+'SG&amp;A'!AO70</f>
        <v>0</v>
      </c>
      <c r="AP70" s="27">
        <f>COGS!AP70+'SG&amp;A'!AP70</f>
        <v>0</v>
      </c>
      <c r="AQ70" s="27">
        <f>COGS!AQ70+'SG&amp;A'!AQ70</f>
        <v>0</v>
      </c>
      <c r="AR70" s="27">
        <f>COGS!AR70+'SG&amp;A'!AR70</f>
        <v>0</v>
      </c>
      <c r="AS70" s="27">
        <f>COGS!AS70+'SG&amp;A'!AS70</f>
        <v>0</v>
      </c>
      <c r="AT70" s="27">
        <f>COGS!AT70+'SG&amp;A'!AT70</f>
        <v>0</v>
      </c>
      <c r="AU70" s="27">
        <f>COGS!AU70+'SG&amp;A'!AU70</f>
        <v>0</v>
      </c>
      <c r="AV70" s="27">
        <f>COGS!AV70+'SG&amp;A'!AV70</f>
        <v>0</v>
      </c>
      <c r="AW70" s="27">
        <f>COGS!AW70+'SG&amp;A'!AW70</f>
        <v>0</v>
      </c>
      <c r="AX70" s="27">
        <f>COGS!AX70+'SG&amp;A'!AX70</f>
        <v>0</v>
      </c>
      <c r="AY70" s="27">
        <f>COGS!AY70+'SG&amp;A'!AY70</f>
        <v>0</v>
      </c>
      <c r="AZ70" s="27">
        <f>COGS!AZ70+'SG&amp;A'!AZ70</f>
        <v>0</v>
      </c>
      <c r="BA70" s="27">
        <f>COGS!BA70+'SG&amp;A'!BA70</f>
        <v>0</v>
      </c>
      <c r="BB70" s="27">
        <f>COGS!BB70+'SG&amp;A'!BB70</f>
        <v>0</v>
      </c>
      <c r="BC70" s="27">
        <f>COGS!BC70+'SG&amp;A'!BC70</f>
        <v>0</v>
      </c>
      <c r="BD70" s="27">
        <f>COGS!BD70+'SG&amp;A'!BD70</f>
        <v>0</v>
      </c>
      <c r="BE70" s="27">
        <f>COGS!BE70+'SG&amp;A'!BE70</f>
        <v>0</v>
      </c>
      <c r="BF70" s="27">
        <f>COGS!BF70+'SG&amp;A'!BF70</f>
        <v>0</v>
      </c>
      <c r="BG70" s="27">
        <f>COGS!BG70+'SG&amp;A'!BG70</f>
        <v>0</v>
      </c>
      <c r="BH70" s="27">
        <f>COGS!BH70+'SG&amp;A'!BH70</f>
        <v>0</v>
      </c>
      <c r="BI70" s="27">
        <f>COGS!BI70+'SG&amp;A'!BI70</f>
        <v>0</v>
      </c>
      <c r="BJ70" s="27">
        <f>COGS!BJ70+'SG&amp;A'!BJ70</f>
        <v>0</v>
      </c>
      <c r="BK70" s="27">
        <f>COGS!BK70+'SG&amp;A'!BK70</f>
        <v>0</v>
      </c>
      <c r="BL70" s="27">
        <f>COGS!BL70+'SG&amp;A'!BL70</f>
        <v>0</v>
      </c>
      <c r="BM70" s="27">
        <f>COGS!BM70+'SG&amp;A'!BM70</f>
        <v>0</v>
      </c>
      <c r="BN70" s="27">
        <f>COGS!BN70+'SG&amp;A'!BN70</f>
        <v>0</v>
      </c>
      <c r="BO70" s="27">
        <f>COGS!BO70+'SG&amp;A'!BO70</f>
        <v>0</v>
      </c>
      <c r="BP70" s="27">
        <f>COGS!BP70+'SG&amp;A'!BP70</f>
        <v>0</v>
      </c>
      <c r="BQ70" s="27">
        <f>COGS!BQ70+'SG&amp;A'!BQ70</f>
        <v>0</v>
      </c>
      <c r="BR70" s="27">
        <f>COGS!BR70+'SG&amp;A'!BR70</f>
        <v>0</v>
      </c>
      <c r="BS70" s="27">
        <f>COGS!BS70+'SG&amp;A'!BS70</f>
        <v>0</v>
      </c>
      <c r="BT70" s="27">
        <f>COGS!BT70+'SG&amp;A'!BT70</f>
        <v>0</v>
      </c>
      <c r="BU70" s="27">
        <f>COGS!BU70+'SG&amp;A'!BU70</f>
        <v>0</v>
      </c>
      <c r="BV70" s="27">
        <f>COGS!BV70+'SG&amp;A'!BV70</f>
        <v>0</v>
      </c>
      <c r="BW70" s="27">
        <f>COGS!BW70+'SG&amp;A'!BW70</f>
        <v>0</v>
      </c>
      <c r="BX70" s="27">
        <f>COGS!BX70+'SG&amp;A'!BX70</f>
        <v>0</v>
      </c>
      <c r="BY70" s="27">
        <f>COGS!BY70+'SG&amp;A'!BY70</f>
        <v>0</v>
      </c>
      <c r="BZ70" s="27">
        <f>COGS!BZ70+'SG&amp;A'!BZ70</f>
        <v>0</v>
      </c>
      <c r="CA70" s="27">
        <f>COGS!CA70+'SG&amp;A'!CA70</f>
        <v>0</v>
      </c>
      <c r="CB70" s="27">
        <f>COGS!CB70+'SG&amp;A'!CB70</f>
        <v>0</v>
      </c>
      <c r="CC70" s="27">
        <f>COGS!CC70+'SG&amp;A'!CC70</f>
        <v>0</v>
      </c>
      <c r="CD70" s="27">
        <f>COGS!CD70+'SG&amp;A'!CD70</f>
        <v>0</v>
      </c>
      <c r="CE70" s="27">
        <f>COGS!CE70+'SG&amp;A'!CE70</f>
        <v>0</v>
      </c>
      <c r="CF70" s="27">
        <f>COGS!CF70+'SG&amp;A'!CF70</f>
        <v>0</v>
      </c>
      <c r="CG70" s="27">
        <f>COGS!CG70+'SG&amp;A'!CG70</f>
        <v>0</v>
      </c>
      <c r="CH70" s="27">
        <f>COGS!CH70+'SG&amp;A'!CH70</f>
        <v>0</v>
      </c>
      <c r="CI70" s="27">
        <f>COGS!CI70+'SG&amp;A'!CI70</f>
        <v>0</v>
      </c>
      <c r="CJ70" s="27">
        <f>COGS!CJ70+'SG&amp;A'!CJ70</f>
        <v>0</v>
      </c>
      <c r="CK70" s="27">
        <f>COGS!CK70+'SG&amp;A'!CK70</f>
        <v>0</v>
      </c>
      <c r="CL70" s="27">
        <f>COGS!CL70+'SG&amp;A'!CL70</f>
        <v>0</v>
      </c>
      <c r="CM70" s="27">
        <f>COGS!CM70+'SG&amp;A'!CM70</f>
        <v>0</v>
      </c>
      <c r="CN70" s="27">
        <f>COGS!CN70+'SG&amp;A'!CN70</f>
        <v>0</v>
      </c>
      <c r="CO70" s="27">
        <f>COGS!CO70+'SG&amp;A'!CO70</f>
        <v>0</v>
      </c>
      <c r="CP70" s="27">
        <f>COGS!CP70+'SG&amp;A'!CP70</f>
        <v>0</v>
      </c>
      <c r="CQ70" s="27">
        <f>COGS!CQ70+'SG&amp;A'!CQ70</f>
        <v>0</v>
      </c>
      <c r="CR70" s="27">
        <f>COGS!CR70+'SG&amp;A'!CR70</f>
        <v>0</v>
      </c>
      <c r="CS70" s="27">
        <f>COGS!CS70+'SG&amp;A'!CS70</f>
        <v>0</v>
      </c>
      <c r="CT70" s="27">
        <f>COGS!CT70+'SG&amp;A'!CT70</f>
        <v>0</v>
      </c>
      <c r="CU70" s="27">
        <f>COGS!CU70+'SG&amp;A'!CU70</f>
        <v>0</v>
      </c>
      <c r="CV70" s="27">
        <f>COGS!CV70+'SG&amp;A'!CV70</f>
        <v>0</v>
      </c>
      <c r="CW70" s="27">
        <f>COGS!CW70+'SG&amp;A'!CW70</f>
        <v>0</v>
      </c>
      <c r="CX70" s="27">
        <f>COGS!CX70+'SG&amp;A'!CX70</f>
        <v>0</v>
      </c>
      <c r="CY70" s="27">
        <f>COGS!CY70+'SG&amp;A'!CY70</f>
        <v>0</v>
      </c>
      <c r="CZ70" s="27">
        <f>COGS!CZ70+'SG&amp;A'!CZ70</f>
        <v>0</v>
      </c>
      <c r="DA70" s="27">
        <f>COGS!DA70+'SG&amp;A'!DA70</f>
        <v>0</v>
      </c>
      <c r="DB70" s="27">
        <f>COGS!DB70+'SG&amp;A'!DB70</f>
        <v>0</v>
      </c>
      <c r="DC70" s="27">
        <f>COGS!DC70+'SG&amp;A'!DC70</f>
        <v>0</v>
      </c>
      <c r="DD70" s="27">
        <f>COGS!DD70+'SG&amp;A'!DD70</f>
        <v>0</v>
      </c>
      <c r="DE70" s="27">
        <f>COGS!DE70+'SG&amp;A'!DE70</f>
        <v>0</v>
      </c>
      <c r="DF70" s="27">
        <f>COGS!DF70+'SG&amp;A'!DF70</f>
        <v>0</v>
      </c>
      <c r="DG70" s="27">
        <f>COGS!DG70+'SG&amp;A'!DG70</f>
        <v>0</v>
      </c>
      <c r="DH70" s="27">
        <f>COGS!DH70+'SG&amp;A'!DH70</f>
        <v>0</v>
      </c>
      <c r="DI70" s="27">
        <f>COGS!DI70+'SG&amp;A'!DI70</f>
        <v>0</v>
      </c>
      <c r="DJ70" s="27">
        <f>COGS!DJ70+'SG&amp;A'!DJ70</f>
        <v>0</v>
      </c>
      <c r="DK70" s="27">
        <f>COGS!DK70+'SG&amp;A'!DK70</f>
        <v>0</v>
      </c>
      <c r="DL70" s="27">
        <f>COGS!DL70+'SG&amp;A'!DL70</f>
        <v>0</v>
      </c>
      <c r="DM70" s="27">
        <f>COGS!DM70+'SG&amp;A'!DM70</f>
        <v>0</v>
      </c>
      <c r="DN70" s="27">
        <f>COGS!DN70+'SG&amp;A'!DN70</f>
        <v>0</v>
      </c>
      <c r="DO70" s="27">
        <f>COGS!DO70+'SG&amp;A'!DO70</f>
        <v>1E-3</v>
      </c>
      <c r="DP70" s="27">
        <f>COGS!DP70+'SG&amp;A'!DP70</f>
        <v>1.6E-2</v>
      </c>
      <c r="DQ70" s="27">
        <f>COGS!DQ70+'SG&amp;A'!DQ70</f>
        <v>1.7000000000000001E-2</v>
      </c>
      <c r="DR70" s="27">
        <f>COGS!DR70+'SG&amp;A'!DR70</f>
        <v>6.0999999999999999E-2</v>
      </c>
      <c r="DS70" s="27">
        <f>COGS!DS70+'SG&amp;A'!DS70</f>
        <v>0.441</v>
      </c>
      <c r="DT70" s="27">
        <f>COGS!DT70+'SG&amp;A'!DT70</f>
        <v>0.874</v>
      </c>
      <c r="DU70" s="27">
        <f>COGS!DU70+'SG&amp;A'!DU70</f>
        <v>1.415</v>
      </c>
      <c r="DV70" s="27">
        <f>COGS!DV70+'SG&amp;A'!DV70</f>
        <v>2.7909999999999995</v>
      </c>
      <c r="DW70" s="27">
        <f>COGS!DW70+'SG&amp;A'!DW70</f>
        <v>3.6429999999999998</v>
      </c>
      <c r="DX70" s="27">
        <f>COGS!DX70+'SG&amp;A'!DX70</f>
        <v>5.8792172899999997</v>
      </c>
      <c r="DY70" s="27">
        <f>COGS!DY70+'SG&amp;A'!DY70</f>
        <v>6.4801383500000007</v>
      </c>
      <c r="DZ70" s="27">
        <f>COGS!DZ70+'SG&amp;A'!DZ70</f>
        <v>6.9125777599999996</v>
      </c>
      <c r="EA70" s="27">
        <f>COGS!EA70+'SG&amp;A'!EA70</f>
        <v>22.914933399999999</v>
      </c>
      <c r="EB70" s="27">
        <f>COGS!EB70+'SG&amp;A'!EB70</f>
        <v>6.6662189700000001</v>
      </c>
      <c r="EC70" s="27">
        <f>COGS!EC70+'SG&amp;A'!EC70</f>
        <v>7.1863301899999996</v>
      </c>
      <c r="ED70" s="27">
        <f>COGS!ED70+'SG&amp;A'!ED70</f>
        <v>7.8010000000000002</v>
      </c>
      <c r="EE70" s="27">
        <f>COGS!EE70+'SG&amp;A'!EE70</f>
        <v>9.4825831800000007</v>
      </c>
      <c r="EF70" s="27">
        <f>COGS!EF70+'SG&amp;A'!EF70</f>
        <v>31.136132340000003</v>
      </c>
      <c r="EG70" s="27">
        <f>COGS!EG70+'SG&amp;A'!EG70</f>
        <v>6.6742887099999999</v>
      </c>
      <c r="EH70" s="27">
        <f>COGS!EH70+'SG&amp;A'!EH70</f>
        <v>8.787792940000001</v>
      </c>
      <c r="EI70" s="27">
        <f>COGS!EI70+'SG&amp;A'!EI70</f>
        <v>8.7873407300000022</v>
      </c>
    </row>
    <row r="71" spans="1:139" ht="15" thickBot="1" x14ac:dyDescent="0.35">
      <c r="A71" s="2" t="s">
        <v>448</v>
      </c>
      <c r="B71" s="28">
        <f>COGS!B71+'SG&amp;A'!B71</f>
        <v>0</v>
      </c>
      <c r="C71" s="28">
        <f>COGS!C71+'SG&amp;A'!C71</f>
        <v>0</v>
      </c>
      <c r="D71" s="28">
        <f>COGS!D71+'SG&amp;A'!D71</f>
        <v>0</v>
      </c>
      <c r="E71" s="28">
        <f>COGS!E71+'SG&amp;A'!E71</f>
        <v>0</v>
      </c>
      <c r="F71" s="28">
        <f>COGS!F71+'SG&amp;A'!F71</f>
        <v>0</v>
      </c>
      <c r="G71" s="28">
        <f>COGS!G71+'SG&amp;A'!G71</f>
        <v>0</v>
      </c>
      <c r="H71" s="28">
        <f>COGS!H71+'SG&amp;A'!H71</f>
        <v>0</v>
      </c>
      <c r="I71" s="28">
        <f>COGS!I71+'SG&amp;A'!I71</f>
        <v>0</v>
      </c>
      <c r="J71" s="28">
        <f>COGS!J71+'SG&amp;A'!J71</f>
        <v>0</v>
      </c>
      <c r="K71" s="28">
        <f>COGS!K71+'SG&amp;A'!K71</f>
        <v>0</v>
      </c>
      <c r="L71" s="28">
        <f>COGS!L71+'SG&amp;A'!L71</f>
        <v>0</v>
      </c>
      <c r="M71" s="28">
        <f>COGS!M71+'SG&amp;A'!M71</f>
        <v>0</v>
      </c>
      <c r="N71" s="28">
        <f>COGS!N71+'SG&amp;A'!N71</f>
        <v>0</v>
      </c>
      <c r="O71" s="28">
        <f>COGS!O71+'SG&amp;A'!O71</f>
        <v>0</v>
      </c>
      <c r="P71" s="28">
        <f>COGS!P71+'SG&amp;A'!P71</f>
        <v>0</v>
      </c>
      <c r="Q71" s="28">
        <f>COGS!Q71+'SG&amp;A'!Q71</f>
        <v>0</v>
      </c>
      <c r="R71" s="28">
        <f>COGS!R71+'SG&amp;A'!R71</f>
        <v>0</v>
      </c>
      <c r="S71" s="28">
        <f>COGS!S71+'SG&amp;A'!S71</f>
        <v>0</v>
      </c>
      <c r="T71" s="28">
        <f>COGS!T71+'SG&amp;A'!T71</f>
        <v>0</v>
      </c>
      <c r="U71" s="28">
        <f>COGS!U71+'SG&amp;A'!U71</f>
        <v>0</v>
      </c>
      <c r="V71" s="28">
        <f>COGS!V71+'SG&amp;A'!V71</f>
        <v>0</v>
      </c>
      <c r="W71" s="28">
        <f>COGS!W71+'SG&amp;A'!W71</f>
        <v>0</v>
      </c>
      <c r="X71" s="28">
        <f>COGS!X71+'SG&amp;A'!X71</f>
        <v>0</v>
      </c>
      <c r="Y71" s="28">
        <f>COGS!Y71+'SG&amp;A'!Y71</f>
        <v>0</v>
      </c>
      <c r="Z71" s="28">
        <f>COGS!Z71+'SG&amp;A'!Z71</f>
        <v>0</v>
      </c>
      <c r="AA71" s="28">
        <f>COGS!AA71+'SG&amp;A'!AA71</f>
        <v>0</v>
      </c>
      <c r="AB71" s="28">
        <f>COGS!AB71+'SG&amp;A'!AB71</f>
        <v>0</v>
      </c>
      <c r="AC71" s="28">
        <f>COGS!AC71+'SG&amp;A'!AC71</f>
        <v>0</v>
      </c>
      <c r="AD71" s="28">
        <f>COGS!AD71+'SG&amp;A'!AD71</f>
        <v>0</v>
      </c>
      <c r="AE71" s="28">
        <f>COGS!AE71+'SG&amp;A'!AE71</f>
        <v>0</v>
      </c>
      <c r="AF71" s="28">
        <f>COGS!AF71+'SG&amp;A'!AF71</f>
        <v>0</v>
      </c>
      <c r="AG71" s="28">
        <f>COGS!AG71+'SG&amp;A'!AG71</f>
        <v>0</v>
      </c>
      <c r="AH71" s="28">
        <f>COGS!AH71+'SG&amp;A'!AH71</f>
        <v>0</v>
      </c>
      <c r="AI71" s="28">
        <f>COGS!AI71+'SG&amp;A'!AI71</f>
        <v>0</v>
      </c>
      <c r="AJ71" s="28">
        <f>COGS!AJ71+'SG&amp;A'!AJ71</f>
        <v>0</v>
      </c>
      <c r="AK71" s="28">
        <f>COGS!AK71+'SG&amp;A'!AK71</f>
        <v>0</v>
      </c>
      <c r="AL71" s="28">
        <f>COGS!AL71+'SG&amp;A'!AL71</f>
        <v>0</v>
      </c>
      <c r="AM71" s="28">
        <f>COGS!AM71+'SG&amp;A'!AM71</f>
        <v>0</v>
      </c>
      <c r="AN71" s="28">
        <f>COGS!AN71+'SG&amp;A'!AN71</f>
        <v>0</v>
      </c>
      <c r="AO71" s="28">
        <f>COGS!AO71+'SG&amp;A'!AO71</f>
        <v>0</v>
      </c>
      <c r="AP71" s="28">
        <f>COGS!AP71+'SG&amp;A'!AP71</f>
        <v>0</v>
      </c>
      <c r="AQ71" s="28">
        <f>COGS!AQ71+'SG&amp;A'!AQ71</f>
        <v>0</v>
      </c>
      <c r="AR71" s="28">
        <f>COGS!AR71+'SG&amp;A'!AR71</f>
        <v>0</v>
      </c>
      <c r="AS71" s="28">
        <f>COGS!AS71+'SG&amp;A'!AS71</f>
        <v>0</v>
      </c>
      <c r="AT71" s="28">
        <f>COGS!AT71+'SG&amp;A'!AT71</f>
        <v>0</v>
      </c>
      <c r="AU71" s="28">
        <f>COGS!AU71+'SG&amp;A'!AU71</f>
        <v>0</v>
      </c>
      <c r="AV71" s="28">
        <f>COGS!AV71+'SG&amp;A'!AV71</f>
        <v>0</v>
      </c>
      <c r="AW71" s="28">
        <f>COGS!AW71+'SG&amp;A'!AW71</f>
        <v>0</v>
      </c>
      <c r="AX71" s="28">
        <f>COGS!AX71+'SG&amp;A'!AX71</f>
        <v>0</v>
      </c>
      <c r="AY71" s="28">
        <f>COGS!AY71+'SG&amp;A'!AY71</f>
        <v>0</v>
      </c>
      <c r="AZ71" s="28">
        <f>COGS!AZ71+'SG&amp;A'!AZ71</f>
        <v>0</v>
      </c>
      <c r="BA71" s="28">
        <f>COGS!BA71+'SG&amp;A'!BA71</f>
        <v>0</v>
      </c>
      <c r="BB71" s="28">
        <f>COGS!BB71+'SG&amp;A'!BB71</f>
        <v>0</v>
      </c>
      <c r="BC71" s="28">
        <f>COGS!BC71+'SG&amp;A'!BC71</f>
        <v>0</v>
      </c>
      <c r="BD71" s="28">
        <f>COGS!BD71+'SG&amp;A'!BD71</f>
        <v>0</v>
      </c>
      <c r="BE71" s="28">
        <f>COGS!BE71+'SG&amp;A'!BE71</f>
        <v>0</v>
      </c>
      <c r="BF71" s="28">
        <f>COGS!BF71+'SG&amp;A'!BF71</f>
        <v>0</v>
      </c>
      <c r="BG71" s="28">
        <f>COGS!BG71+'SG&amp;A'!BG71</f>
        <v>0</v>
      </c>
      <c r="BH71" s="28">
        <f>COGS!BH71+'SG&amp;A'!BH71</f>
        <v>0</v>
      </c>
      <c r="BI71" s="28">
        <f>COGS!BI71+'SG&amp;A'!BI71</f>
        <v>0</v>
      </c>
      <c r="BJ71" s="28">
        <f>COGS!BJ71+'SG&amp;A'!BJ71</f>
        <v>0</v>
      </c>
      <c r="BK71" s="28">
        <f>COGS!BK71+'SG&amp;A'!BK71</f>
        <v>0</v>
      </c>
      <c r="BL71" s="28">
        <f>COGS!BL71+'SG&amp;A'!BL71</f>
        <v>0</v>
      </c>
      <c r="BM71" s="28">
        <f>COGS!BM71+'SG&amp;A'!BM71</f>
        <v>0</v>
      </c>
      <c r="BN71" s="28">
        <f>COGS!BN71+'SG&amp;A'!BN71</f>
        <v>0</v>
      </c>
      <c r="BO71" s="28">
        <f>COGS!BO71+'SG&amp;A'!BO71</f>
        <v>0</v>
      </c>
      <c r="BP71" s="28">
        <f>COGS!BP71+'SG&amp;A'!BP71</f>
        <v>0</v>
      </c>
      <c r="BQ71" s="28">
        <f>COGS!BQ71+'SG&amp;A'!BQ71</f>
        <v>0</v>
      </c>
      <c r="BR71" s="28">
        <f>COGS!BR71+'SG&amp;A'!BR71</f>
        <v>0</v>
      </c>
      <c r="BS71" s="28">
        <f>COGS!BS71+'SG&amp;A'!BS71</f>
        <v>0</v>
      </c>
      <c r="BT71" s="28">
        <f>COGS!BT71+'SG&amp;A'!BT71</f>
        <v>0</v>
      </c>
      <c r="BU71" s="28">
        <f>COGS!BU71+'SG&amp;A'!BU71</f>
        <v>0</v>
      </c>
      <c r="BV71" s="28">
        <f>COGS!BV71+'SG&amp;A'!BV71</f>
        <v>0</v>
      </c>
      <c r="BW71" s="28">
        <f>COGS!BW71+'SG&amp;A'!BW71</f>
        <v>0</v>
      </c>
      <c r="BX71" s="28">
        <f>COGS!BX71+'SG&amp;A'!BX71</f>
        <v>0</v>
      </c>
      <c r="BY71" s="28">
        <f>COGS!BY71+'SG&amp;A'!BY71</f>
        <v>0</v>
      </c>
      <c r="BZ71" s="28">
        <f>COGS!BZ71+'SG&amp;A'!BZ71</f>
        <v>0</v>
      </c>
      <c r="CA71" s="28">
        <f>COGS!CA71+'SG&amp;A'!CA71</f>
        <v>0</v>
      </c>
      <c r="CB71" s="28">
        <f>COGS!CB71+'SG&amp;A'!CB71</f>
        <v>0</v>
      </c>
      <c r="CC71" s="28">
        <f>COGS!CC71+'SG&amp;A'!CC71</f>
        <v>0</v>
      </c>
      <c r="CD71" s="28">
        <f>COGS!CD71+'SG&amp;A'!CD71</f>
        <v>0</v>
      </c>
      <c r="CE71" s="28">
        <f>COGS!CE71+'SG&amp;A'!CE71</f>
        <v>0</v>
      </c>
      <c r="CF71" s="28">
        <f>COGS!CF71+'SG&amp;A'!CF71</f>
        <v>0</v>
      </c>
      <c r="CG71" s="28">
        <f>COGS!CG71+'SG&amp;A'!CG71</f>
        <v>0</v>
      </c>
      <c r="CH71" s="28">
        <f>COGS!CH71+'SG&amp;A'!CH71</f>
        <v>0</v>
      </c>
      <c r="CI71" s="28">
        <f>COGS!CI71+'SG&amp;A'!CI71</f>
        <v>0</v>
      </c>
      <c r="CJ71" s="28">
        <f>COGS!CJ71+'SG&amp;A'!CJ71</f>
        <v>0</v>
      </c>
      <c r="CK71" s="28">
        <f>COGS!CK71+'SG&amp;A'!CK71</f>
        <v>0</v>
      </c>
      <c r="CL71" s="28">
        <f>COGS!CL71+'SG&amp;A'!CL71</f>
        <v>0</v>
      </c>
      <c r="CM71" s="28">
        <f>COGS!CM71+'SG&amp;A'!CM71</f>
        <v>0</v>
      </c>
      <c r="CN71" s="28">
        <f>COGS!CN71+'SG&amp;A'!CN71</f>
        <v>0</v>
      </c>
      <c r="CO71" s="28">
        <f>COGS!CO71+'SG&amp;A'!CO71</f>
        <v>0</v>
      </c>
      <c r="CP71" s="28">
        <f>COGS!CP71+'SG&amp;A'!CP71</f>
        <v>0</v>
      </c>
      <c r="CQ71" s="28">
        <f>COGS!CQ71+'SG&amp;A'!CQ71</f>
        <v>0</v>
      </c>
      <c r="CR71" s="28">
        <f>COGS!CR71+'SG&amp;A'!CR71</f>
        <v>0</v>
      </c>
      <c r="CS71" s="28">
        <f>COGS!CS71+'SG&amp;A'!CS71</f>
        <v>0</v>
      </c>
      <c r="CT71" s="28">
        <f>COGS!CT71+'SG&amp;A'!CT71</f>
        <v>0</v>
      </c>
      <c r="CU71" s="28">
        <f>COGS!CU71+'SG&amp;A'!CU71</f>
        <v>0</v>
      </c>
      <c r="CV71" s="28">
        <f>COGS!CV71+'SG&amp;A'!CV71</f>
        <v>0</v>
      </c>
      <c r="CW71" s="28">
        <f>COGS!CW71+'SG&amp;A'!CW71</f>
        <v>0</v>
      </c>
      <c r="CX71" s="28">
        <f>COGS!CX71+'SG&amp;A'!CX71</f>
        <v>0</v>
      </c>
      <c r="CY71" s="28">
        <f>COGS!CY71+'SG&amp;A'!CY71</f>
        <v>0</v>
      </c>
      <c r="CZ71" s="28">
        <f>COGS!CZ71+'SG&amp;A'!CZ71</f>
        <v>0</v>
      </c>
      <c r="DA71" s="28">
        <f>COGS!DA71+'SG&amp;A'!DA71</f>
        <v>0</v>
      </c>
      <c r="DB71" s="28">
        <f>COGS!DB71+'SG&amp;A'!DB71</f>
        <v>0</v>
      </c>
      <c r="DC71" s="28">
        <f>COGS!DC71+'SG&amp;A'!DC71</f>
        <v>0</v>
      </c>
      <c r="DD71" s="28">
        <f>COGS!DD71+'SG&amp;A'!DD71</f>
        <v>0</v>
      </c>
      <c r="DE71" s="28">
        <f>COGS!DE71+'SG&amp;A'!DE71</f>
        <v>0</v>
      </c>
      <c r="DF71" s="28">
        <f>COGS!DF71+'SG&amp;A'!DF71</f>
        <v>0</v>
      </c>
      <c r="DG71" s="28">
        <f>COGS!DG71+'SG&amp;A'!DG71</f>
        <v>0</v>
      </c>
      <c r="DH71" s="28">
        <f>COGS!DH71+'SG&amp;A'!DH71</f>
        <v>0</v>
      </c>
      <c r="DI71" s="28">
        <f>COGS!DI71+'SG&amp;A'!DI71</f>
        <v>0</v>
      </c>
      <c r="DJ71" s="28">
        <f>COGS!DJ71+'SG&amp;A'!DJ71</f>
        <v>0</v>
      </c>
      <c r="DK71" s="28">
        <f>COGS!DK71+'SG&amp;A'!DK71</f>
        <v>0</v>
      </c>
      <c r="DL71" s="28">
        <f>COGS!DL71+'SG&amp;A'!DL71</f>
        <v>0</v>
      </c>
      <c r="DM71" s="28">
        <f>COGS!DM71+'SG&amp;A'!DM71</f>
        <v>0</v>
      </c>
      <c r="DN71" s="28">
        <f>COGS!DN71+'SG&amp;A'!DN71</f>
        <v>0</v>
      </c>
      <c r="DO71" s="28">
        <f>COGS!DO71+'SG&amp;A'!DO71</f>
        <v>0</v>
      </c>
      <c r="DP71" s="28">
        <f>COGS!DP71+'SG&amp;A'!DP71</f>
        <v>0</v>
      </c>
      <c r="DQ71" s="28">
        <f>COGS!DQ71+'SG&amp;A'!DQ71</f>
        <v>0</v>
      </c>
      <c r="DR71" s="28">
        <f>COGS!DR71+'SG&amp;A'!DR71</f>
        <v>0</v>
      </c>
      <c r="DS71" s="28">
        <f>COGS!DS71+'SG&amp;A'!DS71</f>
        <v>0</v>
      </c>
      <c r="DT71" s="28">
        <f>COGS!DT71+'SG&amp;A'!DT71</f>
        <v>0.26400000000000001</v>
      </c>
      <c r="DU71" s="28">
        <f>COGS!DU71+'SG&amp;A'!DU71</f>
        <v>1.167</v>
      </c>
      <c r="DV71" s="28">
        <f>COGS!DV71+'SG&amp;A'!DV71</f>
        <v>1.431</v>
      </c>
      <c r="DW71" s="28">
        <f>COGS!DW71+'SG&amp;A'!DW71</f>
        <v>0.91800000000000004</v>
      </c>
      <c r="DX71" s="28">
        <f>COGS!DX71+'SG&amp;A'!DX71</f>
        <v>0.36771939999999997</v>
      </c>
      <c r="DY71" s="28">
        <f>COGS!DY71+'SG&amp;A'!DY71</f>
        <v>-6.9558289999999967E-2</v>
      </c>
      <c r="DZ71" s="28">
        <f>COGS!DZ71+'SG&amp;A'!DZ71</f>
        <v>9.2760437800000002</v>
      </c>
      <c r="EA71" s="28">
        <f>COGS!EA71+'SG&amp;A'!EA71</f>
        <v>10.49220489</v>
      </c>
      <c r="EB71" s="28">
        <f>COGS!EB71+'SG&amp;A'!EB71</f>
        <v>18.45081197</v>
      </c>
      <c r="EC71" s="28">
        <f>COGS!EC71+'SG&amp;A'!EC71</f>
        <v>3.7373299599999998</v>
      </c>
      <c r="ED71" s="28">
        <f>COGS!ED71+'SG&amp;A'!ED71</f>
        <v>21.361000000000001</v>
      </c>
      <c r="EE71" s="28">
        <f>COGS!EE71+'SG&amp;A'!EE71</f>
        <v>16.608165250000003</v>
      </c>
      <c r="EF71" s="28">
        <f>COGS!EF71+'SG&amp;A'!EF71</f>
        <v>60.157307180000004</v>
      </c>
      <c r="EG71" s="28">
        <f>COGS!EG71+'SG&amp;A'!EG71</f>
        <v>9.0581936299999981</v>
      </c>
      <c r="EH71" s="28">
        <f>COGS!EH71+'SG&amp;A'!EH71</f>
        <v>11.944449640000002</v>
      </c>
      <c r="EI71" s="28">
        <f>COGS!EI71+'SG&amp;A'!EI71</f>
        <v>7.3154211399999971</v>
      </c>
    </row>
    <row r="72" spans="1:139" ht="15" thickTop="1" x14ac:dyDescent="0.3">
      <c r="A72" s="1" t="s">
        <v>449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>
        <f>COGS!BJ72+'SG&amp;A'!BJ72</f>
        <v>0</v>
      </c>
      <c r="BK72" s="27">
        <f>COGS!BK72+'SG&amp;A'!BK72</f>
        <v>0</v>
      </c>
      <c r="BL72" s="27">
        <f>COGS!BL72+'SG&amp;A'!BL72</f>
        <v>0</v>
      </c>
      <c r="BM72" s="27">
        <f>COGS!BM72+'SG&amp;A'!BM72</f>
        <v>0</v>
      </c>
      <c r="BN72" s="27">
        <f>COGS!BN72+'SG&amp;A'!BN72</f>
        <v>0</v>
      </c>
      <c r="BO72" s="27">
        <f>COGS!BO72+'SG&amp;A'!BO72</f>
        <v>0</v>
      </c>
      <c r="BP72" s="27">
        <f>COGS!BP72+'SG&amp;A'!BP72</f>
        <v>0</v>
      </c>
      <c r="BQ72" s="27">
        <f>COGS!BQ72+'SG&amp;A'!BQ72</f>
        <v>0</v>
      </c>
      <c r="BR72" s="27">
        <f>COGS!BR72+'SG&amp;A'!BR72</f>
        <v>0</v>
      </c>
      <c r="BS72" s="27">
        <f>COGS!BS72+'SG&amp;A'!BS72</f>
        <v>0</v>
      </c>
      <c r="BT72" s="27">
        <f>COGS!BT72+'SG&amp;A'!BT72</f>
        <v>0</v>
      </c>
      <c r="BU72" s="27">
        <f>COGS!BU72+'SG&amp;A'!BU72</f>
        <v>0</v>
      </c>
      <c r="BV72" s="27">
        <f>COGS!BV72+'SG&amp;A'!BV72</f>
        <v>0</v>
      </c>
      <c r="BW72" s="27">
        <f>COGS!BW72+'SG&amp;A'!BW72</f>
        <v>0</v>
      </c>
      <c r="BX72" s="27">
        <f>COGS!BX72+'SG&amp;A'!BX72</f>
        <v>0</v>
      </c>
      <c r="BY72" s="27">
        <f>COGS!BY72+'SG&amp;A'!BY72</f>
        <v>0</v>
      </c>
      <c r="BZ72" s="27">
        <f>COGS!BZ72+'SG&amp;A'!BZ72</f>
        <v>0</v>
      </c>
      <c r="CA72" s="27">
        <f>COGS!CA72+'SG&amp;A'!CA72</f>
        <v>0</v>
      </c>
      <c r="CB72" s="27">
        <f>COGS!CB72+'SG&amp;A'!CB72</f>
        <v>0</v>
      </c>
      <c r="CC72" s="27">
        <f>COGS!CC72+'SG&amp;A'!CC72</f>
        <v>0</v>
      </c>
      <c r="CD72" s="27">
        <f>COGS!CD72+'SG&amp;A'!CD72</f>
        <v>0</v>
      </c>
      <c r="CE72" s="27">
        <f>COGS!CE72+'SG&amp;A'!CE72</f>
        <v>0</v>
      </c>
      <c r="CF72" s="27">
        <f>COGS!CF72+'SG&amp;A'!CF72</f>
        <v>0</v>
      </c>
      <c r="CG72" s="27">
        <f>COGS!CG72+'SG&amp;A'!CG72</f>
        <v>0</v>
      </c>
      <c r="CH72" s="27">
        <f>COGS!CH72+'SG&amp;A'!CH72</f>
        <v>0</v>
      </c>
      <c r="CI72" s="27">
        <f>COGS!CI72+'SG&amp;A'!CI72</f>
        <v>0</v>
      </c>
      <c r="CJ72" s="27">
        <f>COGS!CJ72+'SG&amp;A'!CJ72</f>
        <v>0</v>
      </c>
      <c r="CK72" s="27">
        <f>COGS!CK72+'SG&amp;A'!CK72</f>
        <v>0</v>
      </c>
      <c r="CL72" s="27">
        <f>COGS!CL72+'SG&amp;A'!CL72</f>
        <v>0</v>
      </c>
      <c r="CM72" s="27">
        <f>COGS!CM72+'SG&amp;A'!CM72</f>
        <v>0</v>
      </c>
      <c r="CN72" s="27">
        <f>COGS!CN72+'SG&amp;A'!CN72</f>
        <v>0</v>
      </c>
      <c r="CO72" s="27">
        <f>COGS!CO72+'SG&amp;A'!CO72</f>
        <v>0</v>
      </c>
      <c r="CP72" s="27">
        <f>COGS!CP72+'SG&amp;A'!CP72</f>
        <v>0</v>
      </c>
      <c r="CQ72" s="27">
        <f>COGS!CQ72+'SG&amp;A'!CQ72</f>
        <v>0</v>
      </c>
      <c r="CR72" s="27">
        <f>COGS!CR72+'SG&amp;A'!CR72</f>
        <v>0</v>
      </c>
      <c r="CS72" s="27">
        <f>COGS!CS72+'SG&amp;A'!CS72</f>
        <v>0</v>
      </c>
      <c r="CT72" s="27">
        <f>COGS!CT72+'SG&amp;A'!CT72</f>
        <v>0</v>
      </c>
      <c r="CU72" s="27">
        <f>COGS!CU72+'SG&amp;A'!CU72</f>
        <v>0</v>
      </c>
      <c r="CV72" s="27">
        <f>COGS!CV72+'SG&amp;A'!CV72</f>
        <v>0</v>
      </c>
      <c r="CW72" s="27">
        <f>COGS!CW72+'SG&amp;A'!CW72</f>
        <v>0</v>
      </c>
      <c r="CX72" s="27">
        <f>COGS!CX72+'SG&amp;A'!CX72</f>
        <v>0</v>
      </c>
      <c r="CY72" s="27">
        <f>COGS!CY72+'SG&amp;A'!CY72</f>
        <v>0</v>
      </c>
      <c r="CZ72" s="27">
        <f>COGS!CZ72+'SG&amp;A'!CZ72</f>
        <v>0</v>
      </c>
      <c r="DA72" s="27">
        <f>COGS!DA72+'SG&amp;A'!DA72</f>
        <v>0</v>
      </c>
      <c r="DB72" s="27">
        <f>COGS!DB72+'SG&amp;A'!DB72</f>
        <v>0</v>
      </c>
      <c r="DC72" s="27">
        <f>COGS!DC72+'SG&amp;A'!DC72</f>
        <v>0</v>
      </c>
      <c r="DD72" s="27">
        <f>COGS!DD72+'SG&amp;A'!DD72</f>
        <v>0</v>
      </c>
      <c r="DE72" s="27">
        <f>COGS!DE72+'SG&amp;A'!DE72</f>
        <v>0</v>
      </c>
      <c r="DF72" s="27">
        <f>COGS!DF72+'SG&amp;A'!DF72</f>
        <v>0</v>
      </c>
      <c r="DG72" s="27">
        <f>COGS!DG72+'SG&amp;A'!DG72</f>
        <v>0</v>
      </c>
      <c r="DH72" s="27">
        <f>COGS!DH72+'SG&amp;A'!DH72</f>
        <v>0</v>
      </c>
      <c r="DI72" s="27">
        <f>COGS!DI72+'SG&amp;A'!DI72</f>
        <v>0</v>
      </c>
      <c r="DJ72" s="27">
        <f>COGS!DJ72+'SG&amp;A'!DJ72</f>
        <v>0</v>
      </c>
      <c r="DK72" s="27">
        <f>COGS!DK72+'SG&amp;A'!DK72</f>
        <v>0</v>
      </c>
      <c r="DL72" s="27">
        <f>COGS!DL72+'SG&amp;A'!DL72</f>
        <v>0</v>
      </c>
      <c r="DM72" s="27">
        <f>COGS!DM72+'SG&amp;A'!DM72</f>
        <v>0</v>
      </c>
      <c r="DN72" s="27">
        <f>COGS!DN72+'SG&amp;A'!DN72</f>
        <v>0</v>
      </c>
      <c r="DO72" s="27">
        <f>COGS!DO72+'SG&amp;A'!DO72</f>
        <v>0</v>
      </c>
      <c r="DP72" s="27">
        <f>COGS!DP72+'SG&amp;A'!DP72</f>
        <v>0</v>
      </c>
      <c r="DQ72" s="27">
        <f>COGS!DQ72+'SG&amp;A'!DQ72</f>
        <v>0</v>
      </c>
      <c r="DR72" s="27">
        <f>COGS!DR72+'SG&amp;A'!DR72</f>
        <v>0</v>
      </c>
      <c r="DS72" s="27">
        <f>COGS!DS72+'SG&amp;A'!DS72</f>
        <v>0</v>
      </c>
      <c r="DT72" s="27">
        <f>COGS!DT72+'SG&amp;A'!DT72</f>
        <v>0</v>
      </c>
      <c r="DU72" s="27">
        <f>COGS!DU72+'SG&amp;A'!DU72</f>
        <v>0</v>
      </c>
      <c r="DV72" s="27">
        <f>COGS!DV72+'SG&amp;A'!DV72</f>
        <v>0</v>
      </c>
      <c r="DW72" s="27">
        <f>COGS!DW72+'SG&amp;A'!DW72</f>
        <v>0</v>
      </c>
      <c r="DX72" s="27">
        <f>COGS!DX72+'SG&amp;A'!DX72</f>
        <v>0.35156584999999996</v>
      </c>
      <c r="DY72" s="27">
        <f>COGS!DY72+'SG&amp;A'!DY72</f>
        <v>0.93375883000000004</v>
      </c>
      <c r="DZ72" s="27">
        <f>COGS!DZ72+'SG&amp;A'!DZ72</f>
        <v>8.4562368699999997</v>
      </c>
      <c r="EA72" s="27">
        <f>COGS!EA72+'SG&amp;A'!EA72</f>
        <v>9.7415615500000001</v>
      </c>
      <c r="EB72" s="27">
        <f>COGS!EB72+'SG&amp;A'!EB72</f>
        <v>4.5443178299999998</v>
      </c>
      <c r="EC72" s="27">
        <f>COGS!EC72+'SG&amp;A'!EC72</f>
        <v>6.1776631899999987</v>
      </c>
      <c r="ED72" s="27">
        <f>COGS!ED72+'SG&amp;A'!ED72</f>
        <v>4.3289999999999997</v>
      </c>
      <c r="EE72" s="27">
        <f>COGS!EE72+'SG&amp;A'!EE72</f>
        <v>9.4067102499999997</v>
      </c>
      <c r="EF72" s="27">
        <f>COGS!EF72+'SG&amp;A'!EF72</f>
        <v>24.457691269999998</v>
      </c>
      <c r="EG72" s="27">
        <f>COGS!EG72+'SG&amp;A'!EG72</f>
        <v>8.2767803600000001</v>
      </c>
      <c r="EH72" s="27">
        <f>COGS!EH72+'SG&amp;A'!EH72</f>
        <v>5.7859760400000004</v>
      </c>
      <c r="EI72" s="27">
        <f>COGS!EI72+'SG&amp;A'!EI72</f>
        <v>7.181320079999999</v>
      </c>
    </row>
    <row r="73" spans="1:139" ht="15" thickBot="1" x14ac:dyDescent="0.35">
      <c r="A73" s="2" t="s">
        <v>460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>
        <f>COGS!EE73+'SG&amp;A'!EE73</f>
        <v>0</v>
      </c>
      <c r="EF73" s="28">
        <f>COGS!EF73+'SG&amp;A'!EF73</f>
        <v>0</v>
      </c>
      <c r="EG73" s="28">
        <f>COGS!EG73+'SG&amp;A'!EG73</f>
        <v>1.3200000000000001E-6</v>
      </c>
      <c r="EH73" s="28">
        <f>COGS!EH73+'SG&amp;A'!EH73</f>
        <v>3.2993500000000002E-2</v>
      </c>
      <c r="EI73" s="28">
        <f>COGS!EI73+'SG&amp;A'!EI73</f>
        <v>0.49236275999999995</v>
      </c>
    </row>
    <row r="74" spans="1:139" ht="15" thickTop="1" x14ac:dyDescent="0.3">
      <c r="A74" s="1" t="s">
        <v>304</v>
      </c>
      <c r="B74" s="27">
        <f>COGS!B74+'SG&amp;A'!B74</f>
        <v>0</v>
      </c>
      <c r="C74" s="27">
        <f>COGS!C74+'SG&amp;A'!C74</f>
        <v>0</v>
      </c>
      <c r="D74" s="27">
        <f>COGS!D74+'SG&amp;A'!D74</f>
        <v>0</v>
      </c>
      <c r="E74" s="27">
        <f>COGS!E74+'SG&amp;A'!E74</f>
        <v>0</v>
      </c>
      <c r="F74" s="27">
        <f>COGS!F74+'SG&amp;A'!F74</f>
        <v>0</v>
      </c>
      <c r="G74" s="27">
        <f>COGS!G74+'SG&amp;A'!G74</f>
        <v>0</v>
      </c>
      <c r="H74" s="27">
        <f>COGS!H74+'SG&amp;A'!H74</f>
        <v>0</v>
      </c>
      <c r="I74" s="27">
        <f>COGS!I74+'SG&amp;A'!I74</f>
        <v>0</v>
      </c>
      <c r="J74" s="27">
        <f>COGS!J74+'SG&amp;A'!J74</f>
        <v>0</v>
      </c>
      <c r="K74" s="27">
        <f>COGS!K74+'SG&amp;A'!K74</f>
        <v>0</v>
      </c>
      <c r="L74" s="27">
        <f>COGS!L74+'SG&amp;A'!L74</f>
        <v>0</v>
      </c>
      <c r="M74" s="27">
        <f>COGS!M74+'SG&amp;A'!M74</f>
        <v>0</v>
      </c>
      <c r="N74" s="27">
        <f>COGS!N74+'SG&amp;A'!N74</f>
        <v>0</v>
      </c>
      <c r="O74" s="27">
        <f>COGS!O74+'SG&amp;A'!O74</f>
        <v>0</v>
      </c>
      <c r="P74" s="27">
        <f>COGS!P74+'SG&amp;A'!P74</f>
        <v>0</v>
      </c>
      <c r="Q74" s="27">
        <f>COGS!Q74+'SG&amp;A'!Q74</f>
        <v>0</v>
      </c>
      <c r="R74" s="27">
        <f>COGS!R74+'SG&amp;A'!R74</f>
        <v>0</v>
      </c>
      <c r="S74" s="27">
        <f>COGS!S74+'SG&amp;A'!S74</f>
        <v>0</v>
      </c>
      <c r="T74" s="27">
        <f>COGS!T74+'SG&amp;A'!T74</f>
        <v>0</v>
      </c>
      <c r="U74" s="27">
        <f>COGS!U74+'SG&amp;A'!U74</f>
        <v>0</v>
      </c>
      <c r="V74" s="27">
        <f>COGS!V74+'SG&amp;A'!V74</f>
        <v>0</v>
      </c>
      <c r="W74" s="27">
        <f>COGS!W74+'SG&amp;A'!W74</f>
        <v>0</v>
      </c>
      <c r="X74" s="27">
        <f>COGS!X74+'SG&amp;A'!X74</f>
        <v>0</v>
      </c>
      <c r="Y74" s="27">
        <f>COGS!Y74+'SG&amp;A'!Y74</f>
        <v>0</v>
      </c>
      <c r="Z74" s="27">
        <f>COGS!Z74+'SG&amp;A'!Z74</f>
        <v>0</v>
      </c>
      <c r="AA74" s="27">
        <f>COGS!AA74+'SG&amp;A'!AA74</f>
        <v>0</v>
      </c>
      <c r="AB74" s="27">
        <f>COGS!AB74+'SG&amp;A'!AB74</f>
        <v>0</v>
      </c>
      <c r="AC74" s="27">
        <f>COGS!AC74+'SG&amp;A'!AC74</f>
        <v>0</v>
      </c>
      <c r="AD74" s="27">
        <f>COGS!AD74+'SG&amp;A'!AD74</f>
        <v>0</v>
      </c>
      <c r="AE74" s="27">
        <f>COGS!AE74+'SG&amp;A'!AE74</f>
        <v>0</v>
      </c>
      <c r="AF74" s="27">
        <f>COGS!AF74+'SG&amp;A'!AF74</f>
        <v>0</v>
      </c>
      <c r="AG74" s="27">
        <f>COGS!AG74+'SG&amp;A'!AG74</f>
        <v>0</v>
      </c>
      <c r="AH74" s="27">
        <f>COGS!AH74+'SG&amp;A'!AH74</f>
        <v>0</v>
      </c>
      <c r="AI74" s="27">
        <f>COGS!AI74+'SG&amp;A'!AI74</f>
        <v>0</v>
      </c>
      <c r="AJ74" s="27">
        <f>COGS!AJ74+'SG&amp;A'!AJ74</f>
        <v>0</v>
      </c>
      <c r="AK74" s="27">
        <f>COGS!AK74+'SG&amp;A'!AK74</f>
        <v>0</v>
      </c>
      <c r="AL74" s="27">
        <f>COGS!AL74+'SG&amp;A'!AL74</f>
        <v>0</v>
      </c>
      <c r="AM74" s="27">
        <f>COGS!AM74+'SG&amp;A'!AM74</f>
        <v>0</v>
      </c>
      <c r="AN74" s="27">
        <f>COGS!AN74+'SG&amp;A'!AN74</f>
        <v>0</v>
      </c>
      <c r="AO74" s="27">
        <f>COGS!AO74+'SG&amp;A'!AO74</f>
        <v>0</v>
      </c>
      <c r="AP74" s="27">
        <f>COGS!AP74+'SG&amp;A'!AP74</f>
        <v>0</v>
      </c>
      <c r="AQ74" s="27">
        <f>COGS!AQ74+'SG&amp;A'!AQ74</f>
        <v>0</v>
      </c>
      <c r="AR74" s="27">
        <f>COGS!AR74+'SG&amp;A'!AR74</f>
        <v>0</v>
      </c>
      <c r="AS74" s="27">
        <f>COGS!AS74+'SG&amp;A'!AS74</f>
        <v>0</v>
      </c>
      <c r="AT74" s="27">
        <f>COGS!AT74+'SG&amp;A'!AT74</f>
        <v>0</v>
      </c>
      <c r="AU74" s="27">
        <f>COGS!AU74+'SG&amp;A'!AU74</f>
        <v>0</v>
      </c>
      <c r="AV74" s="27">
        <f>COGS!AV74+'SG&amp;A'!AV74</f>
        <v>0</v>
      </c>
      <c r="AW74" s="27">
        <f>COGS!AW74+'SG&amp;A'!AW74</f>
        <v>0</v>
      </c>
      <c r="AX74" s="27">
        <f>COGS!AX74+'SG&amp;A'!AX74</f>
        <v>0</v>
      </c>
      <c r="AY74" s="27">
        <f>COGS!AY74+'SG&amp;A'!AY74</f>
        <v>0</v>
      </c>
      <c r="AZ74" s="27">
        <f>COGS!AZ74+'SG&amp;A'!AZ74</f>
        <v>0</v>
      </c>
      <c r="BA74" s="27">
        <f>COGS!BA74+'SG&amp;A'!BA74</f>
        <v>0</v>
      </c>
      <c r="BB74" s="27">
        <f>COGS!BB74+'SG&amp;A'!BB74</f>
        <v>0</v>
      </c>
      <c r="BC74" s="27">
        <f>COGS!BC74+'SG&amp;A'!BC74</f>
        <v>0</v>
      </c>
      <c r="BD74" s="27">
        <f>COGS!BD74+'SG&amp;A'!BD74</f>
        <v>0</v>
      </c>
      <c r="BE74" s="27">
        <f>COGS!BE74+'SG&amp;A'!BE74</f>
        <v>0</v>
      </c>
      <c r="BF74" s="27">
        <f>COGS!BF74+'SG&amp;A'!BF74</f>
        <v>0</v>
      </c>
      <c r="BG74" s="27">
        <f>COGS!BG74+'SG&amp;A'!BG74</f>
        <v>0</v>
      </c>
      <c r="BH74" s="27">
        <f>COGS!BH74+'SG&amp;A'!BH74</f>
        <v>0</v>
      </c>
      <c r="BI74" s="27">
        <f>COGS!BI74+'SG&amp;A'!BI74</f>
        <v>0</v>
      </c>
      <c r="BJ74" s="27">
        <f>COGS!BJ74+'SG&amp;A'!BJ74</f>
        <v>0</v>
      </c>
      <c r="BK74" s="27">
        <f>COGS!BK74+'SG&amp;A'!BK74</f>
        <v>0</v>
      </c>
      <c r="BL74" s="27">
        <f>COGS!BL74+'SG&amp;A'!BL74</f>
        <v>0</v>
      </c>
      <c r="BM74" s="27">
        <f>COGS!BM74+'SG&amp;A'!BM74</f>
        <v>0</v>
      </c>
      <c r="BN74" s="27">
        <f>COGS!BN74+'SG&amp;A'!BN74</f>
        <v>0</v>
      </c>
      <c r="BO74" s="27">
        <f>COGS!BO74+'SG&amp;A'!BO74</f>
        <v>0</v>
      </c>
      <c r="BP74" s="27">
        <f>COGS!BP74+'SG&amp;A'!BP74</f>
        <v>0</v>
      </c>
      <c r="BQ74" s="27">
        <f>COGS!BQ74+'SG&amp;A'!BQ74</f>
        <v>0</v>
      </c>
      <c r="BR74" s="27">
        <f>COGS!BR74+'SG&amp;A'!BR74</f>
        <v>0</v>
      </c>
      <c r="BS74" s="27">
        <f>COGS!BS74+'SG&amp;A'!BS74</f>
        <v>0</v>
      </c>
      <c r="BT74" s="27">
        <f>COGS!BT74+'SG&amp;A'!BT74</f>
        <v>0</v>
      </c>
      <c r="BU74" s="27">
        <f>COGS!BU74+'SG&amp;A'!BU74</f>
        <v>-0.72640983999999986</v>
      </c>
      <c r="BV74" s="27">
        <f>COGS!BV74+'SG&amp;A'!BV74</f>
        <v>-2.8125934300000006</v>
      </c>
      <c r="BW74" s="27">
        <f>COGS!BW74+'SG&amp;A'!BW74</f>
        <v>-0.921262789999999</v>
      </c>
      <c r="BX74" s="27">
        <f>COGS!BX74+'SG&amp;A'!BX74</f>
        <v>-4.4602660599999995</v>
      </c>
      <c r="BY74" s="27">
        <f>COGS!BY74+'SG&amp;A'!BY74</f>
        <v>0.53014319999999993</v>
      </c>
      <c r="BZ74" s="27">
        <f>COGS!BZ74+'SG&amp;A'!BZ74</f>
        <v>0.32937717999999999</v>
      </c>
      <c r="CA74" s="27">
        <f>COGS!CA74+'SG&amp;A'!CA74</f>
        <v>0.86702335999999991</v>
      </c>
      <c r="CB74" s="27">
        <f>COGS!CB74+'SG&amp;A'!CB74</f>
        <v>1.22811135</v>
      </c>
      <c r="CC74" s="27">
        <f>COGS!CC74+'SG&amp;A'!CC74</f>
        <v>2.9546550900000002</v>
      </c>
      <c r="CD74" s="27">
        <f>COGS!CD74+'SG&amp;A'!CD74</f>
        <v>0.58577715999999991</v>
      </c>
      <c r="CE74" s="27">
        <f>COGS!CE74+'SG&amp;A'!CE74</f>
        <v>-0.34975154999999986</v>
      </c>
      <c r="CF74" s="27">
        <f>COGS!CF74+'SG&amp;A'!CF74</f>
        <v>-2.7322884100000002</v>
      </c>
      <c r="CG74" s="27">
        <f>COGS!CG74+'SG&amp;A'!CG74</f>
        <v>12.779298100000002</v>
      </c>
      <c r="CH74" s="27">
        <f>COGS!CH74+'SG&amp;A'!CH74</f>
        <v>10.283035300000002</v>
      </c>
      <c r="CI74" s="27">
        <f>COGS!CI74+'SG&amp;A'!CI74</f>
        <v>2.5123694000000003</v>
      </c>
      <c r="CJ74" s="27">
        <f>COGS!CJ74+'SG&amp;A'!CJ74</f>
        <v>2.1691688499999997</v>
      </c>
      <c r="CK74" s="27">
        <f>COGS!CK74+'SG&amp;A'!CK74</f>
        <v>2.4539663800000002</v>
      </c>
      <c r="CL74" s="27">
        <f>COGS!CL74+'SG&amp;A'!CL74</f>
        <v>1.1891669400000002</v>
      </c>
      <c r="CM74" s="27">
        <f>COGS!CM74+'SG&amp;A'!CM74</f>
        <v>8.3246715699999996</v>
      </c>
      <c r="CN74" s="27">
        <f>COGS!CN74+'SG&amp;A'!CN74</f>
        <v>1.3062609300000001</v>
      </c>
      <c r="CO74" s="27">
        <f>COGS!CO74+'SG&amp;A'!CO74</f>
        <v>1.2477167099999997</v>
      </c>
      <c r="CP74" s="27">
        <f>COGS!CP74+'SG&amp;A'!CP74</f>
        <v>0.97410257000000033</v>
      </c>
      <c r="CQ74" s="27">
        <f>COGS!CQ74+'SG&amp;A'!CQ74</f>
        <v>1.0819197899999997</v>
      </c>
      <c r="CR74" s="27">
        <f>COGS!CR74+'SG&amp;A'!CR74</f>
        <v>4.6099999999999994</v>
      </c>
      <c r="CS74" s="27">
        <f>COGS!CS74+'SG&amp;A'!CS74</f>
        <v>0.90778223999999996</v>
      </c>
      <c r="CT74" s="27">
        <f>COGS!CT74+'SG&amp;A'!CT74</f>
        <v>0.71621776000000004</v>
      </c>
      <c r="CU74" s="27">
        <f>COGS!CU74+'SG&amp;A'!CU74</f>
        <v>1.1069999999999998</v>
      </c>
      <c r="CV74" s="27">
        <f>COGS!CV74+'SG&amp;A'!CV74</f>
        <v>0.85000000000000031</v>
      </c>
      <c r="CW74" s="27">
        <f>COGS!CW74+'SG&amp;A'!CW74</f>
        <v>3.5810000000000004</v>
      </c>
      <c r="CX74" s="27">
        <f>COGS!CX74+'SG&amp;A'!CX74</f>
        <v>0.85399999999999998</v>
      </c>
      <c r="CY74" s="27">
        <f>COGS!CY74+'SG&amp;A'!CY74</f>
        <v>0.879</v>
      </c>
      <c r="CZ74" s="27">
        <f>COGS!CZ74+'SG&amp;A'!CZ74</f>
        <v>0.89200000000000002</v>
      </c>
      <c r="DA74" s="27">
        <f>COGS!DA74+'SG&amp;A'!DA74</f>
        <v>0.871</v>
      </c>
      <c r="DB74" s="27">
        <f>COGS!DB74+'SG&amp;A'!DB74</f>
        <v>3.496</v>
      </c>
      <c r="DC74" s="27">
        <f>COGS!DC74+'SG&amp;A'!DC74</f>
        <v>1.2150000000000001</v>
      </c>
      <c r="DD74" s="27">
        <f>COGS!DD74+'SG&amp;A'!DD74</f>
        <v>1.56</v>
      </c>
      <c r="DE74" s="27">
        <f>COGS!DE74+'SG&amp;A'!DE74</f>
        <v>1.381</v>
      </c>
      <c r="DF74" s="27">
        <f>COGS!DF74+'SG&amp;A'!DF74</f>
        <v>1.1499999999999999</v>
      </c>
      <c r="DG74" s="27">
        <f>COGS!DG74+'SG&amp;A'!DG74</f>
        <v>5.3060000000000009</v>
      </c>
      <c r="DH74" s="27">
        <f>COGS!DH74+'SG&amp;A'!DH74</f>
        <v>1.4990000000000001</v>
      </c>
      <c r="DI74" s="27">
        <f>COGS!DI74+'SG&amp;A'!DI74</f>
        <v>0.82100000000000006</v>
      </c>
      <c r="DJ74" s="27">
        <f>COGS!DJ74+'SG&amp;A'!DJ74</f>
        <v>1.798</v>
      </c>
      <c r="DK74" s="27">
        <f>COGS!DK74+'SG&amp;A'!DK74</f>
        <v>1.7169999999999999</v>
      </c>
      <c r="DL74" s="27">
        <f>COGS!DL74+'SG&amp;A'!DL74</f>
        <v>5.835</v>
      </c>
      <c r="DM74" s="27">
        <f>COGS!DM74+'SG&amp;A'!DM74</f>
        <v>1.827</v>
      </c>
      <c r="DN74" s="27">
        <f>COGS!DN74+'SG&amp;A'!DN74</f>
        <v>2.0460000000000003</v>
      </c>
      <c r="DO74" s="27">
        <f>COGS!DO74+'SG&amp;A'!DO74</f>
        <v>2.5259999999999998</v>
      </c>
      <c r="DP74" s="27">
        <f>COGS!DP74+'SG&amp;A'!DP74</f>
        <v>2.2679999999999998</v>
      </c>
      <c r="DQ74" s="27">
        <f>COGS!DQ74+'SG&amp;A'!DQ74</f>
        <v>8.6669999999999998</v>
      </c>
      <c r="DR74" s="27">
        <f>COGS!DR74+'SG&amp;A'!DR74</f>
        <v>1.8479999999999999</v>
      </c>
      <c r="DS74" s="27">
        <f>COGS!DS74+'SG&amp;A'!DS74</f>
        <v>2.9340000000000002</v>
      </c>
      <c r="DT74" s="27">
        <f>COGS!DT74+'SG&amp;A'!DT74</f>
        <v>3.1379999999999999</v>
      </c>
      <c r="DU74" s="27">
        <f>COGS!DU74+'SG&amp;A'!DU74</f>
        <v>3.944</v>
      </c>
      <c r="DV74" s="27">
        <f>COGS!DV74+'SG&amp;A'!DV74</f>
        <v>11.864000000000001</v>
      </c>
      <c r="DW74" s="27">
        <f>COGS!DW74+'SG&amp;A'!DW74</f>
        <v>2.7629999999999999</v>
      </c>
      <c r="DX74" s="27">
        <f>COGS!DX74+'SG&amp;A'!DX74</f>
        <v>2.30776819</v>
      </c>
      <c r="DY74" s="27">
        <f>COGS!DY74+'SG&amp;A'!DY74</f>
        <v>2.0933340400000002</v>
      </c>
      <c r="DZ74" s="27">
        <f>COGS!DZ74+'SG&amp;A'!DZ74</f>
        <v>1.6202926499999994</v>
      </c>
      <c r="EA74" s="27">
        <f>COGS!EA74+'SG&amp;A'!EA74</f>
        <v>8.7843948799999989</v>
      </c>
      <c r="EB74" s="27">
        <f>COGS!EB74+'SG&amp;A'!EB74</f>
        <v>1.9639825</v>
      </c>
      <c r="EC74" s="27">
        <f>COGS!EC74+'SG&amp;A'!EC74</f>
        <v>2.2792251400000003</v>
      </c>
      <c r="ED74" s="27">
        <f>COGS!ED74+'SG&amp;A'!ED74</f>
        <v>1.738</v>
      </c>
      <c r="EE74" s="27">
        <f>COGS!EE74+'SG&amp;A'!EE74</f>
        <v>2.5433622300000001</v>
      </c>
      <c r="EF74" s="27">
        <f>COGS!EF74+'SG&amp;A'!EF74</f>
        <v>8.5245698700000005</v>
      </c>
      <c r="EG74" s="27">
        <f>COGS!EG74+'SG&amp;A'!EG74</f>
        <v>2.0324231400000001</v>
      </c>
      <c r="EH74" s="27">
        <f>COGS!EH74+'SG&amp;A'!EH74</f>
        <v>3.1863000899999996</v>
      </c>
      <c r="EI74" s="27">
        <f>COGS!EI74+'SG&amp;A'!EI74</f>
        <v>2.9479494300000009</v>
      </c>
    </row>
    <row r="75" spans="1:139" ht="15" thickBot="1" x14ac:dyDescent="0.35">
      <c r="A75" s="2" t="s">
        <v>305</v>
      </c>
      <c r="B75" s="28">
        <f>COGS!B75+'SG&amp;A'!B75</f>
        <v>0</v>
      </c>
      <c r="C75" s="28">
        <f>COGS!C75+'SG&amp;A'!C75</f>
        <v>0</v>
      </c>
      <c r="D75" s="28">
        <f>COGS!D75+'SG&amp;A'!D75</f>
        <v>0</v>
      </c>
      <c r="E75" s="28">
        <f>COGS!E75+'SG&amp;A'!E75</f>
        <v>0</v>
      </c>
      <c r="F75" s="28">
        <f>COGS!F75+'SG&amp;A'!F75</f>
        <v>0</v>
      </c>
      <c r="G75" s="28">
        <f>COGS!G75+'SG&amp;A'!G75</f>
        <v>0</v>
      </c>
      <c r="H75" s="28">
        <f>COGS!H75+'SG&amp;A'!H75</f>
        <v>0</v>
      </c>
      <c r="I75" s="28">
        <f>COGS!I75+'SG&amp;A'!I75</f>
        <v>0</v>
      </c>
      <c r="J75" s="28">
        <f>COGS!J75+'SG&amp;A'!J75</f>
        <v>0</v>
      </c>
      <c r="K75" s="28">
        <f>COGS!K75+'SG&amp;A'!K75</f>
        <v>0</v>
      </c>
      <c r="L75" s="28">
        <f>COGS!L75+'SG&amp;A'!L75</f>
        <v>0</v>
      </c>
      <c r="M75" s="28">
        <f>COGS!M75+'SG&amp;A'!M75</f>
        <v>0</v>
      </c>
      <c r="N75" s="28">
        <f>COGS!N75+'SG&amp;A'!N75</f>
        <v>0</v>
      </c>
      <c r="O75" s="28">
        <f>COGS!O75+'SG&amp;A'!O75</f>
        <v>0</v>
      </c>
      <c r="P75" s="28">
        <f>COGS!P75+'SG&amp;A'!P75</f>
        <v>0</v>
      </c>
      <c r="Q75" s="28">
        <f>COGS!Q75+'SG&amp;A'!Q75</f>
        <v>0</v>
      </c>
      <c r="R75" s="28">
        <f>COGS!R75+'SG&amp;A'!R75</f>
        <v>0</v>
      </c>
      <c r="S75" s="28">
        <f>COGS!S75+'SG&amp;A'!S75</f>
        <v>0</v>
      </c>
      <c r="T75" s="28">
        <f>COGS!T75+'SG&amp;A'!T75</f>
        <v>0</v>
      </c>
      <c r="U75" s="28">
        <f>COGS!U75+'SG&amp;A'!U75</f>
        <v>0</v>
      </c>
      <c r="V75" s="28">
        <f>COGS!V75+'SG&amp;A'!V75</f>
        <v>0</v>
      </c>
      <c r="W75" s="28">
        <f>COGS!W75+'SG&amp;A'!W75</f>
        <v>0</v>
      </c>
      <c r="X75" s="28">
        <f>COGS!X75+'SG&amp;A'!X75</f>
        <v>0</v>
      </c>
      <c r="Y75" s="28">
        <f>COGS!Y75+'SG&amp;A'!Y75</f>
        <v>0</v>
      </c>
      <c r="Z75" s="28">
        <f>COGS!Z75+'SG&amp;A'!Z75</f>
        <v>0</v>
      </c>
      <c r="AA75" s="28">
        <f>COGS!AA75+'SG&amp;A'!AA75</f>
        <v>0</v>
      </c>
      <c r="AB75" s="28">
        <f>COGS!AB75+'SG&amp;A'!AB75</f>
        <v>0</v>
      </c>
      <c r="AC75" s="28">
        <f>COGS!AC75+'SG&amp;A'!AC75</f>
        <v>0</v>
      </c>
      <c r="AD75" s="28">
        <f>COGS!AD75+'SG&amp;A'!AD75</f>
        <v>0</v>
      </c>
      <c r="AE75" s="28">
        <f>COGS!AE75+'SG&amp;A'!AE75</f>
        <v>0</v>
      </c>
      <c r="AF75" s="28">
        <f>COGS!AF75+'SG&amp;A'!AF75</f>
        <v>0</v>
      </c>
      <c r="AG75" s="28">
        <f>COGS!AG75+'SG&amp;A'!AG75</f>
        <v>0</v>
      </c>
      <c r="AH75" s="28">
        <f>COGS!AH75+'SG&amp;A'!AH75</f>
        <v>0</v>
      </c>
      <c r="AI75" s="28">
        <f>COGS!AI75+'SG&amp;A'!AI75</f>
        <v>0</v>
      </c>
      <c r="AJ75" s="28">
        <f>COGS!AJ75+'SG&amp;A'!AJ75</f>
        <v>0</v>
      </c>
      <c r="AK75" s="28">
        <f>COGS!AK75+'SG&amp;A'!AK75</f>
        <v>0</v>
      </c>
      <c r="AL75" s="28">
        <f>COGS!AL75+'SG&amp;A'!AL75</f>
        <v>0</v>
      </c>
      <c r="AM75" s="28">
        <f>COGS!AM75+'SG&amp;A'!AM75</f>
        <v>0</v>
      </c>
      <c r="AN75" s="28">
        <f>COGS!AN75+'SG&amp;A'!AN75</f>
        <v>0</v>
      </c>
      <c r="AO75" s="28">
        <f>COGS!AO75+'SG&amp;A'!AO75</f>
        <v>0</v>
      </c>
      <c r="AP75" s="28">
        <f>COGS!AP75+'SG&amp;A'!AP75</f>
        <v>0</v>
      </c>
      <c r="AQ75" s="28">
        <f>COGS!AQ75+'SG&amp;A'!AQ75</f>
        <v>0</v>
      </c>
      <c r="AR75" s="28">
        <f>COGS!AR75+'SG&amp;A'!AR75</f>
        <v>0</v>
      </c>
      <c r="AS75" s="28">
        <f>COGS!AS75+'SG&amp;A'!AS75</f>
        <v>0</v>
      </c>
      <c r="AT75" s="28">
        <f>COGS!AT75+'SG&amp;A'!AT75</f>
        <v>0</v>
      </c>
      <c r="AU75" s="28">
        <f>COGS!AU75+'SG&amp;A'!AU75</f>
        <v>0</v>
      </c>
      <c r="AV75" s="28">
        <f>COGS!AV75+'SG&amp;A'!AV75</f>
        <v>0</v>
      </c>
      <c r="AW75" s="28">
        <f>COGS!AW75+'SG&amp;A'!AW75</f>
        <v>0</v>
      </c>
      <c r="AX75" s="28">
        <f>COGS!AX75+'SG&amp;A'!AX75</f>
        <v>0</v>
      </c>
      <c r="AY75" s="28">
        <f>COGS!AY75+'SG&amp;A'!AY75</f>
        <v>0</v>
      </c>
      <c r="AZ75" s="28">
        <f>COGS!AZ75+'SG&amp;A'!AZ75</f>
        <v>0</v>
      </c>
      <c r="BA75" s="28">
        <f>COGS!BA75+'SG&amp;A'!BA75</f>
        <v>0</v>
      </c>
      <c r="BB75" s="28">
        <f>COGS!BB75+'SG&amp;A'!BB75</f>
        <v>0</v>
      </c>
      <c r="BC75" s="28">
        <f>COGS!BC75+'SG&amp;A'!BC75</f>
        <v>0</v>
      </c>
      <c r="BD75" s="28">
        <f>COGS!BD75+'SG&amp;A'!BD75</f>
        <v>0</v>
      </c>
      <c r="BE75" s="28">
        <f>COGS!BE75+'SG&amp;A'!BE75</f>
        <v>0</v>
      </c>
      <c r="BF75" s="28">
        <f>COGS!BF75+'SG&amp;A'!BF75</f>
        <v>0</v>
      </c>
      <c r="BG75" s="28">
        <f>COGS!BG75+'SG&amp;A'!BG75</f>
        <v>0</v>
      </c>
      <c r="BH75" s="28">
        <f>COGS!BH75+'SG&amp;A'!BH75</f>
        <v>0</v>
      </c>
      <c r="BI75" s="28">
        <f>COGS!BI75+'SG&amp;A'!BI75</f>
        <v>0</v>
      </c>
      <c r="BJ75" s="28">
        <f>COGS!BJ75+'SG&amp;A'!BJ75</f>
        <v>0</v>
      </c>
      <c r="BK75" s="28">
        <f>COGS!BK75+'SG&amp;A'!BK75</f>
        <v>0</v>
      </c>
      <c r="BL75" s="28">
        <f>COGS!BL75+'SG&amp;A'!BL75</f>
        <v>0</v>
      </c>
      <c r="BM75" s="28">
        <f>COGS!BM75+'SG&amp;A'!BM75</f>
        <v>0</v>
      </c>
      <c r="BN75" s="28">
        <f>COGS!BN75+'SG&amp;A'!BN75</f>
        <v>0</v>
      </c>
      <c r="BO75" s="28">
        <f>COGS!BO75+'SG&amp;A'!BO75</f>
        <v>0</v>
      </c>
      <c r="BP75" s="28">
        <f>COGS!BP75+'SG&amp;A'!BP75</f>
        <v>0</v>
      </c>
      <c r="BQ75" s="28">
        <f>COGS!BQ75+'SG&amp;A'!BQ75</f>
        <v>0</v>
      </c>
      <c r="BR75" s="28">
        <f>COGS!BR75+'SG&amp;A'!BR75</f>
        <v>0</v>
      </c>
      <c r="BS75" s="28">
        <f>COGS!BS75+'SG&amp;A'!BS75</f>
        <v>0</v>
      </c>
      <c r="BT75" s="28">
        <f>COGS!BT75+'SG&amp;A'!BT75</f>
        <v>0</v>
      </c>
      <c r="BU75" s="28">
        <f>COGS!BU75+'SG&amp;A'!BU75</f>
        <v>0</v>
      </c>
      <c r="BV75" s="28">
        <f>COGS!BV75+'SG&amp;A'!BV75</f>
        <v>0</v>
      </c>
      <c r="BW75" s="28">
        <f>COGS!BW75+'SG&amp;A'!BW75</f>
        <v>0</v>
      </c>
      <c r="BX75" s="28">
        <f>COGS!BX75+'SG&amp;A'!BX75</f>
        <v>0</v>
      </c>
      <c r="BY75" s="28">
        <f>COGS!BY75+'SG&amp;A'!BY75</f>
        <v>0</v>
      </c>
      <c r="BZ75" s="28">
        <f>COGS!BZ75+'SG&amp;A'!BZ75</f>
        <v>0</v>
      </c>
      <c r="CA75" s="28">
        <f>COGS!CA75+'SG&amp;A'!CA75</f>
        <v>0</v>
      </c>
      <c r="CB75" s="28">
        <f>COGS!CB75+'SG&amp;A'!CB75</f>
        <v>0</v>
      </c>
      <c r="CC75" s="28">
        <f>COGS!CC75+'SG&amp;A'!CC75</f>
        <v>0</v>
      </c>
      <c r="CD75" s="28">
        <f>COGS!CD75+'SG&amp;A'!CD75</f>
        <v>0</v>
      </c>
      <c r="CE75" s="28">
        <f>COGS!CE75+'SG&amp;A'!CE75</f>
        <v>0</v>
      </c>
      <c r="CF75" s="28">
        <f>COGS!CF75+'SG&amp;A'!CF75</f>
        <v>0</v>
      </c>
      <c r="CG75" s="28">
        <f>COGS!CG75+'SG&amp;A'!CG75</f>
        <v>0</v>
      </c>
      <c r="CH75" s="28">
        <f>COGS!CH75+'SG&amp;A'!CH75</f>
        <v>0</v>
      </c>
      <c r="CI75" s="28">
        <f>COGS!CI75+'SG&amp;A'!CI75</f>
        <v>0</v>
      </c>
      <c r="CJ75" s="28">
        <f>COGS!CJ75+'SG&amp;A'!CJ75</f>
        <v>0</v>
      </c>
      <c r="CK75" s="28">
        <f>COGS!CK75+'SG&amp;A'!CK75</f>
        <v>0</v>
      </c>
      <c r="CL75" s="28">
        <f>COGS!CL75+'SG&amp;A'!CL75</f>
        <v>0</v>
      </c>
      <c r="CM75" s="28">
        <f>COGS!CM75+'SG&amp;A'!CM75</f>
        <v>0</v>
      </c>
      <c r="CN75" s="28">
        <f>COGS!CN75+'SG&amp;A'!CN75</f>
        <v>0</v>
      </c>
      <c r="CO75" s="28">
        <f>COGS!CO75+'SG&amp;A'!CO75</f>
        <v>0</v>
      </c>
      <c r="CP75" s="28">
        <f>COGS!CP75+'SG&amp;A'!CP75</f>
        <v>0</v>
      </c>
      <c r="CQ75" s="28">
        <f>COGS!CQ75+'SG&amp;A'!CQ75</f>
        <v>0</v>
      </c>
      <c r="CR75" s="28">
        <f>COGS!CR75+'SG&amp;A'!CR75</f>
        <v>0</v>
      </c>
      <c r="CS75" s="28">
        <f>COGS!CS75+'SG&amp;A'!CS75</f>
        <v>0</v>
      </c>
      <c r="CT75" s="28">
        <f>COGS!CT75+'SG&amp;A'!CT75</f>
        <v>0</v>
      </c>
      <c r="CU75" s="28">
        <f>COGS!CU75+'SG&amp;A'!CU75</f>
        <v>0</v>
      </c>
      <c r="CV75" s="28">
        <f>COGS!CV75+'SG&amp;A'!CV75</f>
        <v>0</v>
      </c>
      <c r="CW75" s="28">
        <f>COGS!CW75+'SG&amp;A'!CW75</f>
        <v>0</v>
      </c>
      <c r="CX75" s="28">
        <f>COGS!CX75+'SG&amp;A'!CX75</f>
        <v>0</v>
      </c>
      <c r="CY75" s="28">
        <f>COGS!CY75+'SG&amp;A'!CY75</f>
        <v>0</v>
      </c>
      <c r="CZ75" s="28">
        <f>COGS!CZ75+'SG&amp;A'!CZ75</f>
        <v>0</v>
      </c>
      <c r="DA75" s="28">
        <f>COGS!DA75+'SG&amp;A'!DA75</f>
        <v>0</v>
      </c>
      <c r="DB75" s="28">
        <f>COGS!DB75+'SG&amp;A'!DB75</f>
        <v>0</v>
      </c>
      <c r="DC75" s="28">
        <f>COGS!DC75+'SG&amp;A'!DC75</f>
        <v>0.39600000000000002</v>
      </c>
      <c r="DD75" s="28">
        <f>COGS!DD75+'SG&amp;A'!DD75</f>
        <v>0.318</v>
      </c>
      <c r="DE75" s="28">
        <f>COGS!DE75+'SG&amp;A'!DE75</f>
        <v>0.20500000000000002</v>
      </c>
      <c r="DF75" s="28">
        <f>COGS!DF75+'SG&amp;A'!DF75</f>
        <v>1.1000000000000001E-2</v>
      </c>
      <c r="DG75" s="28">
        <f>COGS!DG75+'SG&amp;A'!DG75</f>
        <v>0.93</v>
      </c>
      <c r="DH75" s="28">
        <f>COGS!DH75+'SG&amp;A'!DH75</f>
        <v>0.152</v>
      </c>
      <c r="DI75" s="28">
        <f>COGS!DI75+'SG&amp;A'!DI75</f>
        <v>0.23</v>
      </c>
      <c r="DJ75" s="28">
        <f>COGS!DJ75+'SG&amp;A'!DJ75</f>
        <v>0.34899999999999998</v>
      </c>
      <c r="DK75" s="28">
        <f>COGS!DK75+'SG&amp;A'!DK75</f>
        <v>0.27700000000000002</v>
      </c>
      <c r="DL75" s="28">
        <f>COGS!DL75+'SG&amp;A'!DL75</f>
        <v>1.008</v>
      </c>
      <c r="DM75" s="28">
        <f>COGS!DM75+'SG&amp;A'!DM75</f>
        <v>0.311</v>
      </c>
      <c r="DN75" s="28">
        <f>COGS!DN75+'SG&amp;A'!DN75</f>
        <v>0.502</v>
      </c>
      <c r="DO75" s="28">
        <f>COGS!DO75+'SG&amp;A'!DO75</f>
        <v>0.44600000000000001</v>
      </c>
      <c r="DP75" s="28">
        <f>COGS!DP75+'SG&amp;A'!DP75</f>
        <v>0.29000000000000004</v>
      </c>
      <c r="DQ75" s="28">
        <f>COGS!DQ75+'SG&amp;A'!DQ75</f>
        <v>1.5489999999999999</v>
      </c>
      <c r="DR75" s="28">
        <f>COGS!DR75+'SG&amp;A'!DR75</f>
        <v>0.36199999999999999</v>
      </c>
      <c r="DS75" s="28">
        <f>COGS!DS75+'SG&amp;A'!DS75</f>
        <v>0.111</v>
      </c>
      <c r="DT75" s="28">
        <f>COGS!DT75+'SG&amp;A'!DT75</f>
        <v>0.441</v>
      </c>
      <c r="DU75" s="28">
        <f>COGS!DU75+'SG&amp;A'!DU75</f>
        <v>5.6000000000000001E-2</v>
      </c>
      <c r="DV75" s="28">
        <f>COGS!DV75+'SG&amp;A'!DV75</f>
        <v>0.97</v>
      </c>
      <c r="DW75" s="28">
        <f>COGS!DW75+'SG&amp;A'!DW75</f>
        <v>0.33700000000000002</v>
      </c>
      <c r="DX75" s="28">
        <f>COGS!DX75+'SG&amp;A'!DX75</f>
        <v>0.26094560999999999</v>
      </c>
      <c r="DY75" s="28">
        <f>COGS!DY75+'SG&amp;A'!DY75</f>
        <v>0.71442450999999996</v>
      </c>
      <c r="DZ75" s="28">
        <f>COGS!DZ75+'SG&amp;A'!DZ75</f>
        <v>0.38849834999999983</v>
      </c>
      <c r="EA75" s="28">
        <f>COGS!EA75+'SG&amp;A'!EA75</f>
        <v>1.7008684699999999</v>
      </c>
      <c r="EB75" s="28">
        <f>COGS!EB75+'SG&amp;A'!EB75</f>
        <v>0.49920047999999995</v>
      </c>
      <c r="EC75" s="28">
        <f>COGS!EC75+'SG&amp;A'!EC75</f>
        <v>0.47507461000000006</v>
      </c>
      <c r="ED75" s="28">
        <f>COGS!ED75+'SG&amp;A'!ED75</f>
        <v>0.378</v>
      </c>
      <c r="EE75" s="28">
        <f>COGS!EE75+'SG&amp;A'!EE75</f>
        <v>0.36923938000000001</v>
      </c>
      <c r="EF75" s="28">
        <f>COGS!EF75+'SG&amp;A'!EF75</f>
        <v>1.72151447</v>
      </c>
      <c r="EG75" s="28">
        <f>COGS!EG75+'SG&amp;A'!EG75</f>
        <v>0.13943223999999999</v>
      </c>
      <c r="EH75" s="28">
        <f>COGS!EH75+'SG&amp;A'!EH75</f>
        <v>0.43201042000000001</v>
      </c>
      <c r="EI75" s="28">
        <f>COGS!EI75+'SG&amp;A'!EI75</f>
        <v>0.25340463999999996</v>
      </c>
    </row>
    <row r="76" spans="1:139" ht="15" thickTop="1" x14ac:dyDescent="0.3">
      <c r="A76" s="1" t="s">
        <v>306</v>
      </c>
      <c r="B76" s="27">
        <f>COGS!B76+'SG&amp;A'!B76</f>
        <v>0</v>
      </c>
      <c r="C76" s="27">
        <f>COGS!C76+'SG&amp;A'!C76</f>
        <v>0</v>
      </c>
      <c r="D76" s="27">
        <f>COGS!D76+'SG&amp;A'!D76</f>
        <v>0</v>
      </c>
      <c r="E76" s="27">
        <f>COGS!E76+'SG&amp;A'!E76</f>
        <v>0</v>
      </c>
      <c r="F76" s="27">
        <f>COGS!F76+'SG&amp;A'!F76</f>
        <v>0</v>
      </c>
      <c r="G76" s="27">
        <f>COGS!G76+'SG&amp;A'!G76</f>
        <v>0</v>
      </c>
      <c r="H76" s="27">
        <f>COGS!H76+'SG&amp;A'!H76</f>
        <v>0</v>
      </c>
      <c r="I76" s="27">
        <f>COGS!I76+'SG&amp;A'!I76</f>
        <v>0</v>
      </c>
      <c r="J76" s="27">
        <f>COGS!J76+'SG&amp;A'!J76</f>
        <v>0</v>
      </c>
      <c r="K76" s="27">
        <f>COGS!K76+'SG&amp;A'!K76</f>
        <v>0</v>
      </c>
      <c r="L76" s="27">
        <f>COGS!L76+'SG&amp;A'!L76</f>
        <v>0</v>
      </c>
      <c r="M76" s="27">
        <f>COGS!M76+'SG&amp;A'!M76</f>
        <v>0</v>
      </c>
      <c r="N76" s="27">
        <f>COGS!N76+'SG&amp;A'!N76</f>
        <v>0</v>
      </c>
      <c r="O76" s="27">
        <f>COGS!O76+'SG&amp;A'!O76</f>
        <v>0</v>
      </c>
      <c r="P76" s="27">
        <f>COGS!P76+'SG&amp;A'!P76</f>
        <v>0</v>
      </c>
      <c r="Q76" s="27">
        <f>COGS!Q76+'SG&amp;A'!Q76</f>
        <v>0</v>
      </c>
      <c r="R76" s="27">
        <f>COGS!R76+'SG&amp;A'!R76</f>
        <v>0</v>
      </c>
      <c r="S76" s="27">
        <f>COGS!S76+'SG&amp;A'!S76</f>
        <v>0</v>
      </c>
      <c r="T76" s="27">
        <f>COGS!T76+'SG&amp;A'!T76</f>
        <v>0</v>
      </c>
      <c r="U76" s="27">
        <f>COGS!U76+'SG&amp;A'!U76</f>
        <v>0</v>
      </c>
      <c r="V76" s="27">
        <f>COGS!V76+'SG&amp;A'!V76</f>
        <v>0</v>
      </c>
      <c r="W76" s="27">
        <f>COGS!W76+'SG&amp;A'!W76</f>
        <v>0</v>
      </c>
      <c r="X76" s="27">
        <f>COGS!X76+'SG&amp;A'!X76</f>
        <v>0</v>
      </c>
      <c r="Y76" s="27">
        <f>COGS!Y76+'SG&amp;A'!Y76</f>
        <v>0</v>
      </c>
      <c r="Z76" s="27">
        <f>COGS!Z76+'SG&amp;A'!Z76</f>
        <v>0</v>
      </c>
      <c r="AA76" s="27">
        <f>COGS!AA76+'SG&amp;A'!AA76</f>
        <v>0</v>
      </c>
      <c r="AB76" s="27">
        <f>COGS!AB76+'SG&amp;A'!AB76</f>
        <v>0</v>
      </c>
      <c r="AC76" s="27">
        <f>COGS!AC76+'SG&amp;A'!AC76</f>
        <v>0</v>
      </c>
      <c r="AD76" s="27">
        <f>COGS!AD76+'SG&amp;A'!AD76</f>
        <v>0</v>
      </c>
      <c r="AE76" s="27">
        <f>COGS!AE76+'SG&amp;A'!AE76</f>
        <v>0</v>
      </c>
      <c r="AF76" s="27">
        <f>COGS!AF76+'SG&amp;A'!AF76</f>
        <v>0</v>
      </c>
      <c r="AG76" s="27">
        <f>COGS!AG76+'SG&amp;A'!AG76</f>
        <v>0</v>
      </c>
      <c r="AH76" s="27">
        <f>COGS!AH76+'SG&amp;A'!AH76</f>
        <v>0</v>
      </c>
      <c r="AI76" s="27">
        <f>COGS!AI76+'SG&amp;A'!AI76</f>
        <v>0</v>
      </c>
      <c r="AJ76" s="27">
        <f>COGS!AJ76+'SG&amp;A'!AJ76</f>
        <v>0</v>
      </c>
      <c r="AK76" s="27">
        <f>COGS!AK76+'SG&amp;A'!AK76</f>
        <v>0</v>
      </c>
      <c r="AL76" s="27">
        <f>COGS!AL76+'SG&amp;A'!AL76</f>
        <v>0</v>
      </c>
      <c r="AM76" s="27">
        <f>COGS!AM76+'SG&amp;A'!AM76</f>
        <v>0</v>
      </c>
      <c r="AN76" s="27">
        <f>COGS!AN76+'SG&amp;A'!AN76</f>
        <v>0</v>
      </c>
      <c r="AO76" s="27">
        <f>COGS!AO76+'SG&amp;A'!AO76</f>
        <v>0</v>
      </c>
      <c r="AP76" s="27">
        <f>COGS!AP76+'SG&amp;A'!AP76</f>
        <v>0</v>
      </c>
      <c r="AQ76" s="27">
        <f>COGS!AQ76+'SG&amp;A'!AQ76</f>
        <v>0</v>
      </c>
      <c r="AR76" s="27">
        <f>COGS!AR76+'SG&amp;A'!AR76</f>
        <v>0</v>
      </c>
      <c r="AS76" s="27">
        <f>COGS!AS76+'SG&amp;A'!AS76</f>
        <v>0</v>
      </c>
      <c r="AT76" s="27">
        <f>COGS!AT76+'SG&amp;A'!AT76</f>
        <v>0</v>
      </c>
      <c r="AU76" s="27">
        <f>COGS!AU76+'SG&amp;A'!AU76</f>
        <v>0</v>
      </c>
      <c r="AV76" s="27">
        <f>COGS!AV76+'SG&amp;A'!AV76</f>
        <v>0</v>
      </c>
      <c r="AW76" s="27">
        <f>COGS!AW76+'SG&amp;A'!AW76</f>
        <v>0</v>
      </c>
      <c r="AX76" s="27">
        <f>COGS!AX76+'SG&amp;A'!AX76</f>
        <v>0</v>
      </c>
      <c r="AY76" s="27">
        <f>COGS!AY76+'SG&amp;A'!AY76</f>
        <v>0</v>
      </c>
      <c r="AZ76" s="27">
        <f>COGS!AZ76+'SG&amp;A'!AZ76</f>
        <v>0</v>
      </c>
      <c r="BA76" s="27">
        <f>COGS!BA76+'SG&amp;A'!BA76</f>
        <v>0</v>
      </c>
      <c r="BB76" s="27">
        <f>COGS!BB76+'SG&amp;A'!BB76</f>
        <v>0</v>
      </c>
      <c r="BC76" s="27">
        <f>COGS!BC76+'SG&amp;A'!BC76</f>
        <v>0</v>
      </c>
      <c r="BD76" s="27">
        <f>COGS!BD76+'SG&amp;A'!BD76</f>
        <v>0</v>
      </c>
      <c r="BE76" s="27">
        <f>COGS!BE76+'SG&amp;A'!BE76</f>
        <v>0</v>
      </c>
      <c r="BF76" s="27">
        <f>COGS!BF76+'SG&amp;A'!BF76</f>
        <v>0</v>
      </c>
      <c r="BG76" s="27">
        <f>COGS!BG76+'SG&amp;A'!BG76</f>
        <v>0</v>
      </c>
      <c r="BH76" s="27">
        <f>COGS!BH76+'SG&amp;A'!BH76</f>
        <v>0</v>
      </c>
      <c r="BI76" s="27">
        <f>COGS!BI76+'SG&amp;A'!BI76</f>
        <v>0</v>
      </c>
      <c r="BJ76" s="27">
        <f>COGS!BJ76+'SG&amp;A'!BJ76</f>
        <v>0.28171919000000001</v>
      </c>
      <c r="BK76" s="27">
        <f>COGS!BK76+'SG&amp;A'!BK76</f>
        <v>0.3397879399999999</v>
      </c>
      <c r="BL76" s="27">
        <f>COGS!BL76+'SG&amp;A'!BL76</f>
        <v>0.11244474000000004</v>
      </c>
      <c r="BM76" s="27">
        <f>COGS!BM76+'SG&amp;A'!BM76</f>
        <v>0.40425150999999993</v>
      </c>
      <c r="BN76" s="27">
        <f>COGS!BN76+'SG&amp;A'!BN76</f>
        <v>1.1382033799999998</v>
      </c>
      <c r="BO76" s="27">
        <f>COGS!BO76+'SG&amp;A'!BO76</f>
        <v>0.88548884999999999</v>
      </c>
      <c r="BP76" s="27">
        <f>COGS!BP76+'SG&amp;A'!BP76</f>
        <v>0.43301765999999997</v>
      </c>
      <c r="BQ76" s="27">
        <f>COGS!BQ76+'SG&amp;A'!BQ76</f>
        <v>0.19573967000000003</v>
      </c>
      <c r="BR76" s="27">
        <f>COGS!BR76+'SG&amp;A'!BR76</f>
        <v>0.55682595000000012</v>
      </c>
      <c r="BS76" s="27">
        <f>COGS!BS76+'SG&amp;A'!BS76</f>
        <v>2.0710721300000001</v>
      </c>
      <c r="BT76" s="27">
        <f>COGS!BT76+'SG&amp;A'!BT76</f>
        <v>0.58319471000000001</v>
      </c>
      <c r="BU76" s="27">
        <f>COGS!BU76+'SG&amp;A'!BU76</f>
        <v>0.75585478000000006</v>
      </c>
      <c r="BV76" s="27">
        <f>COGS!BV76+'SG&amp;A'!BV76</f>
        <v>0.21536708999999998</v>
      </c>
      <c r="BW76" s="27">
        <f>COGS!BW76+'SG&amp;A'!BW76</f>
        <v>0.46717610999999992</v>
      </c>
      <c r="BX76" s="27">
        <f>COGS!BX76+'SG&amp;A'!BX76</f>
        <v>2.0215926899999999</v>
      </c>
      <c r="BY76" s="27">
        <f>COGS!BY76+'SG&amp;A'!BY76</f>
        <v>0.28894878000000002</v>
      </c>
      <c r="BZ76" s="27">
        <f>COGS!BZ76+'SG&amp;A'!BZ76</f>
        <v>2.3627299999999962E-2</v>
      </c>
      <c r="CA76" s="27">
        <f>COGS!CA76+'SG&amp;A'!CA76</f>
        <v>0.80366172000000013</v>
      </c>
      <c r="CB76" s="27">
        <f>COGS!CB76+'SG&amp;A'!CB76</f>
        <v>0.35225406999999997</v>
      </c>
      <c r="CC76" s="27">
        <f>COGS!CC76+'SG&amp;A'!CC76</f>
        <v>1.4684918700000003</v>
      </c>
      <c r="CD76" s="27">
        <f>COGS!CD76+'SG&amp;A'!CD76</f>
        <v>0.16448735</v>
      </c>
      <c r="CE76" s="27">
        <f>COGS!CE76+'SG&amp;A'!CE76</f>
        <v>1.3527810499999999</v>
      </c>
      <c r="CF76" s="27">
        <f>COGS!CF76+'SG&amp;A'!CF76</f>
        <v>-0.11698768999999984</v>
      </c>
      <c r="CG76" s="27">
        <f>COGS!CG76+'SG&amp;A'!CG76</f>
        <v>3.557018890000001</v>
      </c>
      <c r="CH76" s="27">
        <f>COGS!CH76+'SG&amp;A'!CH76</f>
        <v>4.9572996000000007</v>
      </c>
      <c r="CI76" s="27">
        <f>COGS!CI76+'SG&amp;A'!CI76</f>
        <v>2.5108403099999999</v>
      </c>
      <c r="CJ76" s="27">
        <f>COGS!CJ76+'SG&amp;A'!CJ76</f>
        <v>1.1332583700000001</v>
      </c>
      <c r="CK76" s="27">
        <f>COGS!CK76+'SG&amp;A'!CK76</f>
        <v>0.96415599999999968</v>
      </c>
      <c r="CL76" s="27">
        <f>COGS!CL76+'SG&amp;A'!CL76</f>
        <v>1.4493243900000001</v>
      </c>
      <c r="CM76" s="27">
        <f>COGS!CM76+'SG&amp;A'!CM76</f>
        <v>6.0575790700000001</v>
      </c>
      <c r="CN76" s="27">
        <f>COGS!CN76+'SG&amp;A'!CN76</f>
        <v>0.93705492000000001</v>
      </c>
      <c r="CO76" s="27">
        <f>COGS!CO76+'SG&amp;A'!CO76</f>
        <v>2.05779551</v>
      </c>
      <c r="CP76" s="27">
        <f>COGS!CP76+'SG&amp;A'!CP76</f>
        <v>0.72678083000000027</v>
      </c>
      <c r="CQ76" s="27">
        <f>COGS!CQ76+'SG&amp;A'!CQ76</f>
        <v>1.2473687399999998</v>
      </c>
      <c r="CR76" s="27">
        <f>COGS!CR76+'SG&amp;A'!CR76</f>
        <v>4.9690000000000003</v>
      </c>
      <c r="CS76" s="27">
        <f>COGS!CS76+'SG&amp;A'!CS76</f>
        <v>1.6977628799999998</v>
      </c>
      <c r="CT76" s="27">
        <f>COGS!CT76+'SG&amp;A'!CT76</f>
        <v>1.1088027299999998</v>
      </c>
      <c r="CU76" s="27">
        <f>COGS!CU76+'SG&amp;A'!CU76</f>
        <v>2.3165156499999999</v>
      </c>
      <c r="CV76" s="27">
        <f>COGS!CV76+'SG&amp;A'!CV76</f>
        <v>1.4863517500000005</v>
      </c>
      <c r="CW76" s="27">
        <f>COGS!CW76+'SG&amp;A'!CW76</f>
        <v>6.6094330100000001</v>
      </c>
      <c r="CX76" s="27">
        <f>COGS!CX76+'SG&amp;A'!CX76</f>
        <v>1.2</v>
      </c>
      <c r="CY76" s="27">
        <f>COGS!CY76+'SG&amp;A'!CY76</f>
        <v>2.137</v>
      </c>
      <c r="CZ76" s="27">
        <f>COGS!CZ76+'SG&amp;A'!CZ76</f>
        <v>2.8120000000000003</v>
      </c>
      <c r="DA76" s="27">
        <f>COGS!DA76+'SG&amp;A'!DA76</f>
        <v>2.298</v>
      </c>
      <c r="DB76" s="27">
        <f>COGS!DB76+'SG&amp;A'!DB76</f>
        <v>8.4469999999999992</v>
      </c>
      <c r="DC76" s="27">
        <f>COGS!DC76+'SG&amp;A'!DC76</f>
        <v>2.1070000000000002</v>
      </c>
      <c r="DD76" s="27">
        <f>COGS!DD76+'SG&amp;A'!DD76</f>
        <v>2.044</v>
      </c>
      <c r="DE76" s="27">
        <f>COGS!DE76+'SG&amp;A'!DE76</f>
        <v>2.1840000000000002</v>
      </c>
      <c r="DF76" s="27">
        <f>COGS!DF76+'SG&amp;A'!DF76</f>
        <v>2.806</v>
      </c>
      <c r="DG76" s="27">
        <f>COGS!DG76+'SG&amp;A'!DG76</f>
        <v>9.141</v>
      </c>
      <c r="DH76" s="27">
        <f>COGS!DH76+'SG&amp;A'!DH76</f>
        <v>2.617</v>
      </c>
      <c r="DI76" s="27">
        <f>COGS!DI76+'SG&amp;A'!DI76</f>
        <v>3.5759999999999996</v>
      </c>
      <c r="DJ76" s="27">
        <f>COGS!DJ76+'SG&amp;A'!DJ76</f>
        <v>3.375</v>
      </c>
      <c r="DK76" s="27">
        <f>COGS!DK76+'SG&amp;A'!DK76</f>
        <v>4.71</v>
      </c>
      <c r="DL76" s="27">
        <f>COGS!DL76+'SG&amp;A'!DL76</f>
        <v>14.278</v>
      </c>
      <c r="DM76" s="27">
        <f>COGS!DM76+'SG&amp;A'!DM76</f>
        <v>3.3479999999999999</v>
      </c>
      <c r="DN76" s="27">
        <f>COGS!DN76+'SG&amp;A'!DN76</f>
        <v>4.1630000000000003</v>
      </c>
      <c r="DO76" s="27">
        <f>COGS!DO76+'SG&amp;A'!DO76</f>
        <v>4.2160000000000002</v>
      </c>
      <c r="DP76" s="27">
        <f>COGS!DP76+'SG&amp;A'!DP76</f>
        <v>5.46</v>
      </c>
      <c r="DQ76" s="27">
        <f>COGS!DQ76+'SG&amp;A'!DQ76</f>
        <v>17.187000000000005</v>
      </c>
      <c r="DR76" s="27">
        <f>COGS!DR76+'SG&amp;A'!DR76</f>
        <v>4.1959999999999997</v>
      </c>
      <c r="DS76" s="27">
        <f>COGS!DS76+'SG&amp;A'!DS76</f>
        <v>4.7699999999999996</v>
      </c>
      <c r="DT76" s="27">
        <f>COGS!DT76+'SG&amp;A'!DT76</f>
        <v>3.4629999999999996</v>
      </c>
      <c r="DU76" s="27">
        <f>COGS!DU76+'SG&amp;A'!DU76</f>
        <v>3.282</v>
      </c>
      <c r="DV76" s="27">
        <f>COGS!DV76+'SG&amp;A'!DV76</f>
        <v>15.710999999999999</v>
      </c>
      <c r="DW76" s="27">
        <f>COGS!DW76+'SG&amp;A'!DW76</f>
        <v>4.6069999999999993</v>
      </c>
      <c r="DX76" s="27">
        <f>COGS!DX76+'SG&amp;A'!DX76</f>
        <v>7.6054418300000002</v>
      </c>
      <c r="DY76" s="27">
        <f>COGS!DY76+'SG&amp;A'!DY76</f>
        <v>8.6013557299999999</v>
      </c>
      <c r="DZ76" s="27">
        <f>COGS!DZ76+'SG&amp;A'!DZ76</f>
        <v>7.3871406400000001</v>
      </c>
      <c r="EA76" s="27">
        <f>COGS!EA76+'SG&amp;A'!EA76</f>
        <v>28.2009382</v>
      </c>
      <c r="EB76" s="27">
        <f>COGS!EB76+'SG&amp;A'!EB76</f>
        <v>7.6963671199999997</v>
      </c>
      <c r="EC76" s="27">
        <f>COGS!EC76+'SG&amp;A'!EC76</f>
        <v>9.5078419500000013</v>
      </c>
      <c r="ED76" s="27">
        <f>COGS!ED76+'SG&amp;A'!ED76</f>
        <v>9.4990000000000006</v>
      </c>
      <c r="EE76" s="27">
        <f>COGS!EE76+'SG&amp;A'!EE76</f>
        <v>10.02806406</v>
      </c>
      <c r="EF76" s="27">
        <f>COGS!EF76+'SG&amp;A'!EF76</f>
        <v>36.731273130000005</v>
      </c>
      <c r="EG76" s="27">
        <f>COGS!EG76+'SG&amp;A'!EG76</f>
        <v>7.5476339899999996</v>
      </c>
      <c r="EH76" s="27">
        <f>COGS!EH76+'SG&amp;A'!EH76</f>
        <v>10.203555830000003</v>
      </c>
      <c r="EI76" s="27">
        <f>COGS!EI76+'SG&amp;A'!EI76</f>
        <v>6.6532859999999996</v>
      </c>
    </row>
    <row r="77" spans="1:139" ht="15" thickBot="1" x14ac:dyDescent="0.35">
      <c r="A77" s="2" t="s">
        <v>323</v>
      </c>
      <c r="B77" s="28">
        <f>COGS!B77+'SG&amp;A'!B77</f>
        <v>0</v>
      </c>
      <c r="C77" s="28">
        <f>COGS!C77+'SG&amp;A'!C77</f>
        <v>0</v>
      </c>
      <c r="D77" s="28">
        <f>COGS!D77+'SG&amp;A'!D77</f>
        <v>0</v>
      </c>
      <c r="E77" s="28">
        <f>COGS!E77+'SG&amp;A'!E77</f>
        <v>0</v>
      </c>
      <c r="F77" s="28">
        <f>COGS!F77+'SG&amp;A'!F77</f>
        <v>0</v>
      </c>
      <c r="G77" s="28">
        <f>COGS!G77+'SG&amp;A'!G77</f>
        <v>0</v>
      </c>
      <c r="H77" s="28">
        <f>COGS!H77+'SG&amp;A'!H77</f>
        <v>0</v>
      </c>
      <c r="I77" s="28">
        <f>COGS!I77+'SG&amp;A'!I77</f>
        <v>0</v>
      </c>
      <c r="J77" s="28">
        <f>COGS!J77+'SG&amp;A'!J77</f>
        <v>0</v>
      </c>
      <c r="K77" s="28">
        <f>COGS!K77+'SG&amp;A'!K77</f>
        <v>0</v>
      </c>
      <c r="L77" s="28">
        <f>COGS!L77+'SG&amp;A'!L77</f>
        <v>0</v>
      </c>
      <c r="M77" s="28">
        <f>COGS!M77+'SG&amp;A'!M77</f>
        <v>0</v>
      </c>
      <c r="N77" s="28">
        <f>COGS!N77+'SG&amp;A'!N77</f>
        <v>0</v>
      </c>
      <c r="O77" s="28">
        <f>COGS!O77+'SG&amp;A'!O77</f>
        <v>0</v>
      </c>
      <c r="P77" s="28">
        <f>COGS!P77+'SG&amp;A'!P77</f>
        <v>0</v>
      </c>
      <c r="Q77" s="28">
        <f>COGS!Q77+'SG&amp;A'!Q77</f>
        <v>0</v>
      </c>
      <c r="R77" s="28">
        <f>COGS!R77+'SG&amp;A'!R77</f>
        <v>0</v>
      </c>
      <c r="S77" s="28">
        <f>COGS!S77+'SG&amp;A'!S77</f>
        <v>0</v>
      </c>
      <c r="T77" s="28">
        <f>COGS!T77+'SG&amp;A'!T77</f>
        <v>0</v>
      </c>
      <c r="U77" s="28">
        <f>COGS!U77+'SG&amp;A'!U77</f>
        <v>0</v>
      </c>
      <c r="V77" s="28">
        <f>COGS!V77+'SG&amp;A'!V77</f>
        <v>0</v>
      </c>
      <c r="W77" s="28">
        <f>COGS!W77+'SG&amp;A'!W77</f>
        <v>0</v>
      </c>
      <c r="X77" s="28">
        <f>COGS!X77+'SG&amp;A'!X77</f>
        <v>0</v>
      </c>
      <c r="Y77" s="28">
        <f>COGS!Y77+'SG&amp;A'!Y77</f>
        <v>0</v>
      </c>
      <c r="Z77" s="28">
        <f>COGS!Z77+'SG&amp;A'!Z77</f>
        <v>0</v>
      </c>
      <c r="AA77" s="28">
        <f>COGS!AA77+'SG&amp;A'!AA77</f>
        <v>0</v>
      </c>
      <c r="AB77" s="28">
        <f>COGS!AB77+'SG&amp;A'!AB77</f>
        <v>0</v>
      </c>
      <c r="AC77" s="28">
        <f>COGS!AC77+'SG&amp;A'!AC77</f>
        <v>0</v>
      </c>
      <c r="AD77" s="28">
        <f>COGS!AD77+'SG&amp;A'!AD77</f>
        <v>0</v>
      </c>
      <c r="AE77" s="28">
        <f>COGS!AE77+'SG&amp;A'!AE77</f>
        <v>0</v>
      </c>
      <c r="AF77" s="28">
        <f>COGS!AF77+'SG&amp;A'!AF77</f>
        <v>0</v>
      </c>
      <c r="AG77" s="28">
        <f>COGS!AG77+'SG&amp;A'!AG77</f>
        <v>0</v>
      </c>
      <c r="AH77" s="28">
        <f>COGS!AH77+'SG&amp;A'!AH77</f>
        <v>0</v>
      </c>
      <c r="AI77" s="28">
        <f>COGS!AI77+'SG&amp;A'!AI77</f>
        <v>0</v>
      </c>
      <c r="AJ77" s="28">
        <f>COGS!AJ77+'SG&amp;A'!AJ77</f>
        <v>0</v>
      </c>
      <c r="AK77" s="28">
        <f>COGS!AK77+'SG&amp;A'!AK77</f>
        <v>0</v>
      </c>
      <c r="AL77" s="28">
        <f>COGS!AL77+'SG&amp;A'!AL77</f>
        <v>0</v>
      </c>
      <c r="AM77" s="28">
        <f>COGS!AM77+'SG&amp;A'!AM77</f>
        <v>0</v>
      </c>
      <c r="AN77" s="28">
        <f>COGS!AN77+'SG&amp;A'!AN77</f>
        <v>0</v>
      </c>
      <c r="AO77" s="28">
        <f>COGS!AO77+'SG&amp;A'!AO77</f>
        <v>0</v>
      </c>
      <c r="AP77" s="28">
        <f>COGS!AP77+'SG&amp;A'!AP77</f>
        <v>0</v>
      </c>
      <c r="AQ77" s="28">
        <f>COGS!AQ77+'SG&amp;A'!AQ77</f>
        <v>0</v>
      </c>
      <c r="AR77" s="28">
        <f>COGS!AR77+'SG&amp;A'!AR77</f>
        <v>0</v>
      </c>
      <c r="AS77" s="28">
        <f>COGS!AS77+'SG&amp;A'!AS77</f>
        <v>0</v>
      </c>
      <c r="AT77" s="28">
        <f>COGS!AT77+'SG&amp;A'!AT77</f>
        <v>0</v>
      </c>
      <c r="AU77" s="28">
        <f>COGS!AU77+'SG&amp;A'!AU77</f>
        <v>0</v>
      </c>
      <c r="AV77" s="28">
        <f>COGS!AV77+'SG&amp;A'!AV77</f>
        <v>0</v>
      </c>
      <c r="AW77" s="28">
        <f>COGS!AW77+'SG&amp;A'!AW77</f>
        <v>0</v>
      </c>
      <c r="AX77" s="28">
        <f>COGS!AX77+'SG&amp;A'!AX77</f>
        <v>0</v>
      </c>
      <c r="AY77" s="28">
        <f>COGS!AY77+'SG&amp;A'!AY77</f>
        <v>0</v>
      </c>
      <c r="AZ77" s="28">
        <f>COGS!AZ77+'SG&amp;A'!AZ77</f>
        <v>0</v>
      </c>
      <c r="BA77" s="28">
        <f>COGS!BA77+'SG&amp;A'!BA77</f>
        <v>0</v>
      </c>
      <c r="BB77" s="28">
        <f>COGS!BB77+'SG&amp;A'!BB77</f>
        <v>0</v>
      </c>
      <c r="BC77" s="28">
        <f>COGS!BC77+'SG&amp;A'!BC77</f>
        <v>0</v>
      </c>
      <c r="BD77" s="28">
        <f>COGS!BD77+'SG&amp;A'!BD77</f>
        <v>0</v>
      </c>
      <c r="BE77" s="28">
        <f>COGS!BE77+'SG&amp;A'!BE77</f>
        <v>0</v>
      </c>
      <c r="BF77" s="28">
        <f>COGS!BF77+'SG&amp;A'!BF77</f>
        <v>0</v>
      </c>
      <c r="BG77" s="28">
        <f>COGS!BG77+'SG&amp;A'!BG77</f>
        <v>0</v>
      </c>
      <c r="BH77" s="28">
        <f>COGS!BH77+'SG&amp;A'!BH77</f>
        <v>0</v>
      </c>
      <c r="BI77" s="28">
        <f>COGS!BI77+'SG&amp;A'!BI77</f>
        <v>0</v>
      </c>
      <c r="BJ77" s="28">
        <f>COGS!BJ77+'SG&amp;A'!BJ77</f>
        <v>0</v>
      </c>
      <c r="BK77" s="28">
        <f>COGS!BK77+'SG&amp;A'!BK77</f>
        <v>0</v>
      </c>
      <c r="BL77" s="28">
        <f>COGS!BL77+'SG&amp;A'!BL77</f>
        <v>0</v>
      </c>
      <c r="BM77" s="28">
        <f>COGS!BM77+'SG&amp;A'!BM77</f>
        <v>0</v>
      </c>
      <c r="BN77" s="28">
        <f>COGS!BN77+'SG&amp;A'!BN77</f>
        <v>0</v>
      </c>
      <c r="BO77" s="28">
        <f>COGS!BO77+'SG&amp;A'!BO77</f>
        <v>0</v>
      </c>
      <c r="BP77" s="28">
        <f>COGS!BP77+'SG&amp;A'!BP77</f>
        <v>0</v>
      </c>
      <c r="BQ77" s="28">
        <f>COGS!BQ77+'SG&amp;A'!BQ77</f>
        <v>0</v>
      </c>
      <c r="BR77" s="28">
        <f>COGS!BR77+'SG&amp;A'!BR77</f>
        <v>0</v>
      </c>
      <c r="BS77" s="28">
        <f>COGS!BS77+'SG&amp;A'!BS77</f>
        <v>0</v>
      </c>
      <c r="BT77" s="28">
        <f>COGS!BT77+'SG&amp;A'!BT77</f>
        <v>0</v>
      </c>
      <c r="BU77" s="28">
        <f>COGS!BU77+'SG&amp;A'!BU77</f>
        <v>0</v>
      </c>
      <c r="BV77" s="28">
        <f>COGS!BV77+'SG&amp;A'!BV77</f>
        <v>0</v>
      </c>
      <c r="BW77" s="28">
        <f>COGS!BW77+'SG&amp;A'!BW77</f>
        <v>0</v>
      </c>
      <c r="BX77" s="28">
        <f>COGS!BX77+'SG&amp;A'!BX77</f>
        <v>0</v>
      </c>
      <c r="BY77" s="28">
        <f>COGS!BY77+'SG&amp;A'!BY77</f>
        <v>0</v>
      </c>
      <c r="BZ77" s="28">
        <f>COGS!BZ77+'SG&amp;A'!BZ77</f>
        <v>0</v>
      </c>
      <c r="CA77" s="28">
        <f>COGS!CA77+'SG&amp;A'!CA77</f>
        <v>0</v>
      </c>
      <c r="CB77" s="28">
        <f>COGS!CB77+'SG&amp;A'!CB77</f>
        <v>0</v>
      </c>
      <c r="CC77" s="28">
        <f>COGS!CC77+'SG&amp;A'!CC77</f>
        <v>0</v>
      </c>
      <c r="CD77" s="28">
        <f>COGS!CD77+'SG&amp;A'!CD77</f>
        <v>0</v>
      </c>
      <c r="CE77" s="28">
        <f>COGS!CE77+'SG&amp;A'!CE77</f>
        <v>0</v>
      </c>
      <c r="CF77" s="28">
        <f>COGS!CF77+'SG&amp;A'!CF77</f>
        <v>0</v>
      </c>
      <c r="CG77" s="28">
        <f>COGS!CG77+'SG&amp;A'!CG77</f>
        <v>0</v>
      </c>
      <c r="CH77" s="28">
        <f>COGS!CH77+'SG&amp;A'!CH77</f>
        <v>0</v>
      </c>
      <c r="CI77" s="28">
        <f>COGS!CI77+'SG&amp;A'!CI77</f>
        <v>0</v>
      </c>
      <c r="CJ77" s="28">
        <f>COGS!CJ77+'SG&amp;A'!CJ77</f>
        <v>0</v>
      </c>
      <c r="CK77" s="28">
        <f>COGS!CK77+'SG&amp;A'!CK77</f>
        <v>0</v>
      </c>
      <c r="CL77" s="28">
        <f>COGS!CL77+'SG&amp;A'!CL77</f>
        <v>0</v>
      </c>
      <c r="CM77" s="28">
        <f>COGS!CM77+'SG&amp;A'!CM77</f>
        <v>0</v>
      </c>
      <c r="CN77" s="28">
        <f>COGS!CN77+'SG&amp;A'!CN77</f>
        <v>0</v>
      </c>
      <c r="CO77" s="28">
        <f>COGS!CO77+'SG&amp;A'!CO77</f>
        <v>0</v>
      </c>
      <c r="CP77" s="28">
        <f>COGS!CP77+'SG&amp;A'!CP77</f>
        <v>0</v>
      </c>
      <c r="CQ77" s="28">
        <f>COGS!CQ77+'SG&amp;A'!CQ77</f>
        <v>0</v>
      </c>
      <c r="CR77" s="28">
        <f>COGS!CR77+'SG&amp;A'!CR77</f>
        <v>0</v>
      </c>
      <c r="CS77" s="28">
        <f>COGS!CS77+'SG&amp;A'!CS77</f>
        <v>0</v>
      </c>
      <c r="CT77" s="28">
        <f>COGS!CT77+'SG&amp;A'!CT77</f>
        <v>0</v>
      </c>
      <c r="CU77" s="28">
        <f>COGS!CU77+'SG&amp;A'!CU77</f>
        <v>0</v>
      </c>
      <c r="CV77" s="28">
        <f>COGS!CV77+'SG&amp;A'!CV77</f>
        <v>0</v>
      </c>
      <c r="CW77" s="28">
        <f>COGS!CW77+'SG&amp;A'!CW77</f>
        <v>0</v>
      </c>
      <c r="CX77" s="28">
        <f>COGS!CX77+'SG&amp;A'!CX77</f>
        <v>0</v>
      </c>
      <c r="CY77" s="28">
        <f>COGS!CY77+'SG&amp;A'!CY77</f>
        <v>0</v>
      </c>
      <c r="CZ77" s="28">
        <f>COGS!CZ77+'SG&amp;A'!CZ77</f>
        <v>0</v>
      </c>
      <c r="DA77" s="28">
        <f>COGS!DA77+'SG&amp;A'!DA77</f>
        <v>0</v>
      </c>
      <c r="DB77" s="28">
        <f>COGS!DB77+'SG&amp;A'!DB77</f>
        <v>0</v>
      </c>
      <c r="DC77" s="28">
        <f>COGS!DC77+'SG&amp;A'!DC77</f>
        <v>0</v>
      </c>
      <c r="DD77" s="28">
        <f>COGS!DD77+'SG&amp;A'!DD77</f>
        <v>0</v>
      </c>
      <c r="DE77" s="28">
        <f>COGS!DE77+'SG&amp;A'!DE77</f>
        <v>0</v>
      </c>
      <c r="DF77" s="28">
        <f>COGS!DF77+'SG&amp;A'!DF77</f>
        <v>0</v>
      </c>
      <c r="DG77" s="28">
        <f>COGS!DG77+'SG&amp;A'!DG77</f>
        <v>0</v>
      </c>
      <c r="DH77" s="28">
        <f>COGS!DH77+'SG&amp;A'!DH77</f>
        <v>0</v>
      </c>
      <c r="DI77" s="28">
        <f>COGS!DI77+'SG&amp;A'!DI77</f>
        <v>0</v>
      </c>
      <c r="DJ77" s="28">
        <f>COGS!DJ77+'SG&amp;A'!DJ77</f>
        <v>0</v>
      </c>
      <c r="DK77" s="28">
        <f>COGS!DK77+'SG&amp;A'!DK77</f>
        <v>0</v>
      </c>
      <c r="DL77" s="28">
        <f>COGS!DL77+'SG&amp;A'!DL77</f>
        <v>0</v>
      </c>
      <c r="DM77" s="28">
        <f>COGS!DM77+'SG&amp;A'!DM77</f>
        <v>0</v>
      </c>
      <c r="DN77" s="28">
        <f>COGS!DN77+'SG&amp;A'!DN77</f>
        <v>0</v>
      </c>
      <c r="DO77" s="28">
        <f>COGS!DO77+'SG&amp;A'!DO77</f>
        <v>0</v>
      </c>
      <c r="DP77" s="28">
        <f>COGS!DP77+'SG&amp;A'!DP77</f>
        <v>0</v>
      </c>
      <c r="DQ77" s="28">
        <f>COGS!DQ77+'SG&amp;A'!DQ77</f>
        <v>0</v>
      </c>
      <c r="DR77" s="28">
        <f>COGS!DR77+'SG&amp;A'!DR77</f>
        <v>0</v>
      </c>
      <c r="DS77" s="28">
        <f>COGS!DS77+'SG&amp;A'!DS77</f>
        <v>0</v>
      </c>
      <c r="DT77" s="28">
        <f>COGS!DT77+'SG&amp;A'!DT77</f>
        <v>0</v>
      </c>
      <c r="DU77" s="28">
        <f>COGS!DU77+'SG&amp;A'!DU77</f>
        <v>0</v>
      </c>
      <c r="DV77" s="28">
        <f>COGS!DV77+'SG&amp;A'!DV77</f>
        <v>0</v>
      </c>
      <c r="DW77" s="28">
        <f>COGS!DW77+'SG&amp;A'!DW77</f>
        <v>0</v>
      </c>
      <c r="DX77" s="28">
        <f>COGS!DX77+'SG&amp;A'!DX77</f>
        <v>0</v>
      </c>
      <c r="DY77" s="28">
        <f>COGS!DY77+'SG&amp;A'!DY77</f>
        <v>0</v>
      </c>
      <c r="DZ77" s="28">
        <f>COGS!DZ77+'SG&amp;A'!DZ77</f>
        <v>0</v>
      </c>
      <c r="EA77" s="28">
        <f>COGS!EA77+'SG&amp;A'!EA77</f>
        <v>0</v>
      </c>
      <c r="EB77" s="28">
        <f>COGS!EB77+'SG&amp;A'!EB77</f>
        <v>0</v>
      </c>
      <c r="EC77" s="28">
        <f>COGS!EC77+'SG&amp;A'!EC77</f>
        <v>0</v>
      </c>
      <c r="ED77" s="28">
        <f>COGS!ED77+'SG&amp;A'!ED77</f>
        <v>0</v>
      </c>
      <c r="EE77" s="28">
        <f>COGS!EE77+'SG&amp;A'!EE77</f>
        <v>0</v>
      </c>
      <c r="EF77" s="28">
        <f>COGS!EF77+'SG&amp;A'!EF77</f>
        <v>0</v>
      </c>
      <c r="EG77" s="28">
        <f>COGS!EG77+'SG&amp;A'!EG77</f>
        <v>0</v>
      </c>
      <c r="EH77" s="28">
        <f>COGS!EH77+'SG&amp;A'!EH77</f>
        <v>0</v>
      </c>
      <c r="EI77" s="28">
        <f>COGS!EI77+'SG&amp;A'!EI77</f>
        <v>0</v>
      </c>
    </row>
    <row r="78" spans="1:139" ht="15" thickTop="1" x14ac:dyDescent="0.3">
      <c r="A78" s="1" t="s">
        <v>322</v>
      </c>
      <c r="B78" s="27">
        <f>COGS!B78+'SG&amp;A'!B78</f>
        <v>0</v>
      </c>
      <c r="C78" s="27">
        <f>COGS!C78+'SG&amp;A'!C78</f>
        <v>0</v>
      </c>
      <c r="D78" s="27">
        <f>COGS!D78+'SG&amp;A'!D78</f>
        <v>0</v>
      </c>
      <c r="E78" s="27">
        <f>COGS!E78+'SG&amp;A'!E78</f>
        <v>0</v>
      </c>
      <c r="F78" s="27">
        <f>COGS!F78+'SG&amp;A'!F78</f>
        <v>0</v>
      </c>
      <c r="G78" s="27">
        <f>COGS!G78+'SG&amp;A'!G78</f>
        <v>0</v>
      </c>
      <c r="H78" s="27">
        <f>COGS!H78+'SG&amp;A'!H78</f>
        <v>0</v>
      </c>
      <c r="I78" s="27">
        <f>COGS!I78+'SG&amp;A'!I78</f>
        <v>0</v>
      </c>
      <c r="J78" s="27">
        <f>COGS!J78+'SG&amp;A'!J78</f>
        <v>0</v>
      </c>
      <c r="K78" s="27">
        <f>COGS!K78+'SG&amp;A'!K78</f>
        <v>0</v>
      </c>
      <c r="L78" s="27">
        <f>COGS!L78+'SG&amp;A'!L78</f>
        <v>0</v>
      </c>
      <c r="M78" s="27">
        <f>COGS!M78+'SG&amp;A'!M78</f>
        <v>0</v>
      </c>
      <c r="N78" s="27">
        <f>COGS!N78+'SG&amp;A'!N78</f>
        <v>0</v>
      </c>
      <c r="O78" s="27">
        <f>COGS!O78+'SG&amp;A'!O78</f>
        <v>0</v>
      </c>
      <c r="P78" s="27">
        <f>COGS!P78+'SG&amp;A'!P78</f>
        <v>0</v>
      </c>
      <c r="Q78" s="27">
        <f>COGS!Q78+'SG&amp;A'!Q78</f>
        <v>0</v>
      </c>
      <c r="R78" s="27">
        <f>COGS!R78+'SG&amp;A'!R78</f>
        <v>0</v>
      </c>
      <c r="S78" s="27">
        <f>COGS!S78+'SG&amp;A'!S78</f>
        <v>0</v>
      </c>
      <c r="T78" s="27">
        <f>COGS!T78+'SG&amp;A'!T78</f>
        <v>0</v>
      </c>
      <c r="U78" s="27">
        <f>COGS!U78+'SG&amp;A'!U78</f>
        <v>0</v>
      </c>
      <c r="V78" s="27">
        <f>COGS!V78+'SG&amp;A'!V78</f>
        <v>0</v>
      </c>
      <c r="W78" s="27">
        <f>COGS!W78+'SG&amp;A'!W78</f>
        <v>0</v>
      </c>
      <c r="X78" s="27">
        <f>COGS!X78+'SG&amp;A'!X78</f>
        <v>0</v>
      </c>
      <c r="Y78" s="27">
        <f>COGS!Y78+'SG&amp;A'!Y78</f>
        <v>0</v>
      </c>
      <c r="Z78" s="27">
        <f>COGS!Z78+'SG&amp;A'!Z78</f>
        <v>0</v>
      </c>
      <c r="AA78" s="27">
        <f>COGS!AA78+'SG&amp;A'!AA78</f>
        <v>0</v>
      </c>
      <c r="AB78" s="27">
        <f>COGS!AB78+'SG&amp;A'!AB78</f>
        <v>0</v>
      </c>
      <c r="AC78" s="27">
        <f>COGS!AC78+'SG&amp;A'!AC78</f>
        <v>0</v>
      </c>
      <c r="AD78" s="27">
        <f>COGS!AD78+'SG&amp;A'!AD78</f>
        <v>0</v>
      </c>
      <c r="AE78" s="27">
        <f>COGS!AE78+'SG&amp;A'!AE78</f>
        <v>0</v>
      </c>
      <c r="AF78" s="27">
        <f>COGS!AF78+'SG&amp;A'!AF78</f>
        <v>0</v>
      </c>
      <c r="AG78" s="27">
        <f>COGS!AG78+'SG&amp;A'!AG78</f>
        <v>0</v>
      </c>
      <c r="AH78" s="27">
        <f>COGS!AH78+'SG&amp;A'!AH78</f>
        <v>0</v>
      </c>
      <c r="AI78" s="27">
        <f>COGS!AI78+'SG&amp;A'!AI78</f>
        <v>0</v>
      </c>
      <c r="AJ78" s="27">
        <f>COGS!AJ78+'SG&amp;A'!AJ78</f>
        <v>0</v>
      </c>
      <c r="AK78" s="27">
        <f>COGS!AK78+'SG&amp;A'!AK78</f>
        <v>0</v>
      </c>
      <c r="AL78" s="27">
        <f>COGS!AL78+'SG&amp;A'!AL78</f>
        <v>0</v>
      </c>
      <c r="AM78" s="27">
        <f>COGS!AM78+'SG&amp;A'!AM78</f>
        <v>0</v>
      </c>
      <c r="AN78" s="27">
        <f>COGS!AN78+'SG&amp;A'!AN78</f>
        <v>0</v>
      </c>
      <c r="AO78" s="27">
        <f>COGS!AO78+'SG&amp;A'!AO78</f>
        <v>0</v>
      </c>
      <c r="AP78" s="27">
        <f>COGS!AP78+'SG&amp;A'!AP78</f>
        <v>0</v>
      </c>
      <c r="AQ78" s="27">
        <f>COGS!AQ78+'SG&amp;A'!AQ78</f>
        <v>0</v>
      </c>
      <c r="AR78" s="27">
        <f>COGS!AR78+'SG&amp;A'!AR78</f>
        <v>0</v>
      </c>
      <c r="AS78" s="27">
        <f>COGS!AS78+'SG&amp;A'!AS78</f>
        <v>0</v>
      </c>
      <c r="AT78" s="27">
        <f>COGS!AT78+'SG&amp;A'!AT78</f>
        <v>0</v>
      </c>
      <c r="AU78" s="27">
        <f>COGS!AU78+'SG&amp;A'!AU78</f>
        <v>0</v>
      </c>
      <c r="AV78" s="27">
        <f>COGS!AV78+'SG&amp;A'!AV78</f>
        <v>0</v>
      </c>
      <c r="AW78" s="27">
        <f>COGS!AW78+'SG&amp;A'!AW78</f>
        <v>0</v>
      </c>
      <c r="AX78" s="27">
        <f>COGS!AX78+'SG&amp;A'!AX78</f>
        <v>0</v>
      </c>
      <c r="AY78" s="27">
        <f>COGS!AY78+'SG&amp;A'!AY78</f>
        <v>0</v>
      </c>
      <c r="AZ78" s="27">
        <f>COGS!AZ78+'SG&amp;A'!AZ78</f>
        <v>0</v>
      </c>
      <c r="BA78" s="27">
        <f>COGS!BA78+'SG&amp;A'!BA78</f>
        <v>0</v>
      </c>
      <c r="BB78" s="27">
        <f>COGS!BB78+'SG&amp;A'!BB78</f>
        <v>0</v>
      </c>
      <c r="BC78" s="27">
        <f>COGS!BC78+'SG&amp;A'!BC78</f>
        <v>0</v>
      </c>
      <c r="BD78" s="27">
        <f>COGS!BD78+'SG&amp;A'!BD78</f>
        <v>0</v>
      </c>
      <c r="BE78" s="27">
        <f>COGS!BE78+'SG&amp;A'!BE78</f>
        <v>0</v>
      </c>
      <c r="BF78" s="27">
        <f>COGS!BF78+'SG&amp;A'!BF78</f>
        <v>0</v>
      </c>
      <c r="BG78" s="27">
        <f>COGS!BG78+'SG&amp;A'!BG78</f>
        <v>0</v>
      </c>
      <c r="BH78" s="27">
        <f>COGS!BH78+'SG&amp;A'!BH78</f>
        <v>0</v>
      </c>
      <c r="BI78" s="27">
        <f>COGS!BI78+'SG&amp;A'!BI78</f>
        <v>0</v>
      </c>
      <c r="BJ78" s="27">
        <f>COGS!BJ78+'SG&amp;A'!BJ78</f>
        <v>0</v>
      </c>
      <c r="BK78" s="27">
        <f>COGS!BK78+'SG&amp;A'!BK78</f>
        <v>0</v>
      </c>
      <c r="BL78" s="27">
        <f>COGS!BL78+'SG&amp;A'!BL78</f>
        <v>0</v>
      </c>
      <c r="BM78" s="27">
        <f>COGS!BM78+'SG&amp;A'!BM78</f>
        <v>0</v>
      </c>
      <c r="BN78" s="27">
        <f>COGS!BN78+'SG&amp;A'!BN78</f>
        <v>0</v>
      </c>
      <c r="BO78" s="27">
        <f>COGS!BO78+'SG&amp;A'!BO78</f>
        <v>0</v>
      </c>
      <c r="BP78" s="27">
        <f>COGS!BP78+'SG&amp;A'!BP78</f>
        <v>0</v>
      </c>
      <c r="BQ78" s="27">
        <f>COGS!BQ78+'SG&amp;A'!BQ78</f>
        <v>0</v>
      </c>
      <c r="BR78" s="27">
        <f>COGS!BR78+'SG&amp;A'!BR78</f>
        <v>0</v>
      </c>
      <c r="BS78" s="27">
        <f>COGS!BS78+'SG&amp;A'!BS78</f>
        <v>0</v>
      </c>
      <c r="BT78" s="27">
        <f>COGS!BT78+'SG&amp;A'!BT78</f>
        <v>0</v>
      </c>
      <c r="BU78" s="27">
        <f>COGS!BU78+'SG&amp;A'!BU78</f>
        <v>0</v>
      </c>
      <c r="BV78" s="27">
        <f>COGS!BV78+'SG&amp;A'!BV78</f>
        <v>0</v>
      </c>
      <c r="BW78" s="27">
        <f>COGS!BW78+'SG&amp;A'!BW78</f>
        <v>0</v>
      </c>
      <c r="BX78" s="27">
        <f>COGS!BX78+'SG&amp;A'!BX78</f>
        <v>0</v>
      </c>
      <c r="BY78" s="27">
        <f>COGS!BY78+'SG&amp;A'!BY78</f>
        <v>0</v>
      </c>
      <c r="BZ78" s="27">
        <f>COGS!BZ78+'SG&amp;A'!BZ78</f>
        <v>0</v>
      </c>
      <c r="CA78" s="27">
        <f>COGS!CA78+'SG&amp;A'!CA78</f>
        <v>0</v>
      </c>
      <c r="CB78" s="27">
        <f>COGS!CB78+'SG&amp;A'!CB78</f>
        <v>0</v>
      </c>
      <c r="CC78" s="27">
        <f>COGS!CC78+'SG&amp;A'!CC78</f>
        <v>0</v>
      </c>
      <c r="CD78" s="27">
        <f>COGS!CD78+'SG&amp;A'!CD78</f>
        <v>0</v>
      </c>
      <c r="CE78" s="27">
        <f>COGS!CE78+'SG&amp;A'!CE78</f>
        <v>0</v>
      </c>
      <c r="CF78" s="27">
        <f>COGS!CF78+'SG&amp;A'!CF78</f>
        <v>0</v>
      </c>
      <c r="CG78" s="27">
        <f>COGS!CG78+'SG&amp;A'!CG78</f>
        <v>0</v>
      </c>
      <c r="CH78" s="27">
        <f>COGS!CH78+'SG&amp;A'!CH78</f>
        <v>0</v>
      </c>
      <c r="CI78" s="27">
        <f>COGS!CI78+'SG&amp;A'!CI78</f>
        <v>0</v>
      </c>
      <c r="CJ78" s="27">
        <f>COGS!CJ78+'SG&amp;A'!CJ78</f>
        <v>0</v>
      </c>
      <c r="CK78" s="27">
        <f>COGS!CK78+'SG&amp;A'!CK78</f>
        <v>0</v>
      </c>
      <c r="CL78" s="27">
        <f>COGS!CL78+'SG&amp;A'!CL78</f>
        <v>0</v>
      </c>
      <c r="CM78" s="27">
        <f>COGS!CM78+'SG&amp;A'!CM78</f>
        <v>0</v>
      </c>
      <c r="CN78" s="27">
        <f>COGS!CN78+'SG&amp;A'!CN78</f>
        <v>0</v>
      </c>
      <c r="CO78" s="27">
        <f>COGS!CO78+'SG&amp;A'!CO78</f>
        <v>0</v>
      </c>
      <c r="CP78" s="27">
        <f>COGS!CP78+'SG&amp;A'!CP78</f>
        <v>0</v>
      </c>
      <c r="CQ78" s="27">
        <f>COGS!CQ78+'SG&amp;A'!CQ78</f>
        <v>0</v>
      </c>
      <c r="CR78" s="27">
        <f>COGS!CR78+'SG&amp;A'!CR78</f>
        <v>0</v>
      </c>
      <c r="CS78" s="27">
        <f>COGS!CS78+'SG&amp;A'!CS78</f>
        <v>0</v>
      </c>
      <c r="CT78" s="27">
        <f>COGS!CT78+'SG&amp;A'!CT78</f>
        <v>0</v>
      </c>
      <c r="CU78" s="27">
        <f>COGS!CU78+'SG&amp;A'!CU78</f>
        <v>0</v>
      </c>
      <c r="CV78" s="27">
        <f>COGS!CV78+'SG&amp;A'!CV78</f>
        <v>0</v>
      </c>
      <c r="CW78" s="27">
        <f>COGS!CW78+'SG&amp;A'!CW78</f>
        <v>0</v>
      </c>
      <c r="CX78" s="27">
        <f>COGS!CX78+'SG&amp;A'!CX78</f>
        <v>0</v>
      </c>
      <c r="CY78" s="27">
        <f>COGS!CY78+'SG&amp;A'!CY78</f>
        <v>0</v>
      </c>
      <c r="CZ78" s="27">
        <f>COGS!CZ78+'SG&amp;A'!CZ78</f>
        <v>0</v>
      </c>
      <c r="DA78" s="27">
        <f>COGS!DA78+'SG&amp;A'!DA78</f>
        <v>0</v>
      </c>
      <c r="DB78" s="27">
        <f>COGS!DB78+'SG&amp;A'!DB78</f>
        <v>0</v>
      </c>
      <c r="DC78" s="27">
        <f>COGS!DC78+'SG&amp;A'!DC78</f>
        <v>0</v>
      </c>
      <c r="DD78" s="27">
        <f>COGS!DD78+'SG&amp;A'!DD78</f>
        <v>0</v>
      </c>
      <c r="DE78" s="27">
        <f>COGS!DE78+'SG&amp;A'!DE78</f>
        <v>0</v>
      </c>
      <c r="DF78" s="27">
        <f>COGS!DF78+'SG&amp;A'!DF78</f>
        <v>0</v>
      </c>
      <c r="DG78" s="27">
        <f>COGS!DG78+'SG&amp;A'!DG78</f>
        <v>0</v>
      </c>
      <c r="DH78" s="27">
        <f>COGS!DH78+'SG&amp;A'!DH78</f>
        <v>0</v>
      </c>
      <c r="DI78" s="27">
        <f>COGS!DI78+'SG&amp;A'!DI78</f>
        <v>0</v>
      </c>
      <c r="DJ78" s="27">
        <f>COGS!DJ78+'SG&amp;A'!DJ78</f>
        <v>0</v>
      </c>
      <c r="DK78" s="27">
        <f>COGS!DK78+'SG&amp;A'!DK78</f>
        <v>0</v>
      </c>
      <c r="DL78" s="27">
        <f>COGS!DL78+'SG&amp;A'!DL78</f>
        <v>0</v>
      </c>
      <c r="DM78" s="27">
        <f>COGS!DM78+'SG&amp;A'!DM78</f>
        <v>0</v>
      </c>
      <c r="DN78" s="27">
        <f>COGS!DN78+'SG&amp;A'!DN78</f>
        <v>0</v>
      </c>
      <c r="DO78" s="27">
        <f>COGS!DO78+'SG&amp;A'!DO78</f>
        <v>0</v>
      </c>
      <c r="DP78" s="27">
        <f>COGS!DP78+'SG&amp;A'!DP78</f>
        <v>0</v>
      </c>
      <c r="DQ78" s="27">
        <f>COGS!DQ78+'SG&amp;A'!DQ78</f>
        <v>0</v>
      </c>
      <c r="DR78" s="27">
        <f>COGS!DR78+'SG&amp;A'!DR78</f>
        <v>0</v>
      </c>
      <c r="DS78" s="27">
        <f>COGS!DS78+'SG&amp;A'!DS78</f>
        <v>0</v>
      </c>
      <c r="DT78" s="27">
        <f>COGS!DT78+'SG&amp;A'!DT78</f>
        <v>0</v>
      </c>
      <c r="DU78" s="27">
        <f>COGS!DU78+'SG&amp;A'!DU78</f>
        <v>0</v>
      </c>
      <c r="DV78" s="27">
        <f>COGS!DV78+'SG&amp;A'!DV78</f>
        <v>0</v>
      </c>
      <c r="DW78" s="27">
        <f>COGS!DW78+'SG&amp;A'!DW78</f>
        <v>0</v>
      </c>
      <c r="DX78" s="27">
        <f>COGS!DX78+'SG&amp;A'!DX78</f>
        <v>0</v>
      </c>
      <c r="DY78" s="27">
        <f>COGS!DY78+'SG&amp;A'!DY78</f>
        <v>0</v>
      </c>
      <c r="DZ78" s="27">
        <f>COGS!DZ78+'SG&amp;A'!DZ78</f>
        <v>0</v>
      </c>
      <c r="EA78" s="27">
        <f>COGS!EA78+'SG&amp;A'!EA78</f>
        <v>0</v>
      </c>
      <c r="EB78" s="27">
        <f>COGS!EB78+'SG&amp;A'!EB78</f>
        <v>0</v>
      </c>
      <c r="EC78" s="27">
        <f>COGS!EC78+'SG&amp;A'!EC78</f>
        <v>0</v>
      </c>
      <c r="ED78" s="27">
        <f>COGS!ED78+'SG&amp;A'!ED78</f>
        <v>0</v>
      </c>
      <c r="EE78" s="27">
        <f>COGS!EE78+'SG&amp;A'!EE78</f>
        <v>0</v>
      </c>
      <c r="EF78" s="27">
        <f>COGS!EF78+'SG&amp;A'!EF78</f>
        <v>0</v>
      </c>
      <c r="EG78" s="27">
        <f>COGS!EG78+'SG&amp;A'!EG78</f>
        <v>0</v>
      </c>
      <c r="EH78" s="27">
        <f>COGS!EH78+'SG&amp;A'!EH78</f>
        <v>0</v>
      </c>
      <c r="EI78" s="27">
        <f>COGS!EI78+'SG&amp;A'!EI78</f>
        <v>0</v>
      </c>
    </row>
    <row r="79" spans="1:139" ht="15" thickBot="1" x14ac:dyDescent="0.35">
      <c r="A79" s="2" t="s">
        <v>370</v>
      </c>
      <c r="B79" s="28">
        <f>COGS!B79+'SG&amp;A'!B79</f>
        <v>0</v>
      </c>
      <c r="C79" s="28">
        <f>COGS!C79+'SG&amp;A'!C79</f>
        <v>0</v>
      </c>
      <c r="D79" s="28">
        <f>COGS!D79+'SG&amp;A'!D79</f>
        <v>0</v>
      </c>
      <c r="E79" s="28">
        <f>COGS!E79+'SG&amp;A'!E79</f>
        <v>0</v>
      </c>
      <c r="F79" s="28">
        <f>COGS!F79+'SG&amp;A'!F79</f>
        <v>0</v>
      </c>
      <c r="G79" s="28">
        <f>COGS!G79+'SG&amp;A'!G79</f>
        <v>0</v>
      </c>
      <c r="H79" s="28">
        <f>COGS!H79+'SG&amp;A'!H79</f>
        <v>0</v>
      </c>
      <c r="I79" s="28">
        <f>COGS!I79+'SG&amp;A'!I79</f>
        <v>0</v>
      </c>
      <c r="J79" s="28">
        <f>COGS!J79+'SG&amp;A'!J79</f>
        <v>0</v>
      </c>
      <c r="K79" s="28">
        <f>COGS!K79+'SG&amp;A'!K79</f>
        <v>0</v>
      </c>
      <c r="L79" s="28">
        <f>COGS!L79+'SG&amp;A'!L79</f>
        <v>0</v>
      </c>
      <c r="M79" s="28">
        <f>COGS!M79+'SG&amp;A'!M79</f>
        <v>0</v>
      </c>
      <c r="N79" s="28">
        <f>COGS!N79+'SG&amp;A'!N79</f>
        <v>0</v>
      </c>
      <c r="O79" s="28">
        <f>COGS!O79+'SG&amp;A'!O79</f>
        <v>0</v>
      </c>
      <c r="P79" s="28">
        <f>COGS!P79+'SG&amp;A'!P79</f>
        <v>0</v>
      </c>
      <c r="Q79" s="28">
        <f>COGS!Q79+'SG&amp;A'!Q79</f>
        <v>0</v>
      </c>
      <c r="R79" s="28">
        <f>COGS!R79+'SG&amp;A'!R79</f>
        <v>0</v>
      </c>
      <c r="S79" s="28">
        <f>COGS!S79+'SG&amp;A'!S79</f>
        <v>0</v>
      </c>
      <c r="T79" s="28">
        <f>COGS!T79+'SG&amp;A'!T79</f>
        <v>0</v>
      </c>
      <c r="U79" s="28">
        <f>COGS!U79+'SG&amp;A'!U79</f>
        <v>0</v>
      </c>
      <c r="V79" s="28">
        <f>COGS!V79+'SG&amp;A'!V79</f>
        <v>0</v>
      </c>
      <c r="W79" s="28">
        <f>COGS!W79+'SG&amp;A'!W79</f>
        <v>0</v>
      </c>
      <c r="X79" s="28">
        <f>COGS!X79+'SG&amp;A'!X79</f>
        <v>0</v>
      </c>
      <c r="Y79" s="28">
        <f>COGS!Y79+'SG&amp;A'!Y79</f>
        <v>0</v>
      </c>
      <c r="Z79" s="28">
        <f>COGS!Z79+'SG&amp;A'!Z79</f>
        <v>0</v>
      </c>
      <c r="AA79" s="28">
        <f>COGS!AA79+'SG&amp;A'!AA79</f>
        <v>0</v>
      </c>
      <c r="AB79" s="28">
        <f>COGS!AB79+'SG&amp;A'!AB79</f>
        <v>0</v>
      </c>
      <c r="AC79" s="28">
        <f>COGS!AC79+'SG&amp;A'!AC79</f>
        <v>0</v>
      </c>
      <c r="AD79" s="28">
        <f>COGS!AD79+'SG&amp;A'!AD79</f>
        <v>0</v>
      </c>
      <c r="AE79" s="28">
        <f>COGS!AE79+'SG&amp;A'!AE79</f>
        <v>0</v>
      </c>
      <c r="AF79" s="28">
        <f>COGS!AF79+'SG&amp;A'!AF79</f>
        <v>0</v>
      </c>
      <c r="AG79" s="28">
        <f>COGS!AG79+'SG&amp;A'!AG79</f>
        <v>0</v>
      </c>
      <c r="AH79" s="28">
        <f>COGS!AH79+'SG&amp;A'!AH79</f>
        <v>0</v>
      </c>
      <c r="AI79" s="28">
        <f>COGS!AI79+'SG&amp;A'!AI79</f>
        <v>0</v>
      </c>
      <c r="AJ79" s="28">
        <f>COGS!AJ79+'SG&amp;A'!AJ79</f>
        <v>0</v>
      </c>
      <c r="AK79" s="28">
        <f>COGS!AK79+'SG&amp;A'!AK79</f>
        <v>0</v>
      </c>
      <c r="AL79" s="28">
        <f>COGS!AL79+'SG&amp;A'!AL79</f>
        <v>0</v>
      </c>
      <c r="AM79" s="28">
        <f>COGS!AM79+'SG&amp;A'!AM79</f>
        <v>0</v>
      </c>
      <c r="AN79" s="28">
        <f>COGS!AN79+'SG&amp;A'!AN79</f>
        <v>0</v>
      </c>
      <c r="AO79" s="28">
        <f>COGS!AO79+'SG&amp;A'!AO79</f>
        <v>0</v>
      </c>
      <c r="AP79" s="28">
        <f>COGS!AP79+'SG&amp;A'!AP79</f>
        <v>0</v>
      </c>
      <c r="AQ79" s="28">
        <f>COGS!AQ79+'SG&amp;A'!AQ79</f>
        <v>0</v>
      </c>
      <c r="AR79" s="28">
        <f>COGS!AR79+'SG&amp;A'!AR79</f>
        <v>0</v>
      </c>
      <c r="AS79" s="28">
        <f>COGS!AS79+'SG&amp;A'!AS79</f>
        <v>0</v>
      </c>
      <c r="AT79" s="28">
        <f>COGS!AT79+'SG&amp;A'!AT79</f>
        <v>0</v>
      </c>
      <c r="AU79" s="28">
        <f>COGS!AU79+'SG&amp;A'!AU79</f>
        <v>0</v>
      </c>
      <c r="AV79" s="28">
        <f>COGS!AV79+'SG&amp;A'!AV79</f>
        <v>0</v>
      </c>
      <c r="AW79" s="28">
        <f>COGS!AW79+'SG&amp;A'!AW79</f>
        <v>0</v>
      </c>
      <c r="AX79" s="28">
        <f>COGS!AX79+'SG&amp;A'!AX79</f>
        <v>0</v>
      </c>
      <c r="AY79" s="28">
        <f>COGS!AY79+'SG&amp;A'!AY79</f>
        <v>0</v>
      </c>
      <c r="AZ79" s="28">
        <f>COGS!AZ79+'SG&amp;A'!AZ79</f>
        <v>0</v>
      </c>
      <c r="BA79" s="28">
        <f>COGS!BA79+'SG&amp;A'!BA79</f>
        <v>0</v>
      </c>
      <c r="BB79" s="28">
        <f>COGS!BB79+'SG&amp;A'!BB79</f>
        <v>0</v>
      </c>
      <c r="BC79" s="28">
        <f>COGS!BC79+'SG&amp;A'!BC79</f>
        <v>0</v>
      </c>
      <c r="BD79" s="28">
        <f>COGS!BD79+'SG&amp;A'!BD79</f>
        <v>0</v>
      </c>
      <c r="BE79" s="28">
        <f>COGS!BE79+'SG&amp;A'!BE79</f>
        <v>0</v>
      </c>
      <c r="BF79" s="28">
        <f>COGS!BF79+'SG&amp;A'!BF79</f>
        <v>0</v>
      </c>
      <c r="BG79" s="28">
        <f>COGS!BG79+'SG&amp;A'!BG79</f>
        <v>0</v>
      </c>
      <c r="BH79" s="28">
        <f>COGS!BH79+'SG&amp;A'!BH79</f>
        <v>0</v>
      </c>
      <c r="BI79" s="28">
        <f>COGS!BI79+'SG&amp;A'!BI79</f>
        <v>0</v>
      </c>
      <c r="BJ79" s="28">
        <f>COGS!BJ79+'SG&amp;A'!BJ79</f>
        <v>0.85856272999999983</v>
      </c>
      <c r="BK79" s="28">
        <f>COGS!BK79+'SG&amp;A'!BK79</f>
        <v>1.00388831</v>
      </c>
      <c r="BL79" s="28">
        <f>COGS!BL79+'SG&amp;A'!BL79</f>
        <v>-9.8805569999999565E-2</v>
      </c>
      <c r="BM79" s="28">
        <f>COGS!BM79+'SG&amp;A'!BM79</f>
        <v>3.5384909999999437E-2</v>
      </c>
      <c r="BN79" s="28">
        <f>COGS!BN79+'SG&amp;A'!BN79</f>
        <v>1.7990303799999996</v>
      </c>
      <c r="BO79" s="28">
        <f>COGS!BO79+'SG&amp;A'!BO79</f>
        <v>-0.54056144000000006</v>
      </c>
      <c r="BP79" s="28">
        <f>COGS!BP79+'SG&amp;A'!BP79</f>
        <v>1.2438513199999999</v>
      </c>
      <c r="BQ79" s="28">
        <f>COGS!BQ79+'SG&amp;A'!BQ79</f>
        <v>-0.24951222999999936</v>
      </c>
      <c r="BR79" s="28">
        <f>COGS!BR79+'SG&amp;A'!BR79</f>
        <v>-2.3042966100000006</v>
      </c>
      <c r="BS79" s="28">
        <f>COGS!BS79+'SG&amp;A'!BS79</f>
        <v>-1.8505189600000005</v>
      </c>
      <c r="BT79" s="28">
        <f>COGS!BT79+'SG&amp;A'!BT79</f>
        <v>0</v>
      </c>
      <c r="BU79" s="28">
        <f>COGS!BU79+'SG&amp;A'!BU79</f>
        <v>0</v>
      </c>
      <c r="BV79" s="28">
        <f>COGS!BV79+'SG&amp;A'!BV79</f>
        <v>0</v>
      </c>
      <c r="BW79" s="28">
        <f>COGS!BW79+'SG&amp;A'!BW79</f>
        <v>0</v>
      </c>
      <c r="BX79" s="28">
        <f>COGS!BX79+'SG&amp;A'!BX79</f>
        <v>0</v>
      </c>
      <c r="BY79" s="28">
        <f>COGS!BY79+'SG&amp;A'!BY79</f>
        <v>0</v>
      </c>
      <c r="BZ79" s="28">
        <f>COGS!BZ79+'SG&amp;A'!BZ79</f>
        <v>0</v>
      </c>
      <c r="CA79" s="28">
        <f>COGS!CA79+'SG&amp;A'!CA79</f>
        <v>0</v>
      </c>
      <c r="CB79" s="28">
        <f>COGS!CB79+'SG&amp;A'!CB79</f>
        <v>0</v>
      </c>
      <c r="CC79" s="28">
        <f>COGS!CC79+'SG&amp;A'!CC79</f>
        <v>0</v>
      </c>
      <c r="CD79" s="28">
        <f>COGS!CD79+'SG&amp;A'!CD79</f>
        <v>0</v>
      </c>
      <c r="CE79" s="28">
        <f>COGS!CE79+'SG&amp;A'!CE79</f>
        <v>0</v>
      </c>
      <c r="CF79" s="28">
        <f>COGS!CF79+'SG&amp;A'!CF79</f>
        <v>0</v>
      </c>
      <c r="CG79" s="28">
        <f>COGS!CG79+'SG&amp;A'!CG79</f>
        <v>0</v>
      </c>
      <c r="CH79" s="28">
        <f>COGS!CH79+'SG&amp;A'!CH79</f>
        <v>0</v>
      </c>
      <c r="CI79" s="28">
        <f>COGS!CI79+'SG&amp;A'!CI79</f>
        <v>0</v>
      </c>
      <c r="CJ79" s="28">
        <f>COGS!CJ79+'SG&amp;A'!CJ79</f>
        <v>0</v>
      </c>
      <c r="CK79" s="28">
        <f>COGS!CK79+'SG&amp;A'!CK79</f>
        <v>0</v>
      </c>
      <c r="CL79" s="28">
        <f>COGS!CL79+'SG&amp;A'!CL79</f>
        <v>0</v>
      </c>
      <c r="CM79" s="28">
        <f>COGS!CM79+'SG&amp;A'!CM79</f>
        <v>0</v>
      </c>
      <c r="CN79" s="28">
        <f>COGS!CN79+'SG&amp;A'!CN79</f>
        <v>0</v>
      </c>
      <c r="CO79" s="28">
        <f>COGS!CO79+'SG&amp;A'!CO79</f>
        <v>0</v>
      </c>
      <c r="CP79" s="28">
        <f>COGS!CP79+'SG&amp;A'!CP79</f>
        <v>0</v>
      </c>
      <c r="CQ79" s="28">
        <f>COGS!CQ79+'SG&amp;A'!CQ79</f>
        <v>0</v>
      </c>
      <c r="CR79" s="28">
        <f>COGS!CR79+'SG&amp;A'!CR79</f>
        <v>0</v>
      </c>
      <c r="CS79" s="28">
        <f>COGS!CS79+'SG&amp;A'!CS79</f>
        <v>0</v>
      </c>
      <c r="CT79" s="28">
        <f>COGS!CT79+'SG&amp;A'!CT79</f>
        <v>0</v>
      </c>
      <c r="CU79" s="28">
        <f>COGS!CU79+'SG&amp;A'!CU79</f>
        <v>0</v>
      </c>
      <c r="CV79" s="28">
        <f>COGS!CV79+'SG&amp;A'!CV79</f>
        <v>0</v>
      </c>
      <c r="CW79" s="28">
        <f>COGS!CW79+'SG&amp;A'!CW79</f>
        <v>0</v>
      </c>
      <c r="CX79" s="28">
        <f>COGS!CX79+'SG&amp;A'!CX79</f>
        <v>0</v>
      </c>
      <c r="CY79" s="28">
        <f>COGS!CY79+'SG&amp;A'!CY79</f>
        <v>0</v>
      </c>
      <c r="CZ79" s="28">
        <f>COGS!CZ79+'SG&amp;A'!CZ79</f>
        <v>0</v>
      </c>
      <c r="DA79" s="28">
        <f>COGS!DA79+'SG&amp;A'!DA79</f>
        <v>0</v>
      </c>
      <c r="DB79" s="28">
        <f>COGS!DB79+'SG&amp;A'!DB79</f>
        <v>0</v>
      </c>
      <c r="DC79" s="28">
        <f>COGS!DC79+'SG&amp;A'!DC79</f>
        <v>0</v>
      </c>
      <c r="DD79" s="28">
        <f>COGS!DD79+'SG&amp;A'!DD79</f>
        <v>0</v>
      </c>
      <c r="DE79" s="28">
        <f>COGS!DE79+'SG&amp;A'!DE79</f>
        <v>0</v>
      </c>
      <c r="DF79" s="28">
        <f>COGS!DF79+'SG&amp;A'!DF79</f>
        <v>0</v>
      </c>
      <c r="DG79" s="28">
        <f>COGS!DG79+'SG&amp;A'!DG79</f>
        <v>0</v>
      </c>
      <c r="DH79" s="28">
        <f>COGS!DH79+'SG&amp;A'!DH79</f>
        <v>0</v>
      </c>
      <c r="DI79" s="28">
        <f>COGS!DI79+'SG&amp;A'!DI79</f>
        <v>0</v>
      </c>
      <c r="DJ79" s="28">
        <f>COGS!DJ79+'SG&amp;A'!DJ79</f>
        <v>0</v>
      </c>
      <c r="DK79" s="28">
        <f>COGS!DK79+'SG&amp;A'!DK79</f>
        <v>0</v>
      </c>
      <c r="DL79" s="28">
        <f>COGS!DL79+'SG&amp;A'!DL79</f>
        <v>0</v>
      </c>
      <c r="DM79" s="28">
        <f>COGS!DM79+'SG&amp;A'!DM79</f>
        <v>0</v>
      </c>
      <c r="DN79" s="28">
        <f>COGS!DN79+'SG&amp;A'!DN79</f>
        <v>0</v>
      </c>
      <c r="DO79" s="28">
        <f>COGS!DO79+'SG&amp;A'!DO79</f>
        <v>0</v>
      </c>
      <c r="DP79" s="28">
        <f>COGS!DP79+'SG&amp;A'!DP79</f>
        <v>0</v>
      </c>
      <c r="DQ79" s="28">
        <f>COGS!DQ79+'SG&amp;A'!DQ79</f>
        <v>0</v>
      </c>
      <c r="DR79" s="28">
        <f>COGS!DR79+'SG&amp;A'!DR79</f>
        <v>0</v>
      </c>
      <c r="DS79" s="28">
        <f>COGS!DS79+'SG&amp;A'!DS79</f>
        <v>0</v>
      </c>
      <c r="DT79" s="28">
        <f>COGS!DT79+'SG&amp;A'!DT79</f>
        <v>0</v>
      </c>
      <c r="DU79" s="28">
        <f>COGS!DU79+'SG&amp;A'!DU79</f>
        <v>0</v>
      </c>
      <c r="DV79" s="28">
        <f>COGS!DV79+'SG&amp;A'!DV79</f>
        <v>0</v>
      </c>
      <c r="DW79" s="28">
        <f>COGS!DW79+'SG&amp;A'!DW79</f>
        <v>0</v>
      </c>
      <c r="DX79" s="28">
        <f>COGS!DX79+'SG&amp;A'!DX79</f>
        <v>0</v>
      </c>
      <c r="DY79" s="28">
        <f>COGS!DY79+'SG&amp;A'!DY79</f>
        <v>0</v>
      </c>
      <c r="DZ79" s="28">
        <f>COGS!DZ79+'SG&amp;A'!DZ79</f>
        <v>0</v>
      </c>
      <c r="EA79" s="28">
        <f>COGS!EA79+'SG&amp;A'!EA79</f>
        <v>0</v>
      </c>
      <c r="EB79" s="28">
        <f>COGS!EB79+'SG&amp;A'!EB79</f>
        <v>0</v>
      </c>
      <c r="EC79" s="28">
        <f>COGS!EC79+'SG&amp;A'!EC79</f>
        <v>0</v>
      </c>
      <c r="ED79" s="28">
        <f>COGS!ED79+'SG&amp;A'!ED79</f>
        <v>0</v>
      </c>
      <c r="EE79" s="28">
        <f>COGS!EE79+'SG&amp;A'!EE79</f>
        <v>0</v>
      </c>
      <c r="EF79" s="28">
        <f>COGS!EF79+'SG&amp;A'!EF79</f>
        <v>0</v>
      </c>
      <c r="EG79" s="28">
        <f>COGS!EG79+'SG&amp;A'!EG79</f>
        <v>0</v>
      </c>
      <c r="EH79" s="28">
        <f>COGS!EH79+'SG&amp;A'!EH79</f>
        <v>0</v>
      </c>
      <c r="EI79" s="28">
        <f>COGS!EI79+'SG&amp;A'!EI79</f>
        <v>0</v>
      </c>
    </row>
    <row r="80" spans="1:139" ht="15" thickTop="1" x14ac:dyDescent="0.3">
      <c r="A80" s="1" t="s">
        <v>338</v>
      </c>
      <c r="B80" s="27">
        <f>COGS!B80+'SG&amp;A'!B80</f>
        <v>0</v>
      </c>
      <c r="C80" s="27">
        <f>COGS!C80+'SG&amp;A'!C80</f>
        <v>0</v>
      </c>
      <c r="D80" s="27">
        <f>COGS!D80+'SG&amp;A'!D80</f>
        <v>0</v>
      </c>
      <c r="E80" s="27">
        <f>COGS!E80+'SG&amp;A'!E80</f>
        <v>0</v>
      </c>
      <c r="F80" s="27">
        <f>COGS!F80+'SG&amp;A'!F80</f>
        <v>0</v>
      </c>
      <c r="G80" s="27">
        <f>COGS!G80+'SG&amp;A'!G80</f>
        <v>0</v>
      </c>
      <c r="H80" s="27">
        <f>COGS!H80+'SG&amp;A'!H80</f>
        <v>0</v>
      </c>
      <c r="I80" s="27">
        <f>COGS!I80+'SG&amp;A'!I80</f>
        <v>0</v>
      </c>
      <c r="J80" s="27">
        <f>COGS!J80+'SG&amp;A'!J80</f>
        <v>0</v>
      </c>
      <c r="K80" s="27">
        <f>COGS!K80+'SG&amp;A'!K80</f>
        <v>0</v>
      </c>
      <c r="L80" s="27">
        <f>COGS!L80+'SG&amp;A'!L80</f>
        <v>0</v>
      </c>
      <c r="M80" s="27">
        <f>COGS!M80+'SG&amp;A'!M80</f>
        <v>0</v>
      </c>
      <c r="N80" s="27">
        <f>COGS!N80+'SG&amp;A'!N80</f>
        <v>0</v>
      </c>
      <c r="O80" s="27">
        <f>COGS!O80+'SG&amp;A'!O80</f>
        <v>0</v>
      </c>
      <c r="P80" s="27">
        <f>COGS!P80+'SG&amp;A'!P80</f>
        <v>0</v>
      </c>
      <c r="Q80" s="27">
        <f>COGS!Q80+'SG&amp;A'!Q80</f>
        <v>0</v>
      </c>
      <c r="R80" s="27">
        <f>COGS!R80+'SG&amp;A'!R80</f>
        <v>0</v>
      </c>
      <c r="S80" s="27">
        <f>COGS!S80+'SG&amp;A'!S80</f>
        <v>0</v>
      </c>
      <c r="T80" s="27">
        <f>COGS!T80+'SG&amp;A'!T80</f>
        <v>0</v>
      </c>
      <c r="U80" s="27">
        <f>COGS!U80+'SG&amp;A'!U80</f>
        <v>0</v>
      </c>
      <c r="V80" s="27">
        <f>COGS!V80+'SG&amp;A'!V80</f>
        <v>0</v>
      </c>
      <c r="W80" s="27">
        <f>COGS!W80+'SG&amp;A'!W80</f>
        <v>0</v>
      </c>
      <c r="X80" s="27">
        <f>COGS!X80+'SG&amp;A'!X80</f>
        <v>0</v>
      </c>
      <c r="Y80" s="27">
        <f>COGS!Y80+'SG&amp;A'!Y80</f>
        <v>0</v>
      </c>
      <c r="Z80" s="27">
        <f>COGS!Z80+'SG&amp;A'!Z80</f>
        <v>0</v>
      </c>
      <c r="AA80" s="27">
        <f>COGS!AA80+'SG&amp;A'!AA80</f>
        <v>0</v>
      </c>
      <c r="AB80" s="27">
        <f>COGS!AB80+'SG&amp;A'!AB80</f>
        <v>0</v>
      </c>
      <c r="AC80" s="27">
        <f>COGS!AC80+'SG&amp;A'!AC80</f>
        <v>0</v>
      </c>
      <c r="AD80" s="27">
        <f>COGS!AD80+'SG&amp;A'!AD80</f>
        <v>0</v>
      </c>
      <c r="AE80" s="27">
        <f>COGS!AE80+'SG&amp;A'!AE80</f>
        <v>0</v>
      </c>
      <c r="AF80" s="27">
        <f>COGS!AF80+'SG&amp;A'!AF80</f>
        <v>0</v>
      </c>
      <c r="AG80" s="27">
        <f>COGS!AG80+'SG&amp;A'!AG80</f>
        <v>0</v>
      </c>
      <c r="AH80" s="27">
        <f>COGS!AH80+'SG&amp;A'!AH80</f>
        <v>0</v>
      </c>
      <c r="AI80" s="27">
        <f>COGS!AI80+'SG&amp;A'!AI80</f>
        <v>0</v>
      </c>
      <c r="AJ80" s="27">
        <f>COGS!AJ80+'SG&amp;A'!AJ80</f>
        <v>0</v>
      </c>
      <c r="AK80" s="27">
        <f>COGS!AK80+'SG&amp;A'!AK80</f>
        <v>0</v>
      </c>
      <c r="AL80" s="27">
        <f>COGS!AL80+'SG&amp;A'!AL80</f>
        <v>0</v>
      </c>
      <c r="AM80" s="27">
        <f>COGS!AM80+'SG&amp;A'!AM80</f>
        <v>0</v>
      </c>
      <c r="AN80" s="27">
        <f>COGS!AN80+'SG&amp;A'!AN80</f>
        <v>0</v>
      </c>
      <c r="AO80" s="27">
        <f>COGS!AO80+'SG&amp;A'!AO80</f>
        <v>0</v>
      </c>
      <c r="AP80" s="27">
        <f>COGS!AP80+'SG&amp;A'!AP80</f>
        <v>0</v>
      </c>
      <c r="AQ80" s="27">
        <f>COGS!AQ80+'SG&amp;A'!AQ80</f>
        <v>0</v>
      </c>
      <c r="AR80" s="27">
        <f>COGS!AR80+'SG&amp;A'!AR80</f>
        <v>0</v>
      </c>
      <c r="AS80" s="27">
        <f>COGS!AS80+'SG&amp;A'!AS80</f>
        <v>0</v>
      </c>
      <c r="AT80" s="27">
        <f>COGS!AT80+'SG&amp;A'!AT80</f>
        <v>0</v>
      </c>
      <c r="AU80" s="27">
        <f>COGS!AU80+'SG&amp;A'!AU80</f>
        <v>0</v>
      </c>
      <c r="AV80" s="27">
        <f>COGS!AV80+'SG&amp;A'!AV80</f>
        <v>0</v>
      </c>
      <c r="AW80" s="27">
        <f>COGS!AW80+'SG&amp;A'!AW80</f>
        <v>0</v>
      </c>
      <c r="AX80" s="27">
        <f>COGS!AX80+'SG&amp;A'!AX80</f>
        <v>0</v>
      </c>
      <c r="AY80" s="27">
        <f>COGS!AY80+'SG&amp;A'!AY80</f>
        <v>0</v>
      </c>
      <c r="AZ80" s="27">
        <f>COGS!AZ80+'SG&amp;A'!AZ80</f>
        <v>0</v>
      </c>
      <c r="BA80" s="27">
        <f>COGS!BA80+'SG&amp;A'!BA80</f>
        <v>0</v>
      </c>
      <c r="BB80" s="27">
        <f>COGS!BB80+'SG&amp;A'!BB80</f>
        <v>0</v>
      </c>
      <c r="BC80" s="27">
        <f>COGS!BC80+'SG&amp;A'!BC80</f>
        <v>0</v>
      </c>
      <c r="BD80" s="27">
        <f>COGS!BD80+'SG&amp;A'!BD80</f>
        <v>0</v>
      </c>
      <c r="BE80" s="27">
        <f>COGS!BE80+'SG&amp;A'!BE80</f>
        <v>0</v>
      </c>
      <c r="BF80" s="27">
        <f>COGS!BF80+'SG&amp;A'!BF80</f>
        <v>0</v>
      </c>
      <c r="BG80" s="27">
        <f>COGS!BG80+'SG&amp;A'!BG80</f>
        <v>0</v>
      </c>
      <c r="BH80" s="27">
        <f>COGS!BH80+'SG&amp;A'!BH80</f>
        <v>0</v>
      </c>
      <c r="BI80" s="27">
        <f>COGS!BI80+'SG&amp;A'!BI80</f>
        <v>0</v>
      </c>
      <c r="BJ80" s="27">
        <f>COGS!BJ80+'SG&amp;A'!BJ80</f>
        <v>0.12874810999999997</v>
      </c>
      <c r="BK80" s="27">
        <f>COGS!BK80+'SG&amp;A'!BK80</f>
        <v>0.14049210000000001</v>
      </c>
      <c r="BL80" s="27">
        <f>COGS!BL80+'SG&amp;A'!BL80</f>
        <v>9.8339979999999994E-2</v>
      </c>
      <c r="BM80" s="27">
        <f>COGS!BM80+'SG&amp;A'!BM80</f>
        <v>9.7096189999999943E-2</v>
      </c>
      <c r="BN80" s="27">
        <f>COGS!BN80+'SG&amp;A'!BN80</f>
        <v>0.46467637999999994</v>
      </c>
      <c r="BO80" s="27">
        <f>COGS!BO80+'SG&amp;A'!BO80</f>
        <v>9.9426020000000004E-2</v>
      </c>
      <c r="BP80" s="27">
        <f>COGS!BP80+'SG&amp;A'!BP80</f>
        <v>0.13262157999999999</v>
      </c>
      <c r="BQ80" s="27">
        <f>COGS!BQ80+'SG&amp;A'!BQ80</f>
        <v>0.18019389</v>
      </c>
      <c r="BR80" s="27">
        <f>COGS!BR80+'SG&amp;A'!BR80</f>
        <v>0.13493973000000009</v>
      </c>
      <c r="BS80" s="27">
        <f>COGS!BS80+'SG&amp;A'!BS80</f>
        <v>0.54718122000000013</v>
      </c>
      <c r="BT80" s="27">
        <f>COGS!BT80+'SG&amp;A'!BT80</f>
        <v>0</v>
      </c>
      <c r="BU80" s="27">
        <f>COGS!BU80+'SG&amp;A'!BU80</f>
        <v>0</v>
      </c>
      <c r="BV80" s="27">
        <f>COGS!BV80+'SG&amp;A'!BV80</f>
        <v>0</v>
      </c>
      <c r="BW80" s="27">
        <f>COGS!BW80+'SG&amp;A'!BW80</f>
        <v>0</v>
      </c>
      <c r="BX80" s="27">
        <f>COGS!BX80+'SG&amp;A'!BX80</f>
        <v>0</v>
      </c>
      <c r="BY80" s="27">
        <f>COGS!BY80+'SG&amp;A'!BY80</f>
        <v>0</v>
      </c>
      <c r="BZ80" s="27">
        <f>COGS!BZ80+'SG&amp;A'!BZ80</f>
        <v>0</v>
      </c>
      <c r="CA80" s="27">
        <f>COGS!CA80+'SG&amp;A'!CA80</f>
        <v>0</v>
      </c>
      <c r="CB80" s="27">
        <f>COGS!CB80+'SG&amp;A'!CB80</f>
        <v>0</v>
      </c>
      <c r="CC80" s="27">
        <f>COGS!CC80+'SG&amp;A'!CC80</f>
        <v>0</v>
      </c>
      <c r="CD80" s="27">
        <f>COGS!CD80+'SG&amp;A'!CD80</f>
        <v>0</v>
      </c>
      <c r="CE80" s="27">
        <f>COGS!CE80+'SG&amp;A'!CE80</f>
        <v>0</v>
      </c>
      <c r="CF80" s="27">
        <f>COGS!CF80+'SG&amp;A'!CF80</f>
        <v>0</v>
      </c>
      <c r="CG80" s="27">
        <f>COGS!CG80+'SG&amp;A'!CG80</f>
        <v>0</v>
      </c>
      <c r="CH80" s="27">
        <f>COGS!CH80+'SG&amp;A'!CH80</f>
        <v>0</v>
      </c>
      <c r="CI80" s="27">
        <f>COGS!CI80+'SG&amp;A'!CI80</f>
        <v>0</v>
      </c>
      <c r="CJ80" s="27">
        <f>COGS!CJ80+'SG&amp;A'!CJ80</f>
        <v>0</v>
      </c>
      <c r="CK80" s="27">
        <f>COGS!CK80+'SG&amp;A'!CK80</f>
        <v>0</v>
      </c>
      <c r="CL80" s="27">
        <f>COGS!CL80+'SG&amp;A'!CL80</f>
        <v>0</v>
      </c>
      <c r="CM80" s="27">
        <f>COGS!CM80+'SG&amp;A'!CM80</f>
        <v>0</v>
      </c>
      <c r="CN80" s="27">
        <f>COGS!CN80+'SG&amp;A'!CN80</f>
        <v>0</v>
      </c>
      <c r="CO80" s="27">
        <f>COGS!CO80+'SG&amp;A'!CO80</f>
        <v>0</v>
      </c>
      <c r="CP80" s="27">
        <f>COGS!CP80+'SG&amp;A'!CP80</f>
        <v>0</v>
      </c>
      <c r="CQ80" s="27">
        <f>COGS!CQ80+'SG&amp;A'!CQ80</f>
        <v>0</v>
      </c>
      <c r="CR80" s="27">
        <f>COGS!CR80+'SG&amp;A'!CR80</f>
        <v>0</v>
      </c>
      <c r="CS80" s="27">
        <f>COGS!CS80+'SG&amp;A'!CS80</f>
        <v>0</v>
      </c>
      <c r="CT80" s="27">
        <f>COGS!CT80+'SG&amp;A'!CT80</f>
        <v>1.6E-2</v>
      </c>
      <c r="CU80" s="27">
        <f>COGS!CU80+'SG&amp;A'!CU80</f>
        <v>0</v>
      </c>
      <c r="CV80" s="27">
        <f>COGS!CV80+'SG&amp;A'!CV80</f>
        <v>5.9999999999999984E-3</v>
      </c>
      <c r="CW80" s="27">
        <f>COGS!CW80+'SG&amp;A'!CW80</f>
        <v>2.1999999999999999E-2</v>
      </c>
      <c r="CX80" s="27">
        <f>COGS!CX80+'SG&amp;A'!CX80</f>
        <v>0</v>
      </c>
      <c r="CY80" s="27">
        <f>COGS!CY80+'SG&amp;A'!CY80</f>
        <v>0</v>
      </c>
      <c r="CZ80" s="27">
        <f>COGS!CZ80+'SG&amp;A'!CZ80</f>
        <v>0</v>
      </c>
      <c r="DA80" s="27">
        <f>COGS!DA80+'SG&amp;A'!DA80</f>
        <v>1.2999999999999999E-2</v>
      </c>
      <c r="DB80" s="27">
        <f>COGS!DB80+'SG&amp;A'!DB80</f>
        <v>1.2999999999999999E-2</v>
      </c>
      <c r="DC80" s="27">
        <f>COGS!DC80+'SG&amp;A'!DC80</f>
        <v>0</v>
      </c>
      <c r="DD80" s="27">
        <f>COGS!DD80+'SG&amp;A'!DD80</f>
        <v>0</v>
      </c>
      <c r="DE80" s="27">
        <f>COGS!DE80+'SG&amp;A'!DE80</f>
        <v>0</v>
      </c>
      <c r="DF80" s="27">
        <f>COGS!DF80+'SG&amp;A'!DF80</f>
        <v>0</v>
      </c>
      <c r="DG80" s="27">
        <f>COGS!DG80+'SG&amp;A'!DG80</f>
        <v>0</v>
      </c>
      <c r="DH80" s="27">
        <f>COGS!DH80+'SG&amp;A'!DH80</f>
        <v>0</v>
      </c>
      <c r="DI80" s="27">
        <f>COGS!DI80+'SG&amp;A'!DI80</f>
        <v>0</v>
      </c>
      <c r="DJ80" s="27">
        <f>COGS!DJ80+'SG&amp;A'!DJ80</f>
        <v>0</v>
      </c>
      <c r="DK80" s="27">
        <f>COGS!DK80+'SG&amp;A'!DK80</f>
        <v>0</v>
      </c>
      <c r="DL80" s="27">
        <f>COGS!DL80+'SG&amp;A'!DL80</f>
        <v>0</v>
      </c>
      <c r="DM80" s="27">
        <f>COGS!DM80+'SG&amp;A'!DM80</f>
        <v>0</v>
      </c>
      <c r="DN80" s="27">
        <f>COGS!DN80+'SG&amp;A'!DN80</f>
        <v>0</v>
      </c>
      <c r="DO80" s="27">
        <f>COGS!DO80+'SG&amp;A'!DO80</f>
        <v>0</v>
      </c>
      <c r="DP80" s="27">
        <f>COGS!DP80+'SG&amp;A'!DP80</f>
        <v>0</v>
      </c>
      <c r="DQ80" s="27">
        <f>COGS!DQ80+'SG&amp;A'!DQ80</f>
        <v>0</v>
      </c>
      <c r="DR80" s="27">
        <f>COGS!DR80+'SG&amp;A'!DR80</f>
        <v>0</v>
      </c>
      <c r="DS80" s="27">
        <f>COGS!DS80+'SG&amp;A'!DS80</f>
        <v>0</v>
      </c>
      <c r="DT80" s="27">
        <f>COGS!DT80+'SG&amp;A'!DT80</f>
        <v>0</v>
      </c>
      <c r="DU80" s="27">
        <f>COGS!DU80+'SG&amp;A'!DU80</f>
        <v>0</v>
      </c>
      <c r="DV80" s="27">
        <f>COGS!DV80+'SG&amp;A'!DV80</f>
        <v>0</v>
      </c>
      <c r="DW80" s="27">
        <f>COGS!DW80+'SG&amp;A'!DW80</f>
        <v>0</v>
      </c>
      <c r="DX80" s="27">
        <f>COGS!DX80+'SG&amp;A'!DX80</f>
        <v>0</v>
      </c>
      <c r="DY80" s="27">
        <f>COGS!DY80+'SG&amp;A'!DY80</f>
        <v>0</v>
      </c>
      <c r="DZ80" s="27">
        <f>COGS!DZ80+'SG&amp;A'!DZ80</f>
        <v>2.3461030000000001E-2</v>
      </c>
      <c r="EA80" s="27">
        <f>COGS!EA80+'SG&amp;A'!EA80</f>
        <v>2.3461030000000001E-2</v>
      </c>
      <c r="EB80" s="27">
        <f>COGS!EB80+'SG&amp;A'!EB80</f>
        <v>0</v>
      </c>
      <c r="EC80" s="27">
        <f>COGS!EC80+'SG&amp;A'!EC80</f>
        <v>0</v>
      </c>
      <c r="ED80" s="27">
        <f>COGS!ED80+'SG&amp;A'!ED80</f>
        <v>0</v>
      </c>
      <c r="EE80" s="27">
        <f>COGS!EE80+'SG&amp;A'!EE80</f>
        <v>0</v>
      </c>
      <c r="EF80" s="27">
        <f>COGS!EF80+'SG&amp;A'!EF80</f>
        <v>0</v>
      </c>
      <c r="EG80" s="27">
        <f>COGS!EG80+'SG&amp;A'!EG80</f>
        <v>5.2999999999999999E-2</v>
      </c>
      <c r="EH80" s="27">
        <f>COGS!EH80+'SG&amp;A'!EH80</f>
        <v>5.2999999999999999E-2</v>
      </c>
      <c r="EI80" s="27">
        <f>COGS!EI80+'SG&amp;A'!EI80</f>
        <v>1.3818279999999999E-2</v>
      </c>
    </row>
    <row r="81" spans="1:139" ht="15" thickBot="1" x14ac:dyDescent="0.35">
      <c r="A81" s="2" t="s">
        <v>331</v>
      </c>
      <c r="B81" s="28">
        <f>COGS!B81+'SG&amp;A'!B81</f>
        <v>0</v>
      </c>
      <c r="C81" s="28">
        <f>COGS!C81+'SG&amp;A'!C81</f>
        <v>0</v>
      </c>
      <c r="D81" s="28">
        <f>COGS!D81+'SG&amp;A'!D81</f>
        <v>0</v>
      </c>
      <c r="E81" s="28">
        <f>COGS!E81+'SG&amp;A'!E81</f>
        <v>0</v>
      </c>
      <c r="F81" s="28">
        <f>COGS!F81+'SG&amp;A'!F81</f>
        <v>0</v>
      </c>
      <c r="G81" s="28">
        <f>COGS!G81+'SG&amp;A'!G81</f>
        <v>0</v>
      </c>
      <c r="H81" s="28">
        <f>COGS!H81+'SG&amp;A'!H81</f>
        <v>0</v>
      </c>
      <c r="I81" s="28">
        <f>COGS!I81+'SG&amp;A'!I81</f>
        <v>0</v>
      </c>
      <c r="J81" s="28">
        <f>COGS!J81+'SG&amp;A'!J81</f>
        <v>0</v>
      </c>
      <c r="K81" s="28">
        <f>COGS!K81+'SG&amp;A'!K81</f>
        <v>0</v>
      </c>
      <c r="L81" s="28">
        <f>COGS!L81+'SG&amp;A'!L81</f>
        <v>0</v>
      </c>
      <c r="M81" s="28">
        <f>COGS!M81+'SG&amp;A'!M81</f>
        <v>0</v>
      </c>
      <c r="N81" s="28">
        <f>COGS!N81+'SG&amp;A'!N81</f>
        <v>0</v>
      </c>
      <c r="O81" s="28">
        <f>COGS!O81+'SG&amp;A'!O81</f>
        <v>0</v>
      </c>
      <c r="P81" s="28">
        <f>COGS!P81+'SG&amp;A'!P81</f>
        <v>0</v>
      </c>
      <c r="Q81" s="28">
        <f>COGS!Q81+'SG&amp;A'!Q81</f>
        <v>0</v>
      </c>
      <c r="R81" s="28">
        <f>COGS!R81+'SG&amp;A'!R81</f>
        <v>0</v>
      </c>
      <c r="S81" s="28">
        <f>COGS!S81+'SG&amp;A'!S81</f>
        <v>0</v>
      </c>
      <c r="T81" s="28">
        <f>COGS!T81+'SG&amp;A'!T81</f>
        <v>0</v>
      </c>
      <c r="U81" s="28">
        <f>COGS!U81+'SG&amp;A'!U81</f>
        <v>0</v>
      </c>
      <c r="V81" s="28">
        <f>COGS!V81+'SG&amp;A'!V81</f>
        <v>0</v>
      </c>
      <c r="W81" s="28">
        <f>COGS!W81+'SG&amp;A'!W81</f>
        <v>0</v>
      </c>
      <c r="X81" s="28">
        <f>COGS!X81+'SG&amp;A'!X81</f>
        <v>0</v>
      </c>
      <c r="Y81" s="28">
        <f>COGS!Y81+'SG&amp;A'!Y81</f>
        <v>0</v>
      </c>
      <c r="Z81" s="28">
        <f>COGS!Z81+'SG&amp;A'!Z81</f>
        <v>0</v>
      </c>
      <c r="AA81" s="28">
        <f>COGS!AA81+'SG&amp;A'!AA81</f>
        <v>0</v>
      </c>
      <c r="AB81" s="28">
        <f>COGS!AB81+'SG&amp;A'!AB81</f>
        <v>0</v>
      </c>
      <c r="AC81" s="28">
        <f>COGS!AC81+'SG&amp;A'!AC81</f>
        <v>0</v>
      </c>
      <c r="AD81" s="28">
        <f>COGS!AD81+'SG&amp;A'!AD81</f>
        <v>0</v>
      </c>
      <c r="AE81" s="28">
        <f>COGS!AE81+'SG&amp;A'!AE81</f>
        <v>0</v>
      </c>
      <c r="AF81" s="28">
        <f>COGS!AF81+'SG&amp;A'!AF81</f>
        <v>0</v>
      </c>
      <c r="AG81" s="28">
        <f>COGS!AG81+'SG&amp;A'!AG81</f>
        <v>0</v>
      </c>
      <c r="AH81" s="28">
        <f>COGS!AH81+'SG&amp;A'!AH81</f>
        <v>0</v>
      </c>
      <c r="AI81" s="28">
        <f>COGS!AI81+'SG&amp;A'!AI81</f>
        <v>0</v>
      </c>
      <c r="AJ81" s="28">
        <f>COGS!AJ81+'SG&amp;A'!AJ81</f>
        <v>0</v>
      </c>
      <c r="AK81" s="28">
        <f>COGS!AK81+'SG&amp;A'!AK81</f>
        <v>0</v>
      </c>
      <c r="AL81" s="28">
        <f>COGS!AL81+'SG&amp;A'!AL81</f>
        <v>0</v>
      </c>
      <c r="AM81" s="28">
        <f>COGS!AM81+'SG&amp;A'!AM81</f>
        <v>0</v>
      </c>
      <c r="AN81" s="28">
        <f>COGS!AN81+'SG&amp;A'!AN81</f>
        <v>0</v>
      </c>
      <c r="AO81" s="28">
        <f>COGS!AO81+'SG&amp;A'!AO81</f>
        <v>0</v>
      </c>
      <c r="AP81" s="28">
        <f>COGS!AP81+'SG&amp;A'!AP81</f>
        <v>0</v>
      </c>
      <c r="AQ81" s="28">
        <f>COGS!AQ81+'SG&amp;A'!AQ81</f>
        <v>0</v>
      </c>
      <c r="AR81" s="28">
        <f>COGS!AR81+'SG&amp;A'!AR81</f>
        <v>0</v>
      </c>
      <c r="AS81" s="28">
        <f>COGS!AS81+'SG&amp;A'!AS81</f>
        <v>0</v>
      </c>
      <c r="AT81" s="28">
        <f>COGS!AT81+'SG&amp;A'!AT81</f>
        <v>0</v>
      </c>
      <c r="AU81" s="28">
        <f>COGS!AU81+'SG&amp;A'!AU81</f>
        <v>0</v>
      </c>
      <c r="AV81" s="28">
        <f>COGS!AV81+'SG&amp;A'!AV81</f>
        <v>0</v>
      </c>
      <c r="AW81" s="28">
        <f>COGS!AW81+'SG&amp;A'!AW81</f>
        <v>0</v>
      </c>
      <c r="AX81" s="28">
        <f>COGS!AX81+'SG&amp;A'!AX81</f>
        <v>0</v>
      </c>
      <c r="AY81" s="28">
        <f>COGS!AY81+'SG&amp;A'!AY81</f>
        <v>0</v>
      </c>
      <c r="AZ81" s="28">
        <f>COGS!AZ81+'SG&amp;A'!AZ81</f>
        <v>0</v>
      </c>
      <c r="BA81" s="28">
        <f>COGS!BA81+'SG&amp;A'!BA81</f>
        <v>0</v>
      </c>
      <c r="BB81" s="28">
        <f>COGS!BB81+'SG&amp;A'!BB81</f>
        <v>0</v>
      </c>
      <c r="BC81" s="28">
        <f>COGS!BC81+'SG&amp;A'!BC81</f>
        <v>0</v>
      </c>
      <c r="BD81" s="28">
        <f>COGS!BD81+'SG&amp;A'!BD81</f>
        <v>0</v>
      </c>
      <c r="BE81" s="28">
        <f>COGS!BE81+'SG&amp;A'!BE81</f>
        <v>0</v>
      </c>
      <c r="BF81" s="28">
        <f>COGS!BF81+'SG&amp;A'!BF81</f>
        <v>0</v>
      </c>
      <c r="BG81" s="28">
        <f>COGS!BG81+'SG&amp;A'!BG81</f>
        <v>0</v>
      </c>
      <c r="BH81" s="28">
        <f>COGS!BH81+'SG&amp;A'!BH81</f>
        <v>0</v>
      </c>
      <c r="BI81" s="28">
        <f>COGS!BI81+'SG&amp;A'!BI81</f>
        <v>0</v>
      </c>
      <c r="BJ81" s="28">
        <f>COGS!BJ81+'SG&amp;A'!BJ81</f>
        <v>9.5924170000000003E-2</v>
      </c>
      <c r="BK81" s="28">
        <f>COGS!BK81+'SG&amp;A'!BK81</f>
        <v>0.11472057999999999</v>
      </c>
      <c r="BL81" s="28">
        <f>COGS!BL81+'SG&amp;A'!BL81</f>
        <v>0.11233179999999998</v>
      </c>
      <c r="BM81" s="28">
        <f>COGS!BM81+'SG&amp;A'!BM81</f>
        <v>0.15461133000000002</v>
      </c>
      <c r="BN81" s="28">
        <f>COGS!BN81+'SG&amp;A'!BN81</f>
        <v>0.47758787999999996</v>
      </c>
      <c r="BO81" s="28">
        <f>COGS!BO81+'SG&amp;A'!BO81</f>
        <v>0.11902217</v>
      </c>
      <c r="BP81" s="28">
        <f>COGS!BP81+'SG&amp;A'!BP81</f>
        <v>5.0972500000000018E-2</v>
      </c>
      <c r="BQ81" s="28">
        <f>COGS!BQ81+'SG&amp;A'!BQ81</f>
        <v>0.19060313000000001</v>
      </c>
      <c r="BR81" s="28">
        <f>COGS!BR81+'SG&amp;A'!BR81</f>
        <v>0.18743996000000002</v>
      </c>
      <c r="BS81" s="28">
        <f>COGS!BS81+'SG&amp;A'!BS81</f>
        <v>0.54803776000000004</v>
      </c>
      <c r="BT81" s="28">
        <f>COGS!BT81+'SG&amp;A'!BT81</f>
        <v>0.30328105</v>
      </c>
      <c r="BU81" s="28">
        <f>COGS!BU81+'SG&amp;A'!BU81</f>
        <v>0.15196775000000001</v>
      </c>
      <c r="BV81" s="28">
        <f>COGS!BV81+'SG&amp;A'!BV81</f>
        <v>0.10283852999999998</v>
      </c>
      <c r="BW81" s="28">
        <f>COGS!BW81+'SG&amp;A'!BW81</f>
        <v>0.20209546000000006</v>
      </c>
      <c r="BX81" s="28">
        <f>COGS!BX81+'SG&amp;A'!BX81</f>
        <v>0.76018279</v>
      </c>
      <c r="BY81" s="28">
        <f>COGS!BY81+'SG&amp;A'!BY81</f>
        <v>0.13623706000000002</v>
      </c>
      <c r="BZ81" s="28">
        <f>COGS!BZ81+'SG&amp;A'!BZ81</f>
        <v>0.10915882999999998</v>
      </c>
      <c r="CA81" s="28">
        <f>COGS!CA81+'SG&amp;A'!CA81</f>
        <v>0.11097355999999997</v>
      </c>
      <c r="CB81" s="28">
        <f>COGS!CB81+'SG&amp;A'!CB81</f>
        <v>0.14374642999999998</v>
      </c>
      <c r="CC81" s="28">
        <f>COGS!CC81+'SG&amp;A'!CC81</f>
        <v>0.50011587999999996</v>
      </c>
      <c r="CD81" s="28">
        <f>COGS!CD81+'SG&amp;A'!CD81</f>
        <v>8.5032700000000003E-2</v>
      </c>
      <c r="CE81" s="28">
        <f>COGS!CE81+'SG&amp;A'!CE81</f>
        <v>0.13870684</v>
      </c>
      <c r="CF81" s="28">
        <f>COGS!CF81+'SG&amp;A'!CF81</f>
        <v>0.11108447</v>
      </c>
      <c r="CG81" s="28">
        <f>COGS!CG81+'SG&amp;A'!CG81</f>
        <v>0.48060120000000001</v>
      </c>
      <c r="CH81" s="28">
        <f>COGS!CH81+'SG&amp;A'!CH81</f>
        <v>0.81542521000000001</v>
      </c>
      <c r="CI81" s="28">
        <f>COGS!CI81+'SG&amp;A'!CI81</f>
        <v>0.13884382000000001</v>
      </c>
      <c r="CJ81" s="28">
        <f>COGS!CJ81+'SG&amp;A'!CJ81</f>
        <v>0.49441293999999997</v>
      </c>
      <c r="CK81" s="28">
        <f>COGS!CK81+'SG&amp;A'!CK81</f>
        <v>0.1536398000000001</v>
      </c>
      <c r="CL81" s="28">
        <f>COGS!CL81+'SG&amp;A'!CL81</f>
        <v>-0.37136561000000007</v>
      </c>
      <c r="CM81" s="28">
        <f>COGS!CM81+'SG&amp;A'!CM81</f>
        <v>0.41553095000000001</v>
      </c>
      <c r="CN81" s="28">
        <f>COGS!CN81+'SG&amp;A'!CN81</f>
        <v>4.6188799999999997E-3</v>
      </c>
      <c r="CO81" s="28">
        <f>COGS!CO81+'SG&amp;A'!CO81</f>
        <v>0.20987735000000002</v>
      </c>
      <c r="CP81" s="28">
        <f>COGS!CP81+'SG&amp;A'!CP81</f>
        <v>8.6932899999999855E-3</v>
      </c>
      <c r="CQ81" s="28">
        <f>COGS!CQ81+'SG&amp;A'!CQ81</f>
        <v>-1.8951999999999858E-4</v>
      </c>
      <c r="CR81" s="28">
        <f>COGS!CR81+'SG&amp;A'!CR81</f>
        <v>0.223</v>
      </c>
      <c r="CS81" s="28">
        <f>COGS!CS81+'SG&amp;A'!CS81</f>
        <v>0</v>
      </c>
      <c r="CT81" s="28">
        <f>COGS!CT81+'SG&amp;A'!CT81</f>
        <v>0.20120270000000001</v>
      </c>
      <c r="CU81" s="28">
        <f>COGS!CU81+'SG&amp;A'!CU81</f>
        <v>7.304527999999999E-2</v>
      </c>
      <c r="CV81" s="28">
        <f>COGS!CV81+'SG&amp;A'!CV81</f>
        <v>1.0294700000000323E-3</v>
      </c>
      <c r="CW81" s="28">
        <f>COGS!CW81+'SG&amp;A'!CW81</f>
        <v>0.27527745000000003</v>
      </c>
      <c r="CX81" s="28">
        <f>COGS!CX81+'SG&amp;A'!CX81</f>
        <v>0</v>
      </c>
      <c r="CY81" s="28">
        <f>COGS!CY81+'SG&amp;A'!CY81</f>
        <v>0.27700000000000002</v>
      </c>
      <c r="CZ81" s="28">
        <f>COGS!CZ81+'SG&amp;A'!CZ81</f>
        <v>5.0000000000000001E-3</v>
      </c>
      <c r="DA81" s="28">
        <f>COGS!DA81+'SG&amp;A'!DA81</f>
        <v>0.01</v>
      </c>
      <c r="DB81" s="28">
        <f>COGS!DB81+'SG&amp;A'!DB81</f>
        <v>0.29200000000000004</v>
      </c>
      <c r="DC81" s="28">
        <f>COGS!DC81+'SG&amp;A'!DC81</f>
        <v>0</v>
      </c>
      <c r="DD81" s="28">
        <f>COGS!DD81+'SG&amp;A'!DD81</f>
        <v>0</v>
      </c>
      <c r="DE81" s="28">
        <f>COGS!DE81+'SG&amp;A'!DE81</f>
        <v>0.57499999999999996</v>
      </c>
      <c r="DF81" s="28">
        <f>COGS!DF81+'SG&amp;A'!DF81</f>
        <v>-0.14899999999999999</v>
      </c>
      <c r="DG81" s="28">
        <f>COGS!DG81+'SG&amp;A'!DG81</f>
        <v>0.42599999999999993</v>
      </c>
      <c r="DH81" s="28">
        <f>COGS!DH81+'SG&amp;A'!DH81</f>
        <v>0</v>
      </c>
      <c r="DI81" s="28">
        <f>COGS!DI81+'SG&amp;A'!DI81</f>
        <v>0.40799999999999997</v>
      </c>
      <c r="DJ81" s="28">
        <f>COGS!DJ81+'SG&amp;A'!DJ81</f>
        <v>0</v>
      </c>
      <c r="DK81" s="28">
        <f>COGS!DK81+'SG&amp;A'!DK81</f>
        <v>0</v>
      </c>
      <c r="DL81" s="28">
        <f>COGS!DL81+'SG&amp;A'!DL81</f>
        <v>0.40799999999999997</v>
      </c>
      <c r="DM81" s="28">
        <f>COGS!DM81+'SG&amp;A'!DM81</f>
        <v>6.0000000000000001E-3</v>
      </c>
      <c r="DN81" s="28">
        <f>COGS!DN81+'SG&amp;A'!DN81</f>
        <v>0.379</v>
      </c>
      <c r="DO81" s="28">
        <f>COGS!DO81+'SG&amp;A'!DO81</f>
        <v>4.0000000000000001E-3</v>
      </c>
      <c r="DP81" s="28">
        <f>COGS!DP81+'SG&amp;A'!DP81</f>
        <v>3.0000000000000001E-3</v>
      </c>
      <c r="DQ81" s="28">
        <f>COGS!DQ81+'SG&amp;A'!DQ81</f>
        <v>0.39200000000000002</v>
      </c>
      <c r="DR81" s="28">
        <f>COGS!DR81+'SG&amp;A'!DR81</f>
        <v>4.0000000000000001E-3</v>
      </c>
      <c r="DS81" s="28">
        <f>COGS!DS81+'SG&amp;A'!DS81</f>
        <v>1.4999999999999999E-2</v>
      </c>
      <c r="DT81" s="28">
        <f>COGS!DT81+'SG&amp;A'!DT81</f>
        <v>3.0000000000000001E-3</v>
      </c>
      <c r="DU81" s="28">
        <f>COGS!DU81+'SG&amp;A'!DU81</f>
        <v>0.377</v>
      </c>
      <c r="DV81" s="28">
        <f>COGS!DV81+'SG&amp;A'!DV81</f>
        <v>0.39900000000000002</v>
      </c>
      <c r="DW81" s="28">
        <f>COGS!DW81+'SG&amp;A'!DW81</f>
        <v>2.9000000000000001E-2</v>
      </c>
      <c r="DX81" s="28">
        <f>COGS!DX81+'SG&amp;A'!DX81</f>
        <v>0.36278916</v>
      </c>
      <c r="DY81" s="28">
        <f>COGS!DY81+'SG&amp;A'!DY81</f>
        <v>-0.23469071999999996</v>
      </c>
      <c r="DZ81" s="28">
        <f>COGS!DZ81+'SG&amp;A'!DZ81</f>
        <v>-1.776102000000002E-2</v>
      </c>
      <c r="EA81" s="28">
        <f>COGS!EA81+'SG&amp;A'!EA81</f>
        <v>0.13933742000000005</v>
      </c>
      <c r="EB81" s="28">
        <f>COGS!EB81+'SG&amp;A'!EB81</f>
        <v>1.8853999999999999E-2</v>
      </c>
      <c r="EC81" s="28">
        <f>COGS!EC81+'SG&amp;A'!EC81</f>
        <v>0.31040621999999995</v>
      </c>
      <c r="ED81" s="28">
        <f>COGS!ED81+'SG&amp;A'!ED81</f>
        <v>0.38400000000000001</v>
      </c>
      <c r="EE81" s="28">
        <f>COGS!EE81+'SG&amp;A'!EE81</f>
        <v>1.102698E-2</v>
      </c>
      <c r="EF81" s="28">
        <f>COGS!EF81+'SG&amp;A'!EF81</f>
        <v>0.72428720000000002</v>
      </c>
      <c r="EG81" s="28">
        <f>COGS!EG81+'SG&amp;A'!EG81</f>
        <v>3.8416269999999995E-2</v>
      </c>
      <c r="EH81" s="28">
        <f>COGS!EH81+'SG&amp;A'!EH81</f>
        <v>0.23588736000000002</v>
      </c>
      <c r="EI81" s="28">
        <f>COGS!EI81+'SG&amp;A'!EI81</f>
        <v>-0.21126838000000001</v>
      </c>
    </row>
    <row r="82" spans="1:139" ht="15" thickTop="1" x14ac:dyDescent="0.3">
      <c r="A82" s="1" t="s">
        <v>308</v>
      </c>
      <c r="B82" s="27">
        <f>COGS!B82+'SG&amp;A'!B82</f>
        <v>0</v>
      </c>
      <c r="C82" s="27">
        <f>COGS!C82+'SG&amp;A'!C82</f>
        <v>0</v>
      </c>
      <c r="D82" s="27">
        <f>COGS!D82+'SG&amp;A'!D82</f>
        <v>0</v>
      </c>
      <c r="E82" s="27">
        <f>COGS!E82+'SG&amp;A'!E82</f>
        <v>0</v>
      </c>
      <c r="F82" s="27">
        <f>COGS!F82+'SG&amp;A'!F82</f>
        <v>0</v>
      </c>
      <c r="G82" s="27">
        <f>COGS!G82+'SG&amp;A'!G82</f>
        <v>0</v>
      </c>
      <c r="H82" s="27">
        <f>COGS!H82+'SG&amp;A'!H82</f>
        <v>0</v>
      </c>
      <c r="I82" s="27">
        <f>COGS!I82+'SG&amp;A'!I82</f>
        <v>0</v>
      </c>
      <c r="J82" s="27">
        <f>COGS!J82+'SG&amp;A'!J82</f>
        <v>0</v>
      </c>
      <c r="K82" s="27">
        <f>COGS!K82+'SG&amp;A'!K82</f>
        <v>0</v>
      </c>
      <c r="L82" s="27">
        <f>COGS!L82+'SG&amp;A'!L82</f>
        <v>0</v>
      </c>
      <c r="M82" s="27">
        <f>COGS!M82+'SG&amp;A'!M82</f>
        <v>0</v>
      </c>
      <c r="N82" s="27">
        <f>COGS!N82+'SG&amp;A'!N82</f>
        <v>0</v>
      </c>
      <c r="O82" s="27">
        <f>COGS!O82+'SG&amp;A'!O82</f>
        <v>0</v>
      </c>
      <c r="P82" s="27">
        <f>COGS!P82+'SG&amp;A'!P82</f>
        <v>0</v>
      </c>
      <c r="Q82" s="27">
        <f>COGS!Q82+'SG&amp;A'!Q82</f>
        <v>0</v>
      </c>
      <c r="R82" s="27">
        <f>COGS!R82+'SG&amp;A'!R82</f>
        <v>0</v>
      </c>
      <c r="S82" s="27">
        <f>COGS!S82+'SG&amp;A'!S82</f>
        <v>0</v>
      </c>
      <c r="T82" s="27">
        <f>COGS!T82+'SG&amp;A'!T82</f>
        <v>0</v>
      </c>
      <c r="U82" s="27">
        <f>COGS!U82+'SG&amp;A'!U82</f>
        <v>0</v>
      </c>
      <c r="V82" s="27">
        <f>COGS!V82+'SG&amp;A'!V82</f>
        <v>0</v>
      </c>
      <c r="W82" s="27">
        <f>COGS!W82+'SG&amp;A'!W82</f>
        <v>0</v>
      </c>
      <c r="X82" s="27">
        <f>COGS!X82+'SG&amp;A'!X82</f>
        <v>0</v>
      </c>
      <c r="Y82" s="27">
        <f>COGS!Y82+'SG&amp;A'!Y82</f>
        <v>0</v>
      </c>
      <c r="Z82" s="27">
        <f>COGS!Z82+'SG&amp;A'!Z82</f>
        <v>0</v>
      </c>
      <c r="AA82" s="27">
        <f>COGS!AA82+'SG&amp;A'!AA82</f>
        <v>0</v>
      </c>
      <c r="AB82" s="27">
        <f>COGS!AB82+'SG&amp;A'!AB82</f>
        <v>0</v>
      </c>
      <c r="AC82" s="27">
        <f>COGS!AC82+'SG&amp;A'!AC82</f>
        <v>0</v>
      </c>
      <c r="AD82" s="27">
        <f>COGS!AD82+'SG&amp;A'!AD82</f>
        <v>0</v>
      </c>
      <c r="AE82" s="27">
        <f>COGS!AE82+'SG&amp;A'!AE82</f>
        <v>0</v>
      </c>
      <c r="AF82" s="27">
        <f>COGS!AF82+'SG&amp;A'!AF82</f>
        <v>0</v>
      </c>
      <c r="AG82" s="27">
        <f>COGS!AG82+'SG&amp;A'!AG82</f>
        <v>0</v>
      </c>
      <c r="AH82" s="27">
        <f>COGS!AH82+'SG&amp;A'!AH82</f>
        <v>0</v>
      </c>
      <c r="AI82" s="27">
        <f>COGS!AI82+'SG&amp;A'!AI82</f>
        <v>0</v>
      </c>
      <c r="AJ82" s="27">
        <f>COGS!AJ82+'SG&amp;A'!AJ82</f>
        <v>0</v>
      </c>
      <c r="AK82" s="27">
        <f>COGS!AK82+'SG&amp;A'!AK82</f>
        <v>0</v>
      </c>
      <c r="AL82" s="27">
        <f>COGS!AL82+'SG&amp;A'!AL82</f>
        <v>0</v>
      </c>
      <c r="AM82" s="27">
        <f>COGS!AM82+'SG&amp;A'!AM82</f>
        <v>0</v>
      </c>
      <c r="AN82" s="27">
        <f>COGS!AN82+'SG&amp;A'!AN82</f>
        <v>0</v>
      </c>
      <c r="AO82" s="27">
        <f>COGS!AO82+'SG&amp;A'!AO82</f>
        <v>0</v>
      </c>
      <c r="AP82" s="27">
        <f>COGS!AP82+'SG&amp;A'!AP82</f>
        <v>0</v>
      </c>
      <c r="AQ82" s="27">
        <f>COGS!AQ82+'SG&amp;A'!AQ82</f>
        <v>0</v>
      </c>
      <c r="AR82" s="27">
        <f>COGS!AR82+'SG&amp;A'!AR82</f>
        <v>0</v>
      </c>
      <c r="AS82" s="27">
        <f>COGS!AS82+'SG&amp;A'!AS82</f>
        <v>0</v>
      </c>
      <c r="AT82" s="27">
        <f>COGS!AT82+'SG&amp;A'!AT82</f>
        <v>0</v>
      </c>
      <c r="AU82" s="27">
        <f>COGS!AU82+'SG&amp;A'!AU82</f>
        <v>0</v>
      </c>
      <c r="AV82" s="27">
        <f>COGS!AV82+'SG&amp;A'!AV82</f>
        <v>0</v>
      </c>
      <c r="AW82" s="27">
        <f>COGS!AW82+'SG&amp;A'!AW82</f>
        <v>0</v>
      </c>
      <c r="AX82" s="27">
        <f>COGS!AX82+'SG&amp;A'!AX82</f>
        <v>0</v>
      </c>
      <c r="AY82" s="27">
        <f>COGS!AY82+'SG&amp;A'!AY82</f>
        <v>0</v>
      </c>
      <c r="AZ82" s="27">
        <f>COGS!AZ82+'SG&amp;A'!AZ82</f>
        <v>0</v>
      </c>
      <c r="BA82" s="27">
        <f>COGS!BA82+'SG&amp;A'!BA82</f>
        <v>0</v>
      </c>
      <c r="BB82" s="27">
        <f>COGS!BB82+'SG&amp;A'!BB82</f>
        <v>0</v>
      </c>
      <c r="BC82" s="27">
        <f>COGS!BC82+'SG&amp;A'!BC82</f>
        <v>0</v>
      </c>
      <c r="BD82" s="27">
        <f>COGS!BD82+'SG&amp;A'!BD82</f>
        <v>0</v>
      </c>
      <c r="BE82" s="27">
        <f>COGS!BE82+'SG&amp;A'!BE82</f>
        <v>0</v>
      </c>
      <c r="BF82" s="27">
        <f>COGS!BF82+'SG&amp;A'!BF82</f>
        <v>0</v>
      </c>
      <c r="BG82" s="27">
        <f>COGS!BG82+'SG&amp;A'!BG82</f>
        <v>0</v>
      </c>
      <c r="BH82" s="27">
        <f>COGS!BH82+'SG&amp;A'!BH82</f>
        <v>0</v>
      </c>
      <c r="BI82" s="27">
        <f>COGS!BI82+'SG&amp;A'!BI82</f>
        <v>0</v>
      </c>
      <c r="BJ82" s="27">
        <f>COGS!BJ82+'SG&amp;A'!BJ82</f>
        <v>0</v>
      </c>
      <c r="BK82" s="27">
        <f>COGS!BK82+'SG&amp;A'!BK82</f>
        <v>-0.20077766</v>
      </c>
      <c r="BL82" s="27">
        <f>COGS!BL82+'SG&amp;A'!BL82</f>
        <v>1.9761100000000004E-2</v>
      </c>
      <c r="BM82" s="27">
        <f>COGS!BM82+'SG&amp;A'!BM82</f>
        <v>-7.0769900000000052E-3</v>
      </c>
      <c r="BN82" s="27">
        <f>COGS!BN82+'SG&amp;A'!BN82</f>
        <v>-0.18809355</v>
      </c>
      <c r="BO82" s="27">
        <f>COGS!BO82+'SG&amp;A'!BO82</f>
        <v>0.10811229</v>
      </c>
      <c r="BP82" s="27">
        <f>COGS!BP82+'SG&amp;A'!BP82</f>
        <v>-0.24877025999999999</v>
      </c>
      <c r="BQ82" s="27">
        <f>COGS!BQ82+'SG&amp;A'!BQ82</f>
        <v>4.9902310000000005E-2</v>
      </c>
      <c r="BR82" s="27">
        <f>COGS!BR82+'SG&amp;A'!BR82</f>
        <v>0.46085944000000001</v>
      </c>
      <c r="BS82" s="27">
        <f>COGS!BS82+'SG&amp;A'!BS82</f>
        <v>0.37010377999999999</v>
      </c>
      <c r="BT82" s="27">
        <f>COGS!BT82+'SG&amp;A'!BT82</f>
        <v>0</v>
      </c>
      <c r="BU82" s="27">
        <f>COGS!BU82+'SG&amp;A'!BU82</f>
        <v>0</v>
      </c>
      <c r="BV82" s="27">
        <f>COGS!BV82+'SG&amp;A'!BV82</f>
        <v>-0.1</v>
      </c>
      <c r="BW82" s="27">
        <f>COGS!BW82+'SG&amp;A'!BW82</f>
        <v>0.1</v>
      </c>
      <c r="BX82" s="27">
        <f>COGS!BX82+'SG&amp;A'!BX82</f>
        <v>0</v>
      </c>
      <c r="BY82" s="27">
        <f>COGS!BY82+'SG&amp;A'!BY82</f>
        <v>0.10524612</v>
      </c>
      <c r="BZ82" s="27">
        <f>COGS!BZ82+'SG&amp;A'!BZ82</f>
        <v>0</v>
      </c>
      <c r="CA82" s="27">
        <f>COGS!CA82+'SG&amp;A'!CA82</f>
        <v>-0.2</v>
      </c>
      <c r="CB82" s="27">
        <f>COGS!CB82+'SG&amp;A'!CB82</f>
        <v>0.1</v>
      </c>
      <c r="CC82" s="27">
        <f>COGS!CC82+'SG&amp;A'!CC82</f>
        <v>5.246119999999993E-3</v>
      </c>
      <c r="CD82" s="27">
        <f>COGS!CD82+'SG&amp;A'!CD82</f>
        <v>0.112</v>
      </c>
      <c r="CE82" s="27">
        <f>COGS!CE82+'SG&amp;A'!CE82</f>
        <v>-4.7528334000000005E-2</v>
      </c>
      <c r="CF82" s="27">
        <f>COGS!CF82+'SG&amp;A'!CF82</f>
        <v>0</v>
      </c>
      <c r="CG82" s="27">
        <f>COGS!CG82+'SG&amp;A'!CG82</f>
        <v>0</v>
      </c>
      <c r="CH82" s="27">
        <f>COGS!CH82+'SG&amp;A'!CH82</f>
        <v>6.4471666000000039E-2</v>
      </c>
      <c r="CI82" s="27">
        <f>COGS!CI82+'SG&amp;A'!CI82</f>
        <v>0</v>
      </c>
      <c r="CJ82" s="27">
        <f>COGS!CJ82+'SG&amp;A'!CJ82</f>
        <v>0</v>
      </c>
      <c r="CK82" s="27">
        <f>COGS!CK82+'SG&amp;A'!CK82</f>
        <v>0</v>
      </c>
      <c r="CL82" s="27">
        <f>COGS!CL82+'SG&amp;A'!CL82</f>
        <v>0</v>
      </c>
      <c r="CM82" s="27">
        <f>COGS!CM82+'SG&amp;A'!CM82</f>
        <v>0</v>
      </c>
      <c r="CN82" s="27">
        <f>COGS!CN82+'SG&amp;A'!CN82</f>
        <v>-2.9291540000000005E-2</v>
      </c>
      <c r="CO82" s="27">
        <f>COGS!CO82+'SG&amp;A'!CO82</f>
        <v>2.9291540000000005E-2</v>
      </c>
      <c r="CP82" s="27">
        <f>COGS!CP82+'SG&amp;A'!CP82</f>
        <v>-0.3</v>
      </c>
      <c r="CQ82" s="27">
        <f>COGS!CQ82+'SG&amp;A'!CQ82</f>
        <v>0.30099999999999999</v>
      </c>
      <c r="CR82" s="27">
        <f>COGS!CR82+'SG&amp;A'!CR82</f>
        <v>1.0000000000000009E-3</v>
      </c>
      <c r="CS82" s="27">
        <f>COGS!CS82+'SG&amp;A'!CS82</f>
        <v>0</v>
      </c>
      <c r="CT82" s="27">
        <f>COGS!CT82+'SG&amp;A'!CT82</f>
        <v>0</v>
      </c>
      <c r="CU82" s="27">
        <f>COGS!CU82+'SG&amp;A'!CU82</f>
        <v>0</v>
      </c>
      <c r="CV82" s="27">
        <f>COGS!CV82+'SG&amp;A'!CV82</f>
        <v>0</v>
      </c>
      <c r="CW82" s="27">
        <f>COGS!CW82+'SG&amp;A'!CW82</f>
        <v>0</v>
      </c>
      <c r="CX82" s="27">
        <f>COGS!CX82+'SG&amp;A'!CX82</f>
        <v>0</v>
      </c>
      <c r="CY82" s="27">
        <f>COGS!CY82+'SG&amp;A'!CY82</f>
        <v>0</v>
      </c>
      <c r="CZ82" s="27">
        <f>COGS!CZ82+'SG&amp;A'!CZ82</f>
        <v>0</v>
      </c>
      <c r="DA82" s="27">
        <f>COGS!DA82+'SG&amp;A'!DA82</f>
        <v>0</v>
      </c>
      <c r="DB82" s="27">
        <f>COGS!DB82+'SG&amp;A'!DB82</f>
        <v>0</v>
      </c>
      <c r="DC82" s="27">
        <f>COGS!DC82+'SG&amp;A'!DC82</f>
        <v>0</v>
      </c>
      <c r="DD82" s="27">
        <f>COGS!DD82+'SG&amp;A'!DD82</f>
        <v>0</v>
      </c>
      <c r="DE82" s="27">
        <f>COGS!DE82+'SG&amp;A'!DE82</f>
        <v>0</v>
      </c>
      <c r="DF82" s="27">
        <f>COGS!DF82+'SG&amp;A'!DF82</f>
        <v>0</v>
      </c>
      <c r="DG82" s="27">
        <f>COGS!DG82+'SG&amp;A'!DG82</f>
        <v>0</v>
      </c>
      <c r="DH82" s="27">
        <f>COGS!DH82+'SG&amp;A'!DH82</f>
        <v>0</v>
      </c>
      <c r="DI82" s="27">
        <f>COGS!DI82+'SG&amp;A'!DI82</f>
        <v>0</v>
      </c>
      <c r="DJ82" s="27">
        <f>COGS!DJ82+'SG&amp;A'!DJ82</f>
        <v>0</v>
      </c>
      <c r="DK82" s="27">
        <f>COGS!DK82+'SG&amp;A'!DK82</f>
        <v>0</v>
      </c>
      <c r="DL82" s="27">
        <f>COGS!DL82+'SG&amp;A'!DL82</f>
        <v>0</v>
      </c>
      <c r="DM82" s="27">
        <f>COGS!DM82+'SG&amp;A'!DM82</f>
        <v>0</v>
      </c>
      <c r="DN82" s="27">
        <f>COGS!DN82+'SG&amp;A'!DN82</f>
        <v>0</v>
      </c>
      <c r="DO82" s="27">
        <f>COGS!DO82+'SG&amp;A'!DO82</f>
        <v>0</v>
      </c>
      <c r="DP82" s="27">
        <f>COGS!DP82+'SG&amp;A'!DP82</f>
        <v>0</v>
      </c>
      <c r="DQ82" s="27">
        <f>COGS!DQ82+'SG&amp;A'!DQ82</f>
        <v>0</v>
      </c>
      <c r="DR82" s="27">
        <f>COGS!DR82+'SG&amp;A'!DR82</f>
        <v>0</v>
      </c>
      <c r="DS82" s="27">
        <f>COGS!DS82+'SG&amp;A'!DS82</f>
        <v>0</v>
      </c>
      <c r="DT82" s="27">
        <f>COGS!DT82+'SG&amp;A'!DT82</f>
        <v>0</v>
      </c>
      <c r="DU82" s="27">
        <f>COGS!DU82+'SG&amp;A'!DU82</f>
        <v>0</v>
      </c>
      <c r="DV82" s="27">
        <f>COGS!DV82+'SG&amp;A'!DV82</f>
        <v>0</v>
      </c>
      <c r="DW82" s="27">
        <f>COGS!DW82+'SG&amp;A'!DW82</f>
        <v>0</v>
      </c>
      <c r="DX82" s="27">
        <f>COGS!DX82+'SG&amp;A'!DX82</f>
        <v>0</v>
      </c>
      <c r="DY82" s="27">
        <f>COGS!DY82+'SG&amp;A'!DY82</f>
        <v>0</v>
      </c>
      <c r="DZ82" s="27">
        <f>COGS!DZ82+'SG&amp;A'!DZ82</f>
        <v>0</v>
      </c>
      <c r="EA82" s="27">
        <f>COGS!EA82+'SG&amp;A'!EA82</f>
        <v>0</v>
      </c>
      <c r="EB82" s="27">
        <f>COGS!EB82+'SG&amp;A'!EB82</f>
        <v>0</v>
      </c>
      <c r="EC82" s="27">
        <f>COGS!EC82+'SG&amp;A'!EC82</f>
        <v>0</v>
      </c>
      <c r="ED82" s="27">
        <f>COGS!ED82+'SG&amp;A'!ED82</f>
        <v>0</v>
      </c>
      <c r="EE82" s="27">
        <f>COGS!EE82+'SG&amp;A'!EE82</f>
        <v>0</v>
      </c>
      <c r="EF82" s="27">
        <f>COGS!EF82+'SG&amp;A'!EF82</f>
        <v>0</v>
      </c>
      <c r="EG82" s="27">
        <f>COGS!EG82+'SG&amp;A'!EG82</f>
        <v>0</v>
      </c>
      <c r="EH82" s="27">
        <f>COGS!EH82+'SG&amp;A'!EH82</f>
        <v>0</v>
      </c>
      <c r="EI82" s="27">
        <f>COGS!EI82+'SG&amp;A'!EI82</f>
        <v>0</v>
      </c>
    </row>
    <row r="83" spans="1:139" x14ac:dyDescent="0.3">
      <c r="A83" s="5" t="s">
        <v>311</v>
      </c>
      <c r="B83" s="10">
        <f>SUM(B60:B82)</f>
        <v>0</v>
      </c>
      <c r="C83" s="10">
        <f t="shared" ref="C83:BN83" si="8">SUM(C60:C82)</f>
        <v>0</v>
      </c>
      <c r="D83" s="10">
        <f t="shared" si="8"/>
        <v>0</v>
      </c>
      <c r="E83" s="10">
        <f t="shared" si="8"/>
        <v>0</v>
      </c>
      <c r="F83" s="10">
        <f t="shared" si="8"/>
        <v>0</v>
      </c>
      <c r="G83" s="10">
        <f t="shared" si="8"/>
        <v>0</v>
      </c>
      <c r="H83" s="10">
        <f t="shared" si="8"/>
        <v>0</v>
      </c>
      <c r="I83" s="10">
        <f t="shared" si="8"/>
        <v>0</v>
      </c>
      <c r="J83" s="10">
        <f t="shared" si="8"/>
        <v>0</v>
      </c>
      <c r="K83" s="10">
        <f t="shared" si="8"/>
        <v>0</v>
      </c>
      <c r="L83" s="10">
        <f t="shared" si="8"/>
        <v>0</v>
      </c>
      <c r="M83" s="10">
        <f t="shared" si="8"/>
        <v>0</v>
      </c>
      <c r="N83" s="10">
        <f t="shared" si="8"/>
        <v>0</v>
      </c>
      <c r="O83" s="10">
        <f t="shared" si="8"/>
        <v>0</v>
      </c>
      <c r="P83" s="10">
        <f t="shared" si="8"/>
        <v>0</v>
      </c>
      <c r="Q83" s="10">
        <f t="shared" si="8"/>
        <v>0</v>
      </c>
      <c r="R83" s="10">
        <f t="shared" si="8"/>
        <v>0</v>
      </c>
      <c r="S83" s="10">
        <f t="shared" si="8"/>
        <v>0</v>
      </c>
      <c r="T83" s="10">
        <f t="shared" si="8"/>
        <v>0</v>
      </c>
      <c r="U83" s="10">
        <f t="shared" si="8"/>
        <v>0</v>
      </c>
      <c r="V83" s="10">
        <f t="shared" si="8"/>
        <v>0</v>
      </c>
      <c r="W83" s="10">
        <f t="shared" si="8"/>
        <v>0</v>
      </c>
      <c r="X83" s="10">
        <f t="shared" si="8"/>
        <v>0</v>
      </c>
      <c r="Y83" s="10">
        <f t="shared" si="8"/>
        <v>0</v>
      </c>
      <c r="Z83" s="10">
        <f t="shared" si="8"/>
        <v>0</v>
      </c>
      <c r="AA83" s="10">
        <f t="shared" si="8"/>
        <v>0</v>
      </c>
      <c r="AB83" s="10">
        <f t="shared" si="8"/>
        <v>0</v>
      </c>
      <c r="AC83" s="10">
        <f t="shared" si="8"/>
        <v>0</v>
      </c>
      <c r="AD83" s="10">
        <f t="shared" si="8"/>
        <v>0</v>
      </c>
      <c r="AE83" s="10">
        <f t="shared" si="8"/>
        <v>0</v>
      </c>
      <c r="AF83" s="10">
        <f t="shared" si="8"/>
        <v>0</v>
      </c>
      <c r="AG83" s="10">
        <f t="shared" si="8"/>
        <v>0</v>
      </c>
      <c r="AH83" s="10">
        <f t="shared" si="8"/>
        <v>0</v>
      </c>
      <c r="AI83" s="10">
        <f t="shared" si="8"/>
        <v>0</v>
      </c>
      <c r="AJ83" s="10">
        <f t="shared" si="8"/>
        <v>0</v>
      </c>
      <c r="AK83" s="10">
        <f t="shared" si="8"/>
        <v>0</v>
      </c>
      <c r="AL83" s="10">
        <f t="shared" si="8"/>
        <v>0</v>
      </c>
      <c r="AM83" s="10">
        <f t="shared" si="8"/>
        <v>0</v>
      </c>
      <c r="AN83" s="10">
        <f t="shared" si="8"/>
        <v>0</v>
      </c>
      <c r="AO83" s="10">
        <f t="shared" si="8"/>
        <v>0</v>
      </c>
      <c r="AP83" s="10">
        <f t="shared" si="8"/>
        <v>0</v>
      </c>
      <c r="AQ83" s="10">
        <f t="shared" si="8"/>
        <v>0</v>
      </c>
      <c r="AR83" s="10">
        <f t="shared" si="8"/>
        <v>0</v>
      </c>
      <c r="AS83" s="10">
        <f t="shared" si="8"/>
        <v>0</v>
      </c>
      <c r="AT83" s="10">
        <f t="shared" si="8"/>
        <v>0</v>
      </c>
      <c r="AU83" s="10">
        <f t="shared" si="8"/>
        <v>0</v>
      </c>
      <c r="AV83" s="10">
        <f t="shared" si="8"/>
        <v>0</v>
      </c>
      <c r="AW83" s="10">
        <f t="shared" si="8"/>
        <v>0</v>
      </c>
      <c r="AX83" s="10">
        <f t="shared" si="8"/>
        <v>0</v>
      </c>
      <c r="AY83" s="10">
        <f t="shared" si="8"/>
        <v>0</v>
      </c>
      <c r="AZ83" s="10">
        <f t="shared" si="8"/>
        <v>0</v>
      </c>
      <c r="BA83" s="10">
        <f t="shared" si="8"/>
        <v>0</v>
      </c>
      <c r="BB83" s="10">
        <f t="shared" si="8"/>
        <v>0</v>
      </c>
      <c r="BC83" s="10">
        <f t="shared" si="8"/>
        <v>0</v>
      </c>
      <c r="BD83" s="10">
        <f t="shared" si="8"/>
        <v>0</v>
      </c>
      <c r="BE83" s="10">
        <f t="shared" si="8"/>
        <v>0</v>
      </c>
      <c r="BF83" s="10">
        <f t="shared" si="8"/>
        <v>0</v>
      </c>
      <c r="BG83" s="10">
        <f t="shared" si="8"/>
        <v>0</v>
      </c>
      <c r="BH83" s="10">
        <f t="shared" si="8"/>
        <v>0</v>
      </c>
      <c r="BI83" s="10">
        <f t="shared" si="8"/>
        <v>0</v>
      </c>
      <c r="BJ83" s="29">
        <f t="shared" si="8"/>
        <v>15.954874470000002</v>
      </c>
      <c r="BK83" s="29">
        <f t="shared" si="8"/>
        <v>15.594106979999999</v>
      </c>
      <c r="BL83" s="29">
        <f t="shared" si="8"/>
        <v>16.675329189999999</v>
      </c>
      <c r="BM83" s="29">
        <f t="shared" si="8"/>
        <v>18.256254309999992</v>
      </c>
      <c r="BN83" s="29">
        <f t="shared" si="8"/>
        <v>66.480564949999987</v>
      </c>
      <c r="BO83" s="29">
        <f t="shared" ref="BO83:DT83" si="9">SUM(BO60:BO82)</f>
        <v>16.276790180000006</v>
      </c>
      <c r="BP83" s="29">
        <f t="shared" si="9"/>
        <v>14.69150046</v>
      </c>
      <c r="BQ83" s="29">
        <f t="shared" si="9"/>
        <v>14.955289949999997</v>
      </c>
      <c r="BR83" s="29">
        <f t="shared" si="9"/>
        <v>14.59985565</v>
      </c>
      <c r="BS83" s="29">
        <f t="shared" si="9"/>
        <v>60.523436239999995</v>
      </c>
      <c r="BT83" s="29">
        <f t="shared" si="9"/>
        <v>13.953525380000002</v>
      </c>
      <c r="BU83" s="29">
        <f t="shared" si="9"/>
        <v>14.95913633</v>
      </c>
      <c r="BV83" s="29">
        <f t="shared" si="9"/>
        <v>11.060130600000003</v>
      </c>
      <c r="BW83" s="29">
        <f t="shared" si="9"/>
        <v>14.844805919999999</v>
      </c>
      <c r="BX83" s="29">
        <f t="shared" si="9"/>
        <v>54.817598229999994</v>
      </c>
      <c r="BY83" s="29">
        <f t="shared" si="9"/>
        <v>17.476070809999996</v>
      </c>
      <c r="BZ83" s="29">
        <f t="shared" si="9"/>
        <v>17.232721230000003</v>
      </c>
      <c r="CA83" s="29">
        <f t="shared" si="9"/>
        <v>19.471008940000008</v>
      </c>
      <c r="CB83" s="29">
        <f t="shared" si="9"/>
        <v>27.270590520000006</v>
      </c>
      <c r="CC83" s="29">
        <f t="shared" si="9"/>
        <v>81.450391499999981</v>
      </c>
      <c r="CD83" s="29">
        <f t="shared" si="9"/>
        <v>19.320652859999996</v>
      </c>
      <c r="CE83" s="29">
        <f t="shared" si="9"/>
        <v>14.618090395999996</v>
      </c>
      <c r="CF83" s="29">
        <f t="shared" si="9"/>
        <v>16.676256200000005</v>
      </c>
      <c r="CG83" s="29">
        <f t="shared" si="9"/>
        <v>35.854200710000008</v>
      </c>
      <c r="CH83" s="29">
        <f t="shared" si="9"/>
        <v>86.469200166000007</v>
      </c>
      <c r="CI83" s="29">
        <f t="shared" si="9"/>
        <v>23.613789370000003</v>
      </c>
      <c r="CJ83" s="29">
        <f t="shared" si="9"/>
        <v>22.240603049999997</v>
      </c>
      <c r="CK83" s="29">
        <f t="shared" si="9"/>
        <v>21.816882830000004</v>
      </c>
      <c r="CL83" s="29">
        <f t="shared" si="9"/>
        <v>23.64528228</v>
      </c>
      <c r="CM83" s="29">
        <f t="shared" si="9"/>
        <v>91.316557530000011</v>
      </c>
      <c r="CN83" s="29">
        <f t="shared" si="9"/>
        <v>19.218330090000002</v>
      </c>
      <c r="CO83" s="29">
        <f t="shared" si="9"/>
        <v>21.970615199999994</v>
      </c>
      <c r="CP83" s="29">
        <f t="shared" si="9"/>
        <v>19.382655270000001</v>
      </c>
      <c r="CQ83" s="29">
        <f t="shared" si="9"/>
        <v>21.733399439999999</v>
      </c>
      <c r="CR83" s="29">
        <f t="shared" si="9"/>
        <v>82.304999999999993</v>
      </c>
      <c r="CS83" s="29">
        <f t="shared" si="9"/>
        <v>19.321354370000002</v>
      </c>
      <c r="CT83" s="29">
        <f t="shared" si="9"/>
        <v>19.88786069</v>
      </c>
      <c r="CU83" s="29">
        <f t="shared" si="9"/>
        <v>20.923785059999997</v>
      </c>
      <c r="CV83" s="29">
        <f t="shared" si="9"/>
        <v>21.53139341</v>
      </c>
      <c r="CW83" s="29">
        <f t="shared" si="9"/>
        <v>81.664393530000027</v>
      </c>
      <c r="CX83" s="29">
        <f t="shared" si="9"/>
        <v>19.428000000000001</v>
      </c>
      <c r="CY83" s="29">
        <f t="shared" si="9"/>
        <v>21.767000000000003</v>
      </c>
      <c r="CZ83" s="29">
        <f t="shared" si="9"/>
        <v>21.214000000000002</v>
      </c>
      <c r="DA83" s="29">
        <f t="shared" si="9"/>
        <v>23.180999999999997</v>
      </c>
      <c r="DB83" s="29">
        <f t="shared" si="9"/>
        <v>85.59</v>
      </c>
      <c r="DC83" s="29">
        <f t="shared" si="9"/>
        <v>22.776</v>
      </c>
      <c r="DD83" s="29">
        <f t="shared" si="9"/>
        <v>25.838999999999999</v>
      </c>
      <c r="DE83" s="29">
        <f t="shared" si="9"/>
        <v>30.465000000000003</v>
      </c>
      <c r="DF83" s="29">
        <f t="shared" si="9"/>
        <v>35.750999999999998</v>
      </c>
      <c r="DG83" s="29">
        <f t="shared" si="9"/>
        <v>114.83100000000002</v>
      </c>
      <c r="DH83" s="29">
        <f t="shared" si="9"/>
        <v>32.876000000000005</v>
      </c>
      <c r="DI83" s="29">
        <f t="shared" si="9"/>
        <v>32.173000000000002</v>
      </c>
      <c r="DJ83" s="29">
        <f t="shared" si="9"/>
        <v>30.388999999999999</v>
      </c>
      <c r="DK83" s="29">
        <f t="shared" si="9"/>
        <v>46.259000000000007</v>
      </c>
      <c r="DL83" s="29">
        <f t="shared" si="9"/>
        <v>141.69699999999997</v>
      </c>
      <c r="DM83" s="29">
        <f t="shared" si="9"/>
        <v>41.286000000000001</v>
      </c>
      <c r="DN83" s="29">
        <f t="shared" si="9"/>
        <v>47.440000000000005</v>
      </c>
      <c r="DO83" s="29">
        <f t="shared" si="9"/>
        <v>44.327999999999989</v>
      </c>
      <c r="DP83" s="29">
        <f t="shared" si="9"/>
        <v>47.091999999999999</v>
      </c>
      <c r="DQ83" s="29">
        <f t="shared" si="9"/>
        <v>180.14600000000002</v>
      </c>
      <c r="DR83" s="29">
        <f t="shared" si="9"/>
        <v>38.417999999999999</v>
      </c>
      <c r="DS83" s="29">
        <f t="shared" si="9"/>
        <v>42.492999999999995</v>
      </c>
      <c r="DT83" s="29">
        <f t="shared" si="9"/>
        <v>40.034000000000006</v>
      </c>
      <c r="DU83" s="29">
        <f t="shared" ref="DU83:EA83" si="10">SUM(DU60:DU82)</f>
        <v>37.314</v>
      </c>
      <c r="DV83" s="29">
        <f t="shared" si="10"/>
        <v>158.25900000000001</v>
      </c>
      <c r="DW83" s="29">
        <f t="shared" si="10"/>
        <v>43.903999999999996</v>
      </c>
      <c r="DX83" s="29">
        <f t="shared" si="10"/>
        <v>54.062593529999994</v>
      </c>
      <c r="DY83" s="29">
        <f t="shared" si="10"/>
        <v>58.308254280000007</v>
      </c>
      <c r="DZ83" s="29">
        <f t="shared" si="10"/>
        <v>70.075468060000006</v>
      </c>
      <c r="EA83" s="29">
        <f t="shared" si="10"/>
        <v>226.35031586999997</v>
      </c>
      <c r="EB83" s="29">
        <f>SUM(EB60:EB82)</f>
        <v>76.833174860000014</v>
      </c>
      <c r="EC83" s="29">
        <f>SUM(EC60:EC82)</f>
        <v>69.10022807</v>
      </c>
      <c r="ED83" s="29">
        <f>SUM(ED60:ED82)</f>
        <v>85.784999999999997</v>
      </c>
      <c r="EE83" s="29">
        <f>SUM(EE60:EE82)</f>
        <v>82.416530490000014</v>
      </c>
      <c r="EF83" s="29">
        <f t="shared" ref="EF83" si="11">SUM(EF60:EF82)</f>
        <v>314.13493341999998</v>
      </c>
      <c r="EG83" s="29">
        <f>SUM(EG60:EG82)</f>
        <v>63.720176159999994</v>
      </c>
      <c r="EH83" s="29">
        <f>SUM(EH60:EH82)</f>
        <v>74.126055810000011</v>
      </c>
      <c r="EI83" s="29">
        <f>SUM(EI60:EI82)</f>
        <v>67.342216549999989</v>
      </c>
    </row>
    <row r="86" spans="1:139" x14ac:dyDescent="0.3">
      <c r="A86" s="3" t="s">
        <v>326</v>
      </c>
      <c r="B86" s="6" t="s">
        <v>4</v>
      </c>
      <c r="C86" s="6" t="s">
        <v>5</v>
      </c>
      <c r="D86" s="6" t="s">
        <v>6</v>
      </c>
      <c r="E86" s="6" t="s">
        <v>7</v>
      </c>
      <c r="F86" s="6">
        <v>2018</v>
      </c>
      <c r="G86" s="6" t="s">
        <v>8</v>
      </c>
      <c r="H86" s="6" t="s">
        <v>9</v>
      </c>
      <c r="I86" s="6" t="s">
        <v>10</v>
      </c>
      <c r="J86" s="6" t="s">
        <v>11</v>
      </c>
      <c r="K86" s="6">
        <v>2019</v>
      </c>
      <c r="L86" s="6" t="s">
        <v>12</v>
      </c>
      <c r="M86" s="6" t="s">
        <v>13</v>
      </c>
      <c r="N86" s="6" t="s">
        <v>14</v>
      </c>
      <c r="O86" s="6" t="s">
        <v>15</v>
      </c>
      <c r="P86" s="6">
        <v>2000</v>
      </c>
      <c r="Q86" s="6" t="s">
        <v>16</v>
      </c>
      <c r="R86" s="6" t="s">
        <v>17</v>
      </c>
      <c r="S86" s="6" t="s">
        <v>18</v>
      </c>
      <c r="T86" s="6" t="s">
        <v>19</v>
      </c>
      <c r="U86" s="6">
        <v>2001</v>
      </c>
      <c r="V86" s="6" t="s">
        <v>20</v>
      </c>
      <c r="W86" s="6" t="s">
        <v>21</v>
      </c>
      <c r="X86" s="6" t="s">
        <v>22</v>
      </c>
      <c r="Y86" s="6" t="s">
        <v>23</v>
      </c>
      <c r="Z86" s="6">
        <v>2002</v>
      </c>
      <c r="AA86" s="6" t="s">
        <v>24</v>
      </c>
      <c r="AB86" s="6" t="s">
        <v>25</v>
      </c>
      <c r="AC86" s="6" t="s">
        <v>26</v>
      </c>
      <c r="AD86" s="6" t="s">
        <v>27</v>
      </c>
      <c r="AE86" s="6">
        <v>2003</v>
      </c>
      <c r="AF86" s="6" t="s">
        <v>28</v>
      </c>
      <c r="AG86" s="6" t="s">
        <v>29</v>
      </c>
      <c r="AH86" s="6" t="s">
        <v>30</v>
      </c>
      <c r="AI86" s="6" t="s">
        <v>31</v>
      </c>
      <c r="AJ86" s="6">
        <v>2004</v>
      </c>
      <c r="AK86" s="6" t="s">
        <v>32</v>
      </c>
      <c r="AL86" s="6" t="s">
        <v>33</v>
      </c>
      <c r="AM86" s="6" t="s">
        <v>34</v>
      </c>
      <c r="AN86" s="6" t="s">
        <v>35</v>
      </c>
      <c r="AO86" s="6">
        <v>2005</v>
      </c>
      <c r="AP86" s="6" t="s">
        <v>36</v>
      </c>
      <c r="AQ86" s="6" t="s">
        <v>37</v>
      </c>
      <c r="AR86" s="6" t="s">
        <v>38</v>
      </c>
      <c r="AS86" s="6" t="s">
        <v>39</v>
      </c>
      <c r="AT86" s="6">
        <v>2006</v>
      </c>
      <c r="AU86" s="6" t="s">
        <v>40</v>
      </c>
      <c r="AV86" s="6" t="s">
        <v>41</v>
      </c>
      <c r="AW86" s="6" t="s">
        <v>42</v>
      </c>
      <c r="AX86" s="6" t="s">
        <v>43</v>
      </c>
      <c r="AY86" s="6">
        <v>2007</v>
      </c>
      <c r="AZ86" s="6" t="s">
        <v>44</v>
      </c>
      <c r="BA86" s="6" t="s">
        <v>45</v>
      </c>
      <c r="BB86" s="6" t="s">
        <v>46</v>
      </c>
      <c r="BC86" s="6" t="s">
        <v>47</v>
      </c>
      <c r="BD86" s="6">
        <v>2008</v>
      </c>
      <c r="BE86" s="6" t="s">
        <v>48</v>
      </c>
      <c r="BF86" s="6" t="s">
        <v>49</v>
      </c>
      <c r="BG86" s="6" t="s">
        <v>50</v>
      </c>
      <c r="BH86" s="6" t="s">
        <v>51</v>
      </c>
      <c r="BI86" s="6">
        <v>2009</v>
      </c>
      <c r="BJ86" s="6" t="s">
        <v>52</v>
      </c>
      <c r="BK86" s="6" t="s">
        <v>53</v>
      </c>
      <c r="BL86" s="6" t="s">
        <v>54</v>
      </c>
      <c r="BM86" s="6" t="s">
        <v>55</v>
      </c>
      <c r="BN86" s="6">
        <v>2010</v>
      </c>
      <c r="BO86" s="6" t="s">
        <v>56</v>
      </c>
      <c r="BP86" s="6" t="s">
        <v>57</v>
      </c>
      <c r="BQ86" s="6" t="s">
        <v>58</v>
      </c>
      <c r="BR86" s="6" t="s">
        <v>59</v>
      </c>
      <c r="BS86" s="6">
        <v>2011</v>
      </c>
      <c r="BT86" s="6" t="s">
        <v>60</v>
      </c>
      <c r="BU86" s="6" t="s">
        <v>61</v>
      </c>
      <c r="BV86" s="6" t="s">
        <v>62</v>
      </c>
      <c r="BW86" s="6" t="s">
        <v>63</v>
      </c>
      <c r="BX86" s="6">
        <v>2012</v>
      </c>
      <c r="BY86" s="6" t="s">
        <v>64</v>
      </c>
      <c r="BZ86" s="6" t="s">
        <v>65</v>
      </c>
      <c r="CA86" s="6" t="s">
        <v>66</v>
      </c>
      <c r="CB86" s="6" t="s">
        <v>67</v>
      </c>
      <c r="CC86" s="6">
        <v>2013</v>
      </c>
      <c r="CD86" s="6" t="s">
        <v>68</v>
      </c>
      <c r="CE86" s="6" t="s">
        <v>69</v>
      </c>
      <c r="CF86" s="6" t="s">
        <v>70</v>
      </c>
      <c r="CG86" s="6" t="s">
        <v>71</v>
      </c>
      <c r="CH86" s="6">
        <v>2014</v>
      </c>
      <c r="CI86" s="6" t="s">
        <v>72</v>
      </c>
      <c r="CJ86" s="6" t="s">
        <v>73</v>
      </c>
      <c r="CK86" s="6" t="s">
        <v>74</v>
      </c>
      <c r="CL86" s="6" t="s">
        <v>75</v>
      </c>
      <c r="CM86" s="6">
        <v>2015</v>
      </c>
      <c r="CN86" s="6" t="s">
        <v>76</v>
      </c>
      <c r="CO86" s="6" t="s">
        <v>77</v>
      </c>
      <c r="CP86" s="6" t="s">
        <v>78</v>
      </c>
      <c r="CQ86" s="6" t="s">
        <v>79</v>
      </c>
      <c r="CR86" s="6">
        <v>2016</v>
      </c>
      <c r="CS86" s="6" t="s">
        <v>80</v>
      </c>
      <c r="CT86" s="6" t="s">
        <v>81</v>
      </c>
      <c r="CU86" s="6" t="s">
        <v>82</v>
      </c>
      <c r="CV86" s="6" t="s">
        <v>83</v>
      </c>
      <c r="CW86" s="6">
        <v>2017</v>
      </c>
      <c r="CX86" s="6" t="s">
        <v>84</v>
      </c>
      <c r="CY86" s="6" t="s">
        <v>85</v>
      </c>
      <c r="CZ86" s="6" t="s">
        <v>86</v>
      </c>
      <c r="DA86" s="6" t="s">
        <v>87</v>
      </c>
      <c r="DB86" s="6">
        <v>2018</v>
      </c>
      <c r="DC86" s="6" t="s">
        <v>88</v>
      </c>
      <c r="DD86" s="6" t="s">
        <v>89</v>
      </c>
      <c r="DE86" s="6" t="s">
        <v>90</v>
      </c>
      <c r="DF86" s="6" t="s">
        <v>91</v>
      </c>
      <c r="DG86" s="6">
        <v>2019</v>
      </c>
      <c r="DH86" s="6" t="s">
        <v>92</v>
      </c>
      <c r="DI86" s="6" t="s">
        <v>93</v>
      </c>
      <c r="DJ86" s="6" t="s">
        <v>94</v>
      </c>
      <c r="DK86" s="6" t="s">
        <v>95</v>
      </c>
      <c r="DL86" s="6">
        <v>2020</v>
      </c>
      <c r="DM86" s="6" t="s">
        <v>96</v>
      </c>
      <c r="DN86" s="6" t="s">
        <v>97</v>
      </c>
      <c r="DO86" s="6" t="s">
        <v>98</v>
      </c>
      <c r="DP86" s="6" t="s">
        <v>99</v>
      </c>
      <c r="DQ86" s="6">
        <v>2021</v>
      </c>
      <c r="DR86" s="6" t="s">
        <v>100</v>
      </c>
      <c r="DS86" s="6" t="s">
        <v>101</v>
      </c>
      <c r="DT86" s="6" t="s">
        <v>200</v>
      </c>
      <c r="DU86" s="6" t="s">
        <v>380</v>
      </c>
      <c r="DV86" s="6">
        <v>2022</v>
      </c>
      <c r="DW86" s="6" t="s">
        <v>379</v>
      </c>
      <c r="DX86" s="6" t="s">
        <v>402</v>
      </c>
      <c r="DY86" s="6" t="s">
        <v>414</v>
      </c>
      <c r="DZ86" s="6" t="s">
        <v>419</v>
      </c>
      <c r="EA86" s="6">
        <v>2023</v>
      </c>
      <c r="EB86" s="6" t="s">
        <v>424</v>
      </c>
      <c r="EC86" s="6" t="s">
        <v>429</v>
      </c>
      <c r="ED86" s="6" t="str">
        <f>$ED$1</f>
        <v>3T24</v>
      </c>
      <c r="EE86" s="6" t="str">
        <f>$EE$1</f>
        <v>4T24</v>
      </c>
      <c r="EF86" s="6">
        <f>$EF$1</f>
        <v>2024</v>
      </c>
      <c r="EG86" s="6" t="str">
        <f>EG$1</f>
        <v>1T25</v>
      </c>
      <c r="EH86" s="6" t="str">
        <f>EH$1</f>
        <v>2T25</v>
      </c>
      <c r="EI86" s="6" t="str">
        <f>EI$1</f>
        <v>3T25</v>
      </c>
    </row>
    <row r="87" spans="1:139" ht="15" thickBot="1" x14ac:dyDescent="0.35">
      <c r="A87" s="4" t="s">
        <v>327</v>
      </c>
      <c r="B87" s="7" t="s">
        <v>102</v>
      </c>
      <c r="C87" s="7" t="s">
        <v>103</v>
      </c>
      <c r="D87" s="7" t="s">
        <v>104</v>
      </c>
      <c r="E87" s="7" t="s">
        <v>105</v>
      </c>
      <c r="F87" s="7">
        <v>2018</v>
      </c>
      <c r="G87" s="7" t="s">
        <v>106</v>
      </c>
      <c r="H87" s="7" t="s">
        <v>107</v>
      </c>
      <c r="I87" s="7" t="s">
        <v>108</v>
      </c>
      <c r="J87" s="7" t="s">
        <v>109</v>
      </c>
      <c r="K87" s="7">
        <v>2019</v>
      </c>
      <c r="L87" s="7" t="s">
        <v>110</v>
      </c>
      <c r="M87" s="7" t="s">
        <v>111</v>
      </c>
      <c r="N87" s="7" t="s">
        <v>112</v>
      </c>
      <c r="O87" s="7" t="s">
        <v>113</v>
      </c>
      <c r="P87" s="7">
        <v>2000</v>
      </c>
      <c r="Q87" s="7" t="s">
        <v>114</v>
      </c>
      <c r="R87" s="7" t="s">
        <v>115</v>
      </c>
      <c r="S87" s="7" t="s">
        <v>116</v>
      </c>
      <c r="T87" s="7" t="s">
        <v>117</v>
      </c>
      <c r="U87" s="7">
        <v>2001</v>
      </c>
      <c r="V87" s="7" t="s">
        <v>118</v>
      </c>
      <c r="W87" s="7" t="s">
        <v>119</v>
      </c>
      <c r="X87" s="7" t="s">
        <v>120</v>
      </c>
      <c r="Y87" s="7" t="s">
        <v>121</v>
      </c>
      <c r="Z87" s="7">
        <v>2002</v>
      </c>
      <c r="AA87" s="7" t="s">
        <v>122</v>
      </c>
      <c r="AB87" s="7" t="s">
        <v>123</v>
      </c>
      <c r="AC87" s="7" t="s">
        <v>124</v>
      </c>
      <c r="AD87" s="7" t="s">
        <v>125</v>
      </c>
      <c r="AE87" s="7">
        <v>2003</v>
      </c>
      <c r="AF87" s="7" t="s">
        <v>126</v>
      </c>
      <c r="AG87" s="7" t="s">
        <v>127</v>
      </c>
      <c r="AH87" s="7" t="s">
        <v>128</v>
      </c>
      <c r="AI87" s="7" t="s">
        <v>129</v>
      </c>
      <c r="AJ87" s="7">
        <v>2004</v>
      </c>
      <c r="AK87" s="7" t="s">
        <v>130</v>
      </c>
      <c r="AL87" s="7" t="s">
        <v>131</v>
      </c>
      <c r="AM87" s="7" t="s">
        <v>132</v>
      </c>
      <c r="AN87" s="7" t="s">
        <v>133</v>
      </c>
      <c r="AO87" s="7">
        <v>2005</v>
      </c>
      <c r="AP87" s="7" t="s">
        <v>134</v>
      </c>
      <c r="AQ87" s="7" t="s">
        <v>135</v>
      </c>
      <c r="AR87" s="7" t="s">
        <v>136</v>
      </c>
      <c r="AS87" s="7" t="s">
        <v>137</v>
      </c>
      <c r="AT87" s="7">
        <v>2006</v>
      </c>
      <c r="AU87" s="7" t="s">
        <v>138</v>
      </c>
      <c r="AV87" s="7" t="s">
        <v>139</v>
      </c>
      <c r="AW87" s="7" t="s">
        <v>140</v>
      </c>
      <c r="AX87" s="7" t="s">
        <v>141</v>
      </c>
      <c r="AY87" s="7">
        <v>2007</v>
      </c>
      <c r="AZ87" s="7" t="s">
        <v>142</v>
      </c>
      <c r="BA87" s="7" t="s">
        <v>143</v>
      </c>
      <c r="BB87" s="7" t="s">
        <v>144</v>
      </c>
      <c r="BC87" s="7" t="s">
        <v>145</v>
      </c>
      <c r="BD87" s="7">
        <v>2008</v>
      </c>
      <c r="BE87" s="7" t="s">
        <v>146</v>
      </c>
      <c r="BF87" s="7" t="s">
        <v>147</v>
      </c>
      <c r="BG87" s="7" t="s">
        <v>148</v>
      </c>
      <c r="BH87" s="7" t="s">
        <v>149</v>
      </c>
      <c r="BI87" s="7">
        <v>2009</v>
      </c>
      <c r="BJ87" s="7" t="s">
        <v>150</v>
      </c>
      <c r="BK87" s="7" t="s">
        <v>151</v>
      </c>
      <c r="BL87" s="7" t="s">
        <v>152</v>
      </c>
      <c r="BM87" s="7" t="s">
        <v>153</v>
      </c>
      <c r="BN87" s="7">
        <v>2010</v>
      </c>
      <c r="BO87" s="7" t="s">
        <v>154</v>
      </c>
      <c r="BP87" s="7" t="s">
        <v>155</v>
      </c>
      <c r="BQ87" s="7" t="s">
        <v>156</v>
      </c>
      <c r="BR87" s="7" t="s">
        <v>157</v>
      </c>
      <c r="BS87" s="7">
        <v>2011</v>
      </c>
      <c r="BT87" s="7" t="s">
        <v>158</v>
      </c>
      <c r="BU87" s="7" t="s">
        <v>159</v>
      </c>
      <c r="BV87" s="7" t="s">
        <v>160</v>
      </c>
      <c r="BW87" s="7" t="s">
        <v>161</v>
      </c>
      <c r="BX87" s="7">
        <v>2012</v>
      </c>
      <c r="BY87" s="7" t="s">
        <v>162</v>
      </c>
      <c r="BZ87" s="7" t="s">
        <v>163</v>
      </c>
      <c r="CA87" s="7" t="s">
        <v>164</v>
      </c>
      <c r="CB87" s="7" t="s">
        <v>165</v>
      </c>
      <c r="CC87" s="7">
        <v>2013</v>
      </c>
      <c r="CD87" s="7" t="s">
        <v>166</v>
      </c>
      <c r="CE87" s="7" t="s">
        <v>167</v>
      </c>
      <c r="CF87" s="7" t="s">
        <v>168</v>
      </c>
      <c r="CG87" s="7" t="s">
        <v>169</v>
      </c>
      <c r="CH87" s="7">
        <v>2014</v>
      </c>
      <c r="CI87" s="7" t="s">
        <v>170</v>
      </c>
      <c r="CJ87" s="7" t="s">
        <v>171</v>
      </c>
      <c r="CK87" s="7" t="s">
        <v>172</v>
      </c>
      <c r="CL87" s="7" t="s">
        <v>173</v>
      </c>
      <c r="CM87" s="7">
        <v>2015</v>
      </c>
      <c r="CN87" s="7" t="s">
        <v>174</v>
      </c>
      <c r="CO87" s="7" t="s">
        <v>175</v>
      </c>
      <c r="CP87" s="7" t="s">
        <v>176</v>
      </c>
      <c r="CQ87" s="7" t="s">
        <v>177</v>
      </c>
      <c r="CR87" s="7">
        <v>2016</v>
      </c>
      <c r="CS87" s="7" t="s">
        <v>178</v>
      </c>
      <c r="CT87" s="7" t="s">
        <v>179</v>
      </c>
      <c r="CU87" s="7" t="s">
        <v>180</v>
      </c>
      <c r="CV87" s="7" t="s">
        <v>181</v>
      </c>
      <c r="CW87" s="7">
        <v>2017</v>
      </c>
      <c r="CX87" s="7" t="s">
        <v>182</v>
      </c>
      <c r="CY87" s="7" t="s">
        <v>183</v>
      </c>
      <c r="CZ87" s="7" t="s">
        <v>184</v>
      </c>
      <c r="DA87" s="7" t="s">
        <v>185</v>
      </c>
      <c r="DB87" s="7">
        <v>2018</v>
      </c>
      <c r="DC87" s="7" t="s">
        <v>186</v>
      </c>
      <c r="DD87" s="7" t="s">
        <v>187</v>
      </c>
      <c r="DE87" s="7" t="s">
        <v>188</v>
      </c>
      <c r="DF87" s="7" t="s">
        <v>189</v>
      </c>
      <c r="DG87" s="7">
        <v>2019</v>
      </c>
      <c r="DH87" s="7" t="s">
        <v>190</v>
      </c>
      <c r="DI87" s="7" t="s">
        <v>191</v>
      </c>
      <c r="DJ87" s="7" t="s">
        <v>192</v>
      </c>
      <c r="DK87" s="7" t="s">
        <v>193</v>
      </c>
      <c r="DL87" s="7">
        <v>2020</v>
      </c>
      <c r="DM87" s="7" t="s">
        <v>194</v>
      </c>
      <c r="DN87" s="7" t="s">
        <v>195</v>
      </c>
      <c r="DO87" s="7" t="s">
        <v>196</v>
      </c>
      <c r="DP87" s="7" t="s">
        <v>197</v>
      </c>
      <c r="DQ87" s="7">
        <v>2021</v>
      </c>
      <c r="DR87" s="7" t="s">
        <v>198</v>
      </c>
      <c r="DS87" s="7" t="s">
        <v>199</v>
      </c>
      <c r="DT87" s="7" t="s">
        <v>201</v>
      </c>
      <c r="DU87" s="7" t="s">
        <v>381</v>
      </c>
      <c r="DV87" s="7">
        <v>2022</v>
      </c>
      <c r="DW87" s="7" t="s">
        <v>382</v>
      </c>
      <c r="DX87" s="7" t="s">
        <v>403</v>
      </c>
      <c r="DY87" s="7" t="s">
        <v>415</v>
      </c>
      <c r="DZ87" s="7" t="s">
        <v>420</v>
      </c>
      <c r="EA87" s="7">
        <v>2023</v>
      </c>
      <c r="EB87" s="7" t="s">
        <v>425</v>
      </c>
      <c r="EC87" s="7" t="s">
        <v>430</v>
      </c>
      <c r="ED87" s="7" t="str">
        <f>$ED$2</f>
        <v>3Q24</v>
      </c>
      <c r="EE87" s="7" t="str">
        <f>$EE$2</f>
        <v>4Q24</v>
      </c>
      <c r="EF87" s="7">
        <f>$EF$2</f>
        <v>2024</v>
      </c>
      <c r="EG87" s="7" t="str">
        <f>EG$2</f>
        <v>1Q25</v>
      </c>
      <c r="EH87" s="7" t="str">
        <f>EH$2</f>
        <v>2Q25</v>
      </c>
      <c r="EI87" s="7" t="str">
        <f>EI$2</f>
        <v>3Q25</v>
      </c>
    </row>
    <row r="88" spans="1:139" ht="15" thickTop="1" x14ac:dyDescent="0.3">
      <c r="A88" s="1" t="s">
        <v>2</v>
      </c>
      <c r="B88" s="27">
        <f>COGS!B88+'SG&amp;A'!B88</f>
        <v>0</v>
      </c>
      <c r="C88" s="27">
        <f>COGS!C88+'SG&amp;A'!C88</f>
        <v>0</v>
      </c>
      <c r="D88" s="27">
        <f>COGS!D88+'SG&amp;A'!D88</f>
        <v>0</v>
      </c>
      <c r="E88" s="27">
        <f>COGS!E88+'SG&amp;A'!E88</f>
        <v>0</v>
      </c>
      <c r="F88" s="27">
        <f>COGS!F88+'SG&amp;A'!F88</f>
        <v>0</v>
      </c>
      <c r="G88" s="27">
        <f>COGS!G88+'SG&amp;A'!G88</f>
        <v>0</v>
      </c>
      <c r="H88" s="27">
        <f>COGS!H88+'SG&amp;A'!H88</f>
        <v>0</v>
      </c>
      <c r="I88" s="27">
        <f>COGS!I88+'SG&amp;A'!I88</f>
        <v>0</v>
      </c>
      <c r="J88" s="27">
        <f>COGS!J88+'SG&amp;A'!J88</f>
        <v>0</v>
      </c>
      <c r="K88" s="27">
        <f>COGS!K88+'SG&amp;A'!K88</f>
        <v>0</v>
      </c>
      <c r="L88" s="27">
        <f>COGS!L88+'SG&amp;A'!L88</f>
        <v>0</v>
      </c>
      <c r="M88" s="27">
        <f>COGS!M88+'SG&amp;A'!M88</f>
        <v>0</v>
      </c>
      <c r="N88" s="27">
        <f>COGS!N88+'SG&amp;A'!N88</f>
        <v>0</v>
      </c>
      <c r="O88" s="27">
        <f>COGS!O88+'SG&amp;A'!O88</f>
        <v>0</v>
      </c>
      <c r="P88" s="27">
        <f>COGS!P88+'SG&amp;A'!P88</f>
        <v>0</v>
      </c>
      <c r="Q88" s="27">
        <f>COGS!Q88+'SG&amp;A'!Q88</f>
        <v>0</v>
      </c>
      <c r="R88" s="27">
        <f>COGS!R88+'SG&amp;A'!R88</f>
        <v>0</v>
      </c>
      <c r="S88" s="27">
        <f>COGS!S88+'SG&amp;A'!S88</f>
        <v>0</v>
      </c>
      <c r="T88" s="27">
        <f>COGS!T88+'SG&amp;A'!T88</f>
        <v>0</v>
      </c>
      <c r="U88" s="27">
        <f>COGS!U88+'SG&amp;A'!U88</f>
        <v>0</v>
      </c>
      <c r="V88" s="27">
        <f>COGS!V88+'SG&amp;A'!V88</f>
        <v>0</v>
      </c>
      <c r="W88" s="27">
        <f>COGS!W88+'SG&amp;A'!W88</f>
        <v>0</v>
      </c>
      <c r="X88" s="27">
        <f>COGS!X88+'SG&amp;A'!X88</f>
        <v>0</v>
      </c>
      <c r="Y88" s="27">
        <f>COGS!Y88+'SG&amp;A'!Y88</f>
        <v>0</v>
      </c>
      <c r="Z88" s="27">
        <f>COGS!Z88+'SG&amp;A'!Z88</f>
        <v>0</v>
      </c>
      <c r="AA88" s="27">
        <f>COGS!AA88+'SG&amp;A'!AA88</f>
        <v>0</v>
      </c>
      <c r="AB88" s="27">
        <f>COGS!AB88+'SG&amp;A'!AB88</f>
        <v>0</v>
      </c>
      <c r="AC88" s="27">
        <f>COGS!AC88+'SG&amp;A'!AC88</f>
        <v>0</v>
      </c>
      <c r="AD88" s="27">
        <f>COGS!AD88+'SG&amp;A'!AD88</f>
        <v>0</v>
      </c>
      <c r="AE88" s="27">
        <f>COGS!AE88+'SG&amp;A'!AE88</f>
        <v>0</v>
      </c>
      <c r="AF88" s="27">
        <f>COGS!AF88+'SG&amp;A'!AF88</f>
        <v>0</v>
      </c>
      <c r="AG88" s="27">
        <f>COGS!AG88+'SG&amp;A'!AG88</f>
        <v>0</v>
      </c>
      <c r="AH88" s="27">
        <f>COGS!AH88+'SG&amp;A'!AH88</f>
        <v>0</v>
      </c>
      <c r="AI88" s="27">
        <f>COGS!AI88+'SG&amp;A'!AI88</f>
        <v>0</v>
      </c>
      <c r="AJ88" s="27">
        <f>COGS!AJ88+'SG&amp;A'!AJ88</f>
        <v>0</v>
      </c>
      <c r="AK88" s="27">
        <f>COGS!AK88+'SG&amp;A'!AK88</f>
        <v>0</v>
      </c>
      <c r="AL88" s="27">
        <f>COGS!AL88+'SG&amp;A'!AL88</f>
        <v>0</v>
      </c>
      <c r="AM88" s="27">
        <f>COGS!AM88+'SG&amp;A'!AM88</f>
        <v>0</v>
      </c>
      <c r="AN88" s="27">
        <f>COGS!AN88+'SG&amp;A'!AN88</f>
        <v>0</v>
      </c>
      <c r="AO88" s="27">
        <f>COGS!AO88+'SG&amp;A'!AO88</f>
        <v>0</v>
      </c>
      <c r="AP88" s="27">
        <f>COGS!AP88+'SG&amp;A'!AP88</f>
        <v>0</v>
      </c>
      <c r="AQ88" s="27">
        <f>COGS!AQ88+'SG&amp;A'!AQ88</f>
        <v>0</v>
      </c>
      <c r="AR88" s="27">
        <f>COGS!AR88+'SG&amp;A'!AR88</f>
        <v>0</v>
      </c>
      <c r="AS88" s="27">
        <f>COGS!AS88+'SG&amp;A'!AS88</f>
        <v>0</v>
      </c>
      <c r="AT88" s="27">
        <f>COGS!AT88+'SG&amp;A'!AT88</f>
        <v>0</v>
      </c>
      <c r="AU88" s="27">
        <f>COGS!AU88+'SG&amp;A'!AU88</f>
        <v>0</v>
      </c>
      <c r="AV88" s="27">
        <f>COGS!AV88+'SG&amp;A'!AV88</f>
        <v>0</v>
      </c>
      <c r="AW88" s="27">
        <f>COGS!AW88+'SG&amp;A'!AW88</f>
        <v>0</v>
      </c>
      <c r="AX88" s="27">
        <f>COGS!AX88+'SG&amp;A'!AX88</f>
        <v>0</v>
      </c>
      <c r="AY88" s="27">
        <f>COGS!AY88+'SG&amp;A'!AY88</f>
        <v>0</v>
      </c>
      <c r="AZ88" s="27">
        <f>COGS!AZ88+'SG&amp;A'!AZ88</f>
        <v>0</v>
      </c>
      <c r="BA88" s="27">
        <f>COGS!BA88+'SG&amp;A'!BA88</f>
        <v>0</v>
      </c>
      <c r="BB88" s="27">
        <f>COGS!BB88+'SG&amp;A'!BB88</f>
        <v>0</v>
      </c>
      <c r="BC88" s="27">
        <f>COGS!BC88+'SG&amp;A'!BC88</f>
        <v>0</v>
      </c>
      <c r="BD88" s="27">
        <f>COGS!BD88+'SG&amp;A'!BD88</f>
        <v>0</v>
      </c>
      <c r="BE88" s="27">
        <f>COGS!BE88+'SG&amp;A'!BE88</f>
        <v>0</v>
      </c>
      <c r="BF88" s="27">
        <f>COGS!BF88+'SG&amp;A'!BF88</f>
        <v>0</v>
      </c>
      <c r="BG88" s="27">
        <f>COGS!BG88+'SG&amp;A'!BG88</f>
        <v>0</v>
      </c>
      <c r="BH88" s="27">
        <f>COGS!BH88+'SG&amp;A'!BH88</f>
        <v>0</v>
      </c>
      <c r="BI88" s="27">
        <f>COGS!BI88+'SG&amp;A'!BI88</f>
        <v>0</v>
      </c>
      <c r="BJ88" s="27">
        <f>COGS!BJ88+'SG&amp;A'!BJ88</f>
        <v>6.3487115999999997</v>
      </c>
      <c r="BK88" s="27">
        <f>COGS!BK88+'SG&amp;A'!BK88</f>
        <v>6.2131585099999995</v>
      </c>
      <c r="BL88" s="27">
        <f>COGS!BL88+'SG&amp;A'!BL88</f>
        <v>6.318346919999998</v>
      </c>
      <c r="BM88" s="27">
        <f>COGS!BM88+'SG&amp;A'!BM88</f>
        <v>6.9906122400000026</v>
      </c>
      <c r="BN88" s="27">
        <f>COGS!BN88+'SG&amp;A'!BN88</f>
        <v>25.870829269999998</v>
      </c>
      <c r="BO88" s="27">
        <f>COGS!BO88+'SG&amp;A'!BO88</f>
        <v>6.7207873800000009</v>
      </c>
      <c r="BP88" s="27">
        <f>COGS!BP88+'SG&amp;A'!BP88</f>
        <v>6.2171553899999985</v>
      </c>
      <c r="BQ88" s="27">
        <f>COGS!BQ88+'SG&amp;A'!BQ88</f>
        <v>6.7176652400000005</v>
      </c>
      <c r="BR88" s="27">
        <f>COGS!BR88+'SG&amp;A'!BR88</f>
        <v>7.4520151299999995</v>
      </c>
      <c r="BS88" s="27">
        <f>COGS!BS88+'SG&amp;A'!BS88</f>
        <v>27.107623140000001</v>
      </c>
      <c r="BT88" s="27">
        <f>COGS!BT88+'SG&amp;A'!BT88</f>
        <v>6.7465810199999989</v>
      </c>
      <c r="BU88" s="27">
        <f>COGS!BU88+'SG&amp;A'!BU88</f>
        <v>7.0229928500000014</v>
      </c>
      <c r="BV88" s="27">
        <f>COGS!BV88+'SG&amp;A'!BV88</f>
        <v>7.6955586700000005</v>
      </c>
      <c r="BW88" s="27">
        <f>COGS!BW88+'SG&amp;A'!BW88</f>
        <v>7.4024226900000016</v>
      </c>
      <c r="BX88" s="27">
        <f>COGS!BX88+'SG&amp;A'!BX88</f>
        <v>28.867555230000001</v>
      </c>
      <c r="BY88" s="27">
        <f>COGS!BY88+'SG&amp;A'!BY88</f>
        <v>7.1609425899999994</v>
      </c>
      <c r="BZ88" s="27">
        <f>COGS!BZ88+'SG&amp;A'!BZ88</f>
        <v>7.2466615300000008</v>
      </c>
      <c r="CA88" s="27">
        <f>COGS!CA88+'SG&amp;A'!CA88</f>
        <v>7.3394276299999985</v>
      </c>
      <c r="CB88" s="27">
        <f>COGS!CB88+'SG&amp;A'!CB88</f>
        <v>8.3939064600000037</v>
      </c>
      <c r="CC88" s="27">
        <f>COGS!CC88+'SG&amp;A'!CC88</f>
        <v>30.140938210000002</v>
      </c>
      <c r="CD88" s="27">
        <f>COGS!CD88+'SG&amp;A'!CD88</f>
        <v>7.4556943499999999</v>
      </c>
      <c r="CE88" s="27">
        <f>COGS!CE88+'SG&amp;A'!CE88</f>
        <v>7.9631531399999993</v>
      </c>
      <c r="CF88" s="27">
        <f>COGS!CF88+'SG&amp;A'!CF88</f>
        <v>7.6483736299999983</v>
      </c>
      <c r="CG88" s="27">
        <f>COGS!CG88+'SG&amp;A'!CG88</f>
        <v>8.036542729999999</v>
      </c>
      <c r="CH88" s="27">
        <f>COGS!CH88+'SG&amp;A'!CH88</f>
        <v>31.10376385</v>
      </c>
      <c r="CI88" s="27">
        <f>COGS!CI88+'SG&amp;A'!CI88</f>
        <v>7.7106063599999999</v>
      </c>
      <c r="CJ88" s="27">
        <f>COGS!CJ88+'SG&amp;A'!CJ88</f>
        <v>7.8843649200000003</v>
      </c>
      <c r="CK88" s="27">
        <f>COGS!CK88+'SG&amp;A'!CK88</f>
        <v>7.7573566099999995</v>
      </c>
      <c r="CL88" s="27">
        <f>COGS!CL88+'SG&amp;A'!CL88</f>
        <v>7.7987329699999997</v>
      </c>
      <c r="CM88" s="27">
        <f>COGS!CM88+'SG&amp;A'!CM88</f>
        <v>31.151060860000001</v>
      </c>
      <c r="CN88" s="27">
        <f>COGS!CN88+'SG&amp;A'!CN88</f>
        <v>7.8948480599999993</v>
      </c>
      <c r="CO88" s="27">
        <f>COGS!CO88+'SG&amp;A'!CO88</f>
        <v>7.6802421700000014</v>
      </c>
      <c r="CP88" s="27">
        <f>COGS!CP88+'SG&amp;A'!CP88</f>
        <v>7.5303633399999974</v>
      </c>
      <c r="CQ88" s="27">
        <f>COGS!CQ88+'SG&amp;A'!CQ88</f>
        <v>5.2385464300000013</v>
      </c>
      <c r="CR88" s="27">
        <f>COGS!CR88+'SG&amp;A'!CR88</f>
        <v>28.344000000000001</v>
      </c>
      <c r="CS88" s="27">
        <f>COGS!CS88+'SG&amp;A'!CS88</f>
        <v>7.3094996700000001</v>
      </c>
      <c r="CT88" s="27">
        <f>COGS!CT88+'SG&amp;A'!CT88</f>
        <v>7.3114117200000006</v>
      </c>
      <c r="CU88" s="27">
        <f>COGS!CU88+'SG&amp;A'!CU88</f>
        <v>7.3524401800000021</v>
      </c>
      <c r="CV88" s="27">
        <f>COGS!CV88+'SG&amp;A'!CV88</f>
        <v>8.0891154499999978</v>
      </c>
      <c r="CW88" s="27">
        <f>COGS!CW88+'SG&amp;A'!CW88</f>
        <v>30.06246702</v>
      </c>
      <c r="CX88" s="27">
        <f>COGS!CX88+'SG&amp;A'!CX88</f>
        <v>7.1649999999999991</v>
      </c>
      <c r="CY88" s="27">
        <f>COGS!CY88+'SG&amp;A'!CY88</f>
        <v>7.2809999999999997</v>
      </c>
      <c r="CZ88" s="27">
        <f>COGS!CZ88+'SG&amp;A'!CZ88</f>
        <v>6.9660000000000002</v>
      </c>
      <c r="DA88" s="27">
        <f>COGS!DA88+'SG&amp;A'!DA88</f>
        <v>7.0530000000000008</v>
      </c>
      <c r="DB88" s="27">
        <f>COGS!DB88+'SG&amp;A'!DB88</f>
        <v>28.465</v>
      </c>
      <c r="DC88" s="27">
        <f>COGS!DC88+'SG&amp;A'!DC88</f>
        <v>7.0990000000000002</v>
      </c>
      <c r="DD88" s="27">
        <f>COGS!DD88+'SG&amp;A'!DD88</f>
        <v>7.0459999999999994</v>
      </c>
      <c r="DE88" s="27">
        <f>COGS!DE88+'SG&amp;A'!DE88</f>
        <v>7.1229999999999993</v>
      </c>
      <c r="DF88" s="27">
        <f>COGS!DF88+'SG&amp;A'!DF88</f>
        <v>7.25</v>
      </c>
      <c r="DG88" s="27">
        <f>COGS!DG88+'SG&amp;A'!DG88</f>
        <v>28.517999999999997</v>
      </c>
      <c r="DH88" s="27">
        <f>COGS!DH88+'SG&amp;A'!DH88</f>
        <v>7.7880000000000003</v>
      </c>
      <c r="DI88" s="27">
        <f>COGS!DI88+'SG&amp;A'!DI88</f>
        <v>8.2219999999999995</v>
      </c>
      <c r="DJ88" s="27">
        <f>COGS!DJ88+'SG&amp;A'!DJ88</f>
        <v>8.1820000000000004</v>
      </c>
      <c r="DK88" s="27">
        <f>COGS!DK88+'SG&amp;A'!DK88</f>
        <v>9.2379999999999995</v>
      </c>
      <c r="DL88" s="27">
        <f>COGS!DL88+'SG&amp;A'!DL88</f>
        <v>33.430000000000007</v>
      </c>
      <c r="DM88" s="27">
        <f>COGS!DM88+'SG&amp;A'!DM88</f>
        <v>8.9939999999999998</v>
      </c>
      <c r="DN88" s="27">
        <f>COGS!DN88+'SG&amp;A'!DN88</f>
        <v>9.2899999999999991</v>
      </c>
      <c r="DO88" s="27">
        <f>COGS!DO88+'SG&amp;A'!DO88</f>
        <v>9.7189999999999994</v>
      </c>
      <c r="DP88" s="27">
        <f>COGS!DP88+'SG&amp;A'!DP88</f>
        <v>8.7799999999999994</v>
      </c>
      <c r="DQ88" s="27">
        <f>COGS!DQ88+'SG&amp;A'!DQ88</f>
        <v>36.783000000000001</v>
      </c>
      <c r="DR88" s="27">
        <f>COGS!DR88+'SG&amp;A'!DR88</f>
        <v>3.0430000000000001</v>
      </c>
      <c r="DS88" s="27">
        <f>COGS!DS88+'SG&amp;A'!DS88</f>
        <v>2.65</v>
      </c>
      <c r="DT88" s="27">
        <f>COGS!DT88+'SG&amp;A'!DT88</f>
        <v>2.87</v>
      </c>
      <c r="DU88" s="27">
        <f>COGS!DU88+'SG&amp;A'!DU88</f>
        <v>0.59700000000000042</v>
      </c>
      <c r="DV88" s="27">
        <f>COGS!DV88+'SG&amp;A'!DV88</f>
        <v>9.16</v>
      </c>
      <c r="DW88" s="27">
        <f>COGS!DW88+'SG&amp;A'!DW88</f>
        <v>0.128</v>
      </c>
      <c r="DX88" s="27">
        <f>COGS!DX88+'SG&amp;A'!DX88</f>
        <v>7.0129050000000012E-2</v>
      </c>
      <c r="DY88" s="27">
        <f>COGS!DY88+'SG&amp;A'!DY88</f>
        <v>0.19474035999999997</v>
      </c>
      <c r="DZ88" s="27">
        <f>COGS!DZ88+'SG&amp;A'!DZ88</f>
        <v>0.10688468</v>
      </c>
      <c r="EA88" s="27">
        <f>COGS!EA88+'SG&amp;A'!EA88</f>
        <v>0.49975408999999998</v>
      </c>
      <c r="EB88" s="27">
        <f>COGS!EB88+'SG&amp;A'!EB88</f>
        <v>4.732919E-2</v>
      </c>
      <c r="EC88" s="27">
        <f>COGS!EC88+'SG&amp;A'!EC88</f>
        <v>3.9426830000000003E-2</v>
      </c>
      <c r="ED88" s="27">
        <f>COGS!ED88+'SG&amp;A'!ED88</f>
        <v>3.6999999999999998E-2</v>
      </c>
      <c r="EE88" s="27">
        <f>COGS!EE88+'SG&amp;A'!EE88</f>
        <v>0.12607197000000001</v>
      </c>
      <c r="EF88" s="27">
        <f>COGS!EF88+'SG&amp;A'!EF88</f>
        <v>0.24982799</v>
      </c>
      <c r="EG88" s="27">
        <f>COGS!EG88+'SG&amp;A'!EG88</f>
        <v>4.2926610000000004E-2</v>
      </c>
      <c r="EH88" s="27">
        <f>COGS!EH88+'SG&amp;A'!EH88</f>
        <v>8.1351350000000003E-2</v>
      </c>
      <c r="EI88" s="27">
        <f>COGS!EI88+'SG&amp;A'!EI88</f>
        <v>4.7681270000000005E-2</v>
      </c>
    </row>
    <row r="89" spans="1:139" ht="15" thickBot="1" x14ac:dyDescent="0.35">
      <c r="A89" s="2" t="s">
        <v>454</v>
      </c>
      <c r="B89" s="28">
        <f>COGS!B89+'SG&amp;A'!B89</f>
        <v>0</v>
      </c>
      <c r="C89" s="28">
        <f>COGS!C89+'SG&amp;A'!C89</f>
        <v>0</v>
      </c>
      <c r="D89" s="28">
        <f>COGS!D89+'SG&amp;A'!D89</f>
        <v>0</v>
      </c>
      <c r="E89" s="28">
        <f>COGS!E89+'SG&amp;A'!E89</f>
        <v>0</v>
      </c>
      <c r="F89" s="28">
        <f>COGS!F89+'SG&amp;A'!F89</f>
        <v>0</v>
      </c>
      <c r="G89" s="28">
        <f>COGS!G89+'SG&amp;A'!G89</f>
        <v>0</v>
      </c>
      <c r="H89" s="28">
        <f>COGS!H89+'SG&amp;A'!H89</f>
        <v>0</v>
      </c>
      <c r="I89" s="28">
        <f>COGS!I89+'SG&amp;A'!I89</f>
        <v>0</v>
      </c>
      <c r="J89" s="28">
        <f>COGS!J89+'SG&amp;A'!J89</f>
        <v>0</v>
      </c>
      <c r="K89" s="28">
        <f>COGS!K89+'SG&amp;A'!K89</f>
        <v>0</v>
      </c>
      <c r="L89" s="28">
        <f>COGS!L89+'SG&amp;A'!L89</f>
        <v>0</v>
      </c>
      <c r="M89" s="28">
        <f>COGS!M89+'SG&amp;A'!M89</f>
        <v>0</v>
      </c>
      <c r="N89" s="28">
        <f>COGS!N89+'SG&amp;A'!N89</f>
        <v>0</v>
      </c>
      <c r="O89" s="28">
        <f>COGS!O89+'SG&amp;A'!O89</f>
        <v>0</v>
      </c>
      <c r="P89" s="28">
        <f>COGS!P89+'SG&amp;A'!P89</f>
        <v>0</v>
      </c>
      <c r="Q89" s="28">
        <f>COGS!Q89+'SG&amp;A'!Q89</f>
        <v>0</v>
      </c>
      <c r="R89" s="28">
        <f>COGS!R89+'SG&amp;A'!R89</f>
        <v>0</v>
      </c>
      <c r="S89" s="28">
        <f>COGS!S89+'SG&amp;A'!S89</f>
        <v>0</v>
      </c>
      <c r="T89" s="28">
        <f>COGS!T89+'SG&amp;A'!T89</f>
        <v>0</v>
      </c>
      <c r="U89" s="28">
        <f>COGS!U89+'SG&amp;A'!U89</f>
        <v>0</v>
      </c>
      <c r="V89" s="28">
        <f>COGS!V89+'SG&amp;A'!V89</f>
        <v>0</v>
      </c>
      <c r="W89" s="28">
        <f>COGS!W89+'SG&amp;A'!W89</f>
        <v>0</v>
      </c>
      <c r="X89" s="28">
        <f>COGS!X89+'SG&amp;A'!X89</f>
        <v>0</v>
      </c>
      <c r="Y89" s="28">
        <f>COGS!Y89+'SG&amp;A'!Y89</f>
        <v>0</v>
      </c>
      <c r="Z89" s="28">
        <f>COGS!Z89+'SG&amp;A'!Z89</f>
        <v>0</v>
      </c>
      <c r="AA89" s="28">
        <f>COGS!AA89+'SG&amp;A'!AA89</f>
        <v>0</v>
      </c>
      <c r="AB89" s="28">
        <f>COGS!AB89+'SG&amp;A'!AB89</f>
        <v>0</v>
      </c>
      <c r="AC89" s="28">
        <f>COGS!AC89+'SG&amp;A'!AC89</f>
        <v>0</v>
      </c>
      <c r="AD89" s="28">
        <f>COGS!AD89+'SG&amp;A'!AD89</f>
        <v>0</v>
      </c>
      <c r="AE89" s="28">
        <f>COGS!AE89+'SG&amp;A'!AE89</f>
        <v>0</v>
      </c>
      <c r="AF89" s="28">
        <f>COGS!AF89+'SG&amp;A'!AF89</f>
        <v>0</v>
      </c>
      <c r="AG89" s="28">
        <f>COGS!AG89+'SG&amp;A'!AG89</f>
        <v>0</v>
      </c>
      <c r="AH89" s="28">
        <f>COGS!AH89+'SG&amp;A'!AH89</f>
        <v>0</v>
      </c>
      <c r="AI89" s="28">
        <f>COGS!AI89+'SG&amp;A'!AI89</f>
        <v>0</v>
      </c>
      <c r="AJ89" s="28">
        <f>COGS!AJ89+'SG&amp;A'!AJ89</f>
        <v>0</v>
      </c>
      <c r="AK89" s="28">
        <f>COGS!AK89+'SG&amp;A'!AK89</f>
        <v>0</v>
      </c>
      <c r="AL89" s="28">
        <f>COGS!AL89+'SG&amp;A'!AL89</f>
        <v>0</v>
      </c>
      <c r="AM89" s="28">
        <f>COGS!AM89+'SG&amp;A'!AM89</f>
        <v>0</v>
      </c>
      <c r="AN89" s="28">
        <f>COGS!AN89+'SG&amp;A'!AN89</f>
        <v>0</v>
      </c>
      <c r="AO89" s="28">
        <f>COGS!AO89+'SG&amp;A'!AO89</f>
        <v>0</v>
      </c>
      <c r="AP89" s="28">
        <f>COGS!AP89+'SG&amp;A'!AP89</f>
        <v>0</v>
      </c>
      <c r="AQ89" s="28">
        <f>COGS!AQ89+'SG&amp;A'!AQ89</f>
        <v>0</v>
      </c>
      <c r="AR89" s="28">
        <f>COGS!AR89+'SG&amp;A'!AR89</f>
        <v>0</v>
      </c>
      <c r="AS89" s="28">
        <f>COGS!AS89+'SG&amp;A'!AS89</f>
        <v>0</v>
      </c>
      <c r="AT89" s="28">
        <f>COGS!AT89+'SG&amp;A'!AT89</f>
        <v>0</v>
      </c>
      <c r="AU89" s="28">
        <f>COGS!AU89+'SG&amp;A'!AU89</f>
        <v>0</v>
      </c>
      <c r="AV89" s="28">
        <f>COGS!AV89+'SG&amp;A'!AV89</f>
        <v>0</v>
      </c>
      <c r="AW89" s="28">
        <f>COGS!AW89+'SG&amp;A'!AW89</f>
        <v>0</v>
      </c>
      <c r="AX89" s="28">
        <f>COGS!AX89+'SG&amp;A'!AX89</f>
        <v>0</v>
      </c>
      <c r="AY89" s="28">
        <f>COGS!AY89+'SG&amp;A'!AY89</f>
        <v>0</v>
      </c>
      <c r="AZ89" s="28">
        <f>COGS!AZ89+'SG&amp;A'!AZ89</f>
        <v>0</v>
      </c>
      <c r="BA89" s="28">
        <f>COGS!BA89+'SG&amp;A'!BA89</f>
        <v>0</v>
      </c>
      <c r="BB89" s="28">
        <f>COGS!BB89+'SG&amp;A'!BB89</f>
        <v>0</v>
      </c>
      <c r="BC89" s="28">
        <f>COGS!BC89+'SG&amp;A'!BC89</f>
        <v>0</v>
      </c>
      <c r="BD89" s="28">
        <f>COGS!BD89+'SG&amp;A'!BD89</f>
        <v>0</v>
      </c>
      <c r="BE89" s="28">
        <f>COGS!BE89+'SG&amp;A'!BE89</f>
        <v>0</v>
      </c>
      <c r="BF89" s="28">
        <f>COGS!BF89+'SG&amp;A'!BF89</f>
        <v>0</v>
      </c>
      <c r="BG89" s="28">
        <f>COGS!BG89+'SG&amp;A'!BG89</f>
        <v>0</v>
      </c>
      <c r="BH89" s="28">
        <f>COGS!BH89+'SG&amp;A'!BH89</f>
        <v>0</v>
      </c>
      <c r="BI89" s="28">
        <f>COGS!BI89+'SG&amp;A'!BI89</f>
        <v>0</v>
      </c>
      <c r="BJ89" s="28">
        <f>COGS!BJ89+'SG&amp;A'!BJ89</f>
        <v>3.0114565799999999</v>
      </c>
      <c r="BK89" s="28">
        <f>COGS!BK89+'SG&amp;A'!BK89</f>
        <v>2.9334684500000003</v>
      </c>
      <c r="BL89" s="28">
        <f>COGS!BL89+'SG&amp;A'!BL89</f>
        <v>2.7887799099999997</v>
      </c>
      <c r="BM89" s="28">
        <f>COGS!BM89+'SG&amp;A'!BM89</f>
        <v>3.0227914599999992</v>
      </c>
      <c r="BN89" s="28">
        <f>COGS!BN89+'SG&amp;A'!BN89</f>
        <v>11.7564964</v>
      </c>
      <c r="BO89" s="28">
        <f>COGS!BO89+'SG&amp;A'!BO89</f>
        <v>3.3599155199999999</v>
      </c>
      <c r="BP89" s="28">
        <f>COGS!BP89+'SG&amp;A'!BP89</f>
        <v>3.1970676799999991</v>
      </c>
      <c r="BQ89" s="28">
        <f>COGS!BQ89+'SG&amp;A'!BQ89</f>
        <v>3.2536605500000011</v>
      </c>
      <c r="BR89" s="28">
        <f>COGS!BR89+'SG&amp;A'!BR89</f>
        <v>3.4473331499999991</v>
      </c>
      <c r="BS89" s="28">
        <f>COGS!BS89+'SG&amp;A'!BS89</f>
        <v>13.257976899999999</v>
      </c>
      <c r="BT89" s="28">
        <f>COGS!BT89+'SG&amp;A'!BT89</f>
        <v>5.2211816999999998</v>
      </c>
      <c r="BU89" s="28">
        <f>COGS!BU89+'SG&amp;A'!BU89</f>
        <v>3.2935095400000001</v>
      </c>
      <c r="BV89" s="28">
        <f>COGS!BV89+'SG&amp;A'!BV89</f>
        <v>3.3624784700000014</v>
      </c>
      <c r="BW89" s="28">
        <f>COGS!BW89+'SG&amp;A'!BW89</f>
        <v>3.6719685999999996</v>
      </c>
      <c r="BX89" s="28">
        <f>COGS!BX89+'SG&amp;A'!BX89</f>
        <v>15.549138310000002</v>
      </c>
      <c r="BY89" s="28">
        <f>COGS!BY89+'SG&amp;A'!BY89</f>
        <v>3.3594817800000003</v>
      </c>
      <c r="BZ89" s="28">
        <f>COGS!BZ89+'SG&amp;A'!BZ89</f>
        <v>3.5277693499999998</v>
      </c>
      <c r="CA89" s="28">
        <f>COGS!CA89+'SG&amp;A'!CA89</f>
        <v>3.8906754100000005</v>
      </c>
      <c r="CB89" s="28">
        <f>COGS!CB89+'SG&amp;A'!CB89</f>
        <v>3.8716037699999997</v>
      </c>
      <c r="CC89" s="28">
        <f>COGS!CC89+'SG&amp;A'!CC89</f>
        <v>14.649530309999999</v>
      </c>
      <c r="CD89" s="28">
        <f>COGS!CD89+'SG&amp;A'!CD89</f>
        <v>4.0110641099999995</v>
      </c>
      <c r="CE89" s="28">
        <f>COGS!CE89+'SG&amp;A'!CE89</f>
        <v>4.5664670000000003</v>
      </c>
      <c r="CF89" s="28">
        <f>COGS!CF89+'SG&amp;A'!CF89</f>
        <v>4.8307981800000004</v>
      </c>
      <c r="CG89" s="28">
        <f>COGS!CG89+'SG&amp;A'!CG89</f>
        <v>4.5051811799999992</v>
      </c>
      <c r="CH89" s="28">
        <f>COGS!CH89+'SG&amp;A'!CH89</f>
        <v>17.913510469999999</v>
      </c>
      <c r="CI89" s="28">
        <f>COGS!CI89+'SG&amp;A'!CI89</f>
        <v>4.3836421000000003</v>
      </c>
      <c r="CJ89" s="28">
        <f>COGS!CJ89+'SG&amp;A'!CJ89</f>
        <v>4.4834868599999993</v>
      </c>
      <c r="CK89" s="28">
        <f>COGS!CK89+'SG&amp;A'!CK89</f>
        <v>8.2992766600000003</v>
      </c>
      <c r="CL89" s="28">
        <f>COGS!CL89+'SG&amp;A'!CL89</f>
        <v>8.9787601200000005</v>
      </c>
      <c r="CM89" s="28">
        <f>COGS!CM89+'SG&amp;A'!CM89</f>
        <v>26.145165740000003</v>
      </c>
      <c r="CN89" s="28">
        <f>COGS!CN89+'SG&amp;A'!CN89</f>
        <v>7.6607157499999996</v>
      </c>
      <c r="CO89" s="28">
        <f>COGS!CO89+'SG&amp;A'!CO89</f>
        <v>7.335058319999999</v>
      </c>
      <c r="CP89" s="28">
        <f>COGS!CP89+'SG&amp;A'!CP89</f>
        <v>7.4870559400000021</v>
      </c>
      <c r="CQ89" s="28">
        <f>COGS!CQ89+'SG&amp;A'!CQ89</f>
        <v>5.1761699899999982</v>
      </c>
      <c r="CR89" s="28">
        <f>COGS!CR89+'SG&amp;A'!CR89</f>
        <v>27.658999999999999</v>
      </c>
      <c r="CS89" s="28">
        <f>COGS!CS89+'SG&amp;A'!CS89</f>
        <v>7.4537949100000001</v>
      </c>
      <c r="CT89" s="28">
        <f>COGS!CT89+'SG&amp;A'!CT89</f>
        <v>7.9211280500000001</v>
      </c>
      <c r="CU89" s="28">
        <f>COGS!CU89+'SG&amp;A'!CU89</f>
        <v>7.5773307999999977</v>
      </c>
      <c r="CV89" s="28">
        <f>COGS!CV89+'SG&amp;A'!CV89</f>
        <v>7.7038222100000002</v>
      </c>
      <c r="CW89" s="28">
        <f>COGS!CW89+'SG&amp;A'!CW89</f>
        <v>30.656075969999996</v>
      </c>
      <c r="CX89" s="28">
        <f>COGS!CX89+'SG&amp;A'!CX89</f>
        <v>7.6140000000000008</v>
      </c>
      <c r="CY89" s="28">
        <f>COGS!CY89+'SG&amp;A'!CY89</f>
        <v>7.48</v>
      </c>
      <c r="CZ89" s="28">
        <f>COGS!CZ89+'SG&amp;A'!CZ89</f>
        <v>7.1180000000000003</v>
      </c>
      <c r="DA89" s="28">
        <f>COGS!DA89+'SG&amp;A'!DA89</f>
        <v>7.2690000000000001</v>
      </c>
      <c r="DB89" s="28">
        <f>COGS!DB89+'SG&amp;A'!DB89</f>
        <v>29.481000000000002</v>
      </c>
      <c r="DC89" s="28">
        <f>COGS!DC89+'SG&amp;A'!DC89</f>
        <v>7.1319999999999997</v>
      </c>
      <c r="DD89" s="28">
        <f>COGS!DD89+'SG&amp;A'!DD89</f>
        <v>7.258</v>
      </c>
      <c r="DE89" s="28">
        <f>COGS!DE89+'SG&amp;A'!DE89</f>
        <v>7.1560000000000006</v>
      </c>
      <c r="DF89" s="28">
        <f>COGS!DF89+'SG&amp;A'!DF89</f>
        <v>7.261000000000001</v>
      </c>
      <c r="DG89" s="28">
        <f>COGS!DG89+'SG&amp;A'!DG89</f>
        <v>28.807000000000002</v>
      </c>
      <c r="DH89" s="28">
        <f>COGS!DH89+'SG&amp;A'!DH89</f>
        <v>8.0030000000000001</v>
      </c>
      <c r="DI89" s="28">
        <f>COGS!DI89+'SG&amp;A'!DI89</f>
        <v>7.8090000000000002</v>
      </c>
      <c r="DJ89" s="28">
        <f>COGS!DJ89+'SG&amp;A'!DJ89</f>
        <v>7.9649999999999999</v>
      </c>
      <c r="DK89" s="28">
        <f>COGS!DK89+'SG&amp;A'!DK89</f>
        <v>8.5109999999999992</v>
      </c>
      <c r="DL89" s="28">
        <f>COGS!DL89+'SG&amp;A'!DL89</f>
        <v>32.288000000000004</v>
      </c>
      <c r="DM89" s="28">
        <f>COGS!DM89+'SG&amp;A'!DM89</f>
        <v>8.8770000000000007</v>
      </c>
      <c r="DN89" s="28">
        <f>COGS!DN89+'SG&amp;A'!DN89</f>
        <v>9.5689999999999991</v>
      </c>
      <c r="DO89" s="28">
        <f>COGS!DO89+'SG&amp;A'!DO89</f>
        <v>9.0679999999999996</v>
      </c>
      <c r="DP89" s="28">
        <f>COGS!DP89+'SG&amp;A'!DP89</f>
        <v>9.11</v>
      </c>
      <c r="DQ89" s="28">
        <f>COGS!DQ89+'SG&amp;A'!DQ89</f>
        <v>36.623999999999995</v>
      </c>
      <c r="DR89" s="28">
        <f>COGS!DR89+'SG&amp;A'!DR89</f>
        <v>9.9250000000000007</v>
      </c>
      <c r="DS89" s="28">
        <f>COGS!DS89+'SG&amp;A'!DS89</f>
        <v>9.9489999999999998</v>
      </c>
      <c r="DT89" s="28">
        <f>COGS!DT89+'SG&amp;A'!DT89</f>
        <v>10.172000000000001</v>
      </c>
      <c r="DU89" s="28">
        <f>COGS!DU89+'SG&amp;A'!DU89</f>
        <v>6.8140000000000001</v>
      </c>
      <c r="DV89" s="28">
        <f>COGS!DV89+'SG&amp;A'!DV89</f>
        <v>36.86</v>
      </c>
      <c r="DW89" s="28">
        <f>COGS!DW89+'SG&amp;A'!DW89</f>
        <v>9.9269999999999996</v>
      </c>
      <c r="DX89" s="28">
        <f>COGS!DX89+'SG&amp;A'!DX89</f>
        <v>10.057478229999999</v>
      </c>
      <c r="DY89" s="28">
        <f>COGS!DY89+'SG&amp;A'!DY89</f>
        <v>9.7143789500000022</v>
      </c>
      <c r="DZ89" s="28">
        <f>COGS!DZ89+'SG&amp;A'!DZ89</f>
        <v>10.491027509999999</v>
      </c>
      <c r="EA89" s="28">
        <f>COGS!EA89+'SG&amp;A'!EA89</f>
        <v>40.18988469</v>
      </c>
      <c r="EB89" s="28">
        <f>COGS!EB89+'SG&amp;A'!EB89</f>
        <v>11.763315759999999</v>
      </c>
      <c r="EC89" s="28">
        <f>COGS!EC89+'SG&amp;A'!EC89</f>
        <v>10.88480232</v>
      </c>
      <c r="ED89" s="28">
        <f>COGS!ED89+'SG&amp;A'!ED89</f>
        <v>10.92</v>
      </c>
      <c r="EE89" s="28">
        <f>COGS!EE89+'SG&amp;A'!EE89</f>
        <v>11.340574410000002</v>
      </c>
      <c r="EF89" s="28">
        <f>COGS!EF89+'SG&amp;A'!EF89</f>
        <v>44.90869249</v>
      </c>
      <c r="EG89" s="28">
        <f>COGS!EG89+'SG&amp;A'!EG89</f>
        <v>14.018515430000001</v>
      </c>
      <c r="EH89" s="28">
        <f>COGS!EH89+'SG&amp;A'!EH89</f>
        <v>13.44743467</v>
      </c>
      <c r="EI89" s="28">
        <f>COGS!EI89+'SG&amp;A'!EI89</f>
        <v>13.739709009999999</v>
      </c>
    </row>
    <row r="90" spans="1:139" ht="15" thickTop="1" x14ac:dyDescent="0.3">
      <c r="A90" s="1" t="s">
        <v>442</v>
      </c>
      <c r="B90" s="27">
        <f>COGS!B90+'SG&amp;A'!B90</f>
        <v>0</v>
      </c>
      <c r="C90" s="27">
        <f>COGS!C90+'SG&amp;A'!C90</f>
        <v>0</v>
      </c>
      <c r="D90" s="27">
        <f>COGS!D90+'SG&amp;A'!D90</f>
        <v>0</v>
      </c>
      <c r="E90" s="27">
        <f>COGS!E90+'SG&amp;A'!E90</f>
        <v>0</v>
      </c>
      <c r="F90" s="27">
        <f>COGS!F90+'SG&amp;A'!F90</f>
        <v>0</v>
      </c>
      <c r="G90" s="27">
        <f>COGS!G90+'SG&amp;A'!G90</f>
        <v>0</v>
      </c>
      <c r="H90" s="27">
        <f>COGS!H90+'SG&amp;A'!H90</f>
        <v>0</v>
      </c>
      <c r="I90" s="27">
        <f>COGS!I90+'SG&amp;A'!I90</f>
        <v>0</v>
      </c>
      <c r="J90" s="27">
        <f>COGS!J90+'SG&amp;A'!J90</f>
        <v>0</v>
      </c>
      <c r="K90" s="27">
        <f>COGS!K90+'SG&amp;A'!K90</f>
        <v>0</v>
      </c>
      <c r="L90" s="27">
        <f>COGS!L90+'SG&amp;A'!L90</f>
        <v>0</v>
      </c>
      <c r="M90" s="27">
        <f>COGS!M90+'SG&amp;A'!M90</f>
        <v>0</v>
      </c>
      <c r="N90" s="27">
        <f>COGS!N90+'SG&amp;A'!N90</f>
        <v>0</v>
      </c>
      <c r="O90" s="27">
        <f>COGS!O90+'SG&amp;A'!O90</f>
        <v>0</v>
      </c>
      <c r="P90" s="27">
        <f>COGS!P90+'SG&amp;A'!P90</f>
        <v>0</v>
      </c>
      <c r="Q90" s="27">
        <f>COGS!Q90+'SG&amp;A'!Q90</f>
        <v>0</v>
      </c>
      <c r="R90" s="27">
        <f>COGS!R90+'SG&amp;A'!R90</f>
        <v>0</v>
      </c>
      <c r="S90" s="27">
        <f>COGS!S90+'SG&amp;A'!S90</f>
        <v>0</v>
      </c>
      <c r="T90" s="27">
        <f>COGS!T90+'SG&amp;A'!T90</f>
        <v>0</v>
      </c>
      <c r="U90" s="27">
        <f>COGS!U90+'SG&amp;A'!U90</f>
        <v>0</v>
      </c>
      <c r="V90" s="27">
        <f>COGS!V90+'SG&amp;A'!V90</f>
        <v>0</v>
      </c>
      <c r="W90" s="27">
        <f>COGS!W90+'SG&amp;A'!W90</f>
        <v>0</v>
      </c>
      <c r="X90" s="27">
        <f>COGS!X90+'SG&amp;A'!X90</f>
        <v>0</v>
      </c>
      <c r="Y90" s="27">
        <f>COGS!Y90+'SG&amp;A'!Y90</f>
        <v>0</v>
      </c>
      <c r="Z90" s="27">
        <f>COGS!Z90+'SG&amp;A'!Z90</f>
        <v>0</v>
      </c>
      <c r="AA90" s="27">
        <f>COGS!AA90+'SG&amp;A'!AA90</f>
        <v>0</v>
      </c>
      <c r="AB90" s="27">
        <f>COGS!AB90+'SG&amp;A'!AB90</f>
        <v>0</v>
      </c>
      <c r="AC90" s="27">
        <f>COGS!AC90+'SG&amp;A'!AC90</f>
        <v>0</v>
      </c>
      <c r="AD90" s="27">
        <f>COGS!AD90+'SG&amp;A'!AD90</f>
        <v>0</v>
      </c>
      <c r="AE90" s="27">
        <f>COGS!AE90+'SG&amp;A'!AE90</f>
        <v>0</v>
      </c>
      <c r="AF90" s="27">
        <f>COGS!AF90+'SG&amp;A'!AF90</f>
        <v>0</v>
      </c>
      <c r="AG90" s="27">
        <f>COGS!AG90+'SG&amp;A'!AG90</f>
        <v>0</v>
      </c>
      <c r="AH90" s="27">
        <f>COGS!AH90+'SG&amp;A'!AH90</f>
        <v>0</v>
      </c>
      <c r="AI90" s="27">
        <f>COGS!AI90+'SG&amp;A'!AI90</f>
        <v>0</v>
      </c>
      <c r="AJ90" s="27">
        <f>COGS!AJ90+'SG&amp;A'!AJ90</f>
        <v>0</v>
      </c>
      <c r="AK90" s="27">
        <f>COGS!AK90+'SG&amp;A'!AK90</f>
        <v>0</v>
      </c>
      <c r="AL90" s="27">
        <f>COGS!AL90+'SG&amp;A'!AL90</f>
        <v>0</v>
      </c>
      <c r="AM90" s="27">
        <f>COGS!AM90+'SG&amp;A'!AM90</f>
        <v>0</v>
      </c>
      <c r="AN90" s="27">
        <f>COGS!AN90+'SG&amp;A'!AN90</f>
        <v>0</v>
      </c>
      <c r="AO90" s="27">
        <f>COGS!AO90+'SG&amp;A'!AO90</f>
        <v>0</v>
      </c>
      <c r="AP90" s="27">
        <f>COGS!AP90+'SG&amp;A'!AP90</f>
        <v>0</v>
      </c>
      <c r="AQ90" s="27">
        <f>COGS!AQ90+'SG&amp;A'!AQ90</f>
        <v>0</v>
      </c>
      <c r="AR90" s="27">
        <f>COGS!AR90+'SG&amp;A'!AR90</f>
        <v>0</v>
      </c>
      <c r="AS90" s="27">
        <f>COGS!AS90+'SG&amp;A'!AS90</f>
        <v>0</v>
      </c>
      <c r="AT90" s="27">
        <f>COGS!AT90+'SG&amp;A'!AT90</f>
        <v>0</v>
      </c>
      <c r="AU90" s="27">
        <f>COGS!AU90+'SG&amp;A'!AU90</f>
        <v>0</v>
      </c>
      <c r="AV90" s="27">
        <f>COGS!AV90+'SG&amp;A'!AV90</f>
        <v>0</v>
      </c>
      <c r="AW90" s="27">
        <f>COGS!AW90+'SG&amp;A'!AW90</f>
        <v>0</v>
      </c>
      <c r="AX90" s="27">
        <f>COGS!AX90+'SG&amp;A'!AX90</f>
        <v>0</v>
      </c>
      <c r="AY90" s="27">
        <f>COGS!AY90+'SG&amp;A'!AY90</f>
        <v>0</v>
      </c>
      <c r="AZ90" s="27">
        <f>COGS!AZ90+'SG&amp;A'!AZ90</f>
        <v>0</v>
      </c>
      <c r="BA90" s="27">
        <f>COGS!BA90+'SG&amp;A'!BA90</f>
        <v>0</v>
      </c>
      <c r="BB90" s="27">
        <f>COGS!BB90+'SG&amp;A'!BB90</f>
        <v>0</v>
      </c>
      <c r="BC90" s="27">
        <f>COGS!BC90+'SG&amp;A'!BC90</f>
        <v>0</v>
      </c>
      <c r="BD90" s="27">
        <f>COGS!BD90+'SG&amp;A'!BD90</f>
        <v>0</v>
      </c>
      <c r="BE90" s="27">
        <f>COGS!BE90+'SG&amp;A'!BE90</f>
        <v>0</v>
      </c>
      <c r="BF90" s="27">
        <f>COGS!BF90+'SG&amp;A'!BF90</f>
        <v>0</v>
      </c>
      <c r="BG90" s="27">
        <f>COGS!BG90+'SG&amp;A'!BG90</f>
        <v>0</v>
      </c>
      <c r="BH90" s="27">
        <f>COGS!BH90+'SG&amp;A'!BH90</f>
        <v>0</v>
      </c>
      <c r="BI90" s="27">
        <f>COGS!BI90+'SG&amp;A'!BI90</f>
        <v>0</v>
      </c>
      <c r="BJ90" s="27">
        <f>COGS!BJ90+'SG&amp;A'!BJ90</f>
        <v>15.96155856</v>
      </c>
      <c r="BK90" s="27">
        <f>COGS!BK90+'SG&amp;A'!BK90</f>
        <v>15.911087400000003</v>
      </c>
      <c r="BL90" s="27">
        <f>COGS!BL90+'SG&amp;A'!BL90</f>
        <v>16.49283174</v>
      </c>
      <c r="BM90" s="27">
        <f>COGS!BM90+'SG&amp;A'!BM90</f>
        <v>16.842747819999992</v>
      </c>
      <c r="BN90" s="27">
        <f>COGS!BN90+'SG&amp;A'!BN90</f>
        <v>65.208225519999999</v>
      </c>
      <c r="BO90" s="27">
        <f>COGS!BO90+'SG&amp;A'!BO90</f>
        <v>18.022751560000003</v>
      </c>
      <c r="BP90" s="27">
        <f>COGS!BP90+'SG&amp;A'!BP90</f>
        <v>18.499984959999999</v>
      </c>
      <c r="BQ90" s="27">
        <f>COGS!BQ90+'SG&amp;A'!BQ90</f>
        <v>18.180631509999998</v>
      </c>
      <c r="BR90" s="27">
        <f>COGS!BR90+'SG&amp;A'!BR90</f>
        <v>18.730855479999995</v>
      </c>
      <c r="BS90" s="27">
        <f>COGS!BS90+'SG&amp;A'!BS90</f>
        <v>73.434223509999995</v>
      </c>
      <c r="BT90" s="27">
        <f>COGS!BT90+'SG&amp;A'!BT90</f>
        <v>19.187673460000003</v>
      </c>
      <c r="BU90" s="27">
        <f>COGS!BU90+'SG&amp;A'!BU90</f>
        <v>23.797111909999998</v>
      </c>
      <c r="BV90" s="27">
        <f>COGS!BV90+'SG&amp;A'!BV90</f>
        <v>23.332987539999994</v>
      </c>
      <c r="BW90" s="27">
        <f>COGS!BW90+'SG&amp;A'!BW90</f>
        <v>20.479705109999998</v>
      </c>
      <c r="BX90" s="27">
        <f>COGS!BX90+'SG&amp;A'!BX90</f>
        <v>86.79747802</v>
      </c>
      <c r="BY90" s="27">
        <f>COGS!BY90+'SG&amp;A'!BY90</f>
        <v>20.286437400000001</v>
      </c>
      <c r="BZ90" s="27">
        <f>COGS!BZ90+'SG&amp;A'!BZ90</f>
        <v>20.447628170000002</v>
      </c>
      <c r="CA90" s="27">
        <f>COGS!CA90+'SG&amp;A'!CA90</f>
        <v>20.5353791</v>
      </c>
      <c r="CB90" s="27">
        <f>COGS!CB90+'SG&amp;A'!CB90</f>
        <v>23.046730479999997</v>
      </c>
      <c r="CC90" s="27">
        <f>COGS!CC90+'SG&amp;A'!CC90</f>
        <v>84.316175149999992</v>
      </c>
      <c r="CD90" s="27">
        <f>COGS!CD90+'SG&amp;A'!CD90</f>
        <v>24.485228979999999</v>
      </c>
      <c r="CE90" s="27">
        <f>COGS!CE90+'SG&amp;A'!CE90</f>
        <v>25.354021920000001</v>
      </c>
      <c r="CF90" s="27">
        <f>COGS!CF90+'SG&amp;A'!CF90</f>
        <v>24.502785740000007</v>
      </c>
      <c r="CG90" s="27">
        <f>COGS!CG90+'SG&amp;A'!CG90</f>
        <v>25.390541009999996</v>
      </c>
      <c r="CH90" s="27">
        <f>COGS!CH90+'SG&amp;A'!CH90</f>
        <v>99.732577649999996</v>
      </c>
      <c r="CI90" s="27">
        <f>COGS!CI90+'SG&amp;A'!CI90</f>
        <v>25.036039720000002</v>
      </c>
      <c r="CJ90" s="27">
        <f>COGS!CJ90+'SG&amp;A'!CJ90</f>
        <v>26.026037259999999</v>
      </c>
      <c r="CK90" s="27">
        <f>COGS!CK90+'SG&amp;A'!CK90</f>
        <v>25.745070559999995</v>
      </c>
      <c r="CL90" s="27">
        <f>COGS!CL90+'SG&amp;A'!CL90</f>
        <v>25.570952590000012</v>
      </c>
      <c r="CM90" s="27">
        <f>COGS!CM90+'SG&amp;A'!CM90</f>
        <v>102.37810013000001</v>
      </c>
      <c r="CN90" s="27">
        <f>COGS!CN90+'SG&amp;A'!CN90</f>
        <v>24.806020660000001</v>
      </c>
      <c r="CO90" s="27">
        <f>COGS!CO90+'SG&amp;A'!CO90</f>
        <v>24.839339119999998</v>
      </c>
      <c r="CP90" s="27">
        <f>COGS!CP90+'SG&amp;A'!CP90</f>
        <v>25.014197379999999</v>
      </c>
      <c r="CQ90" s="27">
        <f>COGS!CQ90+'SG&amp;A'!CQ90</f>
        <v>15.17044284</v>
      </c>
      <c r="CR90" s="27">
        <f>COGS!CR90+'SG&amp;A'!CR90</f>
        <v>89.83</v>
      </c>
      <c r="CS90" s="27">
        <f>COGS!CS90+'SG&amp;A'!CS90</f>
        <v>22.919305439999999</v>
      </c>
      <c r="CT90" s="27">
        <f>COGS!CT90+'SG&amp;A'!CT90</f>
        <v>23.537474469999999</v>
      </c>
      <c r="CU90" s="27">
        <f>COGS!CU90+'SG&amp;A'!CU90</f>
        <v>23.24622403</v>
      </c>
      <c r="CV90" s="27">
        <f>COGS!CV90+'SG&amp;A'!CV90</f>
        <v>23.902126140000007</v>
      </c>
      <c r="CW90" s="27">
        <f>COGS!CW90+'SG&amp;A'!CW90</f>
        <v>93.605130080000009</v>
      </c>
      <c r="CX90" s="27">
        <f>COGS!CX90+'SG&amp;A'!CX90</f>
        <v>24.545999999999999</v>
      </c>
      <c r="CY90" s="27">
        <f>COGS!CY90+'SG&amp;A'!CY90</f>
        <v>22.989000000000001</v>
      </c>
      <c r="CZ90" s="27">
        <f>COGS!CZ90+'SG&amp;A'!CZ90</f>
        <v>22.193999999999999</v>
      </c>
      <c r="DA90" s="27">
        <f>COGS!DA90+'SG&amp;A'!DA90</f>
        <v>22.216999999999999</v>
      </c>
      <c r="DB90" s="27">
        <f>COGS!DB90+'SG&amp;A'!DB90</f>
        <v>91.945999999999998</v>
      </c>
      <c r="DC90" s="27">
        <f>COGS!DC90+'SG&amp;A'!DC90</f>
        <v>22.274000000000001</v>
      </c>
      <c r="DD90" s="27">
        <f>COGS!DD90+'SG&amp;A'!DD90</f>
        <v>21.881999999999998</v>
      </c>
      <c r="DE90" s="27">
        <f>COGS!DE90+'SG&amp;A'!DE90</f>
        <v>21.646000000000001</v>
      </c>
      <c r="DF90" s="27">
        <f>COGS!DF90+'SG&amp;A'!DF90</f>
        <v>21.923999999999999</v>
      </c>
      <c r="DG90" s="27">
        <f>COGS!DG90+'SG&amp;A'!DG90</f>
        <v>87.725999999999999</v>
      </c>
      <c r="DH90" s="27">
        <f>COGS!DH90+'SG&amp;A'!DH90</f>
        <v>26.182000000000002</v>
      </c>
      <c r="DI90" s="27">
        <f>COGS!DI90+'SG&amp;A'!DI90</f>
        <v>24.301000000000002</v>
      </c>
      <c r="DJ90" s="27">
        <f>COGS!DJ90+'SG&amp;A'!DJ90</f>
        <v>24.484000000000002</v>
      </c>
      <c r="DK90" s="27">
        <f>COGS!DK90+'SG&amp;A'!DK90</f>
        <v>26.010999999999999</v>
      </c>
      <c r="DL90" s="27">
        <f>COGS!DL90+'SG&amp;A'!DL90</f>
        <v>100.97800000000001</v>
      </c>
      <c r="DM90" s="27">
        <f>COGS!DM90+'SG&amp;A'!DM90</f>
        <v>29.512999999999998</v>
      </c>
      <c r="DN90" s="27">
        <f>COGS!DN90+'SG&amp;A'!DN90</f>
        <v>28.826999999999998</v>
      </c>
      <c r="DO90" s="27">
        <f>COGS!DO90+'SG&amp;A'!DO90</f>
        <v>28.984999999999999</v>
      </c>
      <c r="DP90" s="27">
        <f>COGS!DP90+'SG&amp;A'!DP90</f>
        <v>30.436999999999998</v>
      </c>
      <c r="DQ90" s="27">
        <f>COGS!DQ90+'SG&amp;A'!DQ90</f>
        <v>117.762</v>
      </c>
      <c r="DR90" s="27">
        <f>COGS!DR90+'SG&amp;A'!DR90</f>
        <v>34.364999999999995</v>
      </c>
      <c r="DS90" s="27">
        <f>COGS!DS90+'SG&amp;A'!DS90</f>
        <v>35.25</v>
      </c>
      <c r="DT90" s="27">
        <f>COGS!DT90+'SG&amp;A'!DT90</f>
        <v>34.108000000000004</v>
      </c>
      <c r="DU90" s="27">
        <f>COGS!DU90+'SG&amp;A'!DU90</f>
        <v>33.890999999999998</v>
      </c>
      <c r="DV90" s="27">
        <f>COGS!DV90+'SG&amp;A'!DV90</f>
        <v>137.61399999999998</v>
      </c>
      <c r="DW90" s="27">
        <f>COGS!DW90+'SG&amp;A'!DW90</f>
        <v>37.043000000000006</v>
      </c>
      <c r="DX90" s="27">
        <f>COGS!DX90+'SG&amp;A'!DX90</f>
        <v>36.053842130000007</v>
      </c>
      <c r="DY90" s="27">
        <f>COGS!DY90+'SG&amp;A'!DY90</f>
        <v>36.43990196</v>
      </c>
      <c r="DZ90" s="27">
        <f>COGS!DZ90+'SG&amp;A'!DZ90</f>
        <v>37.909589389999994</v>
      </c>
      <c r="EA90" s="27">
        <f>COGS!EA90+'SG&amp;A'!EA90</f>
        <v>147.44633348000002</v>
      </c>
      <c r="EB90" s="27">
        <f>COGS!EB90+'SG&amp;A'!EB90</f>
        <v>39.769632780000002</v>
      </c>
      <c r="EC90" s="27">
        <f>COGS!EC90+'SG&amp;A'!EC90</f>
        <v>39.846570440000001</v>
      </c>
      <c r="ED90" s="27">
        <f>COGS!ED90+'SG&amp;A'!ED90</f>
        <v>40.57</v>
      </c>
      <c r="EE90" s="27">
        <f>COGS!EE90+'SG&amp;A'!EE90</f>
        <v>40.919640340000001</v>
      </c>
      <c r="EF90" s="27">
        <f>COGS!EF90+'SG&amp;A'!EF90</f>
        <v>161.10584356000001</v>
      </c>
      <c r="EG90" s="27">
        <f>COGS!EG90+'SG&amp;A'!EG90</f>
        <v>46.6675544</v>
      </c>
      <c r="EH90" s="27">
        <f>COGS!EH90+'SG&amp;A'!EH90</f>
        <v>45.80404836000001</v>
      </c>
      <c r="EI90" s="27">
        <f>COGS!EI90+'SG&amp;A'!EI90</f>
        <v>44.994008769999994</v>
      </c>
    </row>
    <row r="91" spans="1:139" ht="15" thickBot="1" x14ac:dyDescent="0.35">
      <c r="A91" s="2" t="s">
        <v>3</v>
      </c>
      <c r="B91" s="28">
        <f>COGS!B91+'SG&amp;A'!B91</f>
        <v>0</v>
      </c>
      <c r="C91" s="28">
        <f>COGS!C91+'SG&amp;A'!C91</f>
        <v>0</v>
      </c>
      <c r="D91" s="28">
        <f>COGS!D91+'SG&amp;A'!D91</f>
        <v>0</v>
      </c>
      <c r="E91" s="28">
        <f>COGS!E91+'SG&amp;A'!E91</f>
        <v>0</v>
      </c>
      <c r="F91" s="28">
        <f>COGS!F91+'SG&amp;A'!F91</f>
        <v>0</v>
      </c>
      <c r="G91" s="28">
        <f>COGS!G91+'SG&amp;A'!G91</f>
        <v>0</v>
      </c>
      <c r="H91" s="28">
        <f>COGS!H91+'SG&amp;A'!H91</f>
        <v>0</v>
      </c>
      <c r="I91" s="28">
        <f>COGS!I91+'SG&amp;A'!I91</f>
        <v>0</v>
      </c>
      <c r="J91" s="28">
        <f>COGS!J91+'SG&amp;A'!J91</f>
        <v>0</v>
      </c>
      <c r="K91" s="28">
        <f>COGS!K91+'SG&amp;A'!K91</f>
        <v>0</v>
      </c>
      <c r="L91" s="28">
        <f>COGS!L91+'SG&amp;A'!L91</f>
        <v>0</v>
      </c>
      <c r="M91" s="28">
        <f>COGS!M91+'SG&amp;A'!M91</f>
        <v>0</v>
      </c>
      <c r="N91" s="28">
        <f>COGS!N91+'SG&amp;A'!N91</f>
        <v>0</v>
      </c>
      <c r="O91" s="28">
        <f>COGS!O91+'SG&amp;A'!O91</f>
        <v>0</v>
      </c>
      <c r="P91" s="28">
        <f>COGS!P91+'SG&amp;A'!P91</f>
        <v>0</v>
      </c>
      <c r="Q91" s="28">
        <f>COGS!Q91+'SG&amp;A'!Q91</f>
        <v>0</v>
      </c>
      <c r="R91" s="28">
        <f>COGS!R91+'SG&amp;A'!R91</f>
        <v>0</v>
      </c>
      <c r="S91" s="28">
        <f>COGS!S91+'SG&amp;A'!S91</f>
        <v>0</v>
      </c>
      <c r="T91" s="28">
        <f>COGS!T91+'SG&amp;A'!T91</f>
        <v>0</v>
      </c>
      <c r="U91" s="28">
        <f>COGS!U91+'SG&amp;A'!U91</f>
        <v>0</v>
      </c>
      <c r="V91" s="28">
        <f>COGS!V91+'SG&amp;A'!V91</f>
        <v>0</v>
      </c>
      <c r="W91" s="28">
        <f>COGS!W91+'SG&amp;A'!W91</f>
        <v>0</v>
      </c>
      <c r="X91" s="28">
        <f>COGS!X91+'SG&amp;A'!X91</f>
        <v>0</v>
      </c>
      <c r="Y91" s="28">
        <f>COGS!Y91+'SG&amp;A'!Y91</f>
        <v>0</v>
      </c>
      <c r="Z91" s="28">
        <f>COGS!Z91+'SG&amp;A'!Z91</f>
        <v>0</v>
      </c>
      <c r="AA91" s="28">
        <f>COGS!AA91+'SG&amp;A'!AA91</f>
        <v>0</v>
      </c>
      <c r="AB91" s="28">
        <f>COGS!AB91+'SG&amp;A'!AB91</f>
        <v>0</v>
      </c>
      <c r="AC91" s="28">
        <f>COGS!AC91+'SG&amp;A'!AC91</f>
        <v>0</v>
      </c>
      <c r="AD91" s="28">
        <f>COGS!AD91+'SG&amp;A'!AD91</f>
        <v>0</v>
      </c>
      <c r="AE91" s="28">
        <f>COGS!AE91+'SG&amp;A'!AE91</f>
        <v>0</v>
      </c>
      <c r="AF91" s="28">
        <f>COGS!AF91+'SG&amp;A'!AF91</f>
        <v>0</v>
      </c>
      <c r="AG91" s="28">
        <f>COGS!AG91+'SG&amp;A'!AG91</f>
        <v>0</v>
      </c>
      <c r="AH91" s="28">
        <f>COGS!AH91+'SG&amp;A'!AH91</f>
        <v>0</v>
      </c>
      <c r="AI91" s="28">
        <f>COGS!AI91+'SG&amp;A'!AI91</f>
        <v>0</v>
      </c>
      <c r="AJ91" s="28">
        <f>COGS!AJ91+'SG&amp;A'!AJ91</f>
        <v>0</v>
      </c>
      <c r="AK91" s="28">
        <f>COGS!AK91+'SG&amp;A'!AK91</f>
        <v>0</v>
      </c>
      <c r="AL91" s="28">
        <f>COGS!AL91+'SG&amp;A'!AL91</f>
        <v>0</v>
      </c>
      <c r="AM91" s="28">
        <f>COGS!AM91+'SG&amp;A'!AM91</f>
        <v>0</v>
      </c>
      <c r="AN91" s="28">
        <f>COGS!AN91+'SG&amp;A'!AN91</f>
        <v>0</v>
      </c>
      <c r="AO91" s="28">
        <f>COGS!AO91+'SG&amp;A'!AO91</f>
        <v>0</v>
      </c>
      <c r="AP91" s="28">
        <f>COGS!AP91+'SG&amp;A'!AP91</f>
        <v>0</v>
      </c>
      <c r="AQ91" s="28">
        <f>COGS!AQ91+'SG&amp;A'!AQ91</f>
        <v>0</v>
      </c>
      <c r="AR91" s="28">
        <f>COGS!AR91+'SG&amp;A'!AR91</f>
        <v>0</v>
      </c>
      <c r="AS91" s="28">
        <f>COGS!AS91+'SG&amp;A'!AS91</f>
        <v>0</v>
      </c>
      <c r="AT91" s="28">
        <f>COGS!AT91+'SG&amp;A'!AT91</f>
        <v>0</v>
      </c>
      <c r="AU91" s="28">
        <f>COGS!AU91+'SG&amp;A'!AU91</f>
        <v>0</v>
      </c>
      <c r="AV91" s="28">
        <f>COGS!AV91+'SG&amp;A'!AV91</f>
        <v>0</v>
      </c>
      <c r="AW91" s="28">
        <f>COGS!AW91+'SG&amp;A'!AW91</f>
        <v>0</v>
      </c>
      <c r="AX91" s="28">
        <f>COGS!AX91+'SG&amp;A'!AX91</f>
        <v>0</v>
      </c>
      <c r="AY91" s="28">
        <f>COGS!AY91+'SG&amp;A'!AY91</f>
        <v>0</v>
      </c>
      <c r="AZ91" s="28">
        <f>COGS!AZ91+'SG&amp;A'!AZ91</f>
        <v>0</v>
      </c>
      <c r="BA91" s="28">
        <f>COGS!BA91+'SG&amp;A'!BA91</f>
        <v>0</v>
      </c>
      <c r="BB91" s="28">
        <f>COGS!BB91+'SG&amp;A'!BB91</f>
        <v>0</v>
      </c>
      <c r="BC91" s="28">
        <f>COGS!BC91+'SG&amp;A'!BC91</f>
        <v>0</v>
      </c>
      <c r="BD91" s="28">
        <f>COGS!BD91+'SG&amp;A'!BD91</f>
        <v>0</v>
      </c>
      <c r="BE91" s="28">
        <f>COGS!BE91+'SG&amp;A'!BE91</f>
        <v>0</v>
      </c>
      <c r="BF91" s="28">
        <f>COGS!BF91+'SG&amp;A'!BF91</f>
        <v>0</v>
      </c>
      <c r="BG91" s="28">
        <f>COGS!BG91+'SG&amp;A'!BG91</f>
        <v>0</v>
      </c>
      <c r="BH91" s="28">
        <f>COGS!BH91+'SG&amp;A'!BH91</f>
        <v>0</v>
      </c>
      <c r="BI91" s="28">
        <f>COGS!BI91+'SG&amp;A'!BI91</f>
        <v>0</v>
      </c>
      <c r="BJ91" s="28">
        <f>COGS!BJ91+'SG&amp;A'!BJ91</f>
        <v>6.46650306</v>
      </c>
      <c r="BK91" s="28">
        <f>COGS!BK91+'SG&amp;A'!BK91</f>
        <v>7.6913219400000008</v>
      </c>
      <c r="BL91" s="28">
        <f>COGS!BL91+'SG&amp;A'!BL91</f>
        <v>7.9246818900000005</v>
      </c>
      <c r="BM91" s="28">
        <f>COGS!BM91+'SG&amp;A'!BM91</f>
        <v>7.5534507599999987</v>
      </c>
      <c r="BN91" s="28">
        <f>COGS!BN91+'SG&amp;A'!BN91</f>
        <v>29.635957650000002</v>
      </c>
      <c r="BO91" s="28">
        <f>COGS!BO91+'SG&amp;A'!BO91</f>
        <v>7.1153468399999991</v>
      </c>
      <c r="BP91" s="28">
        <f>COGS!BP91+'SG&amp;A'!BP91</f>
        <v>7.2245881000000001</v>
      </c>
      <c r="BQ91" s="28">
        <f>COGS!BQ91+'SG&amp;A'!BQ91</f>
        <v>7.1430762300000001</v>
      </c>
      <c r="BR91" s="28">
        <f>COGS!BR91+'SG&amp;A'!BR91</f>
        <v>7.5426646399999999</v>
      </c>
      <c r="BS91" s="28">
        <f>COGS!BS91+'SG&amp;A'!BS91</f>
        <v>29.025675809999999</v>
      </c>
      <c r="BT91" s="28">
        <f>COGS!BT91+'SG&amp;A'!BT91</f>
        <v>7.3716578300000002</v>
      </c>
      <c r="BU91" s="28">
        <f>COGS!BU91+'SG&amp;A'!BU91</f>
        <v>7.6512752299999987</v>
      </c>
      <c r="BV91" s="28">
        <f>COGS!BV91+'SG&amp;A'!BV91</f>
        <v>8.4075378799999996</v>
      </c>
      <c r="BW91" s="28">
        <f>COGS!BW91+'SG&amp;A'!BW91</f>
        <v>8.1883179800000008</v>
      </c>
      <c r="BX91" s="28">
        <f>COGS!BX91+'SG&amp;A'!BX91</f>
        <v>31.61878892</v>
      </c>
      <c r="BY91" s="28">
        <f>COGS!BY91+'SG&amp;A'!BY91</f>
        <v>7.6764091500000013</v>
      </c>
      <c r="BZ91" s="28">
        <f>COGS!BZ91+'SG&amp;A'!BZ91</f>
        <v>8.0021961199999989</v>
      </c>
      <c r="CA91" s="28">
        <f>COGS!CA91+'SG&amp;A'!CA91</f>
        <v>8.0639771499999977</v>
      </c>
      <c r="CB91" s="28">
        <f>COGS!CB91+'SG&amp;A'!CB91</f>
        <v>8.7415554000000011</v>
      </c>
      <c r="CC91" s="28">
        <f>COGS!CC91+'SG&amp;A'!CC91</f>
        <v>32.484137820000001</v>
      </c>
      <c r="CD91" s="28">
        <f>COGS!CD91+'SG&amp;A'!CD91</f>
        <v>8.2128188000000009</v>
      </c>
      <c r="CE91" s="28">
        <f>COGS!CE91+'SG&amp;A'!CE91</f>
        <v>11.034242189999997</v>
      </c>
      <c r="CF91" s="28">
        <f>COGS!CF91+'SG&amp;A'!CF91</f>
        <v>9.1571249000000012</v>
      </c>
      <c r="CG91" s="28">
        <f>COGS!CG91+'SG&amp;A'!CG91</f>
        <v>10.524976150000002</v>
      </c>
      <c r="CH91" s="28">
        <f>COGS!CH91+'SG&amp;A'!CH91</f>
        <v>38.929162040000001</v>
      </c>
      <c r="CI91" s="28">
        <f>COGS!CI91+'SG&amp;A'!CI91</f>
        <v>9.5657115900000012</v>
      </c>
      <c r="CJ91" s="28">
        <f>COGS!CJ91+'SG&amp;A'!CJ91</f>
        <v>9.4139981299999995</v>
      </c>
      <c r="CK91" s="28">
        <f>COGS!CK91+'SG&amp;A'!CK91</f>
        <v>9.2531870799999965</v>
      </c>
      <c r="CL91" s="28">
        <f>COGS!CL91+'SG&amp;A'!CL91</f>
        <v>10.34900937000001</v>
      </c>
      <c r="CM91" s="28">
        <f>COGS!CM91+'SG&amp;A'!CM91</f>
        <v>38.581906170000003</v>
      </c>
      <c r="CN91" s="28">
        <f>COGS!CN91+'SG&amp;A'!CN91</f>
        <v>8.9565231199999999</v>
      </c>
      <c r="CO91" s="28">
        <f>COGS!CO91+'SG&amp;A'!CO91</f>
        <v>8.3589816100000007</v>
      </c>
      <c r="CP91" s="28">
        <f>COGS!CP91+'SG&amp;A'!CP91</f>
        <v>8.8976896699999983</v>
      </c>
      <c r="CQ91" s="28">
        <f>COGS!CQ91+'SG&amp;A'!CQ91</f>
        <v>5.6888056000000002</v>
      </c>
      <c r="CR91" s="28">
        <f>COGS!CR91+'SG&amp;A'!CR91</f>
        <v>31.902000000000001</v>
      </c>
      <c r="CS91" s="28">
        <f>COGS!CS91+'SG&amp;A'!CS91</f>
        <v>8.246663550000001</v>
      </c>
      <c r="CT91" s="28">
        <f>COGS!CT91+'SG&amp;A'!CT91</f>
        <v>8.3673470899999991</v>
      </c>
      <c r="CU91" s="28">
        <f>COGS!CU91+'SG&amp;A'!CU91</f>
        <v>8.378515329999999</v>
      </c>
      <c r="CV91" s="28">
        <f>COGS!CV91+'SG&amp;A'!CV91</f>
        <v>8.8040537200000006</v>
      </c>
      <c r="CW91" s="28">
        <f>COGS!CW91+'SG&amp;A'!CW91</f>
        <v>33.796579690000002</v>
      </c>
      <c r="CX91" s="28">
        <f>COGS!CX91+'SG&amp;A'!CX91</f>
        <v>8.1280000000000001</v>
      </c>
      <c r="CY91" s="28">
        <f>COGS!CY91+'SG&amp;A'!CY91</f>
        <v>8.2379999999999995</v>
      </c>
      <c r="CZ91" s="28">
        <f>COGS!CZ91+'SG&amp;A'!CZ91</f>
        <v>8.0239999999999991</v>
      </c>
      <c r="DA91" s="28">
        <f>COGS!DA91+'SG&amp;A'!DA91</f>
        <v>8.1630000000000003</v>
      </c>
      <c r="DB91" s="28">
        <f>COGS!DB91+'SG&amp;A'!DB91</f>
        <v>32.552999999999997</v>
      </c>
      <c r="DC91" s="28">
        <f>COGS!DC91+'SG&amp;A'!DC91</f>
        <v>8.09</v>
      </c>
      <c r="DD91" s="28">
        <f>COGS!DD91+'SG&amp;A'!DD91</f>
        <v>7.8829999999999991</v>
      </c>
      <c r="DE91" s="28">
        <f>COGS!DE91+'SG&amp;A'!DE91</f>
        <v>8</v>
      </c>
      <c r="DF91" s="28">
        <f>COGS!DF91+'SG&amp;A'!DF91</f>
        <v>8.2750000000000004</v>
      </c>
      <c r="DG91" s="28">
        <f>COGS!DG91+'SG&amp;A'!DG91</f>
        <v>32.247999999999998</v>
      </c>
      <c r="DH91" s="28">
        <f>COGS!DH91+'SG&amp;A'!DH91</f>
        <v>8.7590000000000003</v>
      </c>
      <c r="DI91" s="28">
        <f>COGS!DI91+'SG&amp;A'!DI91</f>
        <v>9.1120000000000001</v>
      </c>
      <c r="DJ91" s="28">
        <f>COGS!DJ91+'SG&amp;A'!DJ91</f>
        <v>9.4749999999999996</v>
      </c>
      <c r="DK91" s="28">
        <f>COGS!DK91+'SG&amp;A'!DK91</f>
        <v>9.8689999999999998</v>
      </c>
      <c r="DL91" s="28">
        <f>COGS!DL91+'SG&amp;A'!DL91</f>
        <v>37.215000000000003</v>
      </c>
      <c r="DM91" s="28">
        <f>COGS!DM91+'SG&amp;A'!DM91</f>
        <v>10.311</v>
      </c>
      <c r="DN91" s="28">
        <f>COGS!DN91+'SG&amp;A'!DN91</f>
        <v>10.396000000000001</v>
      </c>
      <c r="DO91" s="28">
        <f>COGS!DO91+'SG&amp;A'!DO91</f>
        <v>11.706</v>
      </c>
      <c r="DP91" s="28">
        <f>COGS!DP91+'SG&amp;A'!DP91</f>
        <v>10.4</v>
      </c>
      <c r="DQ91" s="28">
        <f>COGS!DQ91+'SG&amp;A'!DQ91</f>
        <v>42.813000000000002</v>
      </c>
      <c r="DR91" s="28">
        <f>COGS!DR91+'SG&amp;A'!DR91</f>
        <v>0.77699999999999991</v>
      </c>
      <c r="DS91" s="28">
        <f>COGS!DS91+'SG&amp;A'!DS91</f>
        <v>0.47699999999999998</v>
      </c>
      <c r="DT91" s="28">
        <f>COGS!DT91+'SG&amp;A'!DT91</f>
        <v>0.32300000000000001</v>
      </c>
      <c r="DU91" s="28">
        <f>COGS!DU91+'SG&amp;A'!DU91</f>
        <v>0.56200000000000006</v>
      </c>
      <c r="DV91" s="28">
        <f>COGS!DV91+'SG&amp;A'!DV91</f>
        <v>2.1390000000000002</v>
      </c>
      <c r="DW91" s="28">
        <f>COGS!DW91+'SG&amp;A'!DW91</f>
        <v>0.10299999999999999</v>
      </c>
      <c r="DX91" s="28">
        <f>COGS!DX91+'SG&amp;A'!DX91</f>
        <v>2.7079181499999998</v>
      </c>
      <c r="DY91" s="28">
        <f>COGS!DY91+'SG&amp;A'!DY91</f>
        <v>6.9656130000000357E-2</v>
      </c>
      <c r="DZ91" s="28">
        <f>COGS!DZ91+'SG&amp;A'!DZ91</f>
        <v>6.1725739999999758E-2</v>
      </c>
      <c r="EA91" s="28">
        <f>COGS!EA91+'SG&amp;A'!EA91</f>
        <v>2.9423000200000002</v>
      </c>
      <c r="EB91" s="28">
        <f>COGS!EB91+'SG&amp;A'!EB91</f>
        <v>3.9188730000000005E-2</v>
      </c>
      <c r="EC91" s="28">
        <f>COGS!EC91+'SG&amp;A'!EC91</f>
        <v>4.6483370000000003E-2</v>
      </c>
      <c r="ED91" s="28">
        <f>COGS!ED91+'SG&amp;A'!ED91</f>
        <v>2.5000000000000001E-2</v>
      </c>
      <c r="EE91" s="28">
        <f>COGS!EE91+'SG&amp;A'!EE91</f>
        <v>0.12802378</v>
      </c>
      <c r="EF91" s="28">
        <f>COGS!EF91+'SG&amp;A'!EF91</f>
        <v>0.23869588</v>
      </c>
      <c r="EG91" s="28">
        <f>COGS!EG91+'SG&amp;A'!EG91</f>
        <v>4.5260460000000002E-2</v>
      </c>
      <c r="EH91" s="28">
        <f>COGS!EH91+'SG&amp;A'!EH91</f>
        <v>6.6121049999999987E-2</v>
      </c>
      <c r="EI91" s="28">
        <f>COGS!EI91+'SG&amp;A'!EI91</f>
        <v>8.1019130000000023E-2</v>
      </c>
    </row>
    <row r="92" spans="1:139" ht="15" thickTop="1" x14ac:dyDescent="0.3">
      <c r="A92" s="1" t="s">
        <v>443</v>
      </c>
      <c r="B92" s="27">
        <f>COGS!B92+'SG&amp;A'!B92</f>
        <v>0</v>
      </c>
      <c r="C92" s="27">
        <f>COGS!C92+'SG&amp;A'!C92</f>
        <v>0</v>
      </c>
      <c r="D92" s="27">
        <f>COGS!D92+'SG&amp;A'!D92</f>
        <v>0</v>
      </c>
      <c r="E92" s="27">
        <f>COGS!E92+'SG&amp;A'!E92</f>
        <v>0</v>
      </c>
      <c r="F92" s="27">
        <f>COGS!F92+'SG&amp;A'!F92</f>
        <v>0</v>
      </c>
      <c r="G92" s="27">
        <f>COGS!G92+'SG&amp;A'!G92</f>
        <v>0</v>
      </c>
      <c r="H92" s="27">
        <f>COGS!H92+'SG&amp;A'!H92</f>
        <v>0</v>
      </c>
      <c r="I92" s="27">
        <f>COGS!I92+'SG&amp;A'!I92</f>
        <v>0</v>
      </c>
      <c r="J92" s="27">
        <f>COGS!J92+'SG&amp;A'!J92</f>
        <v>0</v>
      </c>
      <c r="K92" s="27">
        <f>COGS!K92+'SG&amp;A'!K92</f>
        <v>0</v>
      </c>
      <c r="L92" s="27">
        <f>COGS!L92+'SG&amp;A'!L92</f>
        <v>0</v>
      </c>
      <c r="M92" s="27">
        <f>COGS!M92+'SG&amp;A'!M92</f>
        <v>0</v>
      </c>
      <c r="N92" s="27">
        <f>COGS!N92+'SG&amp;A'!N92</f>
        <v>0</v>
      </c>
      <c r="O92" s="27">
        <f>COGS!O92+'SG&amp;A'!O92</f>
        <v>0</v>
      </c>
      <c r="P92" s="27">
        <f>COGS!P92+'SG&amp;A'!P92</f>
        <v>0</v>
      </c>
      <c r="Q92" s="27">
        <f>COGS!Q92+'SG&amp;A'!Q92</f>
        <v>0</v>
      </c>
      <c r="R92" s="27">
        <f>COGS!R92+'SG&amp;A'!R92</f>
        <v>0</v>
      </c>
      <c r="S92" s="27">
        <f>COGS!S92+'SG&amp;A'!S92</f>
        <v>0</v>
      </c>
      <c r="T92" s="27">
        <f>COGS!T92+'SG&amp;A'!T92</f>
        <v>0</v>
      </c>
      <c r="U92" s="27">
        <f>COGS!U92+'SG&amp;A'!U92</f>
        <v>0</v>
      </c>
      <c r="V92" s="27">
        <f>COGS!V92+'SG&amp;A'!V92</f>
        <v>0</v>
      </c>
      <c r="W92" s="27">
        <f>COGS!W92+'SG&amp;A'!W92</f>
        <v>0</v>
      </c>
      <c r="X92" s="27">
        <f>COGS!X92+'SG&amp;A'!X92</f>
        <v>0</v>
      </c>
      <c r="Y92" s="27">
        <f>COGS!Y92+'SG&amp;A'!Y92</f>
        <v>0</v>
      </c>
      <c r="Z92" s="27">
        <f>COGS!Z92+'SG&amp;A'!Z92</f>
        <v>0</v>
      </c>
      <c r="AA92" s="27">
        <f>COGS!AA92+'SG&amp;A'!AA92</f>
        <v>0</v>
      </c>
      <c r="AB92" s="27">
        <f>COGS!AB92+'SG&amp;A'!AB92</f>
        <v>0</v>
      </c>
      <c r="AC92" s="27">
        <f>COGS!AC92+'SG&amp;A'!AC92</f>
        <v>0</v>
      </c>
      <c r="AD92" s="27">
        <f>COGS!AD92+'SG&amp;A'!AD92</f>
        <v>0</v>
      </c>
      <c r="AE92" s="27">
        <f>COGS!AE92+'SG&amp;A'!AE92</f>
        <v>0</v>
      </c>
      <c r="AF92" s="27">
        <f>COGS!AF92+'SG&amp;A'!AF92</f>
        <v>0</v>
      </c>
      <c r="AG92" s="27">
        <f>COGS!AG92+'SG&amp;A'!AG92</f>
        <v>0</v>
      </c>
      <c r="AH92" s="27">
        <f>COGS!AH92+'SG&amp;A'!AH92</f>
        <v>0</v>
      </c>
      <c r="AI92" s="27">
        <f>COGS!AI92+'SG&amp;A'!AI92</f>
        <v>0</v>
      </c>
      <c r="AJ92" s="27">
        <f>COGS!AJ92+'SG&amp;A'!AJ92</f>
        <v>0</v>
      </c>
      <c r="AK92" s="27">
        <f>COGS!AK92+'SG&amp;A'!AK92</f>
        <v>0</v>
      </c>
      <c r="AL92" s="27">
        <f>COGS!AL92+'SG&amp;A'!AL92</f>
        <v>0</v>
      </c>
      <c r="AM92" s="27">
        <f>COGS!AM92+'SG&amp;A'!AM92</f>
        <v>0</v>
      </c>
      <c r="AN92" s="27">
        <f>COGS!AN92+'SG&amp;A'!AN92</f>
        <v>0</v>
      </c>
      <c r="AO92" s="27">
        <f>COGS!AO92+'SG&amp;A'!AO92</f>
        <v>0</v>
      </c>
      <c r="AP92" s="27">
        <f>COGS!AP92+'SG&amp;A'!AP92</f>
        <v>0</v>
      </c>
      <c r="AQ92" s="27">
        <f>COGS!AQ92+'SG&amp;A'!AQ92</f>
        <v>0</v>
      </c>
      <c r="AR92" s="27">
        <f>COGS!AR92+'SG&amp;A'!AR92</f>
        <v>0</v>
      </c>
      <c r="AS92" s="27">
        <f>COGS!AS92+'SG&amp;A'!AS92</f>
        <v>0</v>
      </c>
      <c r="AT92" s="27">
        <f>COGS!AT92+'SG&amp;A'!AT92</f>
        <v>0</v>
      </c>
      <c r="AU92" s="27">
        <f>COGS!AU92+'SG&amp;A'!AU92</f>
        <v>0</v>
      </c>
      <c r="AV92" s="27">
        <f>COGS!AV92+'SG&amp;A'!AV92</f>
        <v>0</v>
      </c>
      <c r="AW92" s="27">
        <f>COGS!AW92+'SG&amp;A'!AW92</f>
        <v>0</v>
      </c>
      <c r="AX92" s="27">
        <f>COGS!AX92+'SG&amp;A'!AX92</f>
        <v>0</v>
      </c>
      <c r="AY92" s="27">
        <f>COGS!AY92+'SG&amp;A'!AY92</f>
        <v>0</v>
      </c>
      <c r="AZ92" s="27">
        <f>COGS!AZ92+'SG&amp;A'!AZ92</f>
        <v>0</v>
      </c>
      <c r="BA92" s="27">
        <f>COGS!BA92+'SG&amp;A'!BA92</f>
        <v>0</v>
      </c>
      <c r="BB92" s="27">
        <f>COGS!BB92+'SG&amp;A'!BB92</f>
        <v>0</v>
      </c>
      <c r="BC92" s="27">
        <f>COGS!BC92+'SG&amp;A'!BC92</f>
        <v>0</v>
      </c>
      <c r="BD92" s="27">
        <f>COGS!BD92+'SG&amp;A'!BD92</f>
        <v>0</v>
      </c>
      <c r="BE92" s="27">
        <f>COGS!BE92+'SG&amp;A'!BE92</f>
        <v>0</v>
      </c>
      <c r="BF92" s="27">
        <f>COGS!BF92+'SG&amp;A'!BF92</f>
        <v>0</v>
      </c>
      <c r="BG92" s="27">
        <f>COGS!BG92+'SG&amp;A'!BG92</f>
        <v>0</v>
      </c>
      <c r="BH92" s="27">
        <f>COGS!BH92+'SG&amp;A'!BH92</f>
        <v>0</v>
      </c>
      <c r="BI92" s="27">
        <f>COGS!BI92+'SG&amp;A'!BI92</f>
        <v>0</v>
      </c>
      <c r="BJ92" s="27">
        <f>COGS!BJ92+'SG&amp;A'!BJ92</f>
        <v>4.9273639400000002</v>
      </c>
      <c r="BK92" s="27">
        <f>COGS!BK92+'SG&amp;A'!BK92</f>
        <v>4.2953885199999995</v>
      </c>
      <c r="BL92" s="27">
        <f>COGS!BL92+'SG&amp;A'!BL92</f>
        <v>4.2404812700000001</v>
      </c>
      <c r="BM92" s="27">
        <f>COGS!BM92+'SG&amp;A'!BM92</f>
        <v>5.192655499999999</v>
      </c>
      <c r="BN92" s="27">
        <f>COGS!BN92+'SG&amp;A'!BN92</f>
        <v>18.65588923</v>
      </c>
      <c r="BO92" s="27">
        <f>COGS!BO92+'SG&amp;A'!BO92</f>
        <v>4.5951340800000002</v>
      </c>
      <c r="BP92" s="27">
        <f>COGS!BP92+'SG&amp;A'!BP92</f>
        <v>4.3751402099999988</v>
      </c>
      <c r="BQ92" s="27">
        <f>COGS!BQ92+'SG&amp;A'!BQ92</f>
        <v>4.4132108200000006</v>
      </c>
      <c r="BR92" s="27">
        <f>COGS!BR92+'SG&amp;A'!BR92</f>
        <v>4.6434665099999979</v>
      </c>
      <c r="BS92" s="27">
        <f>COGS!BS92+'SG&amp;A'!BS92</f>
        <v>18.026951619999998</v>
      </c>
      <c r="BT92" s="27">
        <f>COGS!BT92+'SG&amp;A'!BT92</f>
        <v>4.5418044900000005</v>
      </c>
      <c r="BU92" s="27">
        <f>COGS!BU92+'SG&amp;A'!BU92</f>
        <v>4.2498258199999999</v>
      </c>
      <c r="BV92" s="27">
        <f>COGS!BV92+'SG&amp;A'!BV92</f>
        <v>4.3176776099999978</v>
      </c>
      <c r="BW92" s="27">
        <f>COGS!BW92+'SG&amp;A'!BW92</f>
        <v>4.2957148800000011</v>
      </c>
      <c r="BX92" s="27">
        <f>COGS!BX92+'SG&amp;A'!BX92</f>
        <v>17.405022799999998</v>
      </c>
      <c r="BY92" s="27">
        <f>COGS!BY92+'SG&amp;A'!BY92</f>
        <v>4.5778561699999996</v>
      </c>
      <c r="BZ92" s="27">
        <f>COGS!BZ92+'SG&amp;A'!BZ92</f>
        <v>4.3730212600000007</v>
      </c>
      <c r="CA92" s="27">
        <f>COGS!CA92+'SG&amp;A'!CA92</f>
        <v>4.3801083899999984</v>
      </c>
      <c r="CB92" s="27">
        <f>COGS!CB92+'SG&amp;A'!CB92</f>
        <v>4.7369031600000016</v>
      </c>
      <c r="CC92" s="27">
        <f>COGS!CC92+'SG&amp;A'!CC92</f>
        <v>18.067888979999999</v>
      </c>
      <c r="CD92" s="27">
        <f>COGS!CD92+'SG&amp;A'!CD92</f>
        <v>6.8629289900000003</v>
      </c>
      <c r="CE92" s="27">
        <f>COGS!CE92+'SG&amp;A'!CE92</f>
        <v>16.235690579999996</v>
      </c>
      <c r="CF92" s="27">
        <f>COGS!CF92+'SG&amp;A'!CF92</f>
        <v>11.594212450000004</v>
      </c>
      <c r="CG92" s="27">
        <f>COGS!CG92+'SG&amp;A'!CG92</f>
        <v>12.485288259999999</v>
      </c>
      <c r="CH92" s="27">
        <f>COGS!CH92+'SG&amp;A'!CH92</f>
        <v>47.178120280000002</v>
      </c>
      <c r="CI92" s="27">
        <f>COGS!CI92+'SG&amp;A'!CI92</f>
        <v>12.373058649999999</v>
      </c>
      <c r="CJ92" s="27">
        <f>COGS!CJ92+'SG&amp;A'!CJ92</f>
        <v>12.287535509999998</v>
      </c>
      <c r="CK92" s="27">
        <f>COGS!CK92+'SG&amp;A'!CK92</f>
        <v>12.518503300000004</v>
      </c>
      <c r="CL92" s="27">
        <f>COGS!CL92+'SG&amp;A'!CL92</f>
        <v>12.420744169999994</v>
      </c>
      <c r="CM92" s="27">
        <f>COGS!CM92+'SG&amp;A'!CM92</f>
        <v>49.599841629999993</v>
      </c>
      <c r="CN92" s="27">
        <f>COGS!CN92+'SG&amp;A'!CN92</f>
        <v>10.478304939999999</v>
      </c>
      <c r="CO92" s="27">
        <f>COGS!CO92+'SG&amp;A'!CO92</f>
        <v>10.067152419999999</v>
      </c>
      <c r="CP92" s="27">
        <f>COGS!CP92+'SG&amp;A'!CP92</f>
        <v>10.207586770000002</v>
      </c>
      <c r="CQ92" s="27">
        <f>COGS!CQ92+'SG&amp;A'!CQ92</f>
        <v>5.9119558699999999</v>
      </c>
      <c r="CR92" s="27">
        <f>COGS!CR92+'SG&amp;A'!CR92</f>
        <v>36.664999999999999</v>
      </c>
      <c r="CS92" s="27">
        <f>COGS!CS92+'SG&amp;A'!CS92</f>
        <v>9.9724023899999992</v>
      </c>
      <c r="CT92" s="27">
        <f>COGS!CT92+'SG&amp;A'!CT92</f>
        <v>10.892480549999998</v>
      </c>
      <c r="CU92" s="27">
        <f>COGS!CU92+'SG&amp;A'!CU92</f>
        <v>8.9999660599999984</v>
      </c>
      <c r="CV92" s="27">
        <f>COGS!CV92+'SG&amp;A'!CV92</f>
        <v>10.331852280000003</v>
      </c>
      <c r="CW92" s="27">
        <f>COGS!CW92+'SG&amp;A'!CW92</f>
        <v>40.196701279999999</v>
      </c>
      <c r="CX92" s="27">
        <f>COGS!CX92+'SG&amp;A'!CX92</f>
        <v>9.8879999999999999</v>
      </c>
      <c r="CY92" s="27">
        <f>COGS!CY92+'SG&amp;A'!CY92</f>
        <v>9.8060000000000009</v>
      </c>
      <c r="CZ92" s="27">
        <f>COGS!CZ92+'SG&amp;A'!CZ92</f>
        <v>9.5560000000000009</v>
      </c>
      <c r="DA92" s="27">
        <f>COGS!DA92+'SG&amp;A'!DA92</f>
        <v>9.7119999999999997</v>
      </c>
      <c r="DB92" s="27">
        <f>COGS!DB92+'SG&amp;A'!DB92</f>
        <v>38.961999999999996</v>
      </c>
      <c r="DC92" s="27">
        <f>COGS!DC92+'SG&amp;A'!DC92</f>
        <v>9.8730000000000011</v>
      </c>
      <c r="DD92" s="27">
        <f>COGS!DD92+'SG&amp;A'!DD92</f>
        <v>9.3279999999999994</v>
      </c>
      <c r="DE92" s="27">
        <f>COGS!DE92+'SG&amp;A'!DE92</f>
        <v>9.94</v>
      </c>
      <c r="DF92" s="27">
        <f>COGS!DF92+'SG&amp;A'!DF92</f>
        <v>9.2530000000000001</v>
      </c>
      <c r="DG92" s="27">
        <f>COGS!DG92+'SG&amp;A'!DG92</f>
        <v>38.393999999999998</v>
      </c>
      <c r="DH92" s="27">
        <f>COGS!DH92+'SG&amp;A'!DH92</f>
        <v>11.097000000000001</v>
      </c>
      <c r="DI92" s="27">
        <f>COGS!DI92+'SG&amp;A'!DI92</f>
        <v>10.861000000000001</v>
      </c>
      <c r="DJ92" s="27">
        <f>COGS!DJ92+'SG&amp;A'!DJ92</f>
        <v>11.088000000000001</v>
      </c>
      <c r="DK92" s="27">
        <f>COGS!DK92+'SG&amp;A'!DK92</f>
        <v>11.489000000000001</v>
      </c>
      <c r="DL92" s="27">
        <f>COGS!DL92+'SG&amp;A'!DL92</f>
        <v>44.534999999999997</v>
      </c>
      <c r="DM92" s="27">
        <f>COGS!DM92+'SG&amp;A'!DM92</f>
        <v>12.542999999999999</v>
      </c>
      <c r="DN92" s="27">
        <f>COGS!DN92+'SG&amp;A'!DN92</f>
        <v>12.491</v>
      </c>
      <c r="DO92" s="27">
        <f>COGS!DO92+'SG&amp;A'!DO92</f>
        <v>12.627000000000001</v>
      </c>
      <c r="DP92" s="27">
        <f>COGS!DP92+'SG&amp;A'!DP92</f>
        <v>12.373000000000001</v>
      </c>
      <c r="DQ92" s="27">
        <f>COGS!DQ92+'SG&amp;A'!DQ92</f>
        <v>50.033999999999999</v>
      </c>
      <c r="DR92" s="27">
        <f>COGS!DR92+'SG&amp;A'!DR92</f>
        <v>14.42</v>
      </c>
      <c r="DS92" s="27">
        <f>COGS!DS92+'SG&amp;A'!DS92</f>
        <v>14.806999999999999</v>
      </c>
      <c r="DT92" s="27">
        <f>COGS!DT92+'SG&amp;A'!DT92</f>
        <v>14.666</v>
      </c>
      <c r="DU92" s="27">
        <f>COGS!DU92+'SG&amp;A'!DU92</f>
        <v>13.902000000000001</v>
      </c>
      <c r="DV92" s="27">
        <f>COGS!DV92+'SG&amp;A'!DV92</f>
        <v>57.795000000000002</v>
      </c>
      <c r="DW92" s="27">
        <f>COGS!DW92+'SG&amp;A'!DW92</f>
        <v>15.145</v>
      </c>
      <c r="DX92" s="27">
        <f>COGS!DX92+'SG&amp;A'!DX92</f>
        <v>15.31831781</v>
      </c>
      <c r="DY92" s="27">
        <f>COGS!DY92+'SG&amp;A'!DY92</f>
        <v>15.580035179999999</v>
      </c>
      <c r="DZ92" s="27">
        <f>COGS!DZ92+'SG&amp;A'!DZ92</f>
        <v>15.9909208</v>
      </c>
      <c r="EA92" s="27">
        <f>COGS!EA92+'SG&amp;A'!EA92</f>
        <v>62.034273789999993</v>
      </c>
      <c r="EB92" s="27">
        <f>COGS!EB92+'SG&amp;A'!EB92</f>
        <v>16.367505209999997</v>
      </c>
      <c r="EC92" s="27">
        <f>COGS!EC92+'SG&amp;A'!EC92</f>
        <v>16.496776340000004</v>
      </c>
      <c r="ED92" s="27">
        <f>COGS!ED92+'SG&amp;A'!ED92</f>
        <v>16.696000000000002</v>
      </c>
      <c r="EE92" s="27">
        <f>COGS!EE92+'SG&amp;A'!EE92</f>
        <v>16.750941360000006</v>
      </c>
      <c r="EF92" s="27">
        <f>COGS!EF92+'SG&amp;A'!EF92</f>
        <v>66.311222909999998</v>
      </c>
      <c r="EG92" s="27">
        <f>COGS!EG92+'SG&amp;A'!EG92</f>
        <v>18.70880653</v>
      </c>
      <c r="EH92" s="27">
        <f>COGS!EH92+'SG&amp;A'!EH92</f>
        <v>18.550609369999997</v>
      </c>
      <c r="EI92" s="27">
        <f>COGS!EI92+'SG&amp;A'!EI92</f>
        <v>18.554767880000004</v>
      </c>
    </row>
    <row r="93" spans="1:139" ht="15" thickBot="1" x14ac:dyDescent="0.35">
      <c r="A93" s="2" t="s">
        <v>481</v>
      </c>
      <c r="B93" s="28">
        <f>COGS!B93+'SG&amp;A'!B93</f>
        <v>0</v>
      </c>
      <c r="C93" s="28">
        <f>COGS!C93+'SG&amp;A'!C93</f>
        <v>0</v>
      </c>
      <c r="D93" s="28">
        <f>COGS!D93+'SG&amp;A'!D93</f>
        <v>0</v>
      </c>
      <c r="E93" s="28">
        <f>COGS!E93+'SG&amp;A'!E93</f>
        <v>0</v>
      </c>
      <c r="F93" s="28">
        <f>COGS!F93+'SG&amp;A'!F93</f>
        <v>0</v>
      </c>
      <c r="G93" s="28">
        <f>COGS!G93+'SG&amp;A'!G93</f>
        <v>0</v>
      </c>
      <c r="H93" s="28">
        <f>COGS!H93+'SG&amp;A'!H93</f>
        <v>0</v>
      </c>
      <c r="I93" s="28">
        <f>COGS!I93+'SG&amp;A'!I93</f>
        <v>0</v>
      </c>
      <c r="J93" s="28">
        <f>COGS!J93+'SG&amp;A'!J93</f>
        <v>0</v>
      </c>
      <c r="K93" s="28">
        <f>COGS!K93+'SG&amp;A'!K93</f>
        <v>0</v>
      </c>
      <c r="L93" s="28">
        <f>COGS!L93+'SG&amp;A'!L93</f>
        <v>0</v>
      </c>
      <c r="M93" s="28">
        <f>COGS!M93+'SG&amp;A'!M93</f>
        <v>0</v>
      </c>
      <c r="N93" s="28">
        <f>COGS!N93+'SG&amp;A'!N93</f>
        <v>0</v>
      </c>
      <c r="O93" s="28">
        <f>COGS!O93+'SG&amp;A'!O93</f>
        <v>0</v>
      </c>
      <c r="P93" s="28">
        <f>COGS!P93+'SG&amp;A'!P93</f>
        <v>0</v>
      </c>
      <c r="Q93" s="28">
        <f>COGS!Q93+'SG&amp;A'!Q93</f>
        <v>0</v>
      </c>
      <c r="R93" s="28">
        <f>COGS!R93+'SG&amp;A'!R93</f>
        <v>0</v>
      </c>
      <c r="S93" s="28">
        <f>COGS!S93+'SG&amp;A'!S93</f>
        <v>0</v>
      </c>
      <c r="T93" s="28">
        <f>COGS!T93+'SG&amp;A'!T93</f>
        <v>0</v>
      </c>
      <c r="U93" s="28">
        <f>COGS!U93+'SG&amp;A'!U93</f>
        <v>0</v>
      </c>
      <c r="V93" s="28">
        <f>COGS!V93+'SG&amp;A'!V93</f>
        <v>0</v>
      </c>
      <c r="W93" s="28">
        <f>COGS!W93+'SG&amp;A'!W93</f>
        <v>0</v>
      </c>
      <c r="X93" s="28">
        <f>COGS!X93+'SG&amp;A'!X93</f>
        <v>0</v>
      </c>
      <c r="Y93" s="28">
        <f>COGS!Y93+'SG&amp;A'!Y93</f>
        <v>0</v>
      </c>
      <c r="Z93" s="28">
        <f>COGS!Z93+'SG&amp;A'!Z93</f>
        <v>0</v>
      </c>
      <c r="AA93" s="28">
        <f>COGS!AA93+'SG&amp;A'!AA93</f>
        <v>0</v>
      </c>
      <c r="AB93" s="28">
        <f>COGS!AB93+'SG&amp;A'!AB93</f>
        <v>0</v>
      </c>
      <c r="AC93" s="28">
        <f>COGS!AC93+'SG&amp;A'!AC93</f>
        <v>0</v>
      </c>
      <c r="AD93" s="28">
        <f>COGS!AD93+'SG&amp;A'!AD93</f>
        <v>0</v>
      </c>
      <c r="AE93" s="28">
        <f>COGS!AE93+'SG&amp;A'!AE93</f>
        <v>0</v>
      </c>
      <c r="AF93" s="28">
        <f>COGS!AF93+'SG&amp;A'!AF93</f>
        <v>0</v>
      </c>
      <c r="AG93" s="28">
        <f>COGS!AG93+'SG&amp;A'!AG93</f>
        <v>0</v>
      </c>
      <c r="AH93" s="28">
        <f>COGS!AH93+'SG&amp;A'!AH93</f>
        <v>0</v>
      </c>
      <c r="AI93" s="28">
        <f>COGS!AI93+'SG&amp;A'!AI93</f>
        <v>0</v>
      </c>
      <c r="AJ93" s="28">
        <f>COGS!AJ93+'SG&amp;A'!AJ93</f>
        <v>0</v>
      </c>
      <c r="AK93" s="28">
        <f>COGS!AK93+'SG&amp;A'!AK93</f>
        <v>0</v>
      </c>
      <c r="AL93" s="28">
        <f>COGS!AL93+'SG&amp;A'!AL93</f>
        <v>0</v>
      </c>
      <c r="AM93" s="28">
        <f>COGS!AM93+'SG&amp;A'!AM93</f>
        <v>0</v>
      </c>
      <c r="AN93" s="28">
        <f>COGS!AN93+'SG&amp;A'!AN93</f>
        <v>0</v>
      </c>
      <c r="AO93" s="28">
        <f>COGS!AO93+'SG&amp;A'!AO93</f>
        <v>0</v>
      </c>
      <c r="AP93" s="28">
        <f>COGS!AP93+'SG&amp;A'!AP93</f>
        <v>0</v>
      </c>
      <c r="AQ93" s="28">
        <f>COGS!AQ93+'SG&amp;A'!AQ93</f>
        <v>0</v>
      </c>
      <c r="AR93" s="28">
        <f>COGS!AR93+'SG&amp;A'!AR93</f>
        <v>0</v>
      </c>
      <c r="AS93" s="28">
        <f>COGS!AS93+'SG&amp;A'!AS93</f>
        <v>0</v>
      </c>
      <c r="AT93" s="28">
        <f>COGS!AT93+'SG&amp;A'!AT93</f>
        <v>0</v>
      </c>
      <c r="AU93" s="28">
        <f>COGS!AU93+'SG&amp;A'!AU93</f>
        <v>0</v>
      </c>
      <c r="AV93" s="28">
        <f>COGS!AV93+'SG&amp;A'!AV93</f>
        <v>0</v>
      </c>
      <c r="AW93" s="28">
        <f>COGS!AW93+'SG&amp;A'!AW93</f>
        <v>0</v>
      </c>
      <c r="AX93" s="28">
        <f>COGS!AX93+'SG&amp;A'!AX93</f>
        <v>0</v>
      </c>
      <c r="AY93" s="28">
        <f>COGS!AY93+'SG&amp;A'!AY93</f>
        <v>0</v>
      </c>
      <c r="AZ93" s="28">
        <f>COGS!AZ93+'SG&amp;A'!AZ93</f>
        <v>0</v>
      </c>
      <c r="BA93" s="28">
        <f>COGS!BA93+'SG&amp;A'!BA93</f>
        <v>0</v>
      </c>
      <c r="BB93" s="28">
        <f>COGS!BB93+'SG&amp;A'!BB93</f>
        <v>0</v>
      </c>
      <c r="BC93" s="28">
        <f>COGS!BC93+'SG&amp;A'!BC93</f>
        <v>0</v>
      </c>
      <c r="BD93" s="28">
        <f>COGS!BD93+'SG&amp;A'!BD93</f>
        <v>0</v>
      </c>
      <c r="BE93" s="28">
        <f>COGS!BE93+'SG&amp;A'!BE93</f>
        <v>0</v>
      </c>
      <c r="BF93" s="28">
        <f>COGS!BF93+'SG&amp;A'!BF93</f>
        <v>0</v>
      </c>
      <c r="BG93" s="28">
        <f>COGS!BG93+'SG&amp;A'!BG93</f>
        <v>0</v>
      </c>
      <c r="BH93" s="28">
        <f>COGS!BH93+'SG&amp;A'!BH93</f>
        <v>0</v>
      </c>
      <c r="BI93" s="28">
        <f>COGS!BI93+'SG&amp;A'!BI93</f>
        <v>0</v>
      </c>
      <c r="BJ93" s="28">
        <f>COGS!BJ93+'SG&amp;A'!BJ93</f>
        <v>0</v>
      </c>
      <c r="BK93" s="28">
        <f>COGS!BK93+'SG&amp;A'!BK93</f>
        <v>0</v>
      </c>
      <c r="BL93" s="28">
        <f>COGS!BL93+'SG&amp;A'!BL93</f>
        <v>0</v>
      </c>
      <c r="BM93" s="28">
        <f>COGS!BM93+'SG&amp;A'!BM93</f>
        <v>0</v>
      </c>
      <c r="BN93" s="28">
        <f>COGS!BN93+'SG&amp;A'!BN93</f>
        <v>0</v>
      </c>
      <c r="BO93" s="28">
        <f>COGS!BO93+'SG&amp;A'!BO93</f>
        <v>0</v>
      </c>
      <c r="BP93" s="28">
        <f>COGS!BP93+'SG&amp;A'!BP93</f>
        <v>0</v>
      </c>
      <c r="BQ93" s="28">
        <f>COGS!BQ93+'SG&amp;A'!BQ93</f>
        <v>0</v>
      </c>
      <c r="BR93" s="28">
        <f>COGS!BR93+'SG&amp;A'!BR93</f>
        <v>0</v>
      </c>
      <c r="BS93" s="28">
        <f>COGS!BS93+'SG&amp;A'!BS93</f>
        <v>0</v>
      </c>
      <c r="BT93" s="28">
        <f>COGS!BT93+'SG&amp;A'!BT93</f>
        <v>0</v>
      </c>
      <c r="BU93" s="28">
        <f>COGS!BU93+'SG&amp;A'!BU93</f>
        <v>0.30143990000000004</v>
      </c>
      <c r="BV93" s="28">
        <f>COGS!BV93+'SG&amp;A'!BV93</f>
        <v>0.22781224999999999</v>
      </c>
      <c r="BW93" s="28">
        <f>COGS!BW93+'SG&amp;A'!BW93</f>
        <v>0.42640129000000004</v>
      </c>
      <c r="BX93" s="28">
        <f>COGS!BX93+'SG&amp;A'!BX93</f>
        <v>0.95565344000000008</v>
      </c>
      <c r="BY93" s="28">
        <f>COGS!BY93+'SG&amp;A'!BY93</f>
        <v>1.2530762299999998</v>
      </c>
      <c r="BZ93" s="28">
        <f>COGS!BZ93+'SG&amp;A'!BZ93</f>
        <v>2.1679044300000001</v>
      </c>
      <c r="CA93" s="28">
        <f>COGS!CA93+'SG&amp;A'!CA93</f>
        <v>4.4061662200000002</v>
      </c>
      <c r="CB93" s="28">
        <f>COGS!CB93+'SG&amp;A'!CB93</f>
        <v>8.5729291699999983</v>
      </c>
      <c r="CC93" s="28">
        <f>COGS!CC93+'SG&amp;A'!CC93</f>
        <v>16.400076049999999</v>
      </c>
      <c r="CD93" s="28">
        <f>COGS!CD93+'SG&amp;A'!CD93</f>
        <v>8.4558704999999996</v>
      </c>
      <c r="CE93" s="28">
        <f>COGS!CE93+'SG&amp;A'!CE93</f>
        <v>11.08269917</v>
      </c>
      <c r="CF93" s="28">
        <f>COGS!CF93+'SG&amp;A'!CF93</f>
        <v>9.7270983599999994</v>
      </c>
      <c r="CG93" s="28">
        <f>COGS!CG93+'SG&amp;A'!CG93</f>
        <v>9.8980111900000018</v>
      </c>
      <c r="CH93" s="28">
        <f>COGS!CH93+'SG&amp;A'!CH93</f>
        <v>39.163679219999999</v>
      </c>
      <c r="CI93" s="28">
        <f>COGS!CI93+'SG&amp;A'!CI93</f>
        <v>9.6756202699999996</v>
      </c>
      <c r="CJ93" s="28">
        <f>COGS!CJ93+'SG&amp;A'!CJ93</f>
        <v>9.9825367399999969</v>
      </c>
      <c r="CK93" s="28">
        <f>COGS!CK93+'SG&amp;A'!CK93</f>
        <v>8.9655088300000063</v>
      </c>
      <c r="CL93" s="28">
        <f>COGS!CL93+'SG&amp;A'!CL93</f>
        <v>8.895816889999999</v>
      </c>
      <c r="CM93" s="28">
        <f>COGS!CM93+'SG&amp;A'!CM93</f>
        <v>37.51948273</v>
      </c>
      <c r="CN93" s="28">
        <f>COGS!CN93+'SG&amp;A'!CN93</f>
        <v>8.8903000500000005</v>
      </c>
      <c r="CO93" s="28">
        <f>COGS!CO93+'SG&amp;A'!CO93</f>
        <v>8.6143337199999994</v>
      </c>
      <c r="CP93" s="28">
        <f>COGS!CP93+'SG&amp;A'!CP93</f>
        <v>9.2142185699999999</v>
      </c>
      <c r="CQ93" s="28">
        <f>COGS!CQ93+'SG&amp;A'!CQ93</f>
        <v>9.7211476599999962</v>
      </c>
      <c r="CR93" s="28">
        <f>COGS!CR93+'SG&amp;A'!CR93</f>
        <v>36.44</v>
      </c>
      <c r="CS93" s="28">
        <f>COGS!CS93+'SG&amp;A'!CS93</f>
        <v>9.5549279499999997</v>
      </c>
      <c r="CT93" s="28">
        <f>COGS!CT93+'SG&amp;A'!CT93</f>
        <v>9.5298827499999987</v>
      </c>
      <c r="CU93" s="28">
        <f>COGS!CU93+'SG&amp;A'!CU93</f>
        <v>9.7254751700000028</v>
      </c>
      <c r="CV93" s="28">
        <f>COGS!CV93+'SG&amp;A'!CV93</f>
        <v>9.1273979299999972</v>
      </c>
      <c r="CW93" s="28">
        <f>COGS!CW93+'SG&amp;A'!CW93</f>
        <v>37.937683800000002</v>
      </c>
      <c r="CX93" s="28">
        <f>COGS!CX93+'SG&amp;A'!CX93</f>
        <v>9.911999999999999</v>
      </c>
      <c r="CY93" s="28">
        <f>COGS!CY93+'SG&amp;A'!CY93</f>
        <v>9.5789999999999988</v>
      </c>
      <c r="CZ93" s="28">
        <f>COGS!CZ93+'SG&amp;A'!CZ93</f>
        <v>9.5910000000000011</v>
      </c>
      <c r="DA93" s="28">
        <f>COGS!DA93+'SG&amp;A'!DA93</f>
        <v>8.7789999999999999</v>
      </c>
      <c r="DB93" s="28">
        <f>COGS!DB93+'SG&amp;A'!DB93</f>
        <v>37.860999999999997</v>
      </c>
      <c r="DC93" s="28">
        <f>COGS!DC93+'SG&amp;A'!DC93</f>
        <v>8.4720000000000013</v>
      </c>
      <c r="DD93" s="28">
        <f>COGS!DD93+'SG&amp;A'!DD93</f>
        <v>8.4169999999999998</v>
      </c>
      <c r="DE93" s="28">
        <f>COGS!DE93+'SG&amp;A'!DE93</f>
        <v>8.48</v>
      </c>
      <c r="DF93" s="28">
        <f>COGS!DF93+'SG&amp;A'!DF93</f>
        <v>9.2219999999999995</v>
      </c>
      <c r="DG93" s="28">
        <f>COGS!DG93+'SG&amp;A'!DG93</f>
        <v>34.591000000000001</v>
      </c>
      <c r="DH93" s="28">
        <f>COGS!DH93+'SG&amp;A'!DH93</f>
        <v>6.516</v>
      </c>
      <c r="DI93" s="28">
        <f>COGS!DI93+'SG&amp;A'!DI93</f>
        <v>5.351</v>
      </c>
      <c r="DJ93" s="28">
        <f>COGS!DJ93+'SG&amp;A'!DJ93</f>
        <v>5.8890000000000002</v>
      </c>
      <c r="DK93" s="28">
        <f>COGS!DK93+'SG&amp;A'!DK93</f>
        <v>6.4009999999999998</v>
      </c>
      <c r="DL93" s="28">
        <f>COGS!DL93+'SG&amp;A'!DL93</f>
        <v>24.157</v>
      </c>
      <c r="DM93" s="28">
        <f>COGS!DM93+'SG&amp;A'!DM93</f>
        <v>6.391</v>
      </c>
      <c r="DN93" s="28">
        <f>COGS!DN93+'SG&amp;A'!DN93</f>
        <v>6.6449999999999996</v>
      </c>
      <c r="DO93" s="28">
        <f>COGS!DO93+'SG&amp;A'!DO93</f>
        <v>8.7050000000000001</v>
      </c>
      <c r="DP93" s="28">
        <f>COGS!DP93+'SG&amp;A'!DP93</f>
        <v>9.673</v>
      </c>
      <c r="DQ93" s="28">
        <f>COGS!DQ93+'SG&amp;A'!DQ93</f>
        <v>31.414000000000001</v>
      </c>
      <c r="DR93" s="28">
        <f>COGS!DR93+'SG&amp;A'!DR93</f>
        <v>8.4640000000000004</v>
      </c>
      <c r="DS93" s="28">
        <f>COGS!DS93+'SG&amp;A'!DS93</f>
        <v>9.1869999999999994</v>
      </c>
      <c r="DT93" s="28">
        <f>COGS!DT93+'SG&amp;A'!DT93</f>
        <v>5.4309999999999992</v>
      </c>
      <c r="DU93" s="28">
        <f>COGS!DU93+'SG&amp;A'!DU93</f>
        <v>9.4290000000000003</v>
      </c>
      <c r="DV93" s="28">
        <f>COGS!DV93+'SG&amp;A'!DV93</f>
        <v>32.511000000000003</v>
      </c>
      <c r="DW93" s="28">
        <f>COGS!DW93+'SG&amp;A'!DW93</f>
        <v>8.4659999999999993</v>
      </c>
      <c r="DX93" s="28">
        <f>COGS!DX93+'SG&amp;A'!DX93</f>
        <v>8.08903851</v>
      </c>
      <c r="DY93" s="28">
        <f>COGS!DY93+'SG&amp;A'!DY93</f>
        <v>10.575491679999999</v>
      </c>
      <c r="DZ93" s="28">
        <f>COGS!DZ93+'SG&amp;A'!DZ93</f>
        <v>5.8422429199999995</v>
      </c>
      <c r="EA93" s="28">
        <f>COGS!EA93+'SG&amp;A'!EA93</f>
        <v>32.972773109999991</v>
      </c>
      <c r="EB93" s="28">
        <f>COGS!EB93+'SG&amp;A'!EB93</f>
        <v>9.4326794000000014</v>
      </c>
      <c r="EC93" s="28">
        <f>COGS!EC93+'SG&amp;A'!EC93</f>
        <v>9.1398192099999989</v>
      </c>
      <c r="ED93" s="28">
        <f>COGS!ED93+'SG&amp;A'!ED93</f>
        <v>8.282</v>
      </c>
      <c r="EE93" s="28">
        <f>COGS!EE93+'SG&amp;A'!EE93</f>
        <v>9.3435104900000034</v>
      </c>
      <c r="EF93" s="28">
        <f>COGS!EF93+'SG&amp;A'!EF93</f>
        <v>36.1980091</v>
      </c>
      <c r="EG93" s="28">
        <f>COGS!EG93+'SG&amp;A'!EG93</f>
        <v>8.9465800299999998</v>
      </c>
      <c r="EH93" s="28">
        <f>COGS!EH93+'SG&amp;A'!EH93</f>
        <v>9.8644998199999989</v>
      </c>
      <c r="EI93" s="28">
        <f>COGS!EI93+'SG&amp;A'!EI93</f>
        <v>10.930793680000001</v>
      </c>
    </row>
    <row r="94" spans="1:139" ht="15" thickTop="1" x14ac:dyDescent="0.3">
      <c r="A94" s="1" t="s">
        <v>445</v>
      </c>
      <c r="B94" s="27">
        <f>COGS!B94+'SG&amp;A'!B94</f>
        <v>0</v>
      </c>
      <c r="C94" s="27">
        <f>COGS!C94+'SG&amp;A'!C94</f>
        <v>0</v>
      </c>
      <c r="D94" s="27">
        <f>COGS!D94+'SG&amp;A'!D94</f>
        <v>0</v>
      </c>
      <c r="E94" s="27">
        <f>COGS!E94+'SG&amp;A'!E94</f>
        <v>0</v>
      </c>
      <c r="F94" s="27">
        <f>COGS!F94+'SG&amp;A'!F94</f>
        <v>0</v>
      </c>
      <c r="G94" s="27">
        <f>COGS!G94+'SG&amp;A'!G94</f>
        <v>0</v>
      </c>
      <c r="H94" s="27">
        <f>COGS!H94+'SG&amp;A'!H94</f>
        <v>0</v>
      </c>
      <c r="I94" s="27">
        <f>COGS!I94+'SG&amp;A'!I94</f>
        <v>0</v>
      </c>
      <c r="J94" s="27">
        <f>COGS!J94+'SG&amp;A'!J94</f>
        <v>0</v>
      </c>
      <c r="K94" s="27">
        <f>COGS!K94+'SG&amp;A'!K94</f>
        <v>0</v>
      </c>
      <c r="L94" s="27">
        <f>COGS!L94+'SG&amp;A'!L94</f>
        <v>0</v>
      </c>
      <c r="M94" s="27">
        <f>COGS!M94+'SG&amp;A'!M94</f>
        <v>0</v>
      </c>
      <c r="N94" s="27">
        <f>COGS!N94+'SG&amp;A'!N94</f>
        <v>0</v>
      </c>
      <c r="O94" s="27">
        <f>COGS!O94+'SG&amp;A'!O94</f>
        <v>0</v>
      </c>
      <c r="P94" s="27">
        <f>COGS!P94+'SG&amp;A'!P94</f>
        <v>0</v>
      </c>
      <c r="Q94" s="27">
        <f>COGS!Q94+'SG&amp;A'!Q94</f>
        <v>0</v>
      </c>
      <c r="R94" s="27">
        <f>COGS!R94+'SG&amp;A'!R94</f>
        <v>0</v>
      </c>
      <c r="S94" s="27">
        <f>COGS!S94+'SG&amp;A'!S94</f>
        <v>0</v>
      </c>
      <c r="T94" s="27">
        <f>COGS!T94+'SG&amp;A'!T94</f>
        <v>0</v>
      </c>
      <c r="U94" s="27">
        <f>COGS!U94+'SG&amp;A'!U94</f>
        <v>0</v>
      </c>
      <c r="V94" s="27">
        <f>COGS!V94+'SG&amp;A'!V94</f>
        <v>0</v>
      </c>
      <c r="W94" s="27">
        <f>COGS!W94+'SG&amp;A'!W94</f>
        <v>0</v>
      </c>
      <c r="X94" s="27">
        <f>COGS!X94+'SG&amp;A'!X94</f>
        <v>0</v>
      </c>
      <c r="Y94" s="27">
        <f>COGS!Y94+'SG&amp;A'!Y94</f>
        <v>0</v>
      </c>
      <c r="Z94" s="27">
        <f>COGS!Z94+'SG&amp;A'!Z94</f>
        <v>0</v>
      </c>
      <c r="AA94" s="27">
        <f>COGS!AA94+'SG&amp;A'!AA94</f>
        <v>0</v>
      </c>
      <c r="AB94" s="27">
        <f>COGS!AB94+'SG&amp;A'!AB94</f>
        <v>0</v>
      </c>
      <c r="AC94" s="27">
        <f>COGS!AC94+'SG&amp;A'!AC94</f>
        <v>0</v>
      </c>
      <c r="AD94" s="27">
        <f>COGS!AD94+'SG&amp;A'!AD94</f>
        <v>0</v>
      </c>
      <c r="AE94" s="27">
        <f>COGS!AE94+'SG&amp;A'!AE94</f>
        <v>0</v>
      </c>
      <c r="AF94" s="27">
        <f>COGS!AF94+'SG&amp;A'!AF94</f>
        <v>0</v>
      </c>
      <c r="AG94" s="27">
        <f>COGS!AG94+'SG&amp;A'!AG94</f>
        <v>0</v>
      </c>
      <c r="AH94" s="27">
        <f>COGS!AH94+'SG&amp;A'!AH94</f>
        <v>0</v>
      </c>
      <c r="AI94" s="27">
        <f>COGS!AI94+'SG&amp;A'!AI94</f>
        <v>0</v>
      </c>
      <c r="AJ94" s="27">
        <f>COGS!AJ94+'SG&amp;A'!AJ94</f>
        <v>0</v>
      </c>
      <c r="AK94" s="27">
        <f>COGS!AK94+'SG&amp;A'!AK94</f>
        <v>0</v>
      </c>
      <c r="AL94" s="27">
        <f>COGS!AL94+'SG&amp;A'!AL94</f>
        <v>0</v>
      </c>
      <c r="AM94" s="27">
        <f>COGS!AM94+'SG&amp;A'!AM94</f>
        <v>0</v>
      </c>
      <c r="AN94" s="27">
        <f>COGS!AN94+'SG&amp;A'!AN94</f>
        <v>0</v>
      </c>
      <c r="AO94" s="27">
        <f>COGS!AO94+'SG&amp;A'!AO94</f>
        <v>0</v>
      </c>
      <c r="AP94" s="27">
        <f>COGS!AP94+'SG&amp;A'!AP94</f>
        <v>0</v>
      </c>
      <c r="AQ94" s="27">
        <f>COGS!AQ94+'SG&amp;A'!AQ94</f>
        <v>0</v>
      </c>
      <c r="AR94" s="27">
        <f>COGS!AR94+'SG&amp;A'!AR94</f>
        <v>0</v>
      </c>
      <c r="AS94" s="27">
        <f>COGS!AS94+'SG&amp;A'!AS94</f>
        <v>0</v>
      </c>
      <c r="AT94" s="27">
        <f>COGS!AT94+'SG&amp;A'!AT94</f>
        <v>0</v>
      </c>
      <c r="AU94" s="27">
        <f>COGS!AU94+'SG&amp;A'!AU94</f>
        <v>0</v>
      </c>
      <c r="AV94" s="27">
        <f>COGS!AV94+'SG&amp;A'!AV94</f>
        <v>0</v>
      </c>
      <c r="AW94" s="27">
        <f>COGS!AW94+'SG&amp;A'!AW94</f>
        <v>0</v>
      </c>
      <c r="AX94" s="27">
        <f>COGS!AX94+'SG&amp;A'!AX94</f>
        <v>0</v>
      </c>
      <c r="AY94" s="27">
        <f>COGS!AY94+'SG&amp;A'!AY94</f>
        <v>0</v>
      </c>
      <c r="AZ94" s="27">
        <f>COGS!AZ94+'SG&amp;A'!AZ94</f>
        <v>0</v>
      </c>
      <c r="BA94" s="27">
        <f>COGS!BA94+'SG&amp;A'!BA94</f>
        <v>0</v>
      </c>
      <c r="BB94" s="27">
        <f>COGS!BB94+'SG&amp;A'!BB94</f>
        <v>0</v>
      </c>
      <c r="BC94" s="27">
        <f>COGS!BC94+'SG&amp;A'!BC94</f>
        <v>0</v>
      </c>
      <c r="BD94" s="27">
        <f>COGS!BD94+'SG&amp;A'!BD94</f>
        <v>0</v>
      </c>
      <c r="BE94" s="27">
        <f>COGS!BE94+'SG&amp;A'!BE94</f>
        <v>0</v>
      </c>
      <c r="BF94" s="27">
        <f>COGS!BF94+'SG&amp;A'!BF94</f>
        <v>0</v>
      </c>
      <c r="BG94" s="27">
        <f>COGS!BG94+'SG&amp;A'!BG94</f>
        <v>0</v>
      </c>
      <c r="BH94" s="27">
        <f>COGS!BH94+'SG&amp;A'!BH94</f>
        <v>0</v>
      </c>
      <c r="BI94" s="27">
        <f>COGS!BI94+'SG&amp;A'!BI94</f>
        <v>0</v>
      </c>
      <c r="BJ94" s="27">
        <f>COGS!BJ94+'SG&amp;A'!BJ94</f>
        <v>0</v>
      </c>
      <c r="BK94" s="27">
        <f>COGS!BK94+'SG&amp;A'!BK94</f>
        <v>0</v>
      </c>
      <c r="BL94" s="27">
        <f>COGS!BL94+'SG&amp;A'!BL94</f>
        <v>0</v>
      </c>
      <c r="BM94" s="27">
        <f>COGS!BM94+'SG&amp;A'!BM94</f>
        <v>0</v>
      </c>
      <c r="BN94" s="27">
        <f>COGS!BN94+'SG&amp;A'!BN94</f>
        <v>0</v>
      </c>
      <c r="BO94" s="27">
        <f>COGS!BO94+'SG&amp;A'!BO94</f>
        <v>0</v>
      </c>
      <c r="BP94" s="27">
        <f>COGS!BP94+'SG&amp;A'!BP94</f>
        <v>0</v>
      </c>
      <c r="BQ94" s="27">
        <f>COGS!BQ94+'SG&amp;A'!BQ94</f>
        <v>0</v>
      </c>
      <c r="BR94" s="27">
        <f>COGS!BR94+'SG&amp;A'!BR94</f>
        <v>0</v>
      </c>
      <c r="BS94" s="27">
        <f>COGS!BS94+'SG&amp;A'!BS94</f>
        <v>0</v>
      </c>
      <c r="BT94" s="27">
        <f>COGS!BT94+'SG&amp;A'!BT94</f>
        <v>0</v>
      </c>
      <c r="BU94" s="27">
        <f>COGS!BU94+'SG&amp;A'!BU94</f>
        <v>0</v>
      </c>
      <c r="BV94" s="27">
        <f>COGS!BV94+'SG&amp;A'!BV94</f>
        <v>0</v>
      </c>
      <c r="BW94" s="27">
        <f>COGS!BW94+'SG&amp;A'!BW94</f>
        <v>0</v>
      </c>
      <c r="BX94" s="27">
        <f>COGS!BX94+'SG&amp;A'!BX94</f>
        <v>0</v>
      </c>
      <c r="BY94" s="27">
        <f>COGS!BY94+'SG&amp;A'!BY94</f>
        <v>0</v>
      </c>
      <c r="BZ94" s="27">
        <f>COGS!BZ94+'SG&amp;A'!BZ94</f>
        <v>0</v>
      </c>
      <c r="CA94" s="27">
        <f>COGS!CA94+'SG&amp;A'!CA94</f>
        <v>0</v>
      </c>
      <c r="CB94" s="27">
        <f>COGS!CB94+'SG&amp;A'!CB94</f>
        <v>0</v>
      </c>
      <c r="CC94" s="27">
        <f>COGS!CC94+'SG&amp;A'!CC94</f>
        <v>0</v>
      </c>
      <c r="CD94" s="27">
        <f>COGS!CD94+'SG&amp;A'!CD94</f>
        <v>0</v>
      </c>
      <c r="CE94" s="27">
        <f>COGS!CE94+'SG&amp;A'!CE94</f>
        <v>0</v>
      </c>
      <c r="CF94" s="27">
        <f>COGS!CF94+'SG&amp;A'!CF94</f>
        <v>0</v>
      </c>
      <c r="CG94" s="27">
        <f>COGS!CG94+'SG&amp;A'!CG94</f>
        <v>0</v>
      </c>
      <c r="CH94" s="27">
        <f>COGS!CH94+'SG&amp;A'!CH94</f>
        <v>0</v>
      </c>
      <c r="CI94" s="27">
        <f>COGS!CI94+'SG&amp;A'!CI94</f>
        <v>0</v>
      </c>
      <c r="CJ94" s="27">
        <f>COGS!CJ94+'SG&amp;A'!CJ94</f>
        <v>1.3489928199999999</v>
      </c>
      <c r="CK94" s="27">
        <f>COGS!CK94+'SG&amp;A'!CK94</f>
        <v>4.1932077900000007</v>
      </c>
      <c r="CL94" s="27">
        <f>COGS!CL94+'SG&amp;A'!CL94</f>
        <v>4.42049907</v>
      </c>
      <c r="CM94" s="27">
        <f>COGS!CM94+'SG&amp;A'!CM94</f>
        <v>9.9626996800000001</v>
      </c>
      <c r="CN94" s="27">
        <f>COGS!CN94+'SG&amp;A'!CN94</f>
        <v>3.3663205599999997</v>
      </c>
      <c r="CO94" s="27">
        <f>COGS!CO94+'SG&amp;A'!CO94</f>
        <v>2.3712979500000007</v>
      </c>
      <c r="CP94" s="27">
        <f>COGS!CP94+'SG&amp;A'!CP94</f>
        <v>2.6882529499999994</v>
      </c>
      <c r="CQ94" s="27">
        <f>COGS!CQ94+'SG&amp;A'!CQ94</f>
        <v>2.4011285400000002</v>
      </c>
      <c r="CR94" s="27">
        <f>COGS!CR94+'SG&amp;A'!CR94</f>
        <v>10.827</v>
      </c>
      <c r="CS94" s="27">
        <f>COGS!CS94+'SG&amp;A'!CS94</f>
        <v>2.8281751499999999</v>
      </c>
      <c r="CT94" s="27">
        <f>COGS!CT94+'SG&amp;A'!CT94</f>
        <v>2.8265669899999999</v>
      </c>
      <c r="CU94" s="27">
        <f>COGS!CU94+'SG&amp;A'!CU94</f>
        <v>2.7922949500000001</v>
      </c>
      <c r="CV94" s="27">
        <f>COGS!CV94+'SG&amp;A'!CV94</f>
        <v>2.9418091099999999</v>
      </c>
      <c r="CW94" s="27">
        <f>COGS!CW94+'SG&amp;A'!CW94</f>
        <v>11.3888462</v>
      </c>
      <c r="CX94" s="27">
        <f>COGS!CX94+'SG&amp;A'!CX94</f>
        <v>3.0939999999999999</v>
      </c>
      <c r="CY94" s="27">
        <f>COGS!CY94+'SG&amp;A'!CY94</f>
        <v>2.8489999999999998</v>
      </c>
      <c r="CZ94" s="27">
        <f>COGS!CZ94+'SG&amp;A'!CZ94</f>
        <v>2.798</v>
      </c>
      <c r="DA94" s="27">
        <f>COGS!DA94+'SG&amp;A'!DA94</f>
        <v>2.8559999999999999</v>
      </c>
      <c r="DB94" s="27">
        <f>COGS!DB94+'SG&amp;A'!DB94</f>
        <v>11.597</v>
      </c>
      <c r="DC94" s="27">
        <f>COGS!DC94+'SG&amp;A'!DC94</f>
        <v>2.9480000000000004</v>
      </c>
      <c r="DD94" s="27">
        <f>COGS!DD94+'SG&amp;A'!DD94</f>
        <v>2.9330000000000003</v>
      </c>
      <c r="DE94" s="27">
        <f>COGS!DE94+'SG&amp;A'!DE94</f>
        <v>2.7429999999999999</v>
      </c>
      <c r="DF94" s="27">
        <f>COGS!DF94+'SG&amp;A'!DF94</f>
        <v>2.8680000000000003</v>
      </c>
      <c r="DG94" s="27">
        <f>COGS!DG94+'SG&amp;A'!DG94</f>
        <v>11.492000000000001</v>
      </c>
      <c r="DH94" s="27">
        <f>COGS!DH94+'SG&amp;A'!DH94</f>
        <v>3.3359999999999999</v>
      </c>
      <c r="DI94" s="27">
        <f>COGS!DI94+'SG&amp;A'!DI94</f>
        <v>2.6749999999999998</v>
      </c>
      <c r="DJ94" s="27">
        <f>COGS!DJ94+'SG&amp;A'!DJ94</f>
        <v>3.6509999999999998</v>
      </c>
      <c r="DK94" s="27">
        <f>COGS!DK94+'SG&amp;A'!DK94</f>
        <v>3.306</v>
      </c>
      <c r="DL94" s="27">
        <f>COGS!DL94+'SG&amp;A'!DL94</f>
        <v>12.968</v>
      </c>
      <c r="DM94" s="27">
        <f>COGS!DM94+'SG&amp;A'!DM94</f>
        <v>3.532</v>
      </c>
      <c r="DN94" s="27">
        <f>COGS!DN94+'SG&amp;A'!DN94</f>
        <v>3.5760000000000001</v>
      </c>
      <c r="DO94" s="27">
        <f>COGS!DO94+'SG&amp;A'!DO94</f>
        <v>3.3940000000000001</v>
      </c>
      <c r="DP94" s="27">
        <f>COGS!DP94+'SG&amp;A'!DP94</f>
        <v>3.5819999999999999</v>
      </c>
      <c r="DQ94" s="27">
        <f>COGS!DQ94+'SG&amp;A'!DQ94</f>
        <v>14.084</v>
      </c>
      <c r="DR94" s="27">
        <f>COGS!DR94+'SG&amp;A'!DR94</f>
        <v>3.835</v>
      </c>
      <c r="DS94" s="27">
        <f>COGS!DS94+'SG&amp;A'!DS94</f>
        <v>3.641</v>
      </c>
      <c r="DT94" s="27">
        <f>COGS!DT94+'SG&amp;A'!DT94</f>
        <v>4.0090000000000003</v>
      </c>
      <c r="DU94" s="27">
        <f>COGS!DU94+'SG&amp;A'!DU94</f>
        <v>3.9849999999999999</v>
      </c>
      <c r="DV94" s="27">
        <f>COGS!DV94+'SG&amp;A'!DV94</f>
        <v>15.47</v>
      </c>
      <c r="DW94" s="27">
        <f>COGS!DW94+'SG&amp;A'!DW94</f>
        <v>3.5179999999999998</v>
      </c>
      <c r="DX94" s="27">
        <f>COGS!DX94+'SG&amp;A'!DX94</f>
        <v>3.2884416299999994</v>
      </c>
      <c r="DY94" s="27">
        <f>COGS!DY94+'SG&amp;A'!DY94</f>
        <v>3.3736973599999995</v>
      </c>
      <c r="DZ94" s="27">
        <f>COGS!DZ94+'SG&amp;A'!DZ94</f>
        <v>3.6721219</v>
      </c>
      <c r="EA94" s="27">
        <f>COGS!EA94+'SG&amp;A'!EA94</f>
        <v>13.85226089</v>
      </c>
      <c r="EB94" s="27">
        <f>COGS!EB94+'SG&amp;A'!EB94</f>
        <v>5.13243472</v>
      </c>
      <c r="EC94" s="27">
        <f>COGS!EC94+'SG&amp;A'!EC94</f>
        <v>3.9893442399999994</v>
      </c>
      <c r="ED94" s="27">
        <f>COGS!ED94+'SG&amp;A'!ED94</f>
        <v>3.7409999999999997</v>
      </c>
      <c r="EE94" s="27">
        <f>COGS!EE94+'SG&amp;A'!EE94</f>
        <v>4.2100922000000001</v>
      </c>
      <c r="EF94" s="27">
        <f>COGS!EF94+'SG&amp;A'!EF94</f>
        <v>17.072871159999998</v>
      </c>
      <c r="EG94" s="27">
        <f>COGS!EG94+'SG&amp;A'!EG94</f>
        <v>5.3695975899999997</v>
      </c>
      <c r="EH94" s="27">
        <f>COGS!EH94+'SG&amp;A'!EH94</f>
        <v>6.3193272200000008</v>
      </c>
      <c r="EI94" s="27">
        <f>COGS!EI94+'SG&amp;A'!EI94</f>
        <v>2.5954096899999994</v>
      </c>
    </row>
    <row r="95" spans="1:139" ht="15" thickBot="1" x14ac:dyDescent="0.35">
      <c r="A95" s="2" t="s">
        <v>444</v>
      </c>
      <c r="B95" s="28">
        <f>COGS!B95+'SG&amp;A'!B95</f>
        <v>0</v>
      </c>
      <c r="C95" s="28">
        <f>COGS!C95+'SG&amp;A'!C95</f>
        <v>0</v>
      </c>
      <c r="D95" s="28">
        <f>COGS!D95+'SG&amp;A'!D95</f>
        <v>0</v>
      </c>
      <c r="E95" s="28">
        <f>COGS!E95+'SG&amp;A'!E95</f>
        <v>0</v>
      </c>
      <c r="F95" s="28">
        <f>COGS!F95+'SG&amp;A'!F95</f>
        <v>0</v>
      </c>
      <c r="G95" s="28">
        <f>COGS!G95+'SG&amp;A'!G95</f>
        <v>0</v>
      </c>
      <c r="H95" s="28">
        <f>COGS!H95+'SG&amp;A'!H95</f>
        <v>0</v>
      </c>
      <c r="I95" s="28">
        <f>COGS!I95+'SG&amp;A'!I95</f>
        <v>0</v>
      </c>
      <c r="J95" s="28">
        <f>COGS!J95+'SG&amp;A'!J95</f>
        <v>0</v>
      </c>
      <c r="K95" s="28">
        <f>COGS!K95+'SG&amp;A'!K95</f>
        <v>0</v>
      </c>
      <c r="L95" s="28">
        <f>COGS!L95+'SG&amp;A'!L95</f>
        <v>0</v>
      </c>
      <c r="M95" s="28">
        <f>COGS!M95+'SG&amp;A'!M95</f>
        <v>0</v>
      </c>
      <c r="N95" s="28">
        <f>COGS!N95+'SG&amp;A'!N95</f>
        <v>0</v>
      </c>
      <c r="O95" s="28">
        <f>COGS!O95+'SG&amp;A'!O95</f>
        <v>0</v>
      </c>
      <c r="P95" s="28">
        <f>COGS!P95+'SG&amp;A'!P95</f>
        <v>0</v>
      </c>
      <c r="Q95" s="28">
        <f>COGS!Q95+'SG&amp;A'!Q95</f>
        <v>0</v>
      </c>
      <c r="R95" s="28">
        <f>COGS!R95+'SG&amp;A'!R95</f>
        <v>0</v>
      </c>
      <c r="S95" s="28">
        <f>COGS!S95+'SG&amp;A'!S95</f>
        <v>0</v>
      </c>
      <c r="T95" s="28">
        <f>COGS!T95+'SG&amp;A'!T95</f>
        <v>0</v>
      </c>
      <c r="U95" s="28">
        <f>COGS!U95+'SG&amp;A'!U95</f>
        <v>0</v>
      </c>
      <c r="V95" s="28">
        <f>COGS!V95+'SG&amp;A'!V95</f>
        <v>0</v>
      </c>
      <c r="W95" s="28">
        <f>COGS!W95+'SG&amp;A'!W95</f>
        <v>0</v>
      </c>
      <c r="X95" s="28">
        <f>COGS!X95+'SG&amp;A'!X95</f>
        <v>0</v>
      </c>
      <c r="Y95" s="28">
        <f>COGS!Y95+'SG&amp;A'!Y95</f>
        <v>0</v>
      </c>
      <c r="Z95" s="28">
        <f>COGS!Z95+'SG&amp;A'!Z95</f>
        <v>0</v>
      </c>
      <c r="AA95" s="28">
        <f>COGS!AA95+'SG&amp;A'!AA95</f>
        <v>0</v>
      </c>
      <c r="AB95" s="28">
        <f>COGS!AB95+'SG&amp;A'!AB95</f>
        <v>0</v>
      </c>
      <c r="AC95" s="28">
        <f>COGS!AC95+'SG&amp;A'!AC95</f>
        <v>0</v>
      </c>
      <c r="AD95" s="28">
        <f>COGS!AD95+'SG&amp;A'!AD95</f>
        <v>0</v>
      </c>
      <c r="AE95" s="28">
        <f>COGS!AE95+'SG&amp;A'!AE95</f>
        <v>0</v>
      </c>
      <c r="AF95" s="28">
        <f>COGS!AF95+'SG&amp;A'!AF95</f>
        <v>0</v>
      </c>
      <c r="AG95" s="28">
        <f>COGS!AG95+'SG&amp;A'!AG95</f>
        <v>0</v>
      </c>
      <c r="AH95" s="28">
        <f>COGS!AH95+'SG&amp;A'!AH95</f>
        <v>0</v>
      </c>
      <c r="AI95" s="28">
        <f>COGS!AI95+'SG&amp;A'!AI95</f>
        <v>0</v>
      </c>
      <c r="AJ95" s="28">
        <f>COGS!AJ95+'SG&amp;A'!AJ95</f>
        <v>0</v>
      </c>
      <c r="AK95" s="28">
        <f>COGS!AK95+'SG&amp;A'!AK95</f>
        <v>0</v>
      </c>
      <c r="AL95" s="28">
        <f>COGS!AL95+'SG&amp;A'!AL95</f>
        <v>0</v>
      </c>
      <c r="AM95" s="28">
        <f>COGS!AM95+'SG&amp;A'!AM95</f>
        <v>0</v>
      </c>
      <c r="AN95" s="28">
        <f>COGS!AN95+'SG&amp;A'!AN95</f>
        <v>0</v>
      </c>
      <c r="AO95" s="28">
        <f>COGS!AO95+'SG&amp;A'!AO95</f>
        <v>0</v>
      </c>
      <c r="AP95" s="28">
        <f>COGS!AP95+'SG&amp;A'!AP95</f>
        <v>0</v>
      </c>
      <c r="AQ95" s="28">
        <f>COGS!AQ95+'SG&amp;A'!AQ95</f>
        <v>0</v>
      </c>
      <c r="AR95" s="28">
        <f>COGS!AR95+'SG&amp;A'!AR95</f>
        <v>0</v>
      </c>
      <c r="AS95" s="28">
        <f>COGS!AS95+'SG&amp;A'!AS95</f>
        <v>0</v>
      </c>
      <c r="AT95" s="28">
        <f>COGS!AT95+'SG&amp;A'!AT95</f>
        <v>0</v>
      </c>
      <c r="AU95" s="28">
        <f>COGS!AU95+'SG&amp;A'!AU95</f>
        <v>0</v>
      </c>
      <c r="AV95" s="28">
        <f>COGS!AV95+'SG&amp;A'!AV95</f>
        <v>0</v>
      </c>
      <c r="AW95" s="28">
        <f>COGS!AW95+'SG&amp;A'!AW95</f>
        <v>0</v>
      </c>
      <c r="AX95" s="28">
        <f>COGS!AX95+'SG&amp;A'!AX95</f>
        <v>0</v>
      </c>
      <c r="AY95" s="28">
        <f>COGS!AY95+'SG&amp;A'!AY95</f>
        <v>0</v>
      </c>
      <c r="AZ95" s="28">
        <f>COGS!AZ95+'SG&amp;A'!AZ95</f>
        <v>0</v>
      </c>
      <c r="BA95" s="28">
        <f>COGS!BA95+'SG&amp;A'!BA95</f>
        <v>0</v>
      </c>
      <c r="BB95" s="28">
        <f>COGS!BB95+'SG&amp;A'!BB95</f>
        <v>0</v>
      </c>
      <c r="BC95" s="28">
        <f>COGS!BC95+'SG&amp;A'!BC95</f>
        <v>0</v>
      </c>
      <c r="BD95" s="28">
        <f>COGS!BD95+'SG&amp;A'!BD95</f>
        <v>0</v>
      </c>
      <c r="BE95" s="28">
        <f>COGS!BE95+'SG&amp;A'!BE95</f>
        <v>0</v>
      </c>
      <c r="BF95" s="28">
        <f>COGS!BF95+'SG&amp;A'!BF95</f>
        <v>0</v>
      </c>
      <c r="BG95" s="28">
        <f>COGS!BG95+'SG&amp;A'!BG95</f>
        <v>0</v>
      </c>
      <c r="BH95" s="28">
        <f>COGS!BH95+'SG&amp;A'!BH95</f>
        <v>0</v>
      </c>
      <c r="BI95" s="28">
        <f>COGS!BI95+'SG&amp;A'!BI95</f>
        <v>0</v>
      </c>
      <c r="BJ95" s="28">
        <f>COGS!BJ95+'SG&amp;A'!BJ95</f>
        <v>0</v>
      </c>
      <c r="BK95" s="28">
        <f>COGS!BK95+'SG&amp;A'!BK95</f>
        <v>0</v>
      </c>
      <c r="BL95" s="28">
        <f>COGS!BL95+'SG&amp;A'!BL95</f>
        <v>0</v>
      </c>
      <c r="BM95" s="28">
        <f>COGS!BM95+'SG&amp;A'!BM95</f>
        <v>0</v>
      </c>
      <c r="BN95" s="28">
        <f>COGS!BN95+'SG&amp;A'!BN95</f>
        <v>0</v>
      </c>
      <c r="BO95" s="28">
        <f>COGS!BO95+'SG&amp;A'!BO95</f>
        <v>0</v>
      </c>
      <c r="BP95" s="28">
        <f>COGS!BP95+'SG&amp;A'!BP95</f>
        <v>0</v>
      </c>
      <c r="BQ95" s="28">
        <f>COGS!BQ95+'SG&amp;A'!BQ95</f>
        <v>0</v>
      </c>
      <c r="BR95" s="28">
        <f>COGS!BR95+'SG&amp;A'!BR95</f>
        <v>0</v>
      </c>
      <c r="BS95" s="28">
        <f>COGS!BS95+'SG&amp;A'!BS95</f>
        <v>0</v>
      </c>
      <c r="BT95" s="28">
        <f>COGS!BT95+'SG&amp;A'!BT95</f>
        <v>0</v>
      </c>
      <c r="BU95" s="28">
        <f>COGS!BU95+'SG&amp;A'!BU95</f>
        <v>0</v>
      </c>
      <c r="BV95" s="28">
        <f>COGS!BV95+'SG&amp;A'!BV95</f>
        <v>0</v>
      </c>
      <c r="BW95" s="28">
        <f>COGS!BW95+'SG&amp;A'!BW95</f>
        <v>0</v>
      </c>
      <c r="BX95" s="28">
        <f>COGS!BX95+'SG&amp;A'!BX95</f>
        <v>0</v>
      </c>
      <c r="BY95" s="28">
        <f>COGS!BY95+'SG&amp;A'!BY95</f>
        <v>0</v>
      </c>
      <c r="BZ95" s="28">
        <f>COGS!BZ95+'SG&amp;A'!BZ95</f>
        <v>0</v>
      </c>
      <c r="CA95" s="28">
        <f>COGS!CA95+'SG&amp;A'!CA95</f>
        <v>0</v>
      </c>
      <c r="CB95" s="28">
        <f>COGS!CB95+'SG&amp;A'!CB95</f>
        <v>0</v>
      </c>
      <c r="CC95" s="28">
        <f>COGS!CC95+'SG&amp;A'!CC95</f>
        <v>0</v>
      </c>
      <c r="CD95" s="28">
        <f>COGS!CD95+'SG&amp;A'!CD95</f>
        <v>0</v>
      </c>
      <c r="CE95" s="28">
        <f>COGS!CE95+'SG&amp;A'!CE95</f>
        <v>0</v>
      </c>
      <c r="CF95" s="28">
        <f>COGS!CF95+'SG&amp;A'!CF95</f>
        <v>0</v>
      </c>
      <c r="CG95" s="28">
        <f>COGS!CG95+'SG&amp;A'!CG95</f>
        <v>0</v>
      </c>
      <c r="CH95" s="28">
        <f>COGS!CH95+'SG&amp;A'!CH95</f>
        <v>0</v>
      </c>
      <c r="CI95" s="28">
        <f>COGS!CI95+'SG&amp;A'!CI95</f>
        <v>0</v>
      </c>
      <c r="CJ95" s="28">
        <f>COGS!CJ95+'SG&amp;A'!CJ95</f>
        <v>0</v>
      </c>
      <c r="CK95" s="28">
        <f>COGS!CK95+'SG&amp;A'!CK95</f>
        <v>0</v>
      </c>
      <c r="CL95" s="28">
        <f>COGS!CL95+'SG&amp;A'!CL95</f>
        <v>0</v>
      </c>
      <c r="CM95" s="28">
        <f>COGS!CM95+'SG&amp;A'!CM95</f>
        <v>0</v>
      </c>
      <c r="CN95" s="28">
        <f>COGS!CN95+'SG&amp;A'!CN95</f>
        <v>0</v>
      </c>
      <c r="CO95" s="28">
        <f>COGS!CO95+'SG&amp;A'!CO95</f>
        <v>0</v>
      </c>
      <c r="CP95" s="28">
        <f>COGS!CP95+'SG&amp;A'!CP95</f>
        <v>0</v>
      </c>
      <c r="CQ95" s="28">
        <f>COGS!CQ95+'SG&amp;A'!CQ95</f>
        <v>0</v>
      </c>
      <c r="CR95" s="28">
        <f>COGS!CR95+'SG&amp;A'!CR95</f>
        <v>0</v>
      </c>
      <c r="CS95" s="28">
        <f>COGS!CS95+'SG&amp;A'!CS95</f>
        <v>0</v>
      </c>
      <c r="CT95" s="28">
        <f>COGS!CT95+'SG&amp;A'!CT95</f>
        <v>0</v>
      </c>
      <c r="CU95" s="28">
        <f>COGS!CU95+'SG&amp;A'!CU95</f>
        <v>0</v>
      </c>
      <c r="CV95" s="28">
        <f>COGS!CV95+'SG&amp;A'!CV95</f>
        <v>0</v>
      </c>
      <c r="CW95" s="28">
        <f>COGS!CW95+'SG&amp;A'!CW95</f>
        <v>0</v>
      </c>
      <c r="CX95" s="28">
        <f>COGS!CX95+'SG&amp;A'!CX95</f>
        <v>0</v>
      </c>
      <c r="CY95" s="28">
        <f>COGS!CY95+'SG&amp;A'!CY95</f>
        <v>0</v>
      </c>
      <c r="CZ95" s="28">
        <f>COGS!CZ95+'SG&amp;A'!CZ95</f>
        <v>0</v>
      </c>
      <c r="DA95" s="28">
        <f>COGS!DA95+'SG&amp;A'!DA95</f>
        <v>0</v>
      </c>
      <c r="DB95" s="28">
        <f>COGS!DB95+'SG&amp;A'!DB95</f>
        <v>0</v>
      </c>
      <c r="DC95" s="28">
        <f>COGS!DC95+'SG&amp;A'!DC95</f>
        <v>0</v>
      </c>
      <c r="DD95" s="28">
        <f>COGS!DD95+'SG&amp;A'!DD95</f>
        <v>0.81699999999999995</v>
      </c>
      <c r="DE95" s="28">
        <f>COGS!DE95+'SG&amp;A'!DE95</f>
        <v>3.7639999999999998</v>
      </c>
      <c r="DF95" s="28">
        <f>COGS!DF95+'SG&amp;A'!DF95</f>
        <v>5.5309999999999997</v>
      </c>
      <c r="DG95" s="28">
        <f>COGS!DG95+'SG&amp;A'!DG95</f>
        <v>10.111999999999998</v>
      </c>
      <c r="DH95" s="28">
        <f>COGS!DH95+'SG&amp;A'!DH95</f>
        <v>8.4830000000000005</v>
      </c>
      <c r="DI95" s="28">
        <f>COGS!DI95+'SG&amp;A'!DI95</f>
        <v>9.23</v>
      </c>
      <c r="DJ95" s="28">
        <f>COGS!DJ95+'SG&amp;A'!DJ95</f>
        <v>8.718</v>
      </c>
      <c r="DK95" s="28">
        <f>COGS!DK95+'SG&amp;A'!DK95</f>
        <v>9.7360000000000007</v>
      </c>
      <c r="DL95" s="28">
        <f>COGS!DL95+'SG&amp;A'!DL95</f>
        <v>36.167000000000002</v>
      </c>
      <c r="DM95" s="28">
        <f>COGS!DM95+'SG&amp;A'!DM95</f>
        <v>10.084</v>
      </c>
      <c r="DN95" s="28">
        <f>COGS!DN95+'SG&amp;A'!DN95</f>
        <v>10.111000000000001</v>
      </c>
      <c r="DO95" s="28">
        <f>COGS!DO95+'SG&amp;A'!DO95</f>
        <v>4.3580000000000005</v>
      </c>
      <c r="DP95" s="28">
        <f>COGS!DP95+'SG&amp;A'!DP95</f>
        <v>15.876000000000001</v>
      </c>
      <c r="DQ95" s="28">
        <f>COGS!DQ95+'SG&amp;A'!DQ95</f>
        <v>40.429000000000002</v>
      </c>
      <c r="DR95" s="28">
        <f>COGS!DR95+'SG&amp;A'!DR95</f>
        <v>11.530999999999999</v>
      </c>
      <c r="DS95" s="28">
        <f>COGS!DS95+'SG&amp;A'!DS95</f>
        <v>11.618</v>
      </c>
      <c r="DT95" s="28">
        <f>COGS!DT95+'SG&amp;A'!DT95</f>
        <v>11.683</v>
      </c>
      <c r="DU95" s="28">
        <f>COGS!DU95+'SG&amp;A'!DU95</f>
        <v>9.9989999999999988</v>
      </c>
      <c r="DV95" s="28">
        <f>COGS!DV95+'SG&amp;A'!DV95</f>
        <v>44.831000000000003</v>
      </c>
      <c r="DW95" s="28">
        <f>COGS!DW95+'SG&amp;A'!DW95</f>
        <v>11.177</v>
      </c>
      <c r="DX95" s="28">
        <f>COGS!DX95+'SG&amp;A'!DX95</f>
        <v>10.86170006</v>
      </c>
      <c r="DY95" s="28">
        <f>COGS!DY95+'SG&amp;A'!DY95</f>
        <v>10.71440877</v>
      </c>
      <c r="DZ95" s="28">
        <f>COGS!DZ95+'SG&amp;A'!DZ95</f>
        <v>12.14390463</v>
      </c>
      <c r="EA95" s="28">
        <f>COGS!EA95+'SG&amp;A'!EA95</f>
        <v>44.897013460000004</v>
      </c>
      <c r="EB95" s="28">
        <f>COGS!EB95+'SG&amp;A'!EB95</f>
        <v>11.891370460000001</v>
      </c>
      <c r="EC95" s="28">
        <f>COGS!EC95+'SG&amp;A'!EC95</f>
        <v>12.417918740000001</v>
      </c>
      <c r="ED95" s="28">
        <f>COGS!ED95+'SG&amp;A'!ED95</f>
        <v>11.771000000000001</v>
      </c>
      <c r="EE95" s="28">
        <f>COGS!EE95+'SG&amp;A'!EE95</f>
        <v>12.285586120000001</v>
      </c>
      <c r="EF95" s="28">
        <f>COGS!EF95+'SG&amp;A'!EF95</f>
        <v>48.365875320000008</v>
      </c>
      <c r="EG95" s="28">
        <f>COGS!EG95+'SG&amp;A'!EG95</f>
        <v>14.757983929999998</v>
      </c>
      <c r="EH95" s="28">
        <f>COGS!EH95+'SG&amp;A'!EH95</f>
        <v>13.72754986</v>
      </c>
      <c r="EI95" s="28">
        <f>COGS!EI95+'SG&amp;A'!EI95</f>
        <v>11.436118879999999</v>
      </c>
    </row>
    <row r="96" spans="1:139" ht="15" thickTop="1" x14ac:dyDescent="0.3">
      <c r="A96" s="1" t="s">
        <v>456</v>
      </c>
      <c r="B96" s="27">
        <f>COGS!B96+'SG&amp;A'!B96</f>
        <v>0</v>
      </c>
      <c r="C96" s="27">
        <f>COGS!C96+'SG&amp;A'!C96</f>
        <v>0</v>
      </c>
      <c r="D96" s="27">
        <f>COGS!D96+'SG&amp;A'!D96</f>
        <v>0</v>
      </c>
      <c r="E96" s="27">
        <f>COGS!E96+'SG&amp;A'!E96</f>
        <v>0</v>
      </c>
      <c r="F96" s="27">
        <f>COGS!F96+'SG&amp;A'!F96</f>
        <v>0</v>
      </c>
      <c r="G96" s="27">
        <f>COGS!G96+'SG&amp;A'!G96</f>
        <v>0</v>
      </c>
      <c r="H96" s="27">
        <f>COGS!H96+'SG&amp;A'!H96</f>
        <v>0</v>
      </c>
      <c r="I96" s="27">
        <f>COGS!I96+'SG&amp;A'!I96</f>
        <v>0</v>
      </c>
      <c r="J96" s="27">
        <f>COGS!J96+'SG&amp;A'!J96</f>
        <v>0</v>
      </c>
      <c r="K96" s="27">
        <f>COGS!K96+'SG&amp;A'!K96</f>
        <v>0</v>
      </c>
      <c r="L96" s="27">
        <f>COGS!L96+'SG&amp;A'!L96</f>
        <v>0</v>
      </c>
      <c r="M96" s="27">
        <f>COGS!M96+'SG&amp;A'!M96</f>
        <v>0</v>
      </c>
      <c r="N96" s="27">
        <f>COGS!N96+'SG&amp;A'!N96</f>
        <v>0</v>
      </c>
      <c r="O96" s="27">
        <f>COGS!O96+'SG&amp;A'!O96</f>
        <v>0</v>
      </c>
      <c r="P96" s="27">
        <f>COGS!P96+'SG&amp;A'!P96</f>
        <v>0</v>
      </c>
      <c r="Q96" s="27">
        <f>COGS!Q96+'SG&amp;A'!Q96</f>
        <v>0</v>
      </c>
      <c r="R96" s="27">
        <f>COGS!R96+'SG&amp;A'!R96</f>
        <v>0</v>
      </c>
      <c r="S96" s="27">
        <f>COGS!S96+'SG&amp;A'!S96</f>
        <v>0</v>
      </c>
      <c r="T96" s="27">
        <f>COGS!T96+'SG&amp;A'!T96</f>
        <v>0</v>
      </c>
      <c r="U96" s="27">
        <f>COGS!U96+'SG&amp;A'!U96</f>
        <v>0</v>
      </c>
      <c r="V96" s="27">
        <f>COGS!V96+'SG&amp;A'!V96</f>
        <v>0</v>
      </c>
      <c r="W96" s="27">
        <f>COGS!W96+'SG&amp;A'!W96</f>
        <v>0</v>
      </c>
      <c r="X96" s="27">
        <f>COGS!X96+'SG&amp;A'!X96</f>
        <v>0</v>
      </c>
      <c r="Y96" s="27">
        <f>COGS!Y96+'SG&amp;A'!Y96</f>
        <v>0</v>
      </c>
      <c r="Z96" s="27">
        <f>COGS!Z96+'SG&amp;A'!Z96</f>
        <v>0</v>
      </c>
      <c r="AA96" s="27">
        <f>COGS!AA96+'SG&amp;A'!AA96</f>
        <v>0</v>
      </c>
      <c r="AB96" s="27">
        <f>COGS!AB96+'SG&amp;A'!AB96</f>
        <v>0</v>
      </c>
      <c r="AC96" s="27">
        <f>COGS!AC96+'SG&amp;A'!AC96</f>
        <v>0</v>
      </c>
      <c r="AD96" s="27">
        <f>COGS!AD96+'SG&amp;A'!AD96</f>
        <v>0</v>
      </c>
      <c r="AE96" s="27">
        <f>COGS!AE96+'SG&amp;A'!AE96</f>
        <v>0</v>
      </c>
      <c r="AF96" s="27">
        <f>COGS!AF96+'SG&amp;A'!AF96</f>
        <v>0</v>
      </c>
      <c r="AG96" s="27">
        <f>COGS!AG96+'SG&amp;A'!AG96</f>
        <v>0</v>
      </c>
      <c r="AH96" s="27">
        <f>COGS!AH96+'SG&amp;A'!AH96</f>
        <v>0</v>
      </c>
      <c r="AI96" s="27">
        <f>COGS!AI96+'SG&amp;A'!AI96</f>
        <v>0</v>
      </c>
      <c r="AJ96" s="27">
        <f>COGS!AJ96+'SG&amp;A'!AJ96</f>
        <v>0</v>
      </c>
      <c r="AK96" s="27">
        <f>COGS!AK96+'SG&amp;A'!AK96</f>
        <v>0</v>
      </c>
      <c r="AL96" s="27">
        <f>COGS!AL96+'SG&amp;A'!AL96</f>
        <v>0</v>
      </c>
      <c r="AM96" s="27">
        <f>COGS!AM96+'SG&amp;A'!AM96</f>
        <v>0</v>
      </c>
      <c r="AN96" s="27">
        <f>COGS!AN96+'SG&amp;A'!AN96</f>
        <v>0</v>
      </c>
      <c r="AO96" s="27">
        <f>COGS!AO96+'SG&amp;A'!AO96</f>
        <v>0</v>
      </c>
      <c r="AP96" s="27">
        <f>COGS!AP96+'SG&amp;A'!AP96</f>
        <v>0</v>
      </c>
      <c r="AQ96" s="27">
        <f>COGS!AQ96+'SG&amp;A'!AQ96</f>
        <v>0</v>
      </c>
      <c r="AR96" s="27">
        <f>COGS!AR96+'SG&amp;A'!AR96</f>
        <v>0</v>
      </c>
      <c r="AS96" s="27">
        <f>COGS!AS96+'SG&amp;A'!AS96</f>
        <v>0</v>
      </c>
      <c r="AT96" s="27">
        <f>COGS!AT96+'SG&amp;A'!AT96</f>
        <v>0</v>
      </c>
      <c r="AU96" s="27">
        <f>COGS!AU96+'SG&amp;A'!AU96</f>
        <v>0</v>
      </c>
      <c r="AV96" s="27">
        <f>COGS!AV96+'SG&amp;A'!AV96</f>
        <v>0</v>
      </c>
      <c r="AW96" s="27">
        <f>COGS!AW96+'SG&amp;A'!AW96</f>
        <v>0</v>
      </c>
      <c r="AX96" s="27">
        <f>COGS!AX96+'SG&amp;A'!AX96</f>
        <v>0</v>
      </c>
      <c r="AY96" s="27">
        <f>COGS!AY96+'SG&amp;A'!AY96</f>
        <v>0</v>
      </c>
      <c r="AZ96" s="27">
        <f>COGS!AZ96+'SG&amp;A'!AZ96</f>
        <v>0</v>
      </c>
      <c r="BA96" s="27">
        <f>COGS!BA96+'SG&amp;A'!BA96</f>
        <v>0</v>
      </c>
      <c r="BB96" s="27">
        <f>COGS!BB96+'SG&amp;A'!BB96</f>
        <v>0</v>
      </c>
      <c r="BC96" s="27">
        <f>COGS!BC96+'SG&amp;A'!BC96</f>
        <v>0</v>
      </c>
      <c r="BD96" s="27">
        <f>COGS!BD96+'SG&amp;A'!BD96</f>
        <v>0</v>
      </c>
      <c r="BE96" s="27">
        <f>COGS!BE96+'SG&amp;A'!BE96</f>
        <v>0</v>
      </c>
      <c r="BF96" s="27">
        <f>COGS!BF96+'SG&amp;A'!BF96</f>
        <v>0</v>
      </c>
      <c r="BG96" s="27">
        <f>COGS!BG96+'SG&amp;A'!BG96</f>
        <v>0</v>
      </c>
      <c r="BH96" s="27">
        <f>COGS!BH96+'SG&amp;A'!BH96</f>
        <v>0</v>
      </c>
      <c r="BI96" s="27">
        <f>COGS!BI96+'SG&amp;A'!BI96</f>
        <v>0</v>
      </c>
      <c r="BJ96" s="27">
        <f>COGS!BJ96+'SG&amp;A'!BJ96</f>
        <v>0</v>
      </c>
      <c r="BK96" s="27">
        <f>COGS!BK96+'SG&amp;A'!BK96</f>
        <v>0</v>
      </c>
      <c r="BL96" s="27">
        <f>COGS!BL96+'SG&amp;A'!BL96</f>
        <v>0</v>
      </c>
      <c r="BM96" s="27">
        <f>COGS!BM96+'SG&amp;A'!BM96</f>
        <v>0</v>
      </c>
      <c r="BN96" s="27">
        <f>COGS!BN96+'SG&amp;A'!BN96</f>
        <v>0</v>
      </c>
      <c r="BO96" s="27">
        <f>COGS!BO96+'SG&amp;A'!BO96</f>
        <v>0</v>
      </c>
      <c r="BP96" s="27">
        <f>COGS!BP96+'SG&amp;A'!BP96</f>
        <v>0</v>
      </c>
      <c r="BQ96" s="27">
        <f>COGS!BQ96+'SG&amp;A'!BQ96</f>
        <v>0</v>
      </c>
      <c r="BR96" s="27">
        <f>COGS!BR96+'SG&amp;A'!BR96</f>
        <v>0</v>
      </c>
      <c r="BS96" s="27">
        <f>COGS!BS96+'SG&amp;A'!BS96</f>
        <v>0</v>
      </c>
      <c r="BT96" s="27">
        <f>COGS!BT96+'SG&amp;A'!BT96</f>
        <v>0</v>
      </c>
      <c r="BU96" s="27">
        <f>COGS!BU96+'SG&amp;A'!BU96</f>
        <v>0</v>
      </c>
      <c r="BV96" s="27">
        <f>COGS!BV96+'SG&amp;A'!BV96</f>
        <v>0</v>
      </c>
      <c r="BW96" s="27">
        <f>COGS!BW96+'SG&amp;A'!BW96</f>
        <v>0</v>
      </c>
      <c r="BX96" s="27">
        <f>COGS!BX96+'SG&amp;A'!BX96</f>
        <v>0</v>
      </c>
      <c r="BY96" s="27">
        <f>COGS!BY96+'SG&amp;A'!BY96</f>
        <v>0</v>
      </c>
      <c r="BZ96" s="27">
        <f>COGS!BZ96+'SG&amp;A'!BZ96</f>
        <v>0</v>
      </c>
      <c r="CA96" s="27">
        <f>COGS!CA96+'SG&amp;A'!CA96</f>
        <v>0</v>
      </c>
      <c r="CB96" s="27">
        <f>COGS!CB96+'SG&amp;A'!CB96</f>
        <v>0</v>
      </c>
      <c r="CC96" s="27">
        <f>COGS!CC96+'SG&amp;A'!CC96</f>
        <v>0</v>
      </c>
      <c r="CD96" s="27">
        <f>COGS!CD96+'SG&amp;A'!CD96</f>
        <v>0</v>
      </c>
      <c r="CE96" s="27">
        <f>COGS!CE96+'SG&amp;A'!CE96</f>
        <v>0</v>
      </c>
      <c r="CF96" s="27">
        <f>COGS!CF96+'SG&amp;A'!CF96</f>
        <v>0</v>
      </c>
      <c r="CG96" s="27">
        <f>COGS!CG96+'SG&amp;A'!CG96</f>
        <v>0</v>
      </c>
      <c r="CH96" s="27">
        <f>COGS!CH96+'SG&amp;A'!CH96</f>
        <v>0</v>
      </c>
      <c r="CI96" s="27">
        <f>COGS!CI96+'SG&amp;A'!CI96</f>
        <v>0</v>
      </c>
      <c r="CJ96" s="27">
        <f>COGS!CJ96+'SG&amp;A'!CJ96</f>
        <v>0</v>
      </c>
      <c r="CK96" s="27">
        <f>COGS!CK96+'SG&amp;A'!CK96</f>
        <v>0</v>
      </c>
      <c r="CL96" s="27">
        <f>COGS!CL96+'SG&amp;A'!CL96</f>
        <v>0</v>
      </c>
      <c r="CM96" s="27">
        <f>COGS!CM96+'SG&amp;A'!CM96</f>
        <v>0</v>
      </c>
      <c r="CN96" s="27">
        <f>COGS!CN96+'SG&amp;A'!CN96</f>
        <v>0</v>
      </c>
      <c r="CO96" s="27">
        <f>COGS!CO96+'SG&amp;A'!CO96</f>
        <v>0</v>
      </c>
      <c r="CP96" s="27">
        <f>COGS!CP96+'SG&amp;A'!CP96</f>
        <v>0</v>
      </c>
      <c r="CQ96" s="27">
        <f>COGS!CQ96+'SG&amp;A'!CQ96</f>
        <v>0</v>
      </c>
      <c r="CR96" s="27">
        <f>COGS!CR96+'SG&amp;A'!CR96</f>
        <v>0</v>
      </c>
      <c r="CS96" s="27">
        <f>COGS!CS96+'SG&amp;A'!CS96</f>
        <v>0</v>
      </c>
      <c r="CT96" s="27">
        <f>COGS!CT96+'SG&amp;A'!CT96</f>
        <v>0</v>
      </c>
      <c r="CU96" s="27">
        <f>COGS!CU96+'SG&amp;A'!CU96</f>
        <v>0</v>
      </c>
      <c r="CV96" s="27">
        <f>COGS!CV96+'SG&amp;A'!CV96</f>
        <v>0</v>
      </c>
      <c r="CW96" s="27">
        <f>COGS!CW96+'SG&amp;A'!CW96</f>
        <v>0</v>
      </c>
      <c r="CX96" s="27">
        <f>COGS!CX96+'SG&amp;A'!CX96</f>
        <v>0</v>
      </c>
      <c r="CY96" s="27">
        <f>COGS!CY96+'SG&amp;A'!CY96</f>
        <v>0</v>
      </c>
      <c r="CZ96" s="27">
        <f>COGS!CZ96+'SG&amp;A'!CZ96</f>
        <v>1.514</v>
      </c>
      <c r="DA96" s="27">
        <f>COGS!DA96+'SG&amp;A'!DA96</f>
        <v>1.371</v>
      </c>
      <c r="DB96" s="27">
        <f>COGS!DB96+'SG&amp;A'!DB96</f>
        <v>2.8849999999999998</v>
      </c>
      <c r="DC96" s="27">
        <f>COGS!DC96+'SG&amp;A'!DC96</f>
        <v>4.4489999999999998</v>
      </c>
      <c r="DD96" s="27">
        <f>COGS!DD96+'SG&amp;A'!DD96</f>
        <v>5.6440000000000001</v>
      </c>
      <c r="DE96" s="27">
        <f>COGS!DE96+'SG&amp;A'!DE96</f>
        <v>5.2869999999999999</v>
      </c>
      <c r="DF96" s="27">
        <f>COGS!DF96+'SG&amp;A'!DF96</f>
        <v>5.0789999999999997</v>
      </c>
      <c r="DG96" s="27">
        <f>COGS!DG96+'SG&amp;A'!DG96</f>
        <v>20.459</v>
      </c>
      <c r="DH96" s="27">
        <f>COGS!DH96+'SG&amp;A'!DH96</f>
        <v>5.3079999999999998</v>
      </c>
      <c r="DI96" s="27">
        <f>COGS!DI96+'SG&amp;A'!DI96</f>
        <v>6.1129999999999995</v>
      </c>
      <c r="DJ96" s="27">
        <f>COGS!DJ96+'SG&amp;A'!DJ96</f>
        <v>5.6669999999999998</v>
      </c>
      <c r="DK96" s="27">
        <f>COGS!DK96+'SG&amp;A'!DK96</f>
        <v>5.601</v>
      </c>
      <c r="DL96" s="27">
        <f>COGS!DL96+'SG&amp;A'!DL96</f>
        <v>22.689</v>
      </c>
      <c r="DM96" s="27">
        <f>COGS!DM96+'SG&amp;A'!DM96</f>
        <v>6.8290000000000006</v>
      </c>
      <c r="DN96" s="27">
        <f>COGS!DN96+'SG&amp;A'!DN96</f>
        <v>6.6639999999999997</v>
      </c>
      <c r="DO96" s="27">
        <f>COGS!DO96+'SG&amp;A'!DO96</f>
        <v>6.7469999999999999</v>
      </c>
      <c r="DP96" s="27">
        <f>COGS!DP96+'SG&amp;A'!DP96</f>
        <v>6.8140000000000001</v>
      </c>
      <c r="DQ96" s="27">
        <f>COGS!DQ96+'SG&amp;A'!DQ96</f>
        <v>27.054000000000002</v>
      </c>
      <c r="DR96" s="27">
        <f>COGS!DR96+'SG&amp;A'!DR96</f>
        <v>7.524</v>
      </c>
      <c r="DS96" s="27">
        <f>COGS!DS96+'SG&amp;A'!DS96</f>
        <v>7.6280000000000001</v>
      </c>
      <c r="DT96" s="27">
        <f>COGS!DT96+'SG&amp;A'!DT96</f>
        <v>7.5220000000000002</v>
      </c>
      <c r="DU96" s="27">
        <f>COGS!DU96+'SG&amp;A'!DU96</f>
        <v>4.0839999999999996</v>
      </c>
      <c r="DV96" s="27">
        <f>COGS!DV96+'SG&amp;A'!DV96</f>
        <v>26.757999999999999</v>
      </c>
      <c r="DW96" s="27">
        <f>COGS!DW96+'SG&amp;A'!DW96</f>
        <v>7.0790000000000006</v>
      </c>
      <c r="DX96" s="27">
        <f>COGS!DX96+'SG&amp;A'!DX96</f>
        <v>6.5154104999999998</v>
      </c>
      <c r="DY96" s="27">
        <f>COGS!DY96+'SG&amp;A'!DY96</f>
        <v>7.5244962399999995</v>
      </c>
      <c r="DZ96" s="27">
        <f>COGS!DZ96+'SG&amp;A'!DZ96</f>
        <v>6.678175229999999</v>
      </c>
      <c r="EA96" s="27">
        <f>COGS!EA96+'SG&amp;A'!EA96</f>
        <v>27.797081970000001</v>
      </c>
      <c r="EB96" s="27">
        <f>COGS!EB96+'SG&amp;A'!EB96</f>
        <v>8.2877653899999988</v>
      </c>
      <c r="EC96" s="27">
        <f>COGS!EC96+'SG&amp;A'!EC96</f>
        <v>8.1319692599999982</v>
      </c>
      <c r="ED96" s="27">
        <f>COGS!ED96+'SG&amp;A'!ED96</f>
        <v>8.2970000000000006</v>
      </c>
      <c r="EE96" s="27">
        <f>COGS!EE96+'SG&amp;A'!EE96</f>
        <v>7.3920049700000003</v>
      </c>
      <c r="EF96" s="27">
        <f>COGS!EF96+'SG&amp;A'!EF96</f>
        <v>32.108739619999994</v>
      </c>
      <c r="EG96" s="27">
        <f>COGS!EG96+'SG&amp;A'!EG96</f>
        <v>10.242302039999998</v>
      </c>
      <c r="EH96" s="27">
        <f>COGS!EH96+'SG&amp;A'!EH96</f>
        <v>7.67106786</v>
      </c>
      <c r="EI96" s="27">
        <f>COGS!EI96+'SG&amp;A'!EI96</f>
        <v>9.7805140099999992</v>
      </c>
    </row>
    <row r="97" spans="1:139" ht="15" thickBot="1" x14ac:dyDescent="0.35">
      <c r="A97" s="2" t="s">
        <v>446</v>
      </c>
      <c r="B97" s="28">
        <f>COGS!B97+'SG&amp;A'!B97</f>
        <v>0</v>
      </c>
      <c r="C97" s="28">
        <f>COGS!C97+'SG&amp;A'!C97</f>
        <v>0</v>
      </c>
      <c r="D97" s="28">
        <f>COGS!D97+'SG&amp;A'!D97</f>
        <v>0</v>
      </c>
      <c r="E97" s="28">
        <f>COGS!E97+'SG&amp;A'!E97</f>
        <v>0</v>
      </c>
      <c r="F97" s="28">
        <f>COGS!F97+'SG&amp;A'!F97</f>
        <v>0</v>
      </c>
      <c r="G97" s="28">
        <f>COGS!G97+'SG&amp;A'!G97</f>
        <v>0</v>
      </c>
      <c r="H97" s="28">
        <f>COGS!H97+'SG&amp;A'!H97</f>
        <v>0</v>
      </c>
      <c r="I97" s="28">
        <f>COGS!I97+'SG&amp;A'!I97</f>
        <v>0</v>
      </c>
      <c r="J97" s="28">
        <f>COGS!J97+'SG&amp;A'!J97</f>
        <v>0</v>
      </c>
      <c r="K97" s="28">
        <f>COGS!K97+'SG&amp;A'!K97</f>
        <v>0</v>
      </c>
      <c r="L97" s="28">
        <f>COGS!L97+'SG&amp;A'!L97</f>
        <v>0</v>
      </c>
      <c r="M97" s="28">
        <f>COGS!M97+'SG&amp;A'!M97</f>
        <v>0</v>
      </c>
      <c r="N97" s="28">
        <f>COGS!N97+'SG&amp;A'!N97</f>
        <v>0</v>
      </c>
      <c r="O97" s="28">
        <f>COGS!O97+'SG&amp;A'!O97</f>
        <v>0</v>
      </c>
      <c r="P97" s="28">
        <f>COGS!P97+'SG&amp;A'!P97</f>
        <v>0</v>
      </c>
      <c r="Q97" s="28">
        <f>COGS!Q97+'SG&amp;A'!Q97</f>
        <v>0</v>
      </c>
      <c r="R97" s="28">
        <f>COGS!R97+'SG&amp;A'!R97</f>
        <v>0</v>
      </c>
      <c r="S97" s="28">
        <f>COGS!S97+'SG&amp;A'!S97</f>
        <v>0</v>
      </c>
      <c r="T97" s="28">
        <f>COGS!T97+'SG&amp;A'!T97</f>
        <v>0</v>
      </c>
      <c r="U97" s="28">
        <f>COGS!U97+'SG&amp;A'!U97</f>
        <v>0</v>
      </c>
      <c r="V97" s="28">
        <f>COGS!V97+'SG&amp;A'!V97</f>
        <v>0</v>
      </c>
      <c r="W97" s="28">
        <f>COGS!W97+'SG&amp;A'!W97</f>
        <v>0</v>
      </c>
      <c r="X97" s="28">
        <f>COGS!X97+'SG&amp;A'!X97</f>
        <v>0</v>
      </c>
      <c r="Y97" s="28">
        <f>COGS!Y97+'SG&amp;A'!Y97</f>
        <v>0</v>
      </c>
      <c r="Z97" s="28">
        <f>COGS!Z97+'SG&amp;A'!Z97</f>
        <v>0</v>
      </c>
      <c r="AA97" s="28">
        <f>COGS!AA97+'SG&amp;A'!AA97</f>
        <v>0</v>
      </c>
      <c r="AB97" s="28">
        <f>COGS!AB97+'SG&amp;A'!AB97</f>
        <v>0</v>
      </c>
      <c r="AC97" s="28">
        <f>COGS!AC97+'SG&amp;A'!AC97</f>
        <v>0</v>
      </c>
      <c r="AD97" s="28">
        <f>COGS!AD97+'SG&amp;A'!AD97</f>
        <v>0</v>
      </c>
      <c r="AE97" s="28">
        <f>COGS!AE97+'SG&amp;A'!AE97</f>
        <v>0</v>
      </c>
      <c r="AF97" s="28">
        <f>COGS!AF97+'SG&amp;A'!AF97</f>
        <v>0</v>
      </c>
      <c r="AG97" s="28">
        <f>COGS!AG97+'SG&amp;A'!AG97</f>
        <v>0</v>
      </c>
      <c r="AH97" s="28">
        <f>COGS!AH97+'SG&amp;A'!AH97</f>
        <v>0</v>
      </c>
      <c r="AI97" s="28">
        <f>COGS!AI97+'SG&amp;A'!AI97</f>
        <v>0</v>
      </c>
      <c r="AJ97" s="28">
        <f>COGS!AJ97+'SG&amp;A'!AJ97</f>
        <v>0</v>
      </c>
      <c r="AK97" s="28">
        <f>COGS!AK97+'SG&amp;A'!AK97</f>
        <v>0</v>
      </c>
      <c r="AL97" s="28">
        <f>COGS!AL97+'SG&amp;A'!AL97</f>
        <v>0</v>
      </c>
      <c r="AM97" s="28">
        <f>COGS!AM97+'SG&amp;A'!AM97</f>
        <v>0</v>
      </c>
      <c r="AN97" s="28">
        <f>COGS!AN97+'SG&amp;A'!AN97</f>
        <v>0</v>
      </c>
      <c r="AO97" s="28">
        <f>COGS!AO97+'SG&amp;A'!AO97</f>
        <v>0</v>
      </c>
      <c r="AP97" s="28">
        <f>COGS!AP97+'SG&amp;A'!AP97</f>
        <v>0</v>
      </c>
      <c r="AQ97" s="28">
        <f>COGS!AQ97+'SG&amp;A'!AQ97</f>
        <v>0</v>
      </c>
      <c r="AR97" s="28">
        <f>COGS!AR97+'SG&amp;A'!AR97</f>
        <v>0</v>
      </c>
      <c r="AS97" s="28">
        <f>COGS!AS97+'SG&amp;A'!AS97</f>
        <v>0</v>
      </c>
      <c r="AT97" s="28">
        <f>COGS!AT97+'SG&amp;A'!AT97</f>
        <v>0</v>
      </c>
      <c r="AU97" s="28">
        <f>COGS!AU97+'SG&amp;A'!AU97</f>
        <v>0</v>
      </c>
      <c r="AV97" s="28">
        <f>COGS!AV97+'SG&amp;A'!AV97</f>
        <v>0</v>
      </c>
      <c r="AW97" s="28">
        <f>COGS!AW97+'SG&amp;A'!AW97</f>
        <v>0</v>
      </c>
      <c r="AX97" s="28">
        <f>COGS!AX97+'SG&amp;A'!AX97</f>
        <v>0</v>
      </c>
      <c r="AY97" s="28">
        <f>COGS!AY97+'SG&amp;A'!AY97</f>
        <v>0</v>
      </c>
      <c r="AZ97" s="28">
        <f>COGS!AZ97+'SG&amp;A'!AZ97</f>
        <v>0</v>
      </c>
      <c r="BA97" s="28">
        <f>COGS!BA97+'SG&amp;A'!BA97</f>
        <v>0</v>
      </c>
      <c r="BB97" s="28">
        <f>COGS!BB97+'SG&amp;A'!BB97</f>
        <v>0</v>
      </c>
      <c r="BC97" s="28">
        <f>COGS!BC97+'SG&amp;A'!BC97</f>
        <v>0</v>
      </c>
      <c r="BD97" s="28">
        <f>COGS!BD97+'SG&amp;A'!BD97</f>
        <v>0</v>
      </c>
      <c r="BE97" s="28">
        <f>COGS!BE97+'SG&amp;A'!BE97</f>
        <v>0</v>
      </c>
      <c r="BF97" s="28">
        <f>COGS!BF97+'SG&amp;A'!BF97</f>
        <v>0</v>
      </c>
      <c r="BG97" s="28">
        <f>COGS!BG97+'SG&amp;A'!BG97</f>
        <v>0</v>
      </c>
      <c r="BH97" s="28">
        <f>COGS!BH97+'SG&amp;A'!BH97</f>
        <v>0</v>
      </c>
      <c r="BI97" s="28">
        <f>COGS!BI97+'SG&amp;A'!BI97</f>
        <v>0</v>
      </c>
      <c r="BJ97" s="28">
        <f>COGS!BJ97+'SG&amp;A'!BJ97</f>
        <v>0</v>
      </c>
      <c r="BK97" s="28">
        <f>COGS!BK97+'SG&amp;A'!BK97</f>
        <v>0</v>
      </c>
      <c r="BL97" s="28">
        <f>COGS!BL97+'SG&amp;A'!BL97</f>
        <v>0</v>
      </c>
      <c r="BM97" s="28">
        <f>COGS!BM97+'SG&amp;A'!BM97</f>
        <v>0</v>
      </c>
      <c r="BN97" s="28">
        <f>COGS!BN97+'SG&amp;A'!BN97</f>
        <v>0</v>
      </c>
      <c r="BO97" s="28">
        <f>COGS!BO97+'SG&amp;A'!BO97</f>
        <v>0</v>
      </c>
      <c r="BP97" s="28">
        <f>COGS!BP97+'SG&amp;A'!BP97</f>
        <v>0</v>
      </c>
      <c r="BQ97" s="28">
        <f>COGS!BQ97+'SG&amp;A'!BQ97</f>
        <v>0</v>
      </c>
      <c r="BR97" s="28">
        <f>COGS!BR97+'SG&amp;A'!BR97</f>
        <v>0</v>
      </c>
      <c r="BS97" s="28">
        <f>COGS!BS97+'SG&amp;A'!BS97</f>
        <v>0</v>
      </c>
      <c r="BT97" s="28">
        <f>COGS!BT97+'SG&amp;A'!BT97</f>
        <v>0</v>
      </c>
      <c r="BU97" s="28">
        <f>COGS!BU97+'SG&amp;A'!BU97</f>
        <v>0</v>
      </c>
      <c r="BV97" s="28">
        <f>COGS!BV97+'SG&amp;A'!BV97</f>
        <v>0</v>
      </c>
      <c r="BW97" s="28">
        <f>COGS!BW97+'SG&amp;A'!BW97</f>
        <v>0</v>
      </c>
      <c r="BX97" s="28">
        <f>COGS!BX97+'SG&amp;A'!BX97</f>
        <v>0</v>
      </c>
      <c r="BY97" s="28">
        <f>COGS!BY97+'SG&amp;A'!BY97</f>
        <v>0</v>
      </c>
      <c r="BZ97" s="28">
        <f>COGS!BZ97+'SG&amp;A'!BZ97</f>
        <v>0</v>
      </c>
      <c r="CA97" s="28">
        <f>COGS!CA97+'SG&amp;A'!CA97</f>
        <v>0</v>
      </c>
      <c r="CB97" s="28">
        <f>COGS!CB97+'SG&amp;A'!CB97</f>
        <v>0</v>
      </c>
      <c r="CC97" s="28">
        <f>COGS!CC97+'SG&amp;A'!CC97</f>
        <v>0</v>
      </c>
      <c r="CD97" s="28">
        <f>COGS!CD97+'SG&amp;A'!CD97</f>
        <v>0</v>
      </c>
      <c r="CE97" s="28">
        <f>COGS!CE97+'SG&amp;A'!CE97</f>
        <v>0</v>
      </c>
      <c r="CF97" s="28">
        <f>COGS!CF97+'SG&amp;A'!CF97</f>
        <v>0</v>
      </c>
      <c r="CG97" s="28">
        <f>COGS!CG97+'SG&amp;A'!CG97</f>
        <v>0</v>
      </c>
      <c r="CH97" s="28">
        <f>COGS!CH97+'SG&amp;A'!CH97</f>
        <v>0</v>
      </c>
      <c r="CI97" s="28">
        <f>COGS!CI97+'SG&amp;A'!CI97</f>
        <v>0</v>
      </c>
      <c r="CJ97" s="28">
        <f>COGS!CJ97+'SG&amp;A'!CJ97</f>
        <v>0</v>
      </c>
      <c r="CK97" s="28">
        <f>COGS!CK97+'SG&amp;A'!CK97</f>
        <v>0</v>
      </c>
      <c r="CL97" s="28">
        <f>COGS!CL97+'SG&amp;A'!CL97</f>
        <v>0</v>
      </c>
      <c r="CM97" s="28">
        <f>COGS!CM97+'SG&amp;A'!CM97</f>
        <v>0</v>
      </c>
      <c r="CN97" s="28">
        <f>COGS!CN97+'SG&amp;A'!CN97</f>
        <v>0</v>
      </c>
      <c r="CO97" s="28">
        <f>COGS!CO97+'SG&amp;A'!CO97</f>
        <v>0</v>
      </c>
      <c r="CP97" s="28">
        <f>COGS!CP97+'SG&amp;A'!CP97</f>
        <v>0</v>
      </c>
      <c r="CQ97" s="28">
        <f>COGS!CQ97+'SG&amp;A'!CQ97</f>
        <v>0</v>
      </c>
      <c r="CR97" s="28">
        <f>COGS!CR97+'SG&amp;A'!CR97</f>
        <v>0</v>
      </c>
      <c r="CS97" s="28">
        <f>COGS!CS97+'SG&amp;A'!CS97</f>
        <v>0</v>
      </c>
      <c r="CT97" s="28">
        <f>COGS!CT97+'SG&amp;A'!CT97</f>
        <v>0</v>
      </c>
      <c r="CU97" s="28">
        <f>COGS!CU97+'SG&amp;A'!CU97</f>
        <v>0</v>
      </c>
      <c r="CV97" s="28">
        <f>COGS!CV97+'SG&amp;A'!CV97</f>
        <v>0</v>
      </c>
      <c r="CW97" s="28">
        <f>COGS!CW97+'SG&amp;A'!CW97</f>
        <v>0</v>
      </c>
      <c r="CX97" s="28">
        <f>COGS!CX97+'SG&amp;A'!CX97</f>
        <v>0</v>
      </c>
      <c r="CY97" s="28">
        <f>COGS!CY97+'SG&amp;A'!CY97</f>
        <v>0</v>
      </c>
      <c r="CZ97" s="28">
        <f>COGS!CZ97+'SG&amp;A'!CZ97</f>
        <v>0</v>
      </c>
      <c r="DA97" s="28">
        <f>COGS!DA97+'SG&amp;A'!DA97</f>
        <v>0</v>
      </c>
      <c r="DB97" s="28">
        <f>COGS!DB97+'SG&amp;A'!DB97</f>
        <v>0</v>
      </c>
      <c r="DC97" s="28">
        <f>COGS!DC97+'SG&amp;A'!DC97</f>
        <v>0</v>
      </c>
      <c r="DD97" s="28">
        <f>COGS!DD97+'SG&amp;A'!DD97</f>
        <v>0</v>
      </c>
      <c r="DE97" s="28">
        <f>COGS!DE97+'SG&amp;A'!DE97</f>
        <v>0</v>
      </c>
      <c r="DF97" s="28">
        <f>COGS!DF97+'SG&amp;A'!DF97</f>
        <v>1.4999999999999999E-2</v>
      </c>
      <c r="DG97" s="28">
        <f>COGS!DG97+'SG&amp;A'!DG97</f>
        <v>1.4999999999999999E-2</v>
      </c>
      <c r="DH97" s="28">
        <f>COGS!DH97+'SG&amp;A'!DH97</f>
        <v>2.2969999999999997</v>
      </c>
      <c r="DI97" s="28">
        <f>COGS!DI97+'SG&amp;A'!DI97</f>
        <v>2.2110000000000003</v>
      </c>
      <c r="DJ97" s="28">
        <f>COGS!DJ97+'SG&amp;A'!DJ97</f>
        <v>3.4050000000000002</v>
      </c>
      <c r="DK97" s="28">
        <f>COGS!DK97+'SG&amp;A'!DK97</f>
        <v>5.8549999999999995</v>
      </c>
      <c r="DL97" s="28">
        <f>COGS!DL97+'SG&amp;A'!DL97</f>
        <v>13.768000000000001</v>
      </c>
      <c r="DM97" s="28">
        <f>COGS!DM97+'SG&amp;A'!DM97</f>
        <v>6.2759999999999998</v>
      </c>
      <c r="DN97" s="28">
        <f>COGS!DN97+'SG&amp;A'!DN97</f>
        <v>5.6590000000000007</v>
      </c>
      <c r="DO97" s="28">
        <f>COGS!DO97+'SG&amp;A'!DO97</f>
        <v>-0.56000000000000005</v>
      </c>
      <c r="DP97" s="28">
        <f>COGS!DP97+'SG&amp;A'!DP97</f>
        <v>13.413</v>
      </c>
      <c r="DQ97" s="28">
        <f>COGS!DQ97+'SG&amp;A'!DQ97</f>
        <v>24.788</v>
      </c>
      <c r="DR97" s="28">
        <f>COGS!DR97+'SG&amp;A'!DR97</f>
        <v>7.0280000000000005</v>
      </c>
      <c r="DS97" s="28">
        <f>COGS!DS97+'SG&amp;A'!DS97</f>
        <v>6.7009999999999996</v>
      </c>
      <c r="DT97" s="28">
        <f>COGS!DT97+'SG&amp;A'!DT97</f>
        <v>6.9260000000000002</v>
      </c>
      <c r="DU97" s="28">
        <f>COGS!DU97+'SG&amp;A'!DU97</f>
        <v>5.3789999999999996</v>
      </c>
      <c r="DV97" s="28">
        <f>COGS!DV97+'SG&amp;A'!DV97</f>
        <v>26.033999999999999</v>
      </c>
      <c r="DW97" s="28">
        <f>COGS!DW97+'SG&amp;A'!DW97</f>
        <v>6.8990000000000009</v>
      </c>
      <c r="DX97" s="28">
        <f>COGS!DX97+'SG&amp;A'!DX97</f>
        <v>6.6523001399999995</v>
      </c>
      <c r="DY97" s="28">
        <f>COGS!DY97+'SG&amp;A'!DY97</f>
        <v>7.2410828899999995</v>
      </c>
      <c r="DZ97" s="28">
        <f>COGS!DZ97+'SG&amp;A'!DZ97</f>
        <v>6.9572129</v>
      </c>
      <c r="EA97" s="28">
        <f>COGS!EA97+'SG&amp;A'!EA97</f>
        <v>27.749595929999998</v>
      </c>
      <c r="EB97" s="28">
        <f>COGS!EB97+'SG&amp;A'!EB97</f>
        <v>7.4888846000000004</v>
      </c>
      <c r="EC97" s="28">
        <f>COGS!EC97+'SG&amp;A'!EC97</f>
        <v>7.3364112700000002</v>
      </c>
      <c r="ED97" s="28">
        <f>COGS!ED97+'SG&amp;A'!ED97</f>
        <v>7.3800000000000008</v>
      </c>
      <c r="EE97" s="28">
        <f>COGS!EE97+'SG&amp;A'!EE97</f>
        <v>7.4959190099999997</v>
      </c>
      <c r="EF97" s="28">
        <f>COGS!EF97+'SG&amp;A'!EF97</f>
        <v>29.701214880000002</v>
      </c>
      <c r="EG97" s="28">
        <f>COGS!EG97+'SG&amp;A'!EG97</f>
        <v>8.4138690900000004</v>
      </c>
      <c r="EH97" s="28">
        <f>COGS!EH97+'SG&amp;A'!EH97</f>
        <v>9.4101765499999992</v>
      </c>
      <c r="EI97" s="28">
        <f>COGS!EI97+'SG&amp;A'!EI97</f>
        <v>6.2956909700000008</v>
      </c>
    </row>
    <row r="98" spans="1:139" ht="15" thickTop="1" x14ac:dyDescent="0.3">
      <c r="A98" s="1" t="s">
        <v>447</v>
      </c>
      <c r="B98" s="27">
        <f>COGS!B98+'SG&amp;A'!B98</f>
        <v>0</v>
      </c>
      <c r="C98" s="27">
        <f>COGS!C98+'SG&amp;A'!C98</f>
        <v>0</v>
      </c>
      <c r="D98" s="27">
        <f>COGS!D98+'SG&amp;A'!D98</f>
        <v>0</v>
      </c>
      <c r="E98" s="27">
        <f>COGS!E98+'SG&amp;A'!E98</f>
        <v>0</v>
      </c>
      <c r="F98" s="27">
        <f>COGS!F98+'SG&amp;A'!F98</f>
        <v>0</v>
      </c>
      <c r="G98" s="27">
        <f>COGS!G98+'SG&amp;A'!G98</f>
        <v>0</v>
      </c>
      <c r="H98" s="27">
        <f>COGS!H98+'SG&amp;A'!H98</f>
        <v>0</v>
      </c>
      <c r="I98" s="27">
        <f>COGS!I98+'SG&amp;A'!I98</f>
        <v>0</v>
      </c>
      <c r="J98" s="27">
        <f>COGS!J98+'SG&amp;A'!J98</f>
        <v>0</v>
      </c>
      <c r="K98" s="27">
        <f>COGS!K98+'SG&amp;A'!K98</f>
        <v>0</v>
      </c>
      <c r="L98" s="27">
        <f>COGS!L98+'SG&amp;A'!L98</f>
        <v>0</v>
      </c>
      <c r="M98" s="27">
        <f>COGS!M98+'SG&amp;A'!M98</f>
        <v>0</v>
      </c>
      <c r="N98" s="27">
        <f>COGS!N98+'SG&amp;A'!N98</f>
        <v>0</v>
      </c>
      <c r="O98" s="27">
        <f>COGS!O98+'SG&amp;A'!O98</f>
        <v>0</v>
      </c>
      <c r="P98" s="27">
        <f>COGS!P98+'SG&amp;A'!P98</f>
        <v>0</v>
      </c>
      <c r="Q98" s="27">
        <f>COGS!Q98+'SG&amp;A'!Q98</f>
        <v>0</v>
      </c>
      <c r="R98" s="27">
        <f>COGS!R98+'SG&amp;A'!R98</f>
        <v>0</v>
      </c>
      <c r="S98" s="27">
        <f>COGS!S98+'SG&amp;A'!S98</f>
        <v>0</v>
      </c>
      <c r="T98" s="27">
        <f>COGS!T98+'SG&amp;A'!T98</f>
        <v>0</v>
      </c>
      <c r="U98" s="27">
        <f>COGS!U98+'SG&amp;A'!U98</f>
        <v>0</v>
      </c>
      <c r="V98" s="27">
        <f>COGS!V98+'SG&amp;A'!V98</f>
        <v>0</v>
      </c>
      <c r="W98" s="27">
        <f>COGS!W98+'SG&amp;A'!W98</f>
        <v>0</v>
      </c>
      <c r="X98" s="27">
        <f>COGS!X98+'SG&amp;A'!X98</f>
        <v>0</v>
      </c>
      <c r="Y98" s="27">
        <f>COGS!Y98+'SG&amp;A'!Y98</f>
        <v>0</v>
      </c>
      <c r="Z98" s="27">
        <f>COGS!Z98+'SG&amp;A'!Z98</f>
        <v>0</v>
      </c>
      <c r="AA98" s="27">
        <f>COGS!AA98+'SG&amp;A'!AA98</f>
        <v>0</v>
      </c>
      <c r="AB98" s="27">
        <f>COGS!AB98+'SG&amp;A'!AB98</f>
        <v>0</v>
      </c>
      <c r="AC98" s="27">
        <f>COGS!AC98+'SG&amp;A'!AC98</f>
        <v>0</v>
      </c>
      <c r="AD98" s="27">
        <f>COGS!AD98+'SG&amp;A'!AD98</f>
        <v>0</v>
      </c>
      <c r="AE98" s="27">
        <f>COGS!AE98+'SG&amp;A'!AE98</f>
        <v>0</v>
      </c>
      <c r="AF98" s="27">
        <f>COGS!AF98+'SG&amp;A'!AF98</f>
        <v>0</v>
      </c>
      <c r="AG98" s="27">
        <f>COGS!AG98+'SG&amp;A'!AG98</f>
        <v>0</v>
      </c>
      <c r="AH98" s="27">
        <f>COGS!AH98+'SG&amp;A'!AH98</f>
        <v>0</v>
      </c>
      <c r="AI98" s="27">
        <f>COGS!AI98+'SG&amp;A'!AI98</f>
        <v>0</v>
      </c>
      <c r="AJ98" s="27">
        <f>COGS!AJ98+'SG&amp;A'!AJ98</f>
        <v>0</v>
      </c>
      <c r="AK98" s="27">
        <f>COGS!AK98+'SG&amp;A'!AK98</f>
        <v>0</v>
      </c>
      <c r="AL98" s="27">
        <f>COGS!AL98+'SG&amp;A'!AL98</f>
        <v>0</v>
      </c>
      <c r="AM98" s="27">
        <f>COGS!AM98+'SG&amp;A'!AM98</f>
        <v>0</v>
      </c>
      <c r="AN98" s="27">
        <f>COGS!AN98+'SG&amp;A'!AN98</f>
        <v>0</v>
      </c>
      <c r="AO98" s="27">
        <f>COGS!AO98+'SG&amp;A'!AO98</f>
        <v>0</v>
      </c>
      <c r="AP98" s="27">
        <f>COGS!AP98+'SG&amp;A'!AP98</f>
        <v>0</v>
      </c>
      <c r="AQ98" s="27">
        <f>COGS!AQ98+'SG&amp;A'!AQ98</f>
        <v>0</v>
      </c>
      <c r="AR98" s="27">
        <f>COGS!AR98+'SG&amp;A'!AR98</f>
        <v>0</v>
      </c>
      <c r="AS98" s="27">
        <f>COGS!AS98+'SG&amp;A'!AS98</f>
        <v>0</v>
      </c>
      <c r="AT98" s="27">
        <f>COGS!AT98+'SG&amp;A'!AT98</f>
        <v>0</v>
      </c>
      <c r="AU98" s="27">
        <f>COGS!AU98+'SG&amp;A'!AU98</f>
        <v>0</v>
      </c>
      <c r="AV98" s="27">
        <f>COGS!AV98+'SG&amp;A'!AV98</f>
        <v>0</v>
      </c>
      <c r="AW98" s="27">
        <f>COGS!AW98+'SG&amp;A'!AW98</f>
        <v>0</v>
      </c>
      <c r="AX98" s="27">
        <f>COGS!AX98+'SG&amp;A'!AX98</f>
        <v>0</v>
      </c>
      <c r="AY98" s="27">
        <f>COGS!AY98+'SG&amp;A'!AY98</f>
        <v>0</v>
      </c>
      <c r="AZ98" s="27">
        <f>COGS!AZ98+'SG&amp;A'!AZ98</f>
        <v>0</v>
      </c>
      <c r="BA98" s="27">
        <f>COGS!BA98+'SG&amp;A'!BA98</f>
        <v>0</v>
      </c>
      <c r="BB98" s="27">
        <f>COGS!BB98+'SG&amp;A'!BB98</f>
        <v>0</v>
      </c>
      <c r="BC98" s="27">
        <f>COGS!BC98+'SG&amp;A'!BC98</f>
        <v>0</v>
      </c>
      <c r="BD98" s="27">
        <f>COGS!BD98+'SG&amp;A'!BD98</f>
        <v>0</v>
      </c>
      <c r="BE98" s="27">
        <f>COGS!BE98+'SG&amp;A'!BE98</f>
        <v>0</v>
      </c>
      <c r="BF98" s="27">
        <f>COGS!BF98+'SG&amp;A'!BF98</f>
        <v>0</v>
      </c>
      <c r="BG98" s="27">
        <f>COGS!BG98+'SG&amp;A'!BG98</f>
        <v>0</v>
      </c>
      <c r="BH98" s="27">
        <f>COGS!BH98+'SG&amp;A'!BH98</f>
        <v>0</v>
      </c>
      <c r="BI98" s="27">
        <f>COGS!BI98+'SG&amp;A'!BI98</f>
        <v>0</v>
      </c>
      <c r="BJ98" s="27">
        <f>COGS!BJ98+'SG&amp;A'!BJ98</f>
        <v>0</v>
      </c>
      <c r="BK98" s="27">
        <f>COGS!BK98+'SG&amp;A'!BK98</f>
        <v>0</v>
      </c>
      <c r="BL98" s="27">
        <f>COGS!BL98+'SG&amp;A'!BL98</f>
        <v>0</v>
      </c>
      <c r="BM98" s="27">
        <f>COGS!BM98+'SG&amp;A'!BM98</f>
        <v>0</v>
      </c>
      <c r="BN98" s="27">
        <f>COGS!BN98+'SG&amp;A'!BN98</f>
        <v>0</v>
      </c>
      <c r="BO98" s="27">
        <f>COGS!BO98+'SG&amp;A'!BO98</f>
        <v>0</v>
      </c>
      <c r="BP98" s="27">
        <f>COGS!BP98+'SG&amp;A'!BP98</f>
        <v>0</v>
      </c>
      <c r="BQ98" s="27">
        <f>COGS!BQ98+'SG&amp;A'!BQ98</f>
        <v>0</v>
      </c>
      <c r="BR98" s="27">
        <f>COGS!BR98+'SG&amp;A'!BR98</f>
        <v>0</v>
      </c>
      <c r="BS98" s="27">
        <f>COGS!BS98+'SG&amp;A'!BS98</f>
        <v>0</v>
      </c>
      <c r="BT98" s="27">
        <f>COGS!BT98+'SG&amp;A'!BT98</f>
        <v>0</v>
      </c>
      <c r="BU98" s="27">
        <f>COGS!BU98+'SG&amp;A'!BU98</f>
        <v>0</v>
      </c>
      <c r="BV98" s="27">
        <f>COGS!BV98+'SG&amp;A'!BV98</f>
        <v>0</v>
      </c>
      <c r="BW98" s="27">
        <f>COGS!BW98+'SG&amp;A'!BW98</f>
        <v>0</v>
      </c>
      <c r="BX98" s="27">
        <f>COGS!BX98+'SG&amp;A'!BX98</f>
        <v>0</v>
      </c>
      <c r="BY98" s="27">
        <f>COGS!BY98+'SG&amp;A'!BY98</f>
        <v>0</v>
      </c>
      <c r="BZ98" s="27">
        <f>COGS!BZ98+'SG&amp;A'!BZ98</f>
        <v>0</v>
      </c>
      <c r="CA98" s="27">
        <f>COGS!CA98+'SG&amp;A'!CA98</f>
        <v>0</v>
      </c>
      <c r="CB98" s="27">
        <f>COGS!CB98+'SG&amp;A'!CB98</f>
        <v>0</v>
      </c>
      <c r="CC98" s="27">
        <f>COGS!CC98+'SG&amp;A'!CC98</f>
        <v>0</v>
      </c>
      <c r="CD98" s="27">
        <f>COGS!CD98+'SG&amp;A'!CD98</f>
        <v>0</v>
      </c>
      <c r="CE98" s="27">
        <f>COGS!CE98+'SG&amp;A'!CE98</f>
        <v>0</v>
      </c>
      <c r="CF98" s="27">
        <f>COGS!CF98+'SG&amp;A'!CF98</f>
        <v>0</v>
      </c>
      <c r="CG98" s="27">
        <f>COGS!CG98+'SG&amp;A'!CG98</f>
        <v>0</v>
      </c>
      <c r="CH98" s="27">
        <f>COGS!CH98+'SG&amp;A'!CH98</f>
        <v>0</v>
      </c>
      <c r="CI98" s="27">
        <f>COGS!CI98+'SG&amp;A'!CI98</f>
        <v>0</v>
      </c>
      <c r="CJ98" s="27">
        <f>COGS!CJ98+'SG&amp;A'!CJ98</f>
        <v>0</v>
      </c>
      <c r="CK98" s="27">
        <f>COGS!CK98+'SG&amp;A'!CK98</f>
        <v>0</v>
      </c>
      <c r="CL98" s="27">
        <f>COGS!CL98+'SG&amp;A'!CL98</f>
        <v>0</v>
      </c>
      <c r="CM98" s="27">
        <f>COGS!CM98+'SG&amp;A'!CM98</f>
        <v>0</v>
      </c>
      <c r="CN98" s="27">
        <f>COGS!CN98+'SG&amp;A'!CN98</f>
        <v>0</v>
      </c>
      <c r="CO98" s="27">
        <f>COGS!CO98+'SG&amp;A'!CO98</f>
        <v>0</v>
      </c>
      <c r="CP98" s="27">
        <f>COGS!CP98+'SG&amp;A'!CP98</f>
        <v>0</v>
      </c>
      <c r="CQ98" s="27">
        <f>COGS!CQ98+'SG&amp;A'!CQ98</f>
        <v>0</v>
      </c>
      <c r="CR98" s="27">
        <f>COGS!CR98+'SG&amp;A'!CR98</f>
        <v>0</v>
      </c>
      <c r="CS98" s="27">
        <f>COGS!CS98+'SG&amp;A'!CS98</f>
        <v>0</v>
      </c>
      <c r="CT98" s="27">
        <f>COGS!CT98+'SG&amp;A'!CT98</f>
        <v>0</v>
      </c>
      <c r="CU98" s="27">
        <f>COGS!CU98+'SG&amp;A'!CU98</f>
        <v>0</v>
      </c>
      <c r="CV98" s="27">
        <f>COGS!CV98+'SG&amp;A'!CV98</f>
        <v>0</v>
      </c>
      <c r="CW98" s="27">
        <f>COGS!CW98+'SG&amp;A'!CW98</f>
        <v>0</v>
      </c>
      <c r="CX98" s="27">
        <f>COGS!CX98+'SG&amp;A'!CX98</f>
        <v>0</v>
      </c>
      <c r="CY98" s="27">
        <f>COGS!CY98+'SG&amp;A'!CY98</f>
        <v>0</v>
      </c>
      <c r="CZ98" s="27">
        <f>COGS!CZ98+'SG&amp;A'!CZ98</f>
        <v>0</v>
      </c>
      <c r="DA98" s="27">
        <f>COGS!DA98+'SG&amp;A'!DA98</f>
        <v>0</v>
      </c>
      <c r="DB98" s="27">
        <f>COGS!DB98+'SG&amp;A'!DB98</f>
        <v>0</v>
      </c>
      <c r="DC98" s="27">
        <f>COGS!DC98+'SG&amp;A'!DC98</f>
        <v>0</v>
      </c>
      <c r="DD98" s="27">
        <f>COGS!DD98+'SG&amp;A'!DD98</f>
        <v>0</v>
      </c>
      <c r="DE98" s="27">
        <f>COGS!DE98+'SG&amp;A'!DE98</f>
        <v>0</v>
      </c>
      <c r="DF98" s="27">
        <f>COGS!DF98+'SG&amp;A'!DF98</f>
        <v>0</v>
      </c>
      <c r="DG98" s="27">
        <f>COGS!DG98+'SG&amp;A'!DG98</f>
        <v>0</v>
      </c>
      <c r="DH98" s="27">
        <f>COGS!DH98+'SG&amp;A'!DH98</f>
        <v>0</v>
      </c>
      <c r="DI98" s="27">
        <f>COGS!DI98+'SG&amp;A'!DI98</f>
        <v>0</v>
      </c>
      <c r="DJ98" s="27">
        <f>COGS!DJ98+'SG&amp;A'!DJ98</f>
        <v>0</v>
      </c>
      <c r="DK98" s="27">
        <f>COGS!DK98+'SG&amp;A'!DK98</f>
        <v>0</v>
      </c>
      <c r="DL98" s="27">
        <f>COGS!DL98+'SG&amp;A'!DL98</f>
        <v>0</v>
      </c>
      <c r="DM98" s="27">
        <f>COGS!DM98+'SG&amp;A'!DM98</f>
        <v>0</v>
      </c>
      <c r="DN98" s="27">
        <f>COGS!DN98+'SG&amp;A'!DN98</f>
        <v>0</v>
      </c>
      <c r="DO98" s="27">
        <f>COGS!DO98+'SG&amp;A'!DO98</f>
        <v>0.20300000000000001</v>
      </c>
      <c r="DP98" s="27">
        <f>COGS!DP98+'SG&amp;A'!DP98</f>
        <v>4.5949999999999998</v>
      </c>
      <c r="DQ98" s="27">
        <f>COGS!DQ98+'SG&amp;A'!DQ98</f>
        <v>4.798</v>
      </c>
      <c r="DR98" s="27">
        <f>COGS!DR98+'SG&amp;A'!DR98</f>
        <v>4.3609999999999998</v>
      </c>
      <c r="DS98" s="27">
        <f>COGS!DS98+'SG&amp;A'!DS98</f>
        <v>12.156000000000001</v>
      </c>
      <c r="DT98" s="27">
        <f>COGS!DT98+'SG&amp;A'!DT98</f>
        <v>12.035</v>
      </c>
      <c r="DU98" s="27">
        <f>COGS!DU98+'SG&amp;A'!DU98</f>
        <v>10.94</v>
      </c>
      <c r="DV98" s="27">
        <f>COGS!DV98+'SG&amp;A'!DV98</f>
        <v>39.492000000000004</v>
      </c>
      <c r="DW98" s="27">
        <f>COGS!DW98+'SG&amp;A'!DW98</f>
        <v>11.262</v>
      </c>
      <c r="DX98" s="27">
        <f>COGS!DX98+'SG&amp;A'!DX98</f>
        <v>15.95830544</v>
      </c>
      <c r="DY98" s="27">
        <f>COGS!DY98+'SG&amp;A'!DY98</f>
        <v>9.6850126799999998</v>
      </c>
      <c r="DZ98" s="27">
        <f>COGS!DZ98+'SG&amp;A'!DZ98</f>
        <v>13.295325400000001</v>
      </c>
      <c r="EA98" s="27">
        <f>COGS!EA98+'SG&amp;A'!EA98</f>
        <v>50.20064352</v>
      </c>
      <c r="EB98" s="27">
        <f>COGS!EB98+'SG&amp;A'!EB98</f>
        <v>12.432396909999998</v>
      </c>
      <c r="EC98" s="27">
        <f>COGS!EC98+'SG&amp;A'!EC98</f>
        <v>13.119758700000002</v>
      </c>
      <c r="ED98" s="27">
        <f>COGS!ED98+'SG&amp;A'!ED98</f>
        <v>13.315</v>
      </c>
      <c r="EE98" s="27">
        <f>COGS!EE98+'SG&amp;A'!EE98</f>
        <v>13.785104929999999</v>
      </c>
      <c r="EF98" s="27">
        <f>COGS!EF98+'SG&amp;A'!EF98</f>
        <v>52.65226054</v>
      </c>
      <c r="EG98" s="27">
        <f>COGS!EG98+'SG&amp;A'!EG98</f>
        <v>9.8811655700000003</v>
      </c>
      <c r="EH98" s="27">
        <f>COGS!EH98+'SG&amp;A'!EH98</f>
        <v>11.952558399999999</v>
      </c>
      <c r="EI98" s="27">
        <f>COGS!EI98+'SG&amp;A'!EI98</f>
        <v>11.882848240000001</v>
      </c>
    </row>
    <row r="99" spans="1:139" ht="15" thickBot="1" x14ac:dyDescent="0.35">
      <c r="A99" s="2" t="s">
        <v>448</v>
      </c>
      <c r="B99" s="28">
        <f>COGS!B99+'SG&amp;A'!B99</f>
        <v>0</v>
      </c>
      <c r="C99" s="28">
        <f>COGS!C99+'SG&amp;A'!C99</f>
        <v>0</v>
      </c>
      <c r="D99" s="28">
        <f>COGS!D99+'SG&amp;A'!D99</f>
        <v>0</v>
      </c>
      <c r="E99" s="28">
        <f>COGS!E99+'SG&amp;A'!E99</f>
        <v>0</v>
      </c>
      <c r="F99" s="28">
        <f>COGS!F99+'SG&amp;A'!F99</f>
        <v>0</v>
      </c>
      <c r="G99" s="28">
        <f>COGS!G99+'SG&amp;A'!G99</f>
        <v>0</v>
      </c>
      <c r="H99" s="28">
        <f>COGS!H99+'SG&amp;A'!H99</f>
        <v>0</v>
      </c>
      <c r="I99" s="28">
        <f>COGS!I99+'SG&amp;A'!I99</f>
        <v>0</v>
      </c>
      <c r="J99" s="28">
        <f>COGS!J99+'SG&amp;A'!J99</f>
        <v>0</v>
      </c>
      <c r="K99" s="28">
        <f>COGS!K99+'SG&amp;A'!K99</f>
        <v>0</v>
      </c>
      <c r="L99" s="28">
        <f>COGS!L99+'SG&amp;A'!L99</f>
        <v>0</v>
      </c>
      <c r="M99" s="28">
        <f>COGS!M99+'SG&amp;A'!M99</f>
        <v>0</v>
      </c>
      <c r="N99" s="28">
        <f>COGS!N99+'SG&amp;A'!N99</f>
        <v>0</v>
      </c>
      <c r="O99" s="28">
        <f>COGS!O99+'SG&amp;A'!O99</f>
        <v>0</v>
      </c>
      <c r="P99" s="28">
        <f>COGS!P99+'SG&amp;A'!P99</f>
        <v>0</v>
      </c>
      <c r="Q99" s="28">
        <f>COGS!Q99+'SG&amp;A'!Q99</f>
        <v>0</v>
      </c>
      <c r="R99" s="28">
        <f>COGS!R99+'SG&amp;A'!R99</f>
        <v>0</v>
      </c>
      <c r="S99" s="28">
        <f>COGS!S99+'SG&amp;A'!S99</f>
        <v>0</v>
      </c>
      <c r="T99" s="28">
        <f>COGS!T99+'SG&amp;A'!T99</f>
        <v>0</v>
      </c>
      <c r="U99" s="28">
        <f>COGS!U99+'SG&amp;A'!U99</f>
        <v>0</v>
      </c>
      <c r="V99" s="28">
        <f>COGS!V99+'SG&amp;A'!V99</f>
        <v>0</v>
      </c>
      <c r="W99" s="28">
        <f>COGS!W99+'SG&amp;A'!W99</f>
        <v>0</v>
      </c>
      <c r="X99" s="28">
        <f>COGS!X99+'SG&amp;A'!X99</f>
        <v>0</v>
      </c>
      <c r="Y99" s="28">
        <f>COGS!Y99+'SG&amp;A'!Y99</f>
        <v>0</v>
      </c>
      <c r="Z99" s="28">
        <f>COGS!Z99+'SG&amp;A'!Z99</f>
        <v>0</v>
      </c>
      <c r="AA99" s="28">
        <f>COGS!AA99+'SG&amp;A'!AA99</f>
        <v>0</v>
      </c>
      <c r="AB99" s="28">
        <f>COGS!AB99+'SG&amp;A'!AB99</f>
        <v>0</v>
      </c>
      <c r="AC99" s="28">
        <f>COGS!AC99+'SG&amp;A'!AC99</f>
        <v>0</v>
      </c>
      <c r="AD99" s="28">
        <f>COGS!AD99+'SG&amp;A'!AD99</f>
        <v>0</v>
      </c>
      <c r="AE99" s="28">
        <f>COGS!AE99+'SG&amp;A'!AE99</f>
        <v>0</v>
      </c>
      <c r="AF99" s="28">
        <f>COGS!AF99+'SG&amp;A'!AF99</f>
        <v>0</v>
      </c>
      <c r="AG99" s="28">
        <f>COGS!AG99+'SG&amp;A'!AG99</f>
        <v>0</v>
      </c>
      <c r="AH99" s="28">
        <f>COGS!AH99+'SG&amp;A'!AH99</f>
        <v>0</v>
      </c>
      <c r="AI99" s="28">
        <f>COGS!AI99+'SG&amp;A'!AI99</f>
        <v>0</v>
      </c>
      <c r="AJ99" s="28">
        <f>COGS!AJ99+'SG&amp;A'!AJ99</f>
        <v>0</v>
      </c>
      <c r="AK99" s="28">
        <f>COGS!AK99+'SG&amp;A'!AK99</f>
        <v>0</v>
      </c>
      <c r="AL99" s="28">
        <f>COGS!AL99+'SG&amp;A'!AL99</f>
        <v>0</v>
      </c>
      <c r="AM99" s="28">
        <f>COGS!AM99+'SG&amp;A'!AM99</f>
        <v>0</v>
      </c>
      <c r="AN99" s="28">
        <f>COGS!AN99+'SG&amp;A'!AN99</f>
        <v>0</v>
      </c>
      <c r="AO99" s="28">
        <f>COGS!AO99+'SG&amp;A'!AO99</f>
        <v>0</v>
      </c>
      <c r="AP99" s="28">
        <f>COGS!AP99+'SG&amp;A'!AP99</f>
        <v>0</v>
      </c>
      <c r="AQ99" s="28">
        <f>COGS!AQ99+'SG&amp;A'!AQ99</f>
        <v>0</v>
      </c>
      <c r="AR99" s="28">
        <f>COGS!AR99+'SG&amp;A'!AR99</f>
        <v>0</v>
      </c>
      <c r="AS99" s="28">
        <f>COGS!AS99+'SG&amp;A'!AS99</f>
        <v>0</v>
      </c>
      <c r="AT99" s="28">
        <f>COGS!AT99+'SG&amp;A'!AT99</f>
        <v>0</v>
      </c>
      <c r="AU99" s="28">
        <f>COGS!AU99+'SG&amp;A'!AU99</f>
        <v>0</v>
      </c>
      <c r="AV99" s="28">
        <f>COGS!AV99+'SG&amp;A'!AV99</f>
        <v>0</v>
      </c>
      <c r="AW99" s="28">
        <f>COGS!AW99+'SG&amp;A'!AW99</f>
        <v>0</v>
      </c>
      <c r="AX99" s="28">
        <f>COGS!AX99+'SG&amp;A'!AX99</f>
        <v>0</v>
      </c>
      <c r="AY99" s="28">
        <f>COGS!AY99+'SG&amp;A'!AY99</f>
        <v>0</v>
      </c>
      <c r="AZ99" s="28">
        <f>COGS!AZ99+'SG&amp;A'!AZ99</f>
        <v>0</v>
      </c>
      <c r="BA99" s="28">
        <f>COGS!BA99+'SG&amp;A'!BA99</f>
        <v>0</v>
      </c>
      <c r="BB99" s="28">
        <f>COGS!BB99+'SG&amp;A'!BB99</f>
        <v>0</v>
      </c>
      <c r="BC99" s="28">
        <f>COGS!BC99+'SG&amp;A'!BC99</f>
        <v>0</v>
      </c>
      <c r="BD99" s="28">
        <f>COGS!BD99+'SG&amp;A'!BD99</f>
        <v>0</v>
      </c>
      <c r="BE99" s="28">
        <f>COGS!BE99+'SG&amp;A'!BE99</f>
        <v>0</v>
      </c>
      <c r="BF99" s="28">
        <f>COGS!BF99+'SG&amp;A'!BF99</f>
        <v>0</v>
      </c>
      <c r="BG99" s="28">
        <f>COGS!BG99+'SG&amp;A'!BG99</f>
        <v>0</v>
      </c>
      <c r="BH99" s="28">
        <f>COGS!BH99+'SG&amp;A'!BH99</f>
        <v>0</v>
      </c>
      <c r="BI99" s="28">
        <f>COGS!BI99+'SG&amp;A'!BI99</f>
        <v>0</v>
      </c>
      <c r="BJ99" s="28">
        <f>COGS!BJ99+'SG&amp;A'!BJ99</f>
        <v>0</v>
      </c>
      <c r="BK99" s="28">
        <f>COGS!BK99+'SG&amp;A'!BK99</f>
        <v>0</v>
      </c>
      <c r="BL99" s="28">
        <f>COGS!BL99+'SG&amp;A'!BL99</f>
        <v>0</v>
      </c>
      <c r="BM99" s="28">
        <f>COGS!BM99+'SG&amp;A'!BM99</f>
        <v>0</v>
      </c>
      <c r="BN99" s="28">
        <f>COGS!BN99+'SG&amp;A'!BN99</f>
        <v>0</v>
      </c>
      <c r="BO99" s="28">
        <f>COGS!BO99+'SG&amp;A'!BO99</f>
        <v>0</v>
      </c>
      <c r="BP99" s="28">
        <f>COGS!BP99+'SG&amp;A'!BP99</f>
        <v>0</v>
      </c>
      <c r="BQ99" s="28">
        <f>COGS!BQ99+'SG&amp;A'!BQ99</f>
        <v>0</v>
      </c>
      <c r="BR99" s="28">
        <f>COGS!BR99+'SG&amp;A'!BR99</f>
        <v>0</v>
      </c>
      <c r="BS99" s="28">
        <f>COGS!BS99+'SG&amp;A'!BS99</f>
        <v>0</v>
      </c>
      <c r="BT99" s="28">
        <f>COGS!BT99+'SG&amp;A'!BT99</f>
        <v>0</v>
      </c>
      <c r="BU99" s="28">
        <f>COGS!BU99+'SG&amp;A'!BU99</f>
        <v>0</v>
      </c>
      <c r="BV99" s="28">
        <f>COGS!BV99+'SG&amp;A'!BV99</f>
        <v>0</v>
      </c>
      <c r="BW99" s="28">
        <f>COGS!BW99+'SG&amp;A'!BW99</f>
        <v>0</v>
      </c>
      <c r="BX99" s="28">
        <f>COGS!BX99+'SG&amp;A'!BX99</f>
        <v>0</v>
      </c>
      <c r="BY99" s="28">
        <f>COGS!BY99+'SG&amp;A'!BY99</f>
        <v>0</v>
      </c>
      <c r="BZ99" s="28">
        <f>COGS!BZ99+'SG&amp;A'!BZ99</f>
        <v>0</v>
      </c>
      <c r="CA99" s="28">
        <f>COGS!CA99+'SG&amp;A'!CA99</f>
        <v>0</v>
      </c>
      <c r="CB99" s="28">
        <f>COGS!CB99+'SG&amp;A'!CB99</f>
        <v>0</v>
      </c>
      <c r="CC99" s="28">
        <f>COGS!CC99+'SG&amp;A'!CC99</f>
        <v>0</v>
      </c>
      <c r="CD99" s="28">
        <f>COGS!CD99+'SG&amp;A'!CD99</f>
        <v>0</v>
      </c>
      <c r="CE99" s="28">
        <f>COGS!CE99+'SG&amp;A'!CE99</f>
        <v>0</v>
      </c>
      <c r="CF99" s="28">
        <f>COGS!CF99+'SG&amp;A'!CF99</f>
        <v>0</v>
      </c>
      <c r="CG99" s="28">
        <f>COGS!CG99+'SG&amp;A'!CG99</f>
        <v>0</v>
      </c>
      <c r="CH99" s="28">
        <f>COGS!CH99+'SG&amp;A'!CH99</f>
        <v>0</v>
      </c>
      <c r="CI99" s="28">
        <f>COGS!CI99+'SG&amp;A'!CI99</f>
        <v>0</v>
      </c>
      <c r="CJ99" s="28">
        <f>COGS!CJ99+'SG&amp;A'!CJ99</f>
        <v>0</v>
      </c>
      <c r="CK99" s="28">
        <f>COGS!CK99+'SG&amp;A'!CK99</f>
        <v>0</v>
      </c>
      <c r="CL99" s="28">
        <f>COGS!CL99+'SG&amp;A'!CL99</f>
        <v>0</v>
      </c>
      <c r="CM99" s="28">
        <f>COGS!CM99+'SG&amp;A'!CM99</f>
        <v>0</v>
      </c>
      <c r="CN99" s="28">
        <f>COGS!CN99+'SG&amp;A'!CN99</f>
        <v>0</v>
      </c>
      <c r="CO99" s="28">
        <f>COGS!CO99+'SG&amp;A'!CO99</f>
        <v>0</v>
      </c>
      <c r="CP99" s="28">
        <f>COGS!CP99+'SG&amp;A'!CP99</f>
        <v>0</v>
      </c>
      <c r="CQ99" s="28">
        <f>COGS!CQ99+'SG&amp;A'!CQ99</f>
        <v>0</v>
      </c>
      <c r="CR99" s="28">
        <f>COGS!CR99+'SG&amp;A'!CR99</f>
        <v>0</v>
      </c>
      <c r="CS99" s="28">
        <f>COGS!CS99+'SG&amp;A'!CS99</f>
        <v>0</v>
      </c>
      <c r="CT99" s="28">
        <f>COGS!CT99+'SG&amp;A'!CT99</f>
        <v>0</v>
      </c>
      <c r="CU99" s="28">
        <f>COGS!CU99+'SG&amp;A'!CU99</f>
        <v>0</v>
      </c>
      <c r="CV99" s="28">
        <f>COGS!CV99+'SG&amp;A'!CV99</f>
        <v>0</v>
      </c>
      <c r="CW99" s="28">
        <f>COGS!CW99+'SG&amp;A'!CW99</f>
        <v>0</v>
      </c>
      <c r="CX99" s="28">
        <f>COGS!CX99+'SG&amp;A'!CX99</f>
        <v>0</v>
      </c>
      <c r="CY99" s="28">
        <f>COGS!CY99+'SG&amp;A'!CY99</f>
        <v>0</v>
      </c>
      <c r="CZ99" s="28">
        <f>COGS!CZ99+'SG&amp;A'!CZ99</f>
        <v>0</v>
      </c>
      <c r="DA99" s="28">
        <f>COGS!DA99+'SG&amp;A'!DA99</f>
        <v>0</v>
      </c>
      <c r="DB99" s="28">
        <f>COGS!DB99+'SG&amp;A'!DB99</f>
        <v>0</v>
      </c>
      <c r="DC99" s="28">
        <f>COGS!DC99+'SG&amp;A'!DC99</f>
        <v>0</v>
      </c>
      <c r="DD99" s="28">
        <f>COGS!DD99+'SG&amp;A'!DD99</f>
        <v>0</v>
      </c>
      <c r="DE99" s="28">
        <f>COGS!DE99+'SG&amp;A'!DE99</f>
        <v>0</v>
      </c>
      <c r="DF99" s="28">
        <f>COGS!DF99+'SG&amp;A'!DF99</f>
        <v>0</v>
      </c>
      <c r="DG99" s="28">
        <f>COGS!DG99+'SG&amp;A'!DG99</f>
        <v>0</v>
      </c>
      <c r="DH99" s="28">
        <f>COGS!DH99+'SG&amp;A'!DH99</f>
        <v>0</v>
      </c>
      <c r="DI99" s="28">
        <f>COGS!DI99+'SG&amp;A'!DI99</f>
        <v>0</v>
      </c>
      <c r="DJ99" s="28">
        <f>COGS!DJ99+'SG&amp;A'!DJ99</f>
        <v>0</v>
      </c>
      <c r="DK99" s="28">
        <f>COGS!DK99+'SG&amp;A'!DK99</f>
        <v>0</v>
      </c>
      <c r="DL99" s="28">
        <f>COGS!DL99+'SG&amp;A'!DL99</f>
        <v>0</v>
      </c>
      <c r="DM99" s="28">
        <f>COGS!DM99+'SG&amp;A'!DM99</f>
        <v>0</v>
      </c>
      <c r="DN99" s="28">
        <f>COGS!DN99+'SG&amp;A'!DN99</f>
        <v>0</v>
      </c>
      <c r="DO99" s="28">
        <f>COGS!DO99+'SG&amp;A'!DO99</f>
        <v>0</v>
      </c>
      <c r="DP99" s="28">
        <f>COGS!DP99+'SG&amp;A'!DP99</f>
        <v>0</v>
      </c>
      <c r="DQ99" s="28">
        <f>COGS!DQ99+'SG&amp;A'!DQ99</f>
        <v>0</v>
      </c>
      <c r="DR99" s="28">
        <f>COGS!DR99+'SG&amp;A'!DR99</f>
        <v>0</v>
      </c>
      <c r="DS99" s="28">
        <f>COGS!DS99+'SG&amp;A'!DS99</f>
        <v>0</v>
      </c>
      <c r="DT99" s="28">
        <f>COGS!DT99+'SG&amp;A'!DT99</f>
        <v>6.4000000000000001E-2</v>
      </c>
      <c r="DU99" s="28">
        <f>COGS!DU99+'SG&amp;A'!DU99</f>
        <v>11.861999999999998</v>
      </c>
      <c r="DV99" s="28">
        <f>COGS!DV99+'SG&amp;A'!DV99</f>
        <v>11.925999999999998</v>
      </c>
      <c r="DW99" s="28">
        <f>COGS!DW99+'SG&amp;A'!DW99</f>
        <v>12.74</v>
      </c>
      <c r="DX99" s="28">
        <f>COGS!DX99+'SG&amp;A'!DX99</f>
        <v>20.323326559999998</v>
      </c>
      <c r="DY99" s="28">
        <f>COGS!DY99+'SG&amp;A'!DY99</f>
        <v>22.249080769999999</v>
      </c>
      <c r="DZ99" s="28">
        <f>COGS!DZ99+'SG&amp;A'!DZ99</f>
        <v>24.671108970000002</v>
      </c>
      <c r="EA99" s="28">
        <f>COGS!EA99+'SG&amp;A'!EA99</f>
        <v>79.983516299999991</v>
      </c>
      <c r="EB99" s="28">
        <f>COGS!EB99+'SG&amp;A'!EB99</f>
        <v>24.235227999999999</v>
      </c>
      <c r="EC99" s="28">
        <f>COGS!EC99+'SG&amp;A'!EC99</f>
        <v>24.25577646</v>
      </c>
      <c r="ED99" s="28">
        <f>COGS!ED99+'SG&amp;A'!ED99</f>
        <v>24.555</v>
      </c>
      <c r="EE99" s="28">
        <f>COGS!EE99+'SG&amp;A'!EE99</f>
        <v>20.696020580000003</v>
      </c>
      <c r="EF99" s="28">
        <f>COGS!EF99+'SG&amp;A'!EF99</f>
        <v>93.742025039999987</v>
      </c>
      <c r="EG99" s="28">
        <f>COGS!EG99+'SG&amp;A'!EG99</f>
        <v>20.846412900000001</v>
      </c>
      <c r="EH99" s="28">
        <f>COGS!EH99+'SG&amp;A'!EH99</f>
        <v>23.823553479999998</v>
      </c>
      <c r="EI99" s="28">
        <f>COGS!EI99+'SG&amp;A'!EI99</f>
        <v>20.725243970000001</v>
      </c>
    </row>
    <row r="100" spans="1:139" ht="15" thickTop="1" x14ac:dyDescent="0.3">
      <c r="A100" s="1" t="s">
        <v>449</v>
      </c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>
        <f>COGS!BJ100+'SG&amp;A'!BJ100</f>
        <v>0</v>
      </c>
      <c r="BK100" s="27">
        <f>COGS!BK100+'SG&amp;A'!BK100</f>
        <v>0</v>
      </c>
      <c r="BL100" s="27">
        <f>COGS!BL100+'SG&amp;A'!BL100</f>
        <v>0</v>
      </c>
      <c r="BM100" s="27">
        <f>COGS!BM100+'SG&amp;A'!BM100</f>
        <v>0</v>
      </c>
      <c r="BN100" s="27">
        <f>COGS!BN100+'SG&amp;A'!BN100</f>
        <v>0</v>
      </c>
      <c r="BO100" s="27">
        <f>COGS!BO100+'SG&amp;A'!BO100</f>
        <v>0</v>
      </c>
      <c r="BP100" s="27">
        <f>COGS!BP100+'SG&amp;A'!BP100</f>
        <v>0</v>
      </c>
      <c r="BQ100" s="27">
        <f>COGS!BQ100+'SG&amp;A'!BQ100</f>
        <v>0</v>
      </c>
      <c r="BR100" s="27">
        <f>COGS!BR100+'SG&amp;A'!BR100</f>
        <v>0</v>
      </c>
      <c r="BS100" s="27">
        <f>COGS!BS100+'SG&amp;A'!BS100</f>
        <v>0</v>
      </c>
      <c r="BT100" s="27">
        <f>COGS!BT100+'SG&amp;A'!BT100</f>
        <v>0</v>
      </c>
      <c r="BU100" s="27">
        <f>COGS!BU100+'SG&amp;A'!BU100</f>
        <v>0</v>
      </c>
      <c r="BV100" s="27">
        <f>COGS!BV100+'SG&amp;A'!BV100</f>
        <v>0</v>
      </c>
      <c r="BW100" s="27">
        <f>COGS!BW100+'SG&amp;A'!BW100</f>
        <v>0</v>
      </c>
      <c r="BX100" s="27">
        <f>COGS!BX100+'SG&amp;A'!BX100</f>
        <v>0</v>
      </c>
      <c r="BY100" s="27">
        <f>COGS!BY100+'SG&amp;A'!BY100</f>
        <v>0</v>
      </c>
      <c r="BZ100" s="27">
        <f>COGS!BZ100+'SG&amp;A'!BZ100</f>
        <v>0</v>
      </c>
      <c r="CA100" s="27">
        <f>COGS!CA100+'SG&amp;A'!CA100</f>
        <v>0</v>
      </c>
      <c r="CB100" s="27">
        <f>COGS!CB100+'SG&amp;A'!CB100</f>
        <v>0</v>
      </c>
      <c r="CC100" s="27">
        <f>COGS!CC100+'SG&amp;A'!CC100</f>
        <v>0</v>
      </c>
      <c r="CD100" s="27">
        <f>COGS!CD100+'SG&amp;A'!CD100</f>
        <v>0</v>
      </c>
      <c r="CE100" s="27">
        <f>COGS!CE100+'SG&amp;A'!CE100</f>
        <v>0</v>
      </c>
      <c r="CF100" s="27">
        <f>COGS!CF100+'SG&amp;A'!CF100</f>
        <v>0</v>
      </c>
      <c r="CG100" s="27">
        <f>COGS!CG100+'SG&amp;A'!CG100</f>
        <v>0</v>
      </c>
      <c r="CH100" s="27">
        <f>COGS!CH100+'SG&amp;A'!CH100</f>
        <v>0</v>
      </c>
      <c r="CI100" s="27">
        <f>COGS!CI100+'SG&amp;A'!CI100</f>
        <v>0</v>
      </c>
      <c r="CJ100" s="27">
        <f>COGS!CJ100+'SG&amp;A'!CJ100</f>
        <v>0</v>
      </c>
      <c r="CK100" s="27">
        <f>COGS!CK100+'SG&amp;A'!CK100</f>
        <v>0</v>
      </c>
      <c r="CL100" s="27">
        <f>COGS!CL100+'SG&amp;A'!CL100</f>
        <v>0</v>
      </c>
      <c r="CM100" s="27">
        <f>COGS!CM100+'SG&amp;A'!CM100</f>
        <v>0</v>
      </c>
      <c r="CN100" s="27">
        <f>COGS!CN100+'SG&amp;A'!CN100</f>
        <v>0</v>
      </c>
      <c r="CO100" s="27">
        <f>COGS!CO100+'SG&amp;A'!CO100</f>
        <v>0</v>
      </c>
      <c r="CP100" s="27">
        <f>COGS!CP100+'SG&amp;A'!CP100</f>
        <v>0</v>
      </c>
      <c r="CQ100" s="27">
        <f>COGS!CQ100+'SG&amp;A'!CQ100</f>
        <v>0</v>
      </c>
      <c r="CR100" s="27">
        <f>COGS!CR100+'SG&amp;A'!CR100</f>
        <v>0</v>
      </c>
      <c r="CS100" s="27">
        <f>COGS!CS100+'SG&amp;A'!CS100</f>
        <v>0</v>
      </c>
      <c r="CT100" s="27">
        <f>COGS!CT100+'SG&amp;A'!CT100</f>
        <v>0</v>
      </c>
      <c r="CU100" s="27">
        <f>COGS!CU100+'SG&amp;A'!CU100</f>
        <v>0</v>
      </c>
      <c r="CV100" s="27">
        <f>COGS!CV100+'SG&amp;A'!CV100</f>
        <v>0</v>
      </c>
      <c r="CW100" s="27">
        <f>COGS!CW100+'SG&amp;A'!CW100</f>
        <v>0</v>
      </c>
      <c r="CX100" s="27">
        <f>COGS!CX100+'SG&amp;A'!CX100</f>
        <v>0</v>
      </c>
      <c r="CY100" s="27">
        <f>COGS!CY100+'SG&amp;A'!CY100</f>
        <v>0</v>
      </c>
      <c r="CZ100" s="27">
        <f>COGS!CZ100+'SG&amp;A'!CZ100</f>
        <v>0</v>
      </c>
      <c r="DA100" s="27">
        <f>COGS!DA100+'SG&amp;A'!DA100</f>
        <v>0</v>
      </c>
      <c r="DB100" s="27">
        <f>COGS!DB100+'SG&amp;A'!DB100</f>
        <v>0</v>
      </c>
      <c r="DC100" s="27">
        <f>COGS!DC100+'SG&amp;A'!DC100</f>
        <v>0</v>
      </c>
      <c r="DD100" s="27">
        <f>COGS!DD100+'SG&amp;A'!DD100</f>
        <v>0</v>
      </c>
      <c r="DE100" s="27">
        <f>COGS!DE100+'SG&amp;A'!DE100</f>
        <v>0</v>
      </c>
      <c r="DF100" s="27">
        <f>COGS!DF100+'SG&amp;A'!DF100</f>
        <v>0</v>
      </c>
      <c r="DG100" s="27">
        <f>COGS!DG100+'SG&amp;A'!DG100</f>
        <v>0</v>
      </c>
      <c r="DH100" s="27">
        <f>COGS!DH100+'SG&amp;A'!DH100</f>
        <v>0</v>
      </c>
      <c r="DI100" s="27">
        <f>COGS!DI100+'SG&amp;A'!DI100</f>
        <v>0</v>
      </c>
      <c r="DJ100" s="27">
        <f>COGS!DJ100+'SG&amp;A'!DJ100</f>
        <v>0</v>
      </c>
      <c r="DK100" s="27">
        <f>COGS!DK100+'SG&amp;A'!DK100</f>
        <v>0</v>
      </c>
      <c r="DL100" s="27">
        <f>COGS!DL100+'SG&amp;A'!DL100</f>
        <v>0</v>
      </c>
      <c r="DM100" s="27">
        <f>COGS!DM100+'SG&amp;A'!DM100</f>
        <v>0</v>
      </c>
      <c r="DN100" s="27">
        <f>COGS!DN100+'SG&amp;A'!DN100</f>
        <v>0</v>
      </c>
      <c r="DO100" s="27">
        <f>COGS!DO100+'SG&amp;A'!DO100</f>
        <v>0</v>
      </c>
      <c r="DP100" s="27">
        <f>COGS!DP100+'SG&amp;A'!DP100</f>
        <v>0</v>
      </c>
      <c r="DQ100" s="27">
        <f>COGS!DQ100+'SG&amp;A'!DQ100</f>
        <v>0</v>
      </c>
      <c r="DR100" s="27">
        <f>COGS!DR100+'SG&amp;A'!DR100</f>
        <v>0</v>
      </c>
      <c r="DS100" s="27">
        <f>COGS!DS100+'SG&amp;A'!DS100</f>
        <v>0</v>
      </c>
      <c r="DT100" s="27">
        <f>COGS!DT100+'SG&amp;A'!DT100</f>
        <v>0</v>
      </c>
      <c r="DU100" s="27">
        <f>COGS!DU100+'SG&amp;A'!DU100</f>
        <v>0</v>
      </c>
      <c r="DV100" s="27">
        <f>COGS!DV100+'SG&amp;A'!DV100</f>
        <v>0</v>
      </c>
      <c r="DW100" s="27">
        <f>COGS!DW100+'SG&amp;A'!DW100</f>
        <v>0</v>
      </c>
      <c r="DX100" s="27">
        <f>COGS!DX100+'SG&amp;A'!DX100</f>
        <v>3.4508556700000002</v>
      </c>
      <c r="DY100" s="27">
        <f>COGS!DY100+'SG&amp;A'!DY100</f>
        <v>14.523162360000001</v>
      </c>
      <c r="DZ100" s="27">
        <f>COGS!DZ100+'SG&amp;A'!DZ100</f>
        <v>14.957096910000001</v>
      </c>
      <c r="EA100" s="27">
        <f>COGS!EA100+'SG&amp;A'!EA100</f>
        <v>32.931114940000001</v>
      </c>
      <c r="EB100" s="27">
        <f>COGS!EB100+'SG&amp;A'!EB100</f>
        <v>15.406448379999999</v>
      </c>
      <c r="EC100" s="27">
        <f>COGS!EC100+'SG&amp;A'!EC100</f>
        <v>15.373218850000001</v>
      </c>
      <c r="ED100" s="27">
        <f>COGS!ED100+'SG&amp;A'!ED100</f>
        <v>11.452</v>
      </c>
      <c r="EE100" s="27">
        <f>COGS!EE100+'SG&amp;A'!EE100</f>
        <v>14.624830209999995</v>
      </c>
      <c r="EF100" s="27">
        <f>COGS!EF100+'SG&amp;A'!EF100</f>
        <v>56.856497439999998</v>
      </c>
      <c r="EG100" s="27">
        <f>COGS!EG100+'SG&amp;A'!EG100</f>
        <v>11.16752739</v>
      </c>
      <c r="EH100" s="27">
        <f>COGS!EH100+'SG&amp;A'!EH100</f>
        <v>15.568446020000001</v>
      </c>
      <c r="EI100" s="27">
        <f>COGS!EI100+'SG&amp;A'!EI100</f>
        <v>15.207558049999999</v>
      </c>
    </row>
    <row r="101" spans="1:139" ht="15" thickBot="1" x14ac:dyDescent="0.35">
      <c r="A101" s="2" t="s">
        <v>460</v>
      </c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>
        <f>COGS!EE101+'SG&amp;A'!EE101</f>
        <v>0</v>
      </c>
      <c r="EF101" s="28">
        <f>COGS!EF101+'SG&amp;A'!EF101</f>
        <v>0</v>
      </c>
      <c r="EG101" s="28">
        <f>COGS!EG101+'SG&amp;A'!EG101</f>
        <v>0</v>
      </c>
      <c r="EH101" s="28">
        <f>COGS!EH101+'SG&amp;A'!EH101</f>
        <v>6.6536166699999999</v>
      </c>
      <c r="EI101" s="28">
        <f>COGS!EI101+'SG&amp;A'!EI101</f>
        <v>9.4292370200000004</v>
      </c>
    </row>
    <row r="102" spans="1:139" ht="15" thickTop="1" x14ac:dyDescent="0.3">
      <c r="A102" s="1" t="s">
        <v>304</v>
      </c>
      <c r="B102" s="27">
        <f>COGS!B102+'SG&amp;A'!B102</f>
        <v>0</v>
      </c>
      <c r="C102" s="27">
        <f>COGS!C102+'SG&amp;A'!C102</f>
        <v>0</v>
      </c>
      <c r="D102" s="27">
        <f>COGS!D102+'SG&amp;A'!D102</f>
        <v>0</v>
      </c>
      <c r="E102" s="27">
        <f>COGS!E102+'SG&amp;A'!E102</f>
        <v>0</v>
      </c>
      <c r="F102" s="27">
        <f>COGS!F102+'SG&amp;A'!F102</f>
        <v>0</v>
      </c>
      <c r="G102" s="27">
        <f>COGS!G102+'SG&amp;A'!G102</f>
        <v>0</v>
      </c>
      <c r="H102" s="27">
        <f>COGS!H102+'SG&amp;A'!H102</f>
        <v>0</v>
      </c>
      <c r="I102" s="27">
        <f>COGS!I102+'SG&amp;A'!I102</f>
        <v>0</v>
      </c>
      <c r="J102" s="27">
        <f>COGS!J102+'SG&amp;A'!J102</f>
        <v>0</v>
      </c>
      <c r="K102" s="27">
        <f>COGS!K102+'SG&amp;A'!K102</f>
        <v>0</v>
      </c>
      <c r="L102" s="27">
        <f>COGS!L102+'SG&amp;A'!L102</f>
        <v>0</v>
      </c>
      <c r="M102" s="27">
        <f>COGS!M102+'SG&amp;A'!M102</f>
        <v>0</v>
      </c>
      <c r="N102" s="27">
        <f>COGS!N102+'SG&amp;A'!N102</f>
        <v>0</v>
      </c>
      <c r="O102" s="27">
        <f>COGS!O102+'SG&amp;A'!O102</f>
        <v>0</v>
      </c>
      <c r="P102" s="27">
        <f>COGS!P102+'SG&amp;A'!P102</f>
        <v>0</v>
      </c>
      <c r="Q102" s="27">
        <f>COGS!Q102+'SG&amp;A'!Q102</f>
        <v>0</v>
      </c>
      <c r="R102" s="27">
        <f>COGS!R102+'SG&amp;A'!R102</f>
        <v>0</v>
      </c>
      <c r="S102" s="27">
        <f>COGS!S102+'SG&amp;A'!S102</f>
        <v>0</v>
      </c>
      <c r="T102" s="27">
        <f>COGS!T102+'SG&amp;A'!T102</f>
        <v>0</v>
      </c>
      <c r="U102" s="27">
        <f>COGS!U102+'SG&amp;A'!U102</f>
        <v>0</v>
      </c>
      <c r="V102" s="27">
        <f>COGS!V102+'SG&amp;A'!V102</f>
        <v>0</v>
      </c>
      <c r="W102" s="27">
        <f>COGS!W102+'SG&amp;A'!W102</f>
        <v>0</v>
      </c>
      <c r="X102" s="27">
        <f>COGS!X102+'SG&amp;A'!X102</f>
        <v>0</v>
      </c>
      <c r="Y102" s="27">
        <f>COGS!Y102+'SG&amp;A'!Y102</f>
        <v>0</v>
      </c>
      <c r="Z102" s="27">
        <f>COGS!Z102+'SG&amp;A'!Z102</f>
        <v>0</v>
      </c>
      <c r="AA102" s="27">
        <f>COGS!AA102+'SG&amp;A'!AA102</f>
        <v>0</v>
      </c>
      <c r="AB102" s="27">
        <f>COGS!AB102+'SG&amp;A'!AB102</f>
        <v>0</v>
      </c>
      <c r="AC102" s="27">
        <f>COGS!AC102+'SG&amp;A'!AC102</f>
        <v>0</v>
      </c>
      <c r="AD102" s="27">
        <f>COGS!AD102+'SG&amp;A'!AD102</f>
        <v>0</v>
      </c>
      <c r="AE102" s="27">
        <f>COGS!AE102+'SG&amp;A'!AE102</f>
        <v>0</v>
      </c>
      <c r="AF102" s="27">
        <f>COGS!AF102+'SG&amp;A'!AF102</f>
        <v>0</v>
      </c>
      <c r="AG102" s="27">
        <f>COGS!AG102+'SG&amp;A'!AG102</f>
        <v>0</v>
      </c>
      <c r="AH102" s="27">
        <f>COGS!AH102+'SG&amp;A'!AH102</f>
        <v>0</v>
      </c>
      <c r="AI102" s="27">
        <f>COGS!AI102+'SG&amp;A'!AI102</f>
        <v>0</v>
      </c>
      <c r="AJ102" s="27">
        <f>COGS!AJ102+'SG&amp;A'!AJ102</f>
        <v>0</v>
      </c>
      <c r="AK102" s="27">
        <f>COGS!AK102+'SG&amp;A'!AK102</f>
        <v>0</v>
      </c>
      <c r="AL102" s="27">
        <f>COGS!AL102+'SG&amp;A'!AL102</f>
        <v>0</v>
      </c>
      <c r="AM102" s="27">
        <f>COGS!AM102+'SG&amp;A'!AM102</f>
        <v>0</v>
      </c>
      <c r="AN102" s="27">
        <f>COGS!AN102+'SG&amp;A'!AN102</f>
        <v>0</v>
      </c>
      <c r="AO102" s="27">
        <f>COGS!AO102+'SG&amp;A'!AO102</f>
        <v>0</v>
      </c>
      <c r="AP102" s="27">
        <f>COGS!AP102+'SG&amp;A'!AP102</f>
        <v>0</v>
      </c>
      <c r="AQ102" s="27">
        <f>COGS!AQ102+'SG&amp;A'!AQ102</f>
        <v>0</v>
      </c>
      <c r="AR102" s="27">
        <f>COGS!AR102+'SG&amp;A'!AR102</f>
        <v>0</v>
      </c>
      <c r="AS102" s="27">
        <f>COGS!AS102+'SG&amp;A'!AS102</f>
        <v>0</v>
      </c>
      <c r="AT102" s="27">
        <f>COGS!AT102+'SG&amp;A'!AT102</f>
        <v>0</v>
      </c>
      <c r="AU102" s="27">
        <f>COGS!AU102+'SG&amp;A'!AU102</f>
        <v>0</v>
      </c>
      <c r="AV102" s="27">
        <f>COGS!AV102+'SG&amp;A'!AV102</f>
        <v>0</v>
      </c>
      <c r="AW102" s="27">
        <f>COGS!AW102+'SG&amp;A'!AW102</f>
        <v>0</v>
      </c>
      <c r="AX102" s="27">
        <f>COGS!AX102+'SG&amp;A'!AX102</f>
        <v>0</v>
      </c>
      <c r="AY102" s="27">
        <f>COGS!AY102+'SG&amp;A'!AY102</f>
        <v>0</v>
      </c>
      <c r="AZ102" s="27">
        <f>COGS!AZ102+'SG&amp;A'!AZ102</f>
        <v>0</v>
      </c>
      <c r="BA102" s="27">
        <f>COGS!BA102+'SG&amp;A'!BA102</f>
        <v>0</v>
      </c>
      <c r="BB102" s="27">
        <f>COGS!BB102+'SG&amp;A'!BB102</f>
        <v>0</v>
      </c>
      <c r="BC102" s="27">
        <f>COGS!BC102+'SG&amp;A'!BC102</f>
        <v>0</v>
      </c>
      <c r="BD102" s="27">
        <f>COGS!BD102+'SG&amp;A'!BD102</f>
        <v>0</v>
      </c>
      <c r="BE102" s="27">
        <f>COGS!BE102+'SG&amp;A'!BE102</f>
        <v>0</v>
      </c>
      <c r="BF102" s="27">
        <f>COGS!BF102+'SG&amp;A'!BF102</f>
        <v>0</v>
      </c>
      <c r="BG102" s="27">
        <f>COGS!BG102+'SG&amp;A'!BG102</f>
        <v>0</v>
      </c>
      <c r="BH102" s="27">
        <f>COGS!BH102+'SG&amp;A'!BH102</f>
        <v>0</v>
      </c>
      <c r="BI102" s="27">
        <f>COGS!BI102+'SG&amp;A'!BI102</f>
        <v>0</v>
      </c>
      <c r="BJ102" s="27">
        <f>COGS!BJ102+'SG&amp;A'!BJ102</f>
        <v>0</v>
      </c>
      <c r="BK102" s="27">
        <f>COGS!BK102+'SG&amp;A'!BK102</f>
        <v>0</v>
      </c>
      <c r="BL102" s="27">
        <f>COGS!BL102+'SG&amp;A'!BL102</f>
        <v>0</v>
      </c>
      <c r="BM102" s="27">
        <f>COGS!BM102+'SG&amp;A'!BM102</f>
        <v>0</v>
      </c>
      <c r="BN102" s="27">
        <f>COGS!BN102+'SG&amp;A'!BN102</f>
        <v>0</v>
      </c>
      <c r="BO102" s="27">
        <f>COGS!BO102+'SG&amp;A'!BO102</f>
        <v>0</v>
      </c>
      <c r="BP102" s="27">
        <f>COGS!BP102+'SG&amp;A'!BP102</f>
        <v>0</v>
      </c>
      <c r="BQ102" s="27">
        <f>COGS!BQ102+'SG&amp;A'!BQ102</f>
        <v>0</v>
      </c>
      <c r="BR102" s="27">
        <f>COGS!BR102+'SG&amp;A'!BR102</f>
        <v>0</v>
      </c>
      <c r="BS102" s="27">
        <f>COGS!BS102+'SG&amp;A'!BS102</f>
        <v>0</v>
      </c>
      <c r="BT102" s="27">
        <f>COGS!BT102+'SG&amp;A'!BT102</f>
        <v>0</v>
      </c>
      <c r="BU102" s="27">
        <f>COGS!BU102+'SG&amp;A'!BU102</f>
        <v>19.793971090000007</v>
      </c>
      <c r="BV102" s="27">
        <f>COGS!BV102+'SG&amp;A'!BV102</f>
        <v>50.202692870000007</v>
      </c>
      <c r="BW102" s="27">
        <f>COGS!BW102+'SG&amp;A'!BW102</f>
        <v>48.544423080000008</v>
      </c>
      <c r="BX102" s="27">
        <f>COGS!BX102+'SG&amp;A'!BX102</f>
        <v>118.54108704000001</v>
      </c>
      <c r="BY102" s="27">
        <f>COGS!BY102+'SG&amp;A'!BY102</f>
        <v>41.30724566</v>
      </c>
      <c r="BZ102" s="27">
        <f>COGS!BZ102+'SG&amp;A'!BZ102</f>
        <v>44.415050219999998</v>
      </c>
      <c r="CA102" s="27">
        <f>COGS!CA102+'SG&amp;A'!CA102</f>
        <v>55.013631729999986</v>
      </c>
      <c r="CB102" s="27">
        <f>COGS!CB102+'SG&amp;A'!CB102</f>
        <v>90.600619670000015</v>
      </c>
      <c r="CC102" s="27">
        <f>COGS!CC102+'SG&amp;A'!CC102</f>
        <v>231.33654727999999</v>
      </c>
      <c r="CD102" s="27">
        <f>COGS!CD102+'SG&amp;A'!CD102</f>
        <v>38.624977580000007</v>
      </c>
      <c r="CE102" s="27">
        <f>COGS!CE102+'SG&amp;A'!CE102</f>
        <v>43.18219882999999</v>
      </c>
      <c r="CF102" s="27">
        <f>COGS!CF102+'SG&amp;A'!CF102</f>
        <v>45.898858480000015</v>
      </c>
      <c r="CG102" s="27">
        <f>COGS!CG102+'SG&amp;A'!CG102</f>
        <v>29.080471369999987</v>
      </c>
      <c r="CH102" s="27">
        <f>COGS!CH102+'SG&amp;A'!CH102</f>
        <v>156.78650626000001</v>
      </c>
      <c r="CI102" s="27">
        <f>COGS!CI102+'SG&amp;A'!CI102</f>
        <v>37.385906169999998</v>
      </c>
      <c r="CJ102" s="27">
        <f>COGS!CJ102+'SG&amp;A'!CJ102</f>
        <v>32.859070770000002</v>
      </c>
      <c r="CK102" s="27">
        <f>COGS!CK102+'SG&amp;A'!CK102</f>
        <v>33.538987379999995</v>
      </c>
      <c r="CL102" s="27">
        <f>COGS!CL102+'SG&amp;A'!CL102</f>
        <v>30.162998399999996</v>
      </c>
      <c r="CM102" s="27">
        <f>COGS!CM102+'SG&amp;A'!CM102</f>
        <v>133.94696271999999</v>
      </c>
      <c r="CN102" s="27">
        <f>COGS!CN102+'SG&amp;A'!CN102</f>
        <v>28.656273970000001</v>
      </c>
      <c r="CO102" s="27">
        <f>COGS!CO102+'SG&amp;A'!CO102</f>
        <v>40.43138381</v>
      </c>
      <c r="CP102" s="27">
        <f>COGS!CP102+'SG&amp;A'!CP102</f>
        <v>44.77661544</v>
      </c>
      <c r="CQ102" s="27">
        <f>COGS!CQ102+'SG&amp;A'!CQ102</f>
        <v>50.296726780000014</v>
      </c>
      <c r="CR102" s="27">
        <f>COGS!CR102+'SG&amp;A'!CR102</f>
        <v>164.161</v>
      </c>
      <c r="CS102" s="27">
        <f>COGS!CS102+'SG&amp;A'!CS102</f>
        <v>10.731143359999997</v>
      </c>
      <c r="CT102" s="27">
        <f>COGS!CT102+'SG&amp;A'!CT102</f>
        <v>9.5028566400000081</v>
      </c>
      <c r="CU102" s="27">
        <f>COGS!CU102+'SG&amp;A'!CU102</f>
        <v>8.6720000000000006</v>
      </c>
      <c r="CV102" s="27">
        <f>COGS!CV102+'SG&amp;A'!CV102</f>
        <v>10.032999999999998</v>
      </c>
      <c r="CW102" s="27">
        <f>COGS!CW102+'SG&amp;A'!CW102</f>
        <v>38.939</v>
      </c>
      <c r="CX102" s="27">
        <f>COGS!CX102+'SG&amp;A'!CX102</f>
        <v>9.9049999999999994</v>
      </c>
      <c r="CY102" s="27">
        <f>COGS!CY102+'SG&amp;A'!CY102</f>
        <v>9.3369999999999997</v>
      </c>
      <c r="CZ102" s="27">
        <f>COGS!CZ102+'SG&amp;A'!CZ102</f>
        <v>10.608000000000001</v>
      </c>
      <c r="DA102" s="27">
        <f>COGS!DA102+'SG&amp;A'!DA102</f>
        <v>12.419</v>
      </c>
      <c r="DB102" s="27">
        <f>COGS!DB102+'SG&amp;A'!DB102</f>
        <v>42.268999999999991</v>
      </c>
      <c r="DC102" s="27">
        <f>COGS!DC102+'SG&amp;A'!DC102</f>
        <v>13.338999999999999</v>
      </c>
      <c r="DD102" s="27">
        <f>COGS!DD102+'SG&amp;A'!DD102</f>
        <v>18.27</v>
      </c>
      <c r="DE102" s="27">
        <f>COGS!DE102+'SG&amp;A'!DE102</f>
        <v>14.718</v>
      </c>
      <c r="DF102" s="27">
        <f>COGS!DF102+'SG&amp;A'!DF102</f>
        <v>16.054000000000002</v>
      </c>
      <c r="DG102" s="27">
        <f>COGS!DG102+'SG&amp;A'!DG102</f>
        <v>62.381</v>
      </c>
      <c r="DH102" s="27">
        <f>COGS!DH102+'SG&amp;A'!DH102</f>
        <v>11.872</v>
      </c>
      <c r="DI102" s="27">
        <f>COGS!DI102+'SG&amp;A'!DI102</f>
        <v>13.657</v>
      </c>
      <c r="DJ102" s="27">
        <f>COGS!DJ102+'SG&amp;A'!DJ102</f>
        <v>13.611000000000001</v>
      </c>
      <c r="DK102" s="27">
        <f>COGS!DK102+'SG&amp;A'!DK102</f>
        <v>14.776</v>
      </c>
      <c r="DL102" s="27">
        <f>COGS!DL102+'SG&amp;A'!DL102</f>
        <v>53.916000000000004</v>
      </c>
      <c r="DM102" s="27">
        <f>COGS!DM102+'SG&amp;A'!DM102</f>
        <v>18.024000000000001</v>
      </c>
      <c r="DN102" s="27">
        <f>COGS!DN102+'SG&amp;A'!DN102</f>
        <v>14.784000000000001</v>
      </c>
      <c r="DO102" s="27">
        <f>COGS!DO102+'SG&amp;A'!DO102</f>
        <v>17.324999999999999</v>
      </c>
      <c r="DP102" s="27">
        <f>COGS!DP102+'SG&amp;A'!DP102</f>
        <v>16.504000000000001</v>
      </c>
      <c r="DQ102" s="27">
        <f>COGS!DQ102+'SG&amp;A'!DQ102</f>
        <v>66.637</v>
      </c>
      <c r="DR102" s="27">
        <f>COGS!DR102+'SG&amp;A'!DR102</f>
        <v>17.088000000000001</v>
      </c>
      <c r="DS102" s="27">
        <f>COGS!DS102+'SG&amp;A'!DS102</f>
        <v>19.347999999999999</v>
      </c>
      <c r="DT102" s="27">
        <f>COGS!DT102+'SG&amp;A'!DT102</f>
        <v>23.414999999999999</v>
      </c>
      <c r="DU102" s="27">
        <f>COGS!DU102+'SG&amp;A'!DU102</f>
        <v>25.378999999999998</v>
      </c>
      <c r="DV102" s="27">
        <f>COGS!DV102+'SG&amp;A'!DV102</f>
        <v>85.22999999999999</v>
      </c>
      <c r="DW102" s="27">
        <f>COGS!DW102+'SG&amp;A'!DW102</f>
        <v>24.266999999999999</v>
      </c>
      <c r="DX102" s="27">
        <f>COGS!DX102+'SG&amp;A'!DX102</f>
        <v>16.460131950000001</v>
      </c>
      <c r="DY102" s="27">
        <f>COGS!DY102+'SG&amp;A'!DY102</f>
        <v>19.807110740000002</v>
      </c>
      <c r="DZ102" s="27">
        <f>COGS!DZ102+'SG&amp;A'!DZ102</f>
        <v>21.639375550000004</v>
      </c>
      <c r="EA102" s="27">
        <f>COGS!EA102+'SG&amp;A'!EA102</f>
        <v>82.17361824000001</v>
      </c>
      <c r="EB102" s="27">
        <f>COGS!EB102+'SG&amp;A'!EB102</f>
        <v>22.539956559999997</v>
      </c>
      <c r="EC102" s="27">
        <f>COGS!EC102+'SG&amp;A'!EC102</f>
        <v>23.60989262</v>
      </c>
      <c r="ED102" s="27">
        <f>COGS!ED102+'SG&amp;A'!ED102</f>
        <v>25.169999999999998</v>
      </c>
      <c r="EE102" s="27">
        <f>COGS!EE102+'SG&amp;A'!EE102</f>
        <v>31.434159399999999</v>
      </c>
      <c r="EF102" s="27">
        <f>COGS!EF102+'SG&amp;A'!EF102</f>
        <v>102.75400858</v>
      </c>
      <c r="EG102" s="27">
        <f>COGS!EG102+'SG&amp;A'!EG102</f>
        <v>25.250915860000003</v>
      </c>
      <c r="EH102" s="27">
        <f>COGS!EH102+'SG&amp;A'!EH102</f>
        <v>22.736995179999997</v>
      </c>
      <c r="EI102" s="27">
        <f>COGS!EI102+'SG&amp;A'!EI102</f>
        <v>25.276464879999999</v>
      </c>
    </row>
    <row r="103" spans="1:139" ht="15" thickBot="1" x14ac:dyDescent="0.35">
      <c r="A103" s="2" t="s">
        <v>305</v>
      </c>
      <c r="B103" s="28">
        <f>COGS!B103+'SG&amp;A'!B103</f>
        <v>0</v>
      </c>
      <c r="C103" s="28">
        <f>COGS!C103+'SG&amp;A'!C103</f>
        <v>0</v>
      </c>
      <c r="D103" s="28">
        <f>COGS!D103+'SG&amp;A'!D103</f>
        <v>0</v>
      </c>
      <c r="E103" s="28">
        <f>COGS!E103+'SG&amp;A'!E103</f>
        <v>0</v>
      </c>
      <c r="F103" s="28">
        <f>COGS!F103+'SG&amp;A'!F103</f>
        <v>0</v>
      </c>
      <c r="G103" s="28">
        <f>COGS!G103+'SG&amp;A'!G103</f>
        <v>0</v>
      </c>
      <c r="H103" s="28">
        <f>COGS!H103+'SG&amp;A'!H103</f>
        <v>0</v>
      </c>
      <c r="I103" s="28">
        <f>COGS!I103+'SG&amp;A'!I103</f>
        <v>0</v>
      </c>
      <c r="J103" s="28">
        <f>COGS!J103+'SG&amp;A'!J103</f>
        <v>0</v>
      </c>
      <c r="K103" s="28">
        <f>COGS!K103+'SG&amp;A'!K103</f>
        <v>0</v>
      </c>
      <c r="L103" s="28">
        <f>COGS!L103+'SG&amp;A'!L103</f>
        <v>0</v>
      </c>
      <c r="M103" s="28">
        <f>COGS!M103+'SG&amp;A'!M103</f>
        <v>0</v>
      </c>
      <c r="N103" s="28">
        <f>COGS!N103+'SG&amp;A'!N103</f>
        <v>0</v>
      </c>
      <c r="O103" s="28">
        <f>COGS!O103+'SG&amp;A'!O103</f>
        <v>0</v>
      </c>
      <c r="P103" s="28">
        <f>COGS!P103+'SG&amp;A'!P103</f>
        <v>0</v>
      </c>
      <c r="Q103" s="28">
        <f>COGS!Q103+'SG&amp;A'!Q103</f>
        <v>0</v>
      </c>
      <c r="R103" s="28">
        <f>COGS!R103+'SG&amp;A'!R103</f>
        <v>0</v>
      </c>
      <c r="S103" s="28">
        <f>COGS!S103+'SG&amp;A'!S103</f>
        <v>0</v>
      </c>
      <c r="T103" s="28">
        <f>COGS!T103+'SG&amp;A'!T103</f>
        <v>0</v>
      </c>
      <c r="U103" s="28">
        <f>COGS!U103+'SG&amp;A'!U103</f>
        <v>0</v>
      </c>
      <c r="V103" s="28">
        <f>COGS!V103+'SG&amp;A'!V103</f>
        <v>0</v>
      </c>
      <c r="W103" s="28">
        <f>COGS!W103+'SG&amp;A'!W103</f>
        <v>0</v>
      </c>
      <c r="X103" s="28">
        <f>COGS!X103+'SG&amp;A'!X103</f>
        <v>0</v>
      </c>
      <c r="Y103" s="28">
        <f>COGS!Y103+'SG&amp;A'!Y103</f>
        <v>0</v>
      </c>
      <c r="Z103" s="28">
        <f>COGS!Z103+'SG&amp;A'!Z103</f>
        <v>0</v>
      </c>
      <c r="AA103" s="28">
        <f>COGS!AA103+'SG&amp;A'!AA103</f>
        <v>0</v>
      </c>
      <c r="AB103" s="28">
        <f>COGS!AB103+'SG&amp;A'!AB103</f>
        <v>0</v>
      </c>
      <c r="AC103" s="28">
        <f>COGS!AC103+'SG&amp;A'!AC103</f>
        <v>0</v>
      </c>
      <c r="AD103" s="28">
        <f>COGS!AD103+'SG&amp;A'!AD103</f>
        <v>0</v>
      </c>
      <c r="AE103" s="28">
        <f>COGS!AE103+'SG&amp;A'!AE103</f>
        <v>0</v>
      </c>
      <c r="AF103" s="28">
        <f>COGS!AF103+'SG&amp;A'!AF103</f>
        <v>0</v>
      </c>
      <c r="AG103" s="28">
        <f>COGS!AG103+'SG&amp;A'!AG103</f>
        <v>0</v>
      </c>
      <c r="AH103" s="28">
        <f>COGS!AH103+'SG&amp;A'!AH103</f>
        <v>0</v>
      </c>
      <c r="AI103" s="28">
        <f>COGS!AI103+'SG&amp;A'!AI103</f>
        <v>0</v>
      </c>
      <c r="AJ103" s="28">
        <f>COGS!AJ103+'SG&amp;A'!AJ103</f>
        <v>0</v>
      </c>
      <c r="AK103" s="28">
        <f>COGS!AK103+'SG&amp;A'!AK103</f>
        <v>0</v>
      </c>
      <c r="AL103" s="28">
        <f>COGS!AL103+'SG&amp;A'!AL103</f>
        <v>0</v>
      </c>
      <c r="AM103" s="28">
        <f>COGS!AM103+'SG&amp;A'!AM103</f>
        <v>0</v>
      </c>
      <c r="AN103" s="28">
        <f>COGS!AN103+'SG&amp;A'!AN103</f>
        <v>0</v>
      </c>
      <c r="AO103" s="28">
        <f>COGS!AO103+'SG&amp;A'!AO103</f>
        <v>0</v>
      </c>
      <c r="AP103" s="28">
        <f>COGS!AP103+'SG&amp;A'!AP103</f>
        <v>0</v>
      </c>
      <c r="AQ103" s="28">
        <f>COGS!AQ103+'SG&amp;A'!AQ103</f>
        <v>0</v>
      </c>
      <c r="AR103" s="28">
        <f>COGS!AR103+'SG&amp;A'!AR103</f>
        <v>0</v>
      </c>
      <c r="AS103" s="28">
        <f>COGS!AS103+'SG&amp;A'!AS103</f>
        <v>0</v>
      </c>
      <c r="AT103" s="28">
        <f>COGS!AT103+'SG&amp;A'!AT103</f>
        <v>0</v>
      </c>
      <c r="AU103" s="28">
        <f>COGS!AU103+'SG&amp;A'!AU103</f>
        <v>0</v>
      </c>
      <c r="AV103" s="28">
        <f>COGS!AV103+'SG&amp;A'!AV103</f>
        <v>0</v>
      </c>
      <c r="AW103" s="28">
        <f>COGS!AW103+'SG&amp;A'!AW103</f>
        <v>0</v>
      </c>
      <c r="AX103" s="28">
        <f>COGS!AX103+'SG&amp;A'!AX103</f>
        <v>0</v>
      </c>
      <c r="AY103" s="28">
        <f>COGS!AY103+'SG&amp;A'!AY103</f>
        <v>0</v>
      </c>
      <c r="AZ103" s="28">
        <f>COGS!AZ103+'SG&amp;A'!AZ103</f>
        <v>0</v>
      </c>
      <c r="BA103" s="28">
        <f>COGS!BA103+'SG&amp;A'!BA103</f>
        <v>0</v>
      </c>
      <c r="BB103" s="28">
        <f>COGS!BB103+'SG&amp;A'!BB103</f>
        <v>0</v>
      </c>
      <c r="BC103" s="28">
        <f>COGS!BC103+'SG&amp;A'!BC103</f>
        <v>0</v>
      </c>
      <c r="BD103" s="28">
        <f>COGS!BD103+'SG&amp;A'!BD103</f>
        <v>0</v>
      </c>
      <c r="BE103" s="28">
        <f>COGS!BE103+'SG&amp;A'!BE103</f>
        <v>0</v>
      </c>
      <c r="BF103" s="28">
        <f>COGS!BF103+'SG&amp;A'!BF103</f>
        <v>0</v>
      </c>
      <c r="BG103" s="28">
        <f>COGS!BG103+'SG&amp;A'!BG103</f>
        <v>0</v>
      </c>
      <c r="BH103" s="28">
        <f>COGS!BH103+'SG&amp;A'!BH103</f>
        <v>0</v>
      </c>
      <c r="BI103" s="28">
        <f>COGS!BI103+'SG&amp;A'!BI103</f>
        <v>0</v>
      </c>
      <c r="BJ103" s="28">
        <f>COGS!BJ103+'SG&amp;A'!BJ103</f>
        <v>0</v>
      </c>
      <c r="BK103" s="28">
        <f>COGS!BK103+'SG&amp;A'!BK103</f>
        <v>0</v>
      </c>
      <c r="BL103" s="28">
        <f>COGS!BL103+'SG&amp;A'!BL103</f>
        <v>0</v>
      </c>
      <c r="BM103" s="28">
        <f>COGS!BM103+'SG&amp;A'!BM103</f>
        <v>0</v>
      </c>
      <c r="BN103" s="28">
        <f>COGS!BN103+'SG&amp;A'!BN103</f>
        <v>0</v>
      </c>
      <c r="BO103" s="28">
        <f>COGS!BO103+'SG&amp;A'!BO103</f>
        <v>0</v>
      </c>
      <c r="BP103" s="28">
        <f>COGS!BP103+'SG&amp;A'!BP103</f>
        <v>0</v>
      </c>
      <c r="BQ103" s="28">
        <f>COGS!BQ103+'SG&amp;A'!BQ103</f>
        <v>0</v>
      </c>
      <c r="BR103" s="28">
        <f>COGS!BR103+'SG&amp;A'!BR103</f>
        <v>0</v>
      </c>
      <c r="BS103" s="28">
        <f>COGS!BS103+'SG&amp;A'!BS103</f>
        <v>0</v>
      </c>
      <c r="BT103" s="28">
        <f>COGS!BT103+'SG&amp;A'!BT103</f>
        <v>0</v>
      </c>
      <c r="BU103" s="28">
        <f>COGS!BU103+'SG&amp;A'!BU103</f>
        <v>0</v>
      </c>
      <c r="BV103" s="28">
        <f>COGS!BV103+'SG&amp;A'!BV103</f>
        <v>0</v>
      </c>
      <c r="BW103" s="28">
        <f>COGS!BW103+'SG&amp;A'!BW103</f>
        <v>0</v>
      </c>
      <c r="BX103" s="28">
        <f>COGS!BX103+'SG&amp;A'!BX103</f>
        <v>0</v>
      </c>
      <c r="BY103" s="28">
        <f>COGS!BY103+'SG&amp;A'!BY103</f>
        <v>0</v>
      </c>
      <c r="BZ103" s="28">
        <f>COGS!BZ103+'SG&amp;A'!BZ103</f>
        <v>0</v>
      </c>
      <c r="CA103" s="28">
        <f>COGS!CA103+'SG&amp;A'!CA103</f>
        <v>0</v>
      </c>
      <c r="CB103" s="28">
        <f>COGS!CB103+'SG&amp;A'!CB103</f>
        <v>0</v>
      </c>
      <c r="CC103" s="28">
        <f>COGS!CC103+'SG&amp;A'!CC103</f>
        <v>0</v>
      </c>
      <c r="CD103" s="28">
        <f>COGS!CD103+'SG&amp;A'!CD103</f>
        <v>0</v>
      </c>
      <c r="CE103" s="28">
        <f>COGS!CE103+'SG&amp;A'!CE103</f>
        <v>0</v>
      </c>
      <c r="CF103" s="28">
        <f>COGS!CF103+'SG&amp;A'!CF103</f>
        <v>0</v>
      </c>
      <c r="CG103" s="28">
        <f>COGS!CG103+'SG&amp;A'!CG103</f>
        <v>0</v>
      </c>
      <c r="CH103" s="28">
        <f>COGS!CH103+'SG&amp;A'!CH103</f>
        <v>0</v>
      </c>
      <c r="CI103" s="28">
        <f>COGS!CI103+'SG&amp;A'!CI103</f>
        <v>0</v>
      </c>
      <c r="CJ103" s="28">
        <f>COGS!CJ103+'SG&amp;A'!CJ103</f>
        <v>0</v>
      </c>
      <c r="CK103" s="28">
        <f>COGS!CK103+'SG&amp;A'!CK103</f>
        <v>0</v>
      </c>
      <c r="CL103" s="28">
        <f>COGS!CL103+'SG&amp;A'!CL103</f>
        <v>0</v>
      </c>
      <c r="CM103" s="28">
        <f>COGS!CM103+'SG&amp;A'!CM103</f>
        <v>0</v>
      </c>
      <c r="CN103" s="28">
        <f>COGS!CN103+'SG&amp;A'!CN103</f>
        <v>0</v>
      </c>
      <c r="CO103" s="28">
        <f>COGS!CO103+'SG&amp;A'!CO103</f>
        <v>0</v>
      </c>
      <c r="CP103" s="28">
        <f>COGS!CP103+'SG&amp;A'!CP103</f>
        <v>0</v>
      </c>
      <c r="CQ103" s="28">
        <f>COGS!CQ103+'SG&amp;A'!CQ103</f>
        <v>0</v>
      </c>
      <c r="CR103" s="28">
        <f>COGS!CR103+'SG&amp;A'!CR103</f>
        <v>0</v>
      </c>
      <c r="CS103" s="28">
        <f>COGS!CS103+'SG&amp;A'!CS103</f>
        <v>0</v>
      </c>
      <c r="CT103" s="28">
        <f>COGS!CT103+'SG&amp;A'!CT103</f>
        <v>0</v>
      </c>
      <c r="CU103" s="28">
        <f>COGS!CU103+'SG&amp;A'!CU103</f>
        <v>0</v>
      </c>
      <c r="CV103" s="28">
        <f>COGS!CV103+'SG&amp;A'!CV103</f>
        <v>0</v>
      </c>
      <c r="CW103" s="28">
        <f>COGS!CW103+'SG&amp;A'!CW103</f>
        <v>0</v>
      </c>
      <c r="CX103" s="28">
        <f>COGS!CX103+'SG&amp;A'!CX103</f>
        <v>0</v>
      </c>
      <c r="CY103" s="28">
        <f>COGS!CY103+'SG&amp;A'!CY103</f>
        <v>0</v>
      </c>
      <c r="CZ103" s="28">
        <f>COGS!CZ103+'SG&amp;A'!CZ103</f>
        <v>0</v>
      </c>
      <c r="DA103" s="28">
        <f>COGS!DA103+'SG&amp;A'!DA103</f>
        <v>0</v>
      </c>
      <c r="DB103" s="28">
        <f>COGS!DB103+'SG&amp;A'!DB103</f>
        <v>0</v>
      </c>
      <c r="DC103" s="28">
        <f>COGS!DC103+'SG&amp;A'!DC103</f>
        <v>1.1280000000000001</v>
      </c>
      <c r="DD103" s="28">
        <f>COGS!DD103+'SG&amp;A'!DD103</f>
        <v>0.78500000000000003</v>
      </c>
      <c r="DE103" s="28">
        <f>COGS!DE103+'SG&amp;A'!DE103</f>
        <v>0.39800000000000002</v>
      </c>
      <c r="DF103" s="28">
        <f>COGS!DF103+'SG&amp;A'!DF103</f>
        <v>0.629</v>
      </c>
      <c r="DG103" s="28">
        <f>COGS!DG103+'SG&amp;A'!DG103</f>
        <v>2.9400000000000004</v>
      </c>
      <c r="DH103" s="28">
        <f>COGS!DH103+'SG&amp;A'!DH103</f>
        <v>0.58799999999999997</v>
      </c>
      <c r="DI103" s="28">
        <f>COGS!DI103+'SG&amp;A'!DI103</f>
        <v>1.252</v>
      </c>
      <c r="DJ103" s="28">
        <f>COGS!DJ103+'SG&amp;A'!DJ103</f>
        <v>1.1120000000000001</v>
      </c>
      <c r="DK103" s="28">
        <f>COGS!DK103+'SG&amp;A'!DK103</f>
        <v>0.7669999999999999</v>
      </c>
      <c r="DL103" s="28">
        <f>COGS!DL103+'SG&amp;A'!DL103</f>
        <v>3.7189999999999994</v>
      </c>
      <c r="DM103" s="28">
        <f>COGS!DM103+'SG&amp;A'!DM103</f>
        <v>0.73</v>
      </c>
      <c r="DN103" s="28">
        <f>COGS!DN103+'SG&amp;A'!DN103</f>
        <v>0.88800000000000001</v>
      </c>
      <c r="DO103" s="28">
        <f>COGS!DO103+'SG&amp;A'!DO103</f>
        <v>0.77899999999999991</v>
      </c>
      <c r="DP103" s="28">
        <f>COGS!DP103+'SG&amp;A'!DP103</f>
        <v>0.68300000000000005</v>
      </c>
      <c r="DQ103" s="28">
        <f>COGS!DQ103+'SG&amp;A'!DQ103</f>
        <v>3.0799999999999996</v>
      </c>
      <c r="DR103" s="28">
        <f>COGS!DR103+'SG&amp;A'!DR103</f>
        <v>0.91200000000000003</v>
      </c>
      <c r="DS103" s="28">
        <f>COGS!DS103+'SG&amp;A'!DS103</f>
        <v>1.347</v>
      </c>
      <c r="DT103" s="28">
        <f>COGS!DT103+'SG&amp;A'!DT103</f>
        <v>1.155</v>
      </c>
      <c r="DU103" s="28">
        <f>COGS!DU103+'SG&amp;A'!DU103</f>
        <v>1.321</v>
      </c>
      <c r="DV103" s="28">
        <f>COGS!DV103+'SG&amp;A'!DV103</f>
        <v>4.7350000000000003</v>
      </c>
      <c r="DW103" s="28">
        <f>COGS!DW103+'SG&amp;A'!DW103</f>
        <v>1.0050000000000001</v>
      </c>
      <c r="DX103" s="28">
        <f>COGS!DX103+'SG&amp;A'!DX103</f>
        <v>1.1599858199999999</v>
      </c>
      <c r="DY103" s="28">
        <f>COGS!DY103+'SG&amp;A'!DY103</f>
        <v>0.74238206999999967</v>
      </c>
      <c r="DZ103" s="28">
        <f>COGS!DZ103+'SG&amp;A'!DZ103</f>
        <v>1.2827120200000002</v>
      </c>
      <c r="EA103" s="28">
        <f>COGS!EA103+'SG&amp;A'!EA103</f>
        <v>4.1900799099999997</v>
      </c>
      <c r="EB103" s="28">
        <f>COGS!EB103+'SG&amp;A'!EB103</f>
        <v>1.0977261200000001</v>
      </c>
      <c r="EC103" s="28">
        <f>COGS!EC103+'SG&amp;A'!EC103</f>
        <v>1.5121196799999996</v>
      </c>
      <c r="ED103" s="28">
        <f>COGS!ED103+'SG&amp;A'!ED103</f>
        <v>1.4610000000000001</v>
      </c>
      <c r="EE103" s="28">
        <f>COGS!EE103+'SG&amp;A'!EE103</f>
        <v>1.8151898900000001</v>
      </c>
      <c r="EF103" s="28">
        <f>COGS!EF103+'SG&amp;A'!EF103</f>
        <v>5.8860356899999999</v>
      </c>
      <c r="EG103" s="28">
        <f>COGS!EG103+'SG&amp;A'!EG103</f>
        <v>1.2904877099999998</v>
      </c>
      <c r="EH103" s="28">
        <f>COGS!EH103+'SG&amp;A'!EH103</f>
        <v>1.4851866499999997</v>
      </c>
      <c r="EI103" s="28">
        <f>COGS!EI103+'SG&amp;A'!EI103</f>
        <v>1.5837774800000006</v>
      </c>
    </row>
    <row r="104" spans="1:139" ht="15" thickTop="1" x14ac:dyDescent="0.3">
      <c r="A104" s="1" t="s">
        <v>306</v>
      </c>
      <c r="B104" s="27">
        <f>COGS!B104+'SG&amp;A'!B104</f>
        <v>0</v>
      </c>
      <c r="C104" s="27">
        <f>COGS!C104+'SG&amp;A'!C104</f>
        <v>0</v>
      </c>
      <c r="D104" s="27">
        <f>COGS!D104+'SG&amp;A'!D104</f>
        <v>0</v>
      </c>
      <c r="E104" s="27">
        <f>COGS!E104+'SG&amp;A'!E104</f>
        <v>0</v>
      </c>
      <c r="F104" s="27">
        <f>COGS!F104+'SG&amp;A'!F104</f>
        <v>0</v>
      </c>
      <c r="G104" s="27">
        <f>COGS!G104+'SG&amp;A'!G104</f>
        <v>0</v>
      </c>
      <c r="H104" s="27">
        <f>COGS!H104+'SG&amp;A'!H104</f>
        <v>0</v>
      </c>
      <c r="I104" s="27">
        <f>COGS!I104+'SG&amp;A'!I104</f>
        <v>0</v>
      </c>
      <c r="J104" s="27">
        <f>COGS!J104+'SG&amp;A'!J104</f>
        <v>0</v>
      </c>
      <c r="K104" s="27">
        <f>COGS!K104+'SG&amp;A'!K104</f>
        <v>0</v>
      </c>
      <c r="L104" s="27">
        <f>COGS!L104+'SG&amp;A'!L104</f>
        <v>0</v>
      </c>
      <c r="M104" s="27">
        <f>COGS!M104+'SG&amp;A'!M104</f>
        <v>0</v>
      </c>
      <c r="N104" s="27">
        <f>COGS!N104+'SG&amp;A'!N104</f>
        <v>0</v>
      </c>
      <c r="O104" s="27">
        <f>COGS!O104+'SG&amp;A'!O104</f>
        <v>0</v>
      </c>
      <c r="P104" s="27">
        <f>COGS!P104+'SG&amp;A'!P104</f>
        <v>0</v>
      </c>
      <c r="Q104" s="27">
        <f>COGS!Q104+'SG&amp;A'!Q104</f>
        <v>0</v>
      </c>
      <c r="R104" s="27">
        <f>COGS!R104+'SG&amp;A'!R104</f>
        <v>0</v>
      </c>
      <c r="S104" s="27">
        <f>COGS!S104+'SG&amp;A'!S104</f>
        <v>0</v>
      </c>
      <c r="T104" s="27">
        <f>COGS!T104+'SG&amp;A'!T104</f>
        <v>0</v>
      </c>
      <c r="U104" s="27">
        <f>COGS!U104+'SG&amp;A'!U104</f>
        <v>0</v>
      </c>
      <c r="V104" s="27">
        <f>COGS!V104+'SG&amp;A'!V104</f>
        <v>0</v>
      </c>
      <c r="W104" s="27">
        <f>COGS!W104+'SG&amp;A'!W104</f>
        <v>0</v>
      </c>
      <c r="X104" s="27">
        <f>COGS!X104+'SG&amp;A'!X104</f>
        <v>0</v>
      </c>
      <c r="Y104" s="27">
        <f>COGS!Y104+'SG&amp;A'!Y104</f>
        <v>0</v>
      </c>
      <c r="Z104" s="27">
        <f>COGS!Z104+'SG&amp;A'!Z104</f>
        <v>0</v>
      </c>
      <c r="AA104" s="27">
        <f>COGS!AA104+'SG&amp;A'!AA104</f>
        <v>0</v>
      </c>
      <c r="AB104" s="27">
        <f>COGS!AB104+'SG&amp;A'!AB104</f>
        <v>0</v>
      </c>
      <c r="AC104" s="27">
        <f>COGS!AC104+'SG&amp;A'!AC104</f>
        <v>0</v>
      </c>
      <c r="AD104" s="27">
        <f>COGS!AD104+'SG&amp;A'!AD104</f>
        <v>0</v>
      </c>
      <c r="AE104" s="27">
        <f>COGS!AE104+'SG&amp;A'!AE104</f>
        <v>0</v>
      </c>
      <c r="AF104" s="27">
        <f>COGS!AF104+'SG&amp;A'!AF104</f>
        <v>0</v>
      </c>
      <c r="AG104" s="27">
        <f>COGS!AG104+'SG&amp;A'!AG104</f>
        <v>0</v>
      </c>
      <c r="AH104" s="27">
        <f>COGS!AH104+'SG&amp;A'!AH104</f>
        <v>0</v>
      </c>
      <c r="AI104" s="27">
        <f>COGS!AI104+'SG&amp;A'!AI104</f>
        <v>0</v>
      </c>
      <c r="AJ104" s="27">
        <f>COGS!AJ104+'SG&amp;A'!AJ104</f>
        <v>0</v>
      </c>
      <c r="AK104" s="27">
        <f>COGS!AK104+'SG&amp;A'!AK104</f>
        <v>0</v>
      </c>
      <c r="AL104" s="27">
        <f>COGS!AL104+'SG&amp;A'!AL104</f>
        <v>0</v>
      </c>
      <c r="AM104" s="27">
        <f>COGS!AM104+'SG&amp;A'!AM104</f>
        <v>0</v>
      </c>
      <c r="AN104" s="27">
        <f>COGS!AN104+'SG&amp;A'!AN104</f>
        <v>0</v>
      </c>
      <c r="AO104" s="27">
        <f>COGS!AO104+'SG&amp;A'!AO104</f>
        <v>0</v>
      </c>
      <c r="AP104" s="27">
        <f>COGS!AP104+'SG&amp;A'!AP104</f>
        <v>0</v>
      </c>
      <c r="AQ104" s="27">
        <f>COGS!AQ104+'SG&amp;A'!AQ104</f>
        <v>0</v>
      </c>
      <c r="AR104" s="27">
        <f>COGS!AR104+'SG&amp;A'!AR104</f>
        <v>0</v>
      </c>
      <c r="AS104" s="27">
        <f>COGS!AS104+'SG&amp;A'!AS104</f>
        <v>0</v>
      </c>
      <c r="AT104" s="27">
        <f>COGS!AT104+'SG&amp;A'!AT104</f>
        <v>0</v>
      </c>
      <c r="AU104" s="27">
        <f>COGS!AU104+'SG&amp;A'!AU104</f>
        <v>0</v>
      </c>
      <c r="AV104" s="27">
        <f>COGS!AV104+'SG&amp;A'!AV104</f>
        <v>0</v>
      </c>
      <c r="AW104" s="27">
        <f>COGS!AW104+'SG&amp;A'!AW104</f>
        <v>0</v>
      </c>
      <c r="AX104" s="27">
        <f>COGS!AX104+'SG&amp;A'!AX104</f>
        <v>0</v>
      </c>
      <c r="AY104" s="27">
        <f>COGS!AY104+'SG&amp;A'!AY104</f>
        <v>0</v>
      </c>
      <c r="AZ104" s="27">
        <f>COGS!AZ104+'SG&amp;A'!AZ104</f>
        <v>0</v>
      </c>
      <c r="BA104" s="27">
        <f>COGS!BA104+'SG&amp;A'!BA104</f>
        <v>0</v>
      </c>
      <c r="BB104" s="27">
        <f>COGS!BB104+'SG&amp;A'!BB104</f>
        <v>0</v>
      </c>
      <c r="BC104" s="27">
        <f>COGS!BC104+'SG&amp;A'!BC104</f>
        <v>0</v>
      </c>
      <c r="BD104" s="27">
        <f>COGS!BD104+'SG&amp;A'!BD104</f>
        <v>0</v>
      </c>
      <c r="BE104" s="27">
        <f>COGS!BE104+'SG&amp;A'!BE104</f>
        <v>0</v>
      </c>
      <c r="BF104" s="27">
        <f>COGS!BF104+'SG&amp;A'!BF104</f>
        <v>0</v>
      </c>
      <c r="BG104" s="27">
        <f>COGS!BG104+'SG&amp;A'!BG104</f>
        <v>0</v>
      </c>
      <c r="BH104" s="27">
        <f>COGS!BH104+'SG&amp;A'!BH104</f>
        <v>0</v>
      </c>
      <c r="BI104" s="27">
        <f>COGS!BI104+'SG&amp;A'!BI104</f>
        <v>0</v>
      </c>
      <c r="BJ104" s="27">
        <f>COGS!BJ104+'SG&amp;A'!BJ104</f>
        <v>1.2694820999999998</v>
      </c>
      <c r="BK104" s="27">
        <f>COGS!BK104+'SG&amp;A'!BK104</f>
        <v>1.0604500700000004</v>
      </c>
      <c r="BL104" s="27">
        <f>COGS!BL104+'SG&amp;A'!BL104</f>
        <v>1.6042982499999998</v>
      </c>
      <c r="BM104" s="27">
        <f>COGS!BM104+'SG&amp;A'!BM104</f>
        <v>2.1859124899999989</v>
      </c>
      <c r="BN104" s="27">
        <f>COGS!BN104+'SG&amp;A'!BN104</f>
        <v>6.1201429099999984</v>
      </c>
      <c r="BO104" s="27">
        <f>COGS!BO104+'SG&amp;A'!BO104</f>
        <v>1.3197088000000001</v>
      </c>
      <c r="BP104" s="27">
        <f>COGS!BP104+'SG&amp;A'!BP104</f>
        <v>1.2676715200000002</v>
      </c>
      <c r="BQ104" s="27">
        <f>COGS!BQ104+'SG&amp;A'!BQ104</f>
        <v>1.7745496699999987</v>
      </c>
      <c r="BR104" s="27">
        <f>COGS!BR104+'SG&amp;A'!BR104</f>
        <v>2.3078034000000009</v>
      </c>
      <c r="BS104" s="27">
        <f>COGS!BS104+'SG&amp;A'!BS104</f>
        <v>6.6697333900000002</v>
      </c>
      <c r="BT104" s="27">
        <f>COGS!BT104+'SG&amp;A'!BT104</f>
        <v>1.0442198499999999</v>
      </c>
      <c r="BU104" s="27">
        <f>COGS!BU104+'SG&amp;A'!BU104</f>
        <v>1.1759218300000003</v>
      </c>
      <c r="BV104" s="27">
        <f>COGS!BV104+'SG&amp;A'!BV104</f>
        <v>2.5092426799999998</v>
      </c>
      <c r="BW104" s="27">
        <f>COGS!BW104+'SG&amp;A'!BW104</f>
        <v>3.2881922699999988</v>
      </c>
      <c r="BX104" s="27">
        <f>COGS!BX104+'SG&amp;A'!BX104</f>
        <v>8.0175766299999989</v>
      </c>
      <c r="BY104" s="27">
        <f>COGS!BY104+'SG&amp;A'!BY104</f>
        <v>1.8201725</v>
      </c>
      <c r="BZ104" s="27">
        <f>COGS!BZ104+'SG&amp;A'!BZ104</f>
        <v>3.13199001</v>
      </c>
      <c r="CA104" s="27">
        <f>COGS!CA104+'SG&amp;A'!CA104</f>
        <v>2.3053088700000002</v>
      </c>
      <c r="CB104" s="27">
        <f>COGS!CB104+'SG&amp;A'!CB104</f>
        <v>6.8809770500000003</v>
      </c>
      <c r="CC104" s="27">
        <f>COGS!CC104+'SG&amp;A'!CC104</f>
        <v>14.13844843</v>
      </c>
      <c r="CD104" s="27">
        <f>COGS!CD104+'SG&amp;A'!CD104</f>
        <v>1.8599291800000002</v>
      </c>
      <c r="CE104" s="27">
        <f>COGS!CE104+'SG&amp;A'!CE104</f>
        <v>3.0906327899999999</v>
      </c>
      <c r="CF104" s="27">
        <f>COGS!CF104+'SG&amp;A'!CF104</f>
        <v>8.4186497900000017</v>
      </c>
      <c r="CG104" s="27">
        <f>COGS!CG104+'SG&amp;A'!CG104</f>
        <v>5.3891362900000006</v>
      </c>
      <c r="CH104" s="27">
        <f>COGS!CH104+'SG&amp;A'!CH104</f>
        <v>18.758348050000002</v>
      </c>
      <c r="CI104" s="27">
        <f>COGS!CI104+'SG&amp;A'!CI104</f>
        <v>1.5350892300000001</v>
      </c>
      <c r="CJ104" s="27">
        <f>COGS!CJ104+'SG&amp;A'!CJ104</f>
        <v>2.4144856099999998</v>
      </c>
      <c r="CK104" s="27">
        <f>COGS!CK104+'SG&amp;A'!CK104</f>
        <v>2.72213248</v>
      </c>
      <c r="CL104" s="27">
        <f>COGS!CL104+'SG&amp;A'!CL104</f>
        <v>3.6482158099999999</v>
      </c>
      <c r="CM104" s="27">
        <f>COGS!CM104+'SG&amp;A'!CM104</f>
        <v>10.319923129999999</v>
      </c>
      <c r="CN104" s="27">
        <f>COGS!CN104+'SG&amp;A'!CN104</f>
        <v>1.6038990500000001</v>
      </c>
      <c r="CO104" s="27">
        <f>COGS!CO104+'SG&amp;A'!CO104</f>
        <v>2.9903333999999999</v>
      </c>
      <c r="CP104" s="27">
        <f>COGS!CP104+'SG&amp;A'!CP104</f>
        <v>3.0069591800000008</v>
      </c>
      <c r="CQ104" s="27">
        <f>COGS!CQ104+'SG&amp;A'!CQ104</f>
        <v>5.6628083700000005</v>
      </c>
      <c r="CR104" s="27">
        <f>COGS!CR104+'SG&amp;A'!CR104</f>
        <v>13.264000000000001</v>
      </c>
      <c r="CS104" s="27">
        <f>COGS!CS104+'SG&amp;A'!CS104</f>
        <v>9.0226846199999997</v>
      </c>
      <c r="CT104" s="27">
        <f>COGS!CT104+'SG&amp;A'!CT104</f>
        <v>5.9650651200000002</v>
      </c>
      <c r="CU104" s="27">
        <f>COGS!CU104+'SG&amp;A'!CU104</f>
        <v>8.9757946000000004</v>
      </c>
      <c r="CV104" s="27">
        <f>COGS!CV104+'SG&amp;A'!CV104</f>
        <v>7.4616813099999959</v>
      </c>
      <c r="CW104" s="27">
        <f>COGS!CW104+'SG&amp;A'!CW104</f>
        <v>31.425225649999994</v>
      </c>
      <c r="CX104" s="27">
        <f>COGS!CX104+'SG&amp;A'!CX104</f>
        <v>4.3319999999999999</v>
      </c>
      <c r="CY104" s="27">
        <f>COGS!CY104+'SG&amp;A'!CY104</f>
        <v>3.323</v>
      </c>
      <c r="CZ104" s="27">
        <f>COGS!CZ104+'SG&amp;A'!CZ104</f>
        <v>4.5729999999999995</v>
      </c>
      <c r="DA104" s="27">
        <f>COGS!DA104+'SG&amp;A'!DA104</f>
        <v>16.677</v>
      </c>
      <c r="DB104" s="27">
        <f>COGS!DB104+'SG&amp;A'!DB104</f>
        <v>28.905000000000001</v>
      </c>
      <c r="DC104" s="27">
        <f>COGS!DC104+'SG&amp;A'!DC104</f>
        <v>7.5090000000000003</v>
      </c>
      <c r="DD104" s="27">
        <f>COGS!DD104+'SG&amp;A'!DD104</f>
        <v>7.3839999999999995</v>
      </c>
      <c r="DE104" s="27">
        <f>COGS!DE104+'SG&amp;A'!DE104</f>
        <v>7.7080000000000002</v>
      </c>
      <c r="DF104" s="27">
        <f>COGS!DF104+'SG&amp;A'!DF104</f>
        <v>9.3789999999999996</v>
      </c>
      <c r="DG104" s="27">
        <f>COGS!DG104+'SG&amp;A'!DG104</f>
        <v>31.980000000000004</v>
      </c>
      <c r="DH104" s="27">
        <f>COGS!DH104+'SG&amp;A'!DH104</f>
        <v>8.6370000000000005</v>
      </c>
      <c r="DI104" s="27">
        <f>COGS!DI104+'SG&amp;A'!DI104</f>
        <v>8.0530000000000008</v>
      </c>
      <c r="DJ104" s="27">
        <f>COGS!DJ104+'SG&amp;A'!DJ104</f>
        <v>11.335999999999999</v>
      </c>
      <c r="DK104" s="27">
        <f>COGS!DK104+'SG&amp;A'!DK104</f>
        <v>11.978</v>
      </c>
      <c r="DL104" s="27">
        <f>COGS!DL104+'SG&amp;A'!DL104</f>
        <v>40.003999999999998</v>
      </c>
      <c r="DM104" s="27">
        <f>COGS!DM104+'SG&amp;A'!DM104</f>
        <v>5.859</v>
      </c>
      <c r="DN104" s="27">
        <f>COGS!DN104+'SG&amp;A'!DN104</f>
        <v>1.4700000000000002</v>
      </c>
      <c r="DO104" s="27">
        <f>COGS!DO104+'SG&amp;A'!DO104</f>
        <v>9.2050000000000001</v>
      </c>
      <c r="DP104" s="27">
        <f>COGS!DP104+'SG&amp;A'!DP104</f>
        <v>30.132999999999999</v>
      </c>
      <c r="DQ104" s="27">
        <f>COGS!DQ104+'SG&amp;A'!DQ104</f>
        <v>46.666999999999994</v>
      </c>
      <c r="DR104" s="27">
        <f>COGS!DR104+'SG&amp;A'!DR104</f>
        <v>10.870000000000001</v>
      </c>
      <c r="DS104" s="27">
        <f>COGS!DS104+'SG&amp;A'!DS104</f>
        <v>8.6739999999999995</v>
      </c>
      <c r="DT104" s="27">
        <f>COGS!DT104+'SG&amp;A'!DT104</f>
        <v>6.8920000000000003</v>
      </c>
      <c r="DU104" s="27">
        <f>COGS!DU104+'SG&amp;A'!DU104</f>
        <v>17.964000000000002</v>
      </c>
      <c r="DV104" s="27">
        <f>COGS!DV104+'SG&amp;A'!DV104</f>
        <v>44.4</v>
      </c>
      <c r="DW104" s="27">
        <f>COGS!DW104+'SG&amp;A'!DW104</f>
        <v>6.9589999999999996</v>
      </c>
      <c r="DX104" s="27">
        <f>COGS!DX104+'SG&amp;A'!DX104</f>
        <v>2.8040820000000002</v>
      </c>
      <c r="DY104" s="27">
        <f>COGS!DY104+'SG&amp;A'!DY104</f>
        <v>7.9833778399999993</v>
      </c>
      <c r="DZ104" s="27">
        <f>COGS!DZ104+'SG&amp;A'!DZ104</f>
        <v>7.3030033900000006</v>
      </c>
      <c r="EA104" s="27">
        <f>COGS!EA104+'SG&amp;A'!EA104</f>
        <v>25.049463230000001</v>
      </c>
      <c r="EB104" s="27">
        <f>COGS!EB104+'SG&amp;A'!EB104</f>
        <v>5.6187182399999998</v>
      </c>
      <c r="EC104" s="27">
        <f>COGS!EC104+'SG&amp;A'!EC104</f>
        <v>8.1352409100000003</v>
      </c>
      <c r="ED104" s="27">
        <f>COGS!ED104+'SG&amp;A'!ED104</f>
        <v>9.766</v>
      </c>
      <c r="EE104" s="27">
        <f>COGS!EE104+'SG&amp;A'!EE104</f>
        <v>16.33182532</v>
      </c>
      <c r="EF104" s="27">
        <f>COGS!EF104+'SG&amp;A'!EF104</f>
        <v>39.851784469999998</v>
      </c>
      <c r="EG104" s="27">
        <f>COGS!EG104+'SG&amp;A'!EG104</f>
        <v>9.2760122900000006</v>
      </c>
      <c r="EH104" s="27">
        <f>COGS!EH104+'SG&amp;A'!EH104</f>
        <v>8.3085064000000024</v>
      </c>
      <c r="EI104" s="27">
        <f>COGS!EI104+'SG&amp;A'!EI104</f>
        <v>10.457316729999999</v>
      </c>
    </row>
    <row r="105" spans="1:139" ht="15" thickBot="1" x14ac:dyDescent="0.35">
      <c r="A105" s="2" t="s">
        <v>323</v>
      </c>
      <c r="B105" s="28">
        <f>COGS!B105+'SG&amp;A'!B105</f>
        <v>0</v>
      </c>
      <c r="C105" s="28">
        <f>COGS!C105+'SG&amp;A'!C105</f>
        <v>0</v>
      </c>
      <c r="D105" s="28">
        <f>COGS!D105+'SG&amp;A'!D105</f>
        <v>0</v>
      </c>
      <c r="E105" s="28">
        <f>COGS!E105+'SG&amp;A'!E105</f>
        <v>0</v>
      </c>
      <c r="F105" s="28">
        <f>COGS!F105+'SG&amp;A'!F105</f>
        <v>0</v>
      </c>
      <c r="G105" s="28">
        <f>COGS!G105+'SG&amp;A'!G105</f>
        <v>0</v>
      </c>
      <c r="H105" s="28">
        <f>COGS!H105+'SG&amp;A'!H105</f>
        <v>0</v>
      </c>
      <c r="I105" s="28">
        <f>COGS!I105+'SG&amp;A'!I105</f>
        <v>0</v>
      </c>
      <c r="J105" s="28">
        <f>COGS!J105+'SG&amp;A'!J105</f>
        <v>0</v>
      </c>
      <c r="K105" s="28">
        <f>COGS!K105+'SG&amp;A'!K105</f>
        <v>0</v>
      </c>
      <c r="L105" s="28">
        <f>COGS!L105+'SG&amp;A'!L105</f>
        <v>0</v>
      </c>
      <c r="M105" s="28">
        <f>COGS!M105+'SG&amp;A'!M105</f>
        <v>0</v>
      </c>
      <c r="N105" s="28">
        <f>COGS!N105+'SG&amp;A'!N105</f>
        <v>0</v>
      </c>
      <c r="O105" s="28">
        <f>COGS!O105+'SG&amp;A'!O105</f>
        <v>0</v>
      </c>
      <c r="P105" s="28">
        <f>COGS!P105+'SG&amp;A'!P105</f>
        <v>0</v>
      </c>
      <c r="Q105" s="28">
        <f>COGS!Q105+'SG&amp;A'!Q105</f>
        <v>0</v>
      </c>
      <c r="R105" s="28">
        <f>COGS!R105+'SG&amp;A'!R105</f>
        <v>0</v>
      </c>
      <c r="S105" s="28">
        <f>COGS!S105+'SG&amp;A'!S105</f>
        <v>0</v>
      </c>
      <c r="T105" s="28">
        <f>COGS!T105+'SG&amp;A'!T105</f>
        <v>0</v>
      </c>
      <c r="U105" s="28">
        <f>COGS!U105+'SG&amp;A'!U105</f>
        <v>0</v>
      </c>
      <c r="V105" s="28">
        <f>COGS!V105+'SG&amp;A'!V105</f>
        <v>0</v>
      </c>
      <c r="W105" s="28">
        <f>COGS!W105+'SG&amp;A'!W105</f>
        <v>0</v>
      </c>
      <c r="X105" s="28">
        <f>COGS!X105+'SG&amp;A'!X105</f>
        <v>0</v>
      </c>
      <c r="Y105" s="28">
        <f>COGS!Y105+'SG&amp;A'!Y105</f>
        <v>0</v>
      </c>
      <c r="Z105" s="28">
        <f>COGS!Z105+'SG&amp;A'!Z105</f>
        <v>0</v>
      </c>
      <c r="AA105" s="28">
        <f>COGS!AA105+'SG&amp;A'!AA105</f>
        <v>0</v>
      </c>
      <c r="AB105" s="28">
        <f>COGS!AB105+'SG&amp;A'!AB105</f>
        <v>0</v>
      </c>
      <c r="AC105" s="28">
        <f>COGS!AC105+'SG&amp;A'!AC105</f>
        <v>0</v>
      </c>
      <c r="AD105" s="28">
        <f>COGS!AD105+'SG&amp;A'!AD105</f>
        <v>0</v>
      </c>
      <c r="AE105" s="28">
        <f>COGS!AE105+'SG&amp;A'!AE105</f>
        <v>0</v>
      </c>
      <c r="AF105" s="28">
        <f>COGS!AF105+'SG&amp;A'!AF105</f>
        <v>0</v>
      </c>
      <c r="AG105" s="28">
        <f>COGS!AG105+'SG&amp;A'!AG105</f>
        <v>0</v>
      </c>
      <c r="AH105" s="28">
        <f>COGS!AH105+'SG&amp;A'!AH105</f>
        <v>0</v>
      </c>
      <c r="AI105" s="28">
        <f>COGS!AI105+'SG&amp;A'!AI105</f>
        <v>0</v>
      </c>
      <c r="AJ105" s="28">
        <f>COGS!AJ105+'SG&amp;A'!AJ105</f>
        <v>0</v>
      </c>
      <c r="AK105" s="28">
        <f>COGS!AK105+'SG&amp;A'!AK105</f>
        <v>0</v>
      </c>
      <c r="AL105" s="28">
        <f>COGS!AL105+'SG&amp;A'!AL105</f>
        <v>0</v>
      </c>
      <c r="AM105" s="28">
        <f>COGS!AM105+'SG&amp;A'!AM105</f>
        <v>0</v>
      </c>
      <c r="AN105" s="28">
        <f>COGS!AN105+'SG&amp;A'!AN105</f>
        <v>0</v>
      </c>
      <c r="AO105" s="28">
        <f>COGS!AO105+'SG&amp;A'!AO105</f>
        <v>0</v>
      </c>
      <c r="AP105" s="28">
        <f>COGS!AP105+'SG&amp;A'!AP105</f>
        <v>0</v>
      </c>
      <c r="AQ105" s="28">
        <f>COGS!AQ105+'SG&amp;A'!AQ105</f>
        <v>0</v>
      </c>
      <c r="AR105" s="28">
        <f>COGS!AR105+'SG&amp;A'!AR105</f>
        <v>0</v>
      </c>
      <c r="AS105" s="28">
        <f>COGS!AS105+'SG&amp;A'!AS105</f>
        <v>0</v>
      </c>
      <c r="AT105" s="28">
        <f>COGS!AT105+'SG&amp;A'!AT105</f>
        <v>0</v>
      </c>
      <c r="AU105" s="28">
        <f>COGS!AU105+'SG&amp;A'!AU105</f>
        <v>0</v>
      </c>
      <c r="AV105" s="28">
        <f>COGS!AV105+'SG&amp;A'!AV105</f>
        <v>0</v>
      </c>
      <c r="AW105" s="28">
        <f>COGS!AW105+'SG&amp;A'!AW105</f>
        <v>0</v>
      </c>
      <c r="AX105" s="28">
        <f>COGS!AX105+'SG&amp;A'!AX105</f>
        <v>0</v>
      </c>
      <c r="AY105" s="28">
        <f>COGS!AY105+'SG&amp;A'!AY105</f>
        <v>0</v>
      </c>
      <c r="AZ105" s="28">
        <f>COGS!AZ105+'SG&amp;A'!AZ105</f>
        <v>0</v>
      </c>
      <c r="BA105" s="28">
        <f>COGS!BA105+'SG&amp;A'!BA105</f>
        <v>0</v>
      </c>
      <c r="BB105" s="28">
        <f>COGS!BB105+'SG&amp;A'!BB105</f>
        <v>0</v>
      </c>
      <c r="BC105" s="28">
        <f>COGS!BC105+'SG&amp;A'!BC105</f>
        <v>0</v>
      </c>
      <c r="BD105" s="28">
        <f>COGS!BD105+'SG&amp;A'!BD105</f>
        <v>0</v>
      </c>
      <c r="BE105" s="28">
        <f>COGS!BE105+'SG&amp;A'!BE105</f>
        <v>0</v>
      </c>
      <c r="BF105" s="28">
        <f>COGS!BF105+'SG&amp;A'!BF105</f>
        <v>0</v>
      </c>
      <c r="BG105" s="28">
        <f>COGS!BG105+'SG&amp;A'!BG105</f>
        <v>0</v>
      </c>
      <c r="BH105" s="28">
        <f>COGS!BH105+'SG&amp;A'!BH105</f>
        <v>0</v>
      </c>
      <c r="BI105" s="28">
        <f>COGS!BI105+'SG&amp;A'!BI105</f>
        <v>0</v>
      </c>
      <c r="BJ105" s="28">
        <f>COGS!BJ105+'SG&amp;A'!BJ105</f>
        <v>0</v>
      </c>
      <c r="BK105" s="28">
        <f>COGS!BK105+'SG&amp;A'!BK105</f>
        <v>0</v>
      </c>
      <c r="BL105" s="28">
        <f>COGS!BL105+'SG&amp;A'!BL105</f>
        <v>0</v>
      </c>
      <c r="BM105" s="28">
        <f>COGS!BM105+'SG&amp;A'!BM105</f>
        <v>0</v>
      </c>
      <c r="BN105" s="28">
        <f>COGS!BN105+'SG&amp;A'!BN105</f>
        <v>0</v>
      </c>
      <c r="BO105" s="28">
        <f>COGS!BO105+'SG&amp;A'!BO105</f>
        <v>0</v>
      </c>
      <c r="BP105" s="28">
        <f>COGS!BP105+'SG&amp;A'!BP105</f>
        <v>0</v>
      </c>
      <c r="BQ105" s="28">
        <f>COGS!BQ105+'SG&amp;A'!BQ105</f>
        <v>0</v>
      </c>
      <c r="BR105" s="28">
        <f>COGS!BR105+'SG&amp;A'!BR105</f>
        <v>0</v>
      </c>
      <c r="BS105" s="28">
        <f>COGS!BS105+'SG&amp;A'!BS105</f>
        <v>0</v>
      </c>
      <c r="BT105" s="28">
        <f>COGS!BT105+'SG&amp;A'!BT105</f>
        <v>0</v>
      </c>
      <c r="BU105" s="28">
        <f>COGS!BU105+'SG&amp;A'!BU105</f>
        <v>0</v>
      </c>
      <c r="BV105" s="28">
        <f>COGS!BV105+'SG&amp;A'!BV105</f>
        <v>0</v>
      </c>
      <c r="BW105" s="28">
        <f>COGS!BW105+'SG&amp;A'!BW105</f>
        <v>0</v>
      </c>
      <c r="BX105" s="28">
        <f>COGS!BX105+'SG&amp;A'!BX105</f>
        <v>0</v>
      </c>
      <c r="BY105" s="28">
        <f>COGS!BY105+'SG&amp;A'!BY105</f>
        <v>0</v>
      </c>
      <c r="BZ105" s="28">
        <f>COGS!BZ105+'SG&amp;A'!BZ105</f>
        <v>0</v>
      </c>
      <c r="CA105" s="28">
        <f>COGS!CA105+'SG&amp;A'!CA105</f>
        <v>0</v>
      </c>
      <c r="CB105" s="28">
        <f>COGS!CB105+'SG&amp;A'!CB105</f>
        <v>0</v>
      </c>
      <c r="CC105" s="28">
        <f>COGS!CC105+'SG&amp;A'!CC105</f>
        <v>0</v>
      </c>
      <c r="CD105" s="28">
        <f>COGS!CD105+'SG&amp;A'!CD105</f>
        <v>0</v>
      </c>
      <c r="CE105" s="28">
        <f>COGS!CE105+'SG&amp;A'!CE105</f>
        <v>0</v>
      </c>
      <c r="CF105" s="28">
        <f>COGS!CF105+'SG&amp;A'!CF105</f>
        <v>0</v>
      </c>
      <c r="CG105" s="28">
        <f>COGS!CG105+'SG&amp;A'!CG105</f>
        <v>0</v>
      </c>
      <c r="CH105" s="28">
        <f>COGS!CH105+'SG&amp;A'!CH105</f>
        <v>0</v>
      </c>
      <c r="CI105" s="28">
        <f>COGS!CI105+'SG&amp;A'!CI105</f>
        <v>0</v>
      </c>
      <c r="CJ105" s="28">
        <f>COGS!CJ105+'SG&amp;A'!CJ105</f>
        <v>0</v>
      </c>
      <c r="CK105" s="28">
        <f>COGS!CK105+'SG&amp;A'!CK105</f>
        <v>0</v>
      </c>
      <c r="CL105" s="28">
        <f>COGS!CL105+'SG&amp;A'!CL105</f>
        <v>0</v>
      </c>
      <c r="CM105" s="28">
        <f>COGS!CM105+'SG&amp;A'!CM105</f>
        <v>0</v>
      </c>
      <c r="CN105" s="28">
        <f>COGS!CN105+'SG&amp;A'!CN105</f>
        <v>0</v>
      </c>
      <c r="CO105" s="28">
        <f>COGS!CO105+'SG&amp;A'!CO105</f>
        <v>0</v>
      </c>
      <c r="CP105" s="28">
        <f>COGS!CP105+'SG&amp;A'!CP105</f>
        <v>0</v>
      </c>
      <c r="CQ105" s="28">
        <f>COGS!CQ105+'SG&amp;A'!CQ105</f>
        <v>0</v>
      </c>
      <c r="CR105" s="28">
        <f>COGS!CR105+'SG&amp;A'!CR105</f>
        <v>0</v>
      </c>
      <c r="CS105" s="28">
        <f>COGS!CS105+'SG&amp;A'!CS105</f>
        <v>0</v>
      </c>
      <c r="CT105" s="28">
        <f>COGS!CT105+'SG&amp;A'!CT105</f>
        <v>0</v>
      </c>
      <c r="CU105" s="28">
        <f>COGS!CU105+'SG&amp;A'!CU105</f>
        <v>0</v>
      </c>
      <c r="CV105" s="28">
        <f>COGS!CV105+'SG&amp;A'!CV105</f>
        <v>0</v>
      </c>
      <c r="CW105" s="28">
        <f>COGS!CW105+'SG&amp;A'!CW105</f>
        <v>0</v>
      </c>
      <c r="CX105" s="28">
        <f>COGS!CX105+'SG&amp;A'!CX105</f>
        <v>0</v>
      </c>
      <c r="CY105" s="28">
        <f>COGS!CY105+'SG&amp;A'!CY105</f>
        <v>0</v>
      </c>
      <c r="CZ105" s="28">
        <f>COGS!CZ105+'SG&amp;A'!CZ105</f>
        <v>0</v>
      </c>
      <c r="DA105" s="28">
        <f>COGS!DA105+'SG&amp;A'!DA105</f>
        <v>0</v>
      </c>
      <c r="DB105" s="28">
        <f>COGS!DB105+'SG&amp;A'!DB105</f>
        <v>0</v>
      </c>
      <c r="DC105" s="28">
        <f>COGS!DC105+'SG&amp;A'!DC105</f>
        <v>0</v>
      </c>
      <c r="DD105" s="28">
        <f>COGS!DD105+'SG&amp;A'!DD105</f>
        <v>0</v>
      </c>
      <c r="DE105" s="28">
        <f>COGS!DE105+'SG&amp;A'!DE105</f>
        <v>0</v>
      </c>
      <c r="DF105" s="28">
        <f>COGS!DF105+'SG&amp;A'!DF105</f>
        <v>0</v>
      </c>
      <c r="DG105" s="28">
        <f>COGS!DG105+'SG&amp;A'!DG105</f>
        <v>0</v>
      </c>
      <c r="DH105" s="28">
        <f>COGS!DH105+'SG&amp;A'!DH105</f>
        <v>0</v>
      </c>
      <c r="DI105" s="28">
        <f>COGS!DI105+'SG&amp;A'!DI105</f>
        <v>1.7999999999999999E-2</v>
      </c>
      <c r="DJ105" s="28">
        <f>COGS!DJ105+'SG&amp;A'!DJ105</f>
        <v>0</v>
      </c>
      <c r="DK105" s="28">
        <f>COGS!DK105+'SG&amp;A'!DK105</f>
        <v>0</v>
      </c>
      <c r="DL105" s="28">
        <f>COGS!DL105+'SG&amp;A'!DL105</f>
        <v>1.7999999999999999E-2</v>
      </c>
      <c r="DM105" s="28">
        <f>COGS!DM105+'SG&amp;A'!DM105</f>
        <v>1.4E-2</v>
      </c>
      <c r="DN105" s="28">
        <f>COGS!DN105+'SG&amp;A'!DN105</f>
        <v>3.0000000000000001E-3</v>
      </c>
      <c r="DO105" s="28">
        <f>COGS!DO105+'SG&amp;A'!DO105</f>
        <v>1E-3</v>
      </c>
      <c r="DP105" s="28">
        <f>COGS!DP105+'SG&amp;A'!DP105</f>
        <v>7.0000000000000001E-3</v>
      </c>
      <c r="DQ105" s="28">
        <f>COGS!DQ105+'SG&amp;A'!DQ105</f>
        <v>2.5000000000000001E-2</v>
      </c>
      <c r="DR105" s="28">
        <f>COGS!DR105+'SG&amp;A'!DR105</f>
        <v>8.0000000000000002E-3</v>
      </c>
      <c r="DS105" s="28">
        <f>COGS!DS105+'SG&amp;A'!DS105</f>
        <v>1E-3</v>
      </c>
      <c r="DT105" s="28">
        <f>COGS!DT105+'SG&amp;A'!DT105</f>
        <v>3.0000000000000001E-3</v>
      </c>
      <c r="DU105" s="28">
        <f>COGS!DU105+'SG&amp;A'!DU105</f>
        <v>0</v>
      </c>
      <c r="DV105" s="28">
        <f>COGS!DV105+'SG&amp;A'!DV105</f>
        <v>1.2E-2</v>
      </c>
      <c r="DW105" s="28">
        <f>COGS!DW105+'SG&amp;A'!DW105</f>
        <v>0</v>
      </c>
      <c r="DX105" s="28">
        <f>COGS!DX105+'SG&amp;A'!DX105</f>
        <v>2.2400000000000002E-3</v>
      </c>
      <c r="DY105" s="28">
        <f>COGS!DY105+'SG&amp;A'!DY105</f>
        <v>0</v>
      </c>
      <c r="DZ105" s="28">
        <f>COGS!DZ105+'SG&amp;A'!DZ105</f>
        <v>2.0999999999999999E-3</v>
      </c>
      <c r="EA105" s="28">
        <f>COGS!EA105+'SG&amp;A'!EA105</f>
        <v>4.3400000000000001E-3</v>
      </c>
      <c r="EB105" s="28">
        <f>COGS!EB105+'SG&amp;A'!EB105</f>
        <v>1.0777999999999999E-2</v>
      </c>
      <c r="EC105" s="28">
        <f>COGS!EC105+'SG&amp;A'!EC105</f>
        <v>0</v>
      </c>
      <c r="ED105" s="28">
        <f>COGS!ED105+'SG&amp;A'!ED105</f>
        <v>0</v>
      </c>
      <c r="EE105" s="28">
        <f>COGS!EE105+'SG&amp;A'!EE105</f>
        <v>1.14E-3</v>
      </c>
      <c r="EF105" s="28">
        <f>COGS!EF105+'SG&amp;A'!EF105</f>
        <v>1.1918E-2</v>
      </c>
      <c r="EG105" s="28">
        <f>COGS!EG105+'SG&amp;A'!EG105</f>
        <v>1.0723999999999999E-2</v>
      </c>
      <c r="EH105" s="28">
        <f>COGS!EH105+'SG&amp;A'!EH105</f>
        <v>8.9326300000000004E-3</v>
      </c>
      <c r="EI105" s="28">
        <f>COGS!EI105+'SG&amp;A'!EI105</f>
        <v>0</v>
      </c>
    </row>
    <row r="106" spans="1:139" ht="15" thickTop="1" x14ac:dyDescent="0.3">
      <c r="A106" s="1" t="s">
        <v>322</v>
      </c>
      <c r="B106" s="27">
        <f>COGS!B106+'SG&amp;A'!B106</f>
        <v>0</v>
      </c>
      <c r="C106" s="27">
        <f>COGS!C106+'SG&amp;A'!C106</f>
        <v>0</v>
      </c>
      <c r="D106" s="27">
        <f>COGS!D106+'SG&amp;A'!D106</f>
        <v>0</v>
      </c>
      <c r="E106" s="27">
        <f>COGS!E106+'SG&amp;A'!E106</f>
        <v>0</v>
      </c>
      <c r="F106" s="27">
        <f>COGS!F106+'SG&amp;A'!F106</f>
        <v>0</v>
      </c>
      <c r="G106" s="27">
        <f>COGS!G106+'SG&amp;A'!G106</f>
        <v>0</v>
      </c>
      <c r="H106" s="27">
        <f>COGS!H106+'SG&amp;A'!H106</f>
        <v>0</v>
      </c>
      <c r="I106" s="27">
        <f>COGS!I106+'SG&amp;A'!I106</f>
        <v>0</v>
      </c>
      <c r="J106" s="27">
        <f>COGS!J106+'SG&amp;A'!J106</f>
        <v>0</v>
      </c>
      <c r="K106" s="27">
        <f>COGS!K106+'SG&amp;A'!K106</f>
        <v>0</v>
      </c>
      <c r="L106" s="27">
        <f>COGS!L106+'SG&amp;A'!L106</f>
        <v>0</v>
      </c>
      <c r="M106" s="27">
        <f>COGS!M106+'SG&amp;A'!M106</f>
        <v>0</v>
      </c>
      <c r="N106" s="27">
        <f>COGS!N106+'SG&amp;A'!N106</f>
        <v>0</v>
      </c>
      <c r="O106" s="27">
        <f>COGS!O106+'SG&amp;A'!O106</f>
        <v>0</v>
      </c>
      <c r="P106" s="27">
        <f>COGS!P106+'SG&amp;A'!P106</f>
        <v>0</v>
      </c>
      <c r="Q106" s="27">
        <f>COGS!Q106+'SG&amp;A'!Q106</f>
        <v>0</v>
      </c>
      <c r="R106" s="27">
        <f>COGS!R106+'SG&amp;A'!R106</f>
        <v>0</v>
      </c>
      <c r="S106" s="27">
        <f>COGS!S106+'SG&amp;A'!S106</f>
        <v>0</v>
      </c>
      <c r="T106" s="27">
        <f>COGS!T106+'SG&amp;A'!T106</f>
        <v>0</v>
      </c>
      <c r="U106" s="27">
        <f>COGS!U106+'SG&amp;A'!U106</f>
        <v>0</v>
      </c>
      <c r="V106" s="27">
        <f>COGS!V106+'SG&amp;A'!V106</f>
        <v>0</v>
      </c>
      <c r="W106" s="27">
        <f>COGS!W106+'SG&amp;A'!W106</f>
        <v>0</v>
      </c>
      <c r="X106" s="27">
        <f>COGS!X106+'SG&amp;A'!X106</f>
        <v>0</v>
      </c>
      <c r="Y106" s="27">
        <f>COGS!Y106+'SG&amp;A'!Y106</f>
        <v>0</v>
      </c>
      <c r="Z106" s="27">
        <f>COGS!Z106+'SG&amp;A'!Z106</f>
        <v>0</v>
      </c>
      <c r="AA106" s="27">
        <f>COGS!AA106+'SG&amp;A'!AA106</f>
        <v>0</v>
      </c>
      <c r="AB106" s="27">
        <f>COGS!AB106+'SG&amp;A'!AB106</f>
        <v>0</v>
      </c>
      <c r="AC106" s="27">
        <f>COGS!AC106+'SG&amp;A'!AC106</f>
        <v>0</v>
      </c>
      <c r="AD106" s="27">
        <f>COGS!AD106+'SG&amp;A'!AD106</f>
        <v>0</v>
      </c>
      <c r="AE106" s="27">
        <f>COGS!AE106+'SG&amp;A'!AE106</f>
        <v>0</v>
      </c>
      <c r="AF106" s="27">
        <f>COGS!AF106+'SG&amp;A'!AF106</f>
        <v>0</v>
      </c>
      <c r="AG106" s="27">
        <f>COGS!AG106+'SG&amp;A'!AG106</f>
        <v>0</v>
      </c>
      <c r="AH106" s="27">
        <f>COGS!AH106+'SG&amp;A'!AH106</f>
        <v>0</v>
      </c>
      <c r="AI106" s="27">
        <f>COGS!AI106+'SG&amp;A'!AI106</f>
        <v>0</v>
      </c>
      <c r="AJ106" s="27">
        <f>COGS!AJ106+'SG&amp;A'!AJ106</f>
        <v>0</v>
      </c>
      <c r="AK106" s="27">
        <f>COGS!AK106+'SG&amp;A'!AK106</f>
        <v>0</v>
      </c>
      <c r="AL106" s="27">
        <f>COGS!AL106+'SG&amp;A'!AL106</f>
        <v>0</v>
      </c>
      <c r="AM106" s="27">
        <f>COGS!AM106+'SG&amp;A'!AM106</f>
        <v>0</v>
      </c>
      <c r="AN106" s="27">
        <f>COGS!AN106+'SG&amp;A'!AN106</f>
        <v>0</v>
      </c>
      <c r="AO106" s="27">
        <f>COGS!AO106+'SG&amp;A'!AO106</f>
        <v>0</v>
      </c>
      <c r="AP106" s="27">
        <f>COGS!AP106+'SG&amp;A'!AP106</f>
        <v>0</v>
      </c>
      <c r="AQ106" s="27">
        <f>COGS!AQ106+'SG&amp;A'!AQ106</f>
        <v>0</v>
      </c>
      <c r="AR106" s="27">
        <f>COGS!AR106+'SG&amp;A'!AR106</f>
        <v>0</v>
      </c>
      <c r="AS106" s="27">
        <f>COGS!AS106+'SG&amp;A'!AS106</f>
        <v>0</v>
      </c>
      <c r="AT106" s="27">
        <f>COGS!AT106+'SG&amp;A'!AT106</f>
        <v>0</v>
      </c>
      <c r="AU106" s="27">
        <f>COGS!AU106+'SG&amp;A'!AU106</f>
        <v>0</v>
      </c>
      <c r="AV106" s="27">
        <f>COGS!AV106+'SG&amp;A'!AV106</f>
        <v>0</v>
      </c>
      <c r="AW106" s="27">
        <f>COGS!AW106+'SG&amp;A'!AW106</f>
        <v>0</v>
      </c>
      <c r="AX106" s="27">
        <f>COGS!AX106+'SG&amp;A'!AX106</f>
        <v>0</v>
      </c>
      <c r="AY106" s="27">
        <f>COGS!AY106+'SG&amp;A'!AY106</f>
        <v>0</v>
      </c>
      <c r="AZ106" s="27">
        <f>COGS!AZ106+'SG&amp;A'!AZ106</f>
        <v>0</v>
      </c>
      <c r="BA106" s="27">
        <f>COGS!BA106+'SG&amp;A'!BA106</f>
        <v>0</v>
      </c>
      <c r="BB106" s="27">
        <f>COGS!BB106+'SG&amp;A'!BB106</f>
        <v>0</v>
      </c>
      <c r="BC106" s="27">
        <f>COGS!BC106+'SG&amp;A'!BC106</f>
        <v>0</v>
      </c>
      <c r="BD106" s="27">
        <f>COGS!BD106+'SG&amp;A'!BD106</f>
        <v>0</v>
      </c>
      <c r="BE106" s="27">
        <f>COGS!BE106+'SG&amp;A'!BE106</f>
        <v>0</v>
      </c>
      <c r="BF106" s="27">
        <f>COGS!BF106+'SG&amp;A'!BF106</f>
        <v>0</v>
      </c>
      <c r="BG106" s="27">
        <f>COGS!BG106+'SG&amp;A'!BG106</f>
        <v>0</v>
      </c>
      <c r="BH106" s="27">
        <f>COGS!BH106+'SG&amp;A'!BH106</f>
        <v>0</v>
      </c>
      <c r="BI106" s="27">
        <f>COGS!BI106+'SG&amp;A'!BI106</f>
        <v>0</v>
      </c>
      <c r="BJ106" s="27">
        <f>COGS!BJ106+'SG&amp;A'!BJ106</f>
        <v>0</v>
      </c>
      <c r="BK106" s="27">
        <f>COGS!BK106+'SG&amp;A'!BK106</f>
        <v>0</v>
      </c>
      <c r="BL106" s="27">
        <f>COGS!BL106+'SG&amp;A'!BL106</f>
        <v>0</v>
      </c>
      <c r="BM106" s="27">
        <f>COGS!BM106+'SG&amp;A'!BM106</f>
        <v>0</v>
      </c>
      <c r="BN106" s="27">
        <f>COGS!BN106+'SG&amp;A'!BN106</f>
        <v>0</v>
      </c>
      <c r="BO106" s="27">
        <f>COGS!BO106+'SG&amp;A'!BO106</f>
        <v>0</v>
      </c>
      <c r="BP106" s="27">
        <f>COGS!BP106+'SG&amp;A'!BP106</f>
        <v>0</v>
      </c>
      <c r="BQ106" s="27">
        <f>COGS!BQ106+'SG&amp;A'!BQ106</f>
        <v>0</v>
      </c>
      <c r="BR106" s="27">
        <f>COGS!BR106+'SG&amp;A'!BR106</f>
        <v>0</v>
      </c>
      <c r="BS106" s="27">
        <f>COGS!BS106+'SG&amp;A'!BS106</f>
        <v>0</v>
      </c>
      <c r="BT106" s="27">
        <f>COGS!BT106+'SG&amp;A'!BT106</f>
        <v>0</v>
      </c>
      <c r="BU106" s="27">
        <f>COGS!BU106+'SG&amp;A'!BU106</f>
        <v>0</v>
      </c>
      <c r="BV106" s="27">
        <f>COGS!BV106+'SG&amp;A'!BV106</f>
        <v>0</v>
      </c>
      <c r="BW106" s="27">
        <f>COGS!BW106+'SG&amp;A'!BW106</f>
        <v>0</v>
      </c>
      <c r="BX106" s="27">
        <f>COGS!BX106+'SG&amp;A'!BX106</f>
        <v>0</v>
      </c>
      <c r="BY106" s="27">
        <f>COGS!BY106+'SG&amp;A'!BY106</f>
        <v>0</v>
      </c>
      <c r="BZ106" s="27">
        <f>COGS!BZ106+'SG&amp;A'!BZ106</f>
        <v>0</v>
      </c>
      <c r="CA106" s="27">
        <f>COGS!CA106+'SG&amp;A'!CA106</f>
        <v>0</v>
      </c>
      <c r="CB106" s="27">
        <f>COGS!CB106+'SG&amp;A'!CB106</f>
        <v>0</v>
      </c>
      <c r="CC106" s="27">
        <f>COGS!CC106+'SG&amp;A'!CC106</f>
        <v>0</v>
      </c>
      <c r="CD106" s="27">
        <f>COGS!CD106+'SG&amp;A'!CD106</f>
        <v>0</v>
      </c>
      <c r="CE106" s="27">
        <f>COGS!CE106+'SG&amp;A'!CE106</f>
        <v>0</v>
      </c>
      <c r="CF106" s="27">
        <f>COGS!CF106+'SG&amp;A'!CF106</f>
        <v>0</v>
      </c>
      <c r="CG106" s="27">
        <f>COGS!CG106+'SG&amp;A'!CG106</f>
        <v>0</v>
      </c>
      <c r="CH106" s="27">
        <f>COGS!CH106+'SG&amp;A'!CH106</f>
        <v>0</v>
      </c>
      <c r="CI106" s="27">
        <f>COGS!CI106+'SG&amp;A'!CI106</f>
        <v>0</v>
      </c>
      <c r="CJ106" s="27">
        <f>COGS!CJ106+'SG&amp;A'!CJ106</f>
        <v>0</v>
      </c>
      <c r="CK106" s="27">
        <f>COGS!CK106+'SG&amp;A'!CK106</f>
        <v>0</v>
      </c>
      <c r="CL106" s="27">
        <f>COGS!CL106+'SG&amp;A'!CL106</f>
        <v>0</v>
      </c>
      <c r="CM106" s="27">
        <f>COGS!CM106+'SG&amp;A'!CM106</f>
        <v>0</v>
      </c>
      <c r="CN106" s="27">
        <f>COGS!CN106+'SG&amp;A'!CN106</f>
        <v>0</v>
      </c>
      <c r="CO106" s="27">
        <f>COGS!CO106+'SG&amp;A'!CO106</f>
        <v>0</v>
      </c>
      <c r="CP106" s="27">
        <f>COGS!CP106+'SG&amp;A'!CP106</f>
        <v>0</v>
      </c>
      <c r="CQ106" s="27">
        <f>COGS!CQ106+'SG&amp;A'!CQ106</f>
        <v>0</v>
      </c>
      <c r="CR106" s="27">
        <f>COGS!CR106+'SG&amp;A'!CR106</f>
        <v>0</v>
      </c>
      <c r="CS106" s="27">
        <f>COGS!CS106+'SG&amp;A'!CS106</f>
        <v>0</v>
      </c>
      <c r="CT106" s="27">
        <f>COGS!CT106+'SG&amp;A'!CT106</f>
        <v>0</v>
      </c>
      <c r="CU106" s="27">
        <f>COGS!CU106+'SG&amp;A'!CU106</f>
        <v>0</v>
      </c>
      <c r="CV106" s="27">
        <f>COGS!CV106+'SG&amp;A'!CV106</f>
        <v>0</v>
      </c>
      <c r="CW106" s="27">
        <f>COGS!CW106+'SG&amp;A'!CW106</f>
        <v>0</v>
      </c>
      <c r="CX106" s="27">
        <f>COGS!CX106+'SG&amp;A'!CX106</f>
        <v>0</v>
      </c>
      <c r="CY106" s="27">
        <f>COGS!CY106+'SG&amp;A'!CY106</f>
        <v>0</v>
      </c>
      <c r="CZ106" s="27">
        <f>COGS!CZ106+'SG&amp;A'!CZ106</f>
        <v>0</v>
      </c>
      <c r="DA106" s="27">
        <f>COGS!DA106+'SG&amp;A'!DA106</f>
        <v>0</v>
      </c>
      <c r="DB106" s="27">
        <f>COGS!DB106+'SG&amp;A'!DB106</f>
        <v>0</v>
      </c>
      <c r="DC106" s="27">
        <f>COGS!DC106+'SG&amp;A'!DC106</f>
        <v>0</v>
      </c>
      <c r="DD106" s="27">
        <f>COGS!DD106+'SG&amp;A'!DD106</f>
        <v>0</v>
      </c>
      <c r="DE106" s="27">
        <f>COGS!DE106+'SG&amp;A'!DE106</f>
        <v>0</v>
      </c>
      <c r="DF106" s="27">
        <f>COGS!DF106+'SG&amp;A'!DF106</f>
        <v>0</v>
      </c>
      <c r="DG106" s="27">
        <f>COGS!DG106+'SG&amp;A'!DG106</f>
        <v>0</v>
      </c>
      <c r="DH106" s="27">
        <f>COGS!DH106+'SG&amp;A'!DH106</f>
        <v>0</v>
      </c>
      <c r="DI106" s="27">
        <f>COGS!DI106+'SG&amp;A'!DI106</f>
        <v>0</v>
      </c>
      <c r="DJ106" s="27">
        <f>COGS!DJ106+'SG&amp;A'!DJ106</f>
        <v>0</v>
      </c>
      <c r="DK106" s="27">
        <f>COGS!DK106+'SG&amp;A'!DK106</f>
        <v>0</v>
      </c>
      <c r="DL106" s="27">
        <f>COGS!DL106+'SG&amp;A'!DL106</f>
        <v>0</v>
      </c>
      <c r="DM106" s="27">
        <f>COGS!DM106+'SG&amp;A'!DM106</f>
        <v>0</v>
      </c>
      <c r="DN106" s="27">
        <f>COGS!DN106+'SG&amp;A'!DN106</f>
        <v>0</v>
      </c>
      <c r="DO106" s="27">
        <f>COGS!DO106+'SG&amp;A'!DO106</f>
        <v>0.28199999999999997</v>
      </c>
      <c r="DP106" s="27">
        <f>COGS!DP106+'SG&amp;A'!DP106</f>
        <v>0.44700000000000001</v>
      </c>
      <c r="DQ106" s="27">
        <f>COGS!DQ106+'SG&amp;A'!DQ106</f>
        <v>0.72899999999999998</v>
      </c>
      <c r="DR106" s="27">
        <f>COGS!DR106+'SG&amp;A'!DR106</f>
        <v>0.30099999999999999</v>
      </c>
      <c r="DS106" s="27">
        <f>COGS!DS106+'SG&amp;A'!DS106</f>
        <v>0.27600000000000002</v>
      </c>
      <c r="DT106" s="27">
        <f>COGS!DT106+'SG&amp;A'!DT106</f>
        <v>0.16300000000000001</v>
      </c>
      <c r="DU106" s="27">
        <f>COGS!DU106+'SG&amp;A'!DU106</f>
        <v>0.17699999999999999</v>
      </c>
      <c r="DV106" s="27">
        <f>COGS!DV106+'SG&amp;A'!DV106</f>
        <v>0.91700000000000004</v>
      </c>
      <c r="DW106" s="27">
        <f>COGS!DW106+'SG&amp;A'!DW106</f>
        <v>0.21099999999999999</v>
      </c>
      <c r="DX106" s="27">
        <f>COGS!DX106+'SG&amp;A'!DX106</f>
        <v>0.17581173999999999</v>
      </c>
      <c r="DY106" s="27">
        <f>COGS!DY106+'SG&amp;A'!DY106</f>
        <v>0.18207128</v>
      </c>
      <c r="DZ106" s="27">
        <f>COGS!DZ106+'SG&amp;A'!DZ106</f>
        <v>0.18123678000000004</v>
      </c>
      <c r="EA106" s="27">
        <f>COGS!EA106+'SG&amp;A'!EA106</f>
        <v>0.7501198</v>
      </c>
      <c r="EB106" s="27">
        <f>COGS!EB106+'SG&amp;A'!EB106</f>
        <v>0.22335484999999999</v>
      </c>
      <c r="EC106" s="27">
        <f>COGS!EC106+'SG&amp;A'!EC106</f>
        <v>0.19467026000000004</v>
      </c>
      <c r="ED106" s="27">
        <f>COGS!ED106+'SG&amp;A'!ED106</f>
        <v>0.19700000000000001</v>
      </c>
      <c r="EE106" s="27">
        <f>COGS!EE106+'SG&amp;A'!EE106</f>
        <v>0.20718875999999997</v>
      </c>
      <c r="EF106" s="27">
        <f>COGS!EF106+'SG&amp;A'!EF106</f>
        <v>0.82221387000000001</v>
      </c>
      <c r="EG106" s="27">
        <f>COGS!EG106+'SG&amp;A'!EG106</f>
        <v>0.21658326</v>
      </c>
      <c r="EH106" s="27">
        <f>COGS!EH106+'SG&amp;A'!EH106</f>
        <v>0.18983132</v>
      </c>
      <c r="EI106" s="27">
        <f>COGS!EI106+'SG&amp;A'!EI106</f>
        <v>-0.17548362000000001</v>
      </c>
    </row>
    <row r="107" spans="1:139" ht="15" thickBot="1" x14ac:dyDescent="0.35">
      <c r="A107" s="2" t="s">
        <v>370</v>
      </c>
      <c r="B107" s="28">
        <f>COGS!B107+'SG&amp;A'!B107</f>
        <v>0</v>
      </c>
      <c r="C107" s="28">
        <f>COGS!C107+'SG&amp;A'!C107</f>
        <v>0</v>
      </c>
      <c r="D107" s="28">
        <f>COGS!D107+'SG&amp;A'!D107</f>
        <v>0</v>
      </c>
      <c r="E107" s="28">
        <f>COGS!E107+'SG&amp;A'!E107</f>
        <v>0</v>
      </c>
      <c r="F107" s="28">
        <f>COGS!F107+'SG&amp;A'!F107</f>
        <v>0</v>
      </c>
      <c r="G107" s="28">
        <f>COGS!G107+'SG&amp;A'!G107</f>
        <v>0</v>
      </c>
      <c r="H107" s="28">
        <f>COGS!H107+'SG&amp;A'!H107</f>
        <v>0</v>
      </c>
      <c r="I107" s="28">
        <f>COGS!I107+'SG&amp;A'!I107</f>
        <v>0</v>
      </c>
      <c r="J107" s="28">
        <f>COGS!J107+'SG&amp;A'!J107</f>
        <v>0</v>
      </c>
      <c r="K107" s="28">
        <f>COGS!K107+'SG&amp;A'!K107</f>
        <v>0</v>
      </c>
      <c r="L107" s="28">
        <f>COGS!L107+'SG&amp;A'!L107</f>
        <v>0</v>
      </c>
      <c r="M107" s="28">
        <f>COGS!M107+'SG&amp;A'!M107</f>
        <v>0</v>
      </c>
      <c r="N107" s="28">
        <f>COGS!N107+'SG&amp;A'!N107</f>
        <v>0</v>
      </c>
      <c r="O107" s="28">
        <f>COGS!O107+'SG&amp;A'!O107</f>
        <v>0</v>
      </c>
      <c r="P107" s="28">
        <f>COGS!P107+'SG&amp;A'!P107</f>
        <v>0</v>
      </c>
      <c r="Q107" s="28">
        <f>COGS!Q107+'SG&amp;A'!Q107</f>
        <v>0</v>
      </c>
      <c r="R107" s="28">
        <f>COGS!R107+'SG&amp;A'!R107</f>
        <v>0</v>
      </c>
      <c r="S107" s="28">
        <f>COGS!S107+'SG&amp;A'!S107</f>
        <v>0</v>
      </c>
      <c r="T107" s="28">
        <f>COGS!T107+'SG&amp;A'!T107</f>
        <v>0</v>
      </c>
      <c r="U107" s="28">
        <f>COGS!U107+'SG&amp;A'!U107</f>
        <v>0</v>
      </c>
      <c r="V107" s="28">
        <f>COGS!V107+'SG&amp;A'!V107</f>
        <v>0</v>
      </c>
      <c r="W107" s="28">
        <f>COGS!W107+'SG&amp;A'!W107</f>
        <v>0</v>
      </c>
      <c r="X107" s="28">
        <f>COGS!X107+'SG&amp;A'!X107</f>
        <v>0</v>
      </c>
      <c r="Y107" s="28">
        <f>COGS!Y107+'SG&amp;A'!Y107</f>
        <v>0</v>
      </c>
      <c r="Z107" s="28">
        <f>COGS!Z107+'SG&amp;A'!Z107</f>
        <v>0</v>
      </c>
      <c r="AA107" s="28">
        <f>COGS!AA107+'SG&amp;A'!AA107</f>
        <v>0</v>
      </c>
      <c r="AB107" s="28">
        <f>COGS!AB107+'SG&amp;A'!AB107</f>
        <v>0</v>
      </c>
      <c r="AC107" s="28">
        <f>COGS!AC107+'SG&amp;A'!AC107</f>
        <v>0</v>
      </c>
      <c r="AD107" s="28">
        <f>COGS!AD107+'SG&amp;A'!AD107</f>
        <v>0</v>
      </c>
      <c r="AE107" s="28">
        <f>COGS!AE107+'SG&amp;A'!AE107</f>
        <v>0</v>
      </c>
      <c r="AF107" s="28">
        <f>COGS!AF107+'SG&amp;A'!AF107</f>
        <v>0</v>
      </c>
      <c r="AG107" s="28">
        <f>COGS!AG107+'SG&amp;A'!AG107</f>
        <v>0</v>
      </c>
      <c r="AH107" s="28">
        <f>COGS!AH107+'SG&amp;A'!AH107</f>
        <v>0</v>
      </c>
      <c r="AI107" s="28">
        <f>COGS!AI107+'SG&amp;A'!AI107</f>
        <v>0</v>
      </c>
      <c r="AJ107" s="28">
        <f>COGS!AJ107+'SG&amp;A'!AJ107</f>
        <v>0</v>
      </c>
      <c r="AK107" s="28">
        <f>COGS!AK107+'SG&amp;A'!AK107</f>
        <v>0</v>
      </c>
      <c r="AL107" s="28">
        <f>COGS!AL107+'SG&amp;A'!AL107</f>
        <v>0</v>
      </c>
      <c r="AM107" s="28">
        <f>COGS!AM107+'SG&amp;A'!AM107</f>
        <v>0</v>
      </c>
      <c r="AN107" s="28">
        <f>COGS!AN107+'SG&amp;A'!AN107</f>
        <v>0</v>
      </c>
      <c r="AO107" s="28">
        <f>COGS!AO107+'SG&amp;A'!AO107</f>
        <v>0</v>
      </c>
      <c r="AP107" s="28">
        <f>COGS!AP107+'SG&amp;A'!AP107</f>
        <v>0</v>
      </c>
      <c r="AQ107" s="28">
        <f>COGS!AQ107+'SG&amp;A'!AQ107</f>
        <v>0</v>
      </c>
      <c r="AR107" s="28">
        <f>COGS!AR107+'SG&amp;A'!AR107</f>
        <v>0</v>
      </c>
      <c r="AS107" s="28">
        <f>COGS!AS107+'SG&amp;A'!AS107</f>
        <v>0</v>
      </c>
      <c r="AT107" s="28">
        <f>COGS!AT107+'SG&amp;A'!AT107</f>
        <v>0</v>
      </c>
      <c r="AU107" s="28">
        <f>COGS!AU107+'SG&amp;A'!AU107</f>
        <v>0</v>
      </c>
      <c r="AV107" s="28">
        <f>COGS!AV107+'SG&amp;A'!AV107</f>
        <v>0</v>
      </c>
      <c r="AW107" s="28">
        <f>COGS!AW107+'SG&amp;A'!AW107</f>
        <v>0</v>
      </c>
      <c r="AX107" s="28">
        <f>COGS!AX107+'SG&amp;A'!AX107</f>
        <v>0</v>
      </c>
      <c r="AY107" s="28">
        <f>COGS!AY107+'SG&amp;A'!AY107</f>
        <v>0</v>
      </c>
      <c r="AZ107" s="28">
        <f>COGS!AZ107+'SG&amp;A'!AZ107</f>
        <v>0</v>
      </c>
      <c r="BA107" s="28">
        <f>COGS!BA107+'SG&amp;A'!BA107</f>
        <v>0</v>
      </c>
      <c r="BB107" s="28">
        <f>COGS!BB107+'SG&amp;A'!BB107</f>
        <v>0</v>
      </c>
      <c r="BC107" s="28">
        <f>COGS!BC107+'SG&amp;A'!BC107</f>
        <v>0</v>
      </c>
      <c r="BD107" s="28">
        <f>COGS!BD107+'SG&amp;A'!BD107</f>
        <v>0</v>
      </c>
      <c r="BE107" s="28">
        <f>COGS!BE107+'SG&amp;A'!BE107</f>
        <v>0</v>
      </c>
      <c r="BF107" s="28">
        <f>COGS!BF107+'SG&amp;A'!BF107</f>
        <v>0</v>
      </c>
      <c r="BG107" s="28">
        <f>COGS!BG107+'SG&amp;A'!BG107</f>
        <v>0</v>
      </c>
      <c r="BH107" s="28">
        <f>COGS!BH107+'SG&amp;A'!BH107</f>
        <v>0</v>
      </c>
      <c r="BI107" s="28">
        <f>COGS!BI107+'SG&amp;A'!BI107</f>
        <v>0</v>
      </c>
      <c r="BJ107" s="28">
        <f>COGS!BJ107+'SG&amp;A'!BJ107</f>
        <v>1.42433436</v>
      </c>
      <c r="BK107" s="28">
        <f>COGS!BK107+'SG&amp;A'!BK107</f>
        <v>1.5013749099999998</v>
      </c>
      <c r="BL107" s="28">
        <f>COGS!BL107+'SG&amp;A'!BL107</f>
        <v>7.1899044500000011</v>
      </c>
      <c r="BM107" s="28">
        <f>COGS!BM107+'SG&amp;A'!BM107</f>
        <v>4.7194915899999996</v>
      </c>
      <c r="BN107" s="28">
        <f>COGS!BN107+'SG&amp;A'!BN107</f>
        <v>14.835105309999999</v>
      </c>
      <c r="BO107" s="28">
        <f>COGS!BO107+'SG&amp;A'!BO107</f>
        <v>22.256454710000003</v>
      </c>
      <c r="BP107" s="28">
        <f>COGS!BP107+'SG&amp;A'!BP107</f>
        <v>16.83090833</v>
      </c>
      <c r="BQ107" s="28">
        <f>COGS!BQ107+'SG&amp;A'!BQ107</f>
        <v>28.670416149999994</v>
      </c>
      <c r="BR107" s="28">
        <f>COGS!BR107+'SG&amp;A'!BR107</f>
        <v>29.432291760000002</v>
      </c>
      <c r="BS107" s="28">
        <f>COGS!BS107+'SG&amp;A'!BS107</f>
        <v>97.190070950000006</v>
      </c>
      <c r="BT107" s="28">
        <f>COGS!BT107+'SG&amp;A'!BT107</f>
        <v>0</v>
      </c>
      <c r="BU107" s="28">
        <f>COGS!BU107+'SG&amp;A'!BU107</f>
        <v>0</v>
      </c>
      <c r="BV107" s="28">
        <f>COGS!BV107+'SG&amp;A'!BV107</f>
        <v>0</v>
      </c>
      <c r="BW107" s="28">
        <f>COGS!BW107+'SG&amp;A'!BW107</f>
        <v>0</v>
      </c>
      <c r="BX107" s="28">
        <f>COGS!BX107+'SG&amp;A'!BX107</f>
        <v>0</v>
      </c>
      <c r="BY107" s="28">
        <f>COGS!BY107+'SG&amp;A'!BY107</f>
        <v>0</v>
      </c>
      <c r="BZ107" s="28">
        <f>COGS!BZ107+'SG&amp;A'!BZ107</f>
        <v>0</v>
      </c>
      <c r="CA107" s="28">
        <f>COGS!CA107+'SG&amp;A'!CA107</f>
        <v>0</v>
      </c>
      <c r="CB107" s="28">
        <f>COGS!CB107+'SG&amp;A'!CB107</f>
        <v>0</v>
      </c>
      <c r="CC107" s="28">
        <f>COGS!CC107+'SG&amp;A'!CC107</f>
        <v>0</v>
      </c>
      <c r="CD107" s="28">
        <f>COGS!CD107+'SG&amp;A'!CD107</f>
        <v>0</v>
      </c>
      <c r="CE107" s="28">
        <f>COGS!CE107+'SG&amp;A'!CE107</f>
        <v>0</v>
      </c>
      <c r="CF107" s="28">
        <f>COGS!CF107+'SG&amp;A'!CF107</f>
        <v>0</v>
      </c>
      <c r="CG107" s="28">
        <f>COGS!CG107+'SG&amp;A'!CG107</f>
        <v>0</v>
      </c>
      <c r="CH107" s="28">
        <f>COGS!CH107+'SG&amp;A'!CH107</f>
        <v>0</v>
      </c>
      <c r="CI107" s="28">
        <f>COGS!CI107+'SG&amp;A'!CI107</f>
        <v>0</v>
      </c>
      <c r="CJ107" s="28">
        <f>COGS!CJ107+'SG&amp;A'!CJ107</f>
        <v>0</v>
      </c>
      <c r="CK107" s="28">
        <f>COGS!CK107+'SG&amp;A'!CK107</f>
        <v>0</v>
      </c>
      <c r="CL107" s="28">
        <f>COGS!CL107+'SG&amp;A'!CL107</f>
        <v>0</v>
      </c>
      <c r="CM107" s="28">
        <f>COGS!CM107+'SG&amp;A'!CM107</f>
        <v>0</v>
      </c>
      <c r="CN107" s="28">
        <f>COGS!CN107+'SG&amp;A'!CN107</f>
        <v>0</v>
      </c>
      <c r="CO107" s="28">
        <f>COGS!CO107+'SG&amp;A'!CO107</f>
        <v>0</v>
      </c>
      <c r="CP107" s="28">
        <f>COGS!CP107+'SG&amp;A'!CP107</f>
        <v>0</v>
      </c>
      <c r="CQ107" s="28">
        <f>COGS!CQ107+'SG&amp;A'!CQ107</f>
        <v>0</v>
      </c>
      <c r="CR107" s="28">
        <f>COGS!CR107+'SG&amp;A'!CR107</f>
        <v>0</v>
      </c>
      <c r="CS107" s="28">
        <f>COGS!CS107+'SG&amp;A'!CS107</f>
        <v>0</v>
      </c>
      <c r="CT107" s="28">
        <f>COGS!CT107+'SG&amp;A'!CT107</f>
        <v>0</v>
      </c>
      <c r="CU107" s="28">
        <f>COGS!CU107+'SG&amp;A'!CU107</f>
        <v>0</v>
      </c>
      <c r="CV107" s="28">
        <f>COGS!CV107+'SG&amp;A'!CV107</f>
        <v>0</v>
      </c>
      <c r="CW107" s="28">
        <f>COGS!CW107+'SG&amp;A'!CW107</f>
        <v>0</v>
      </c>
      <c r="CX107" s="28">
        <f>COGS!CX107+'SG&amp;A'!CX107</f>
        <v>0</v>
      </c>
      <c r="CY107" s="28">
        <f>COGS!CY107+'SG&amp;A'!CY107</f>
        <v>0</v>
      </c>
      <c r="CZ107" s="28">
        <f>COGS!CZ107+'SG&amp;A'!CZ107</f>
        <v>0</v>
      </c>
      <c r="DA107" s="28">
        <f>COGS!DA107+'SG&amp;A'!DA107</f>
        <v>0</v>
      </c>
      <c r="DB107" s="28">
        <f>COGS!DB107+'SG&amp;A'!DB107</f>
        <v>0</v>
      </c>
      <c r="DC107" s="28">
        <f>COGS!DC107+'SG&amp;A'!DC107</f>
        <v>0</v>
      </c>
      <c r="DD107" s="28">
        <f>COGS!DD107+'SG&amp;A'!DD107</f>
        <v>0</v>
      </c>
      <c r="DE107" s="28">
        <f>COGS!DE107+'SG&amp;A'!DE107</f>
        <v>0</v>
      </c>
      <c r="DF107" s="28">
        <f>COGS!DF107+'SG&amp;A'!DF107</f>
        <v>0</v>
      </c>
      <c r="DG107" s="28">
        <f>COGS!DG107+'SG&amp;A'!DG107</f>
        <v>0</v>
      </c>
      <c r="DH107" s="28">
        <f>COGS!DH107+'SG&amp;A'!DH107</f>
        <v>0</v>
      </c>
      <c r="DI107" s="28">
        <f>COGS!DI107+'SG&amp;A'!DI107</f>
        <v>0</v>
      </c>
      <c r="DJ107" s="28">
        <f>COGS!DJ107+'SG&amp;A'!DJ107</f>
        <v>0</v>
      </c>
      <c r="DK107" s="28">
        <f>COGS!DK107+'SG&amp;A'!DK107</f>
        <v>0</v>
      </c>
      <c r="DL107" s="28">
        <f>COGS!DL107+'SG&amp;A'!DL107</f>
        <v>0</v>
      </c>
      <c r="DM107" s="28">
        <f>COGS!DM107+'SG&amp;A'!DM107</f>
        <v>0</v>
      </c>
      <c r="DN107" s="28">
        <f>COGS!DN107+'SG&amp;A'!DN107</f>
        <v>0</v>
      </c>
      <c r="DO107" s="28">
        <f>COGS!DO107+'SG&amp;A'!DO107</f>
        <v>0</v>
      </c>
      <c r="DP107" s="28">
        <f>COGS!DP107+'SG&amp;A'!DP107</f>
        <v>0</v>
      </c>
      <c r="DQ107" s="28">
        <f>COGS!DQ107+'SG&amp;A'!DQ107</f>
        <v>0</v>
      </c>
      <c r="DR107" s="28">
        <f>COGS!DR107+'SG&amp;A'!DR107</f>
        <v>0</v>
      </c>
      <c r="DS107" s="28">
        <f>COGS!DS107+'SG&amp;A'!DS107</f>
        <v>0</v>
      </c>
      <c r="DT107" s="28">
        <f>COGS!DT107+'SG&amp;A'!DT107</f>
        <v>0</v>
      </c>
      <c r="DU107" s="28">
        <f>COGS!DU107+'SG&amp;A'!DU107</f>
        <v>0</v>
      </c>
      <c r="DV107" s="28">
        <f>COGS!DV107+'SG&amp;A'!DV107</f>
        <v>0</v>
      </c>
      <c r="DW107" s="28">
        <f>COGS!DW107+'SG&amp;A'!DW107</f>
        <v>0</v>
      </c>
      <c r="DX107" s="28">
        <f>COGS!DX107+'SG&amp;A'!DX107</f>
        <v>0</v>
      </c>
      <c r="DY107" s="28">
        <f>COGS!DY107+'SG&amp;A'!DY107</f>
        <v>0</v>
      </c>
      <c r="DZ107" s="28">
        <f>COGS!DZ107+'SG&amp;A'!DZ107</f>
        <v>0</v>
      </c>
      <c r="EA107" s="28">
        <f>COGS!EA107+'SG&amp;A'!EA107</f>
        <v>0</v>
      </c>
      <c r="EB107" s="28">
        <f>COGS!EB107+'SG&amp;A'!EB107</f>
        <v>0</v>
      </c>
      <c r="EC107" s="28">
        <f>COGS!EC107+'SG&amp;A'!EC107</f>
        <v>0</v>
      </c>
      <c r="ED107" s="28">
        <f>COGS!ED107+'SG&amp;A'!ED107</f>
        <v>0</v>
      </c>
      <c r="EE107" s="28">
        <f>COGS!EE107+'SG&amp;A'!EE107</f>
        <v>0</v>
      </c>
      <c r="EF107" s="28">
        <f>COGS!EF107+'SG&amp;A'!EF107</f>
        <v>0</v>
      </c>
      <c r="EG107" s="28">
        <f>COGS!EG107+'SG&amp;A'!EG107</f>
        <v>0</v>
      </c>
      <c r="EH107" s="28">
        <f>COGS!EH107+'SG&amp;A'!EH107</f>
        <v>0</v>
      </c>
      <c r="EI107" s="28">
        <f>COGS!EI107+'SG&amp;A'!EI107</f>
        <v>0</v>
      </c>
    </row>
    <row r="108" spans="1:139" ht="15" thickTop="1" x14ac:dyDescent="0.3">
      <c r="A108" s="1" t="s">
        <v>338</v>
      </c>
      <c r="B108" s="27">
        <f>COGS!B108+'SG&amp;A'!B108</f>
        <v>0</v>
      </c>
      <c r="C108" s="27">
        <f>COGS!C108+'SG&amp;A'!C108</f>
        <v>0</v>
      </c>
      <c r="D108" s="27">
        <f>COGS!D108+'SG&amp;A'!D108</f>
        <v>0</v>
      </c>
      <c r="E108" s="27">
        <f>COGS!E108+'SG&amp;A'!E108</f>
        <v>0</v>
      </c>
      <c r="F108" s="27">
        <f>COGS!F108+'SG&amp;A'!F108</f>
        <v>0</v>
      </c>
      <c r="G108" s="27">
        <f>COGS!G108+'SG&amp;A'!G108</f>
        <v>0</v>
      </c>
      <c r="H108" s="27">
        <f>COGS!H108+'SG&amp;A'!H108</f>
        <v>0</v>
      </c>
      <c r="I108" s="27">
        <f>COGS!I108+'SG&amp;A'!I108</f>
        <v>0</v>
      </c>
      <c r="J108" s="27">
        <f>COGS!J108+'SG&amp;A'!J108</f>
        <v>0</v>
      </c>
      <c r="K108" s="27">
        <f>COGS!K108+'SG&amp;A'!K108</f>
        <v>0</v>
      </c>
      <c r="L108" s="27">
        <f>COGS!L108+'SG&amp;A'!L108</f>
        <v>0</v>
      </c>
      <c r="M108" s="27">
        <f>COGS!M108+'SG&amp;A'!M108</f>
        <v>0</v>
      </c>
      <c r="N108" s="27">
        <f>COGS!N108+'SG&amp;A'!N108</f>
        <v>0</v>
      </c>
      <c r="O108" s="27">
        <f>COGS!O108+'SG&amp;A'!O108</f>
        <v>0</v>
      </c>
      <c r="P108" s="27">
        <f>COGS!P108+'SG&amp;A'!P108</f>
        <v>0</v>
      </c>
      <c r="Q108" s="27">
        <f>COGS!Q108+'SG&amp;A'!Q108</f>
        <v>0</v>
      </c>
      <c r="R108" s="27">
        <f>COGS!R108+'SG&amp;A'!R108</f>
        <v>0</v>
      </c>
      <c r="S108" s="27">
        <f>COGS!S108+'SG&amp;A'!S108</f>
        <v>0</v>
      </c>
      <c r="T108" s="27">
        <f>COGS!T108+'SG&amp;A'!T108</f>
        <v>0</v>
      </c>
      <c r="U108" s="27">
        <f>COGS!U108+'SG&amp;A'!U108</f>
        <v>0</v>
      </c>
      <c r="V108" s="27">
        <f>COGS!V108+'SG&amp;A'!V108</f>
        <v>0</v>
      </c>
      <c r="W108" s="27">
        <f>COGS!W108+'SG&amp;A'!W108</f>
        <v>0</v>
      </c>
      <c r="X108" s="27">
        <f>COGS!X108+'SG&amp;A'!X108</f>
        <v>0</v>
      </c>
      <c r="Y108" s="27">
        <f>COGS!Y108+'SG&amp;A'!Y108</f>
        <v>0</v>
      </c>
      <c r="Z108" s="27">
        <f>COGS!Z108+'SG&amp;A'!Z108</f>
        <v>0</v>
      </c>
      <c r="AA108" s="27">
        <f>COGS!AA108+'SG&amp;A'!AA108</f>
        <v>0</v>
      </c>
      <c r="AB108" s="27">
        <f>COGS!AB108+'SG&amp;A'!AB108</f>
        <v>0</v>
      </c>
      <c r="AC108" s="27">
        <f>COGS!AC108+'SG&amp;A'!AC108</f>
        <v>0</v>
      </c>
      <c r="AD108" s="27">
        <f>COGS!AD108+'SG&amp;A'!AD108</f>
        <v>0</v>
      </c>
      <c r="AE108" s="27">
        <f>COGS!AE108+'SG&amp;A'!AE108</f>
        <v>0</v>
      </c>
      <c r="AF108" s="27">
        <f>COGS!AF108+'SG&amp;A'!AF108</f>
        <v>0</v>
      </c>
      <c r="AG108" s="27">
        <f>COGS!AG108+'SG&amp;A'!AG108</f>
        <v>0</v>
      </c>
      <c r="AH108" s="27">
        <f>COGS!AH108+'SG&amp;A'!AH108</f>
        <v>0</v>
      </c>
      <c r="AI108" s="27">
        <f>COGS!AI108+'SG&amp;A'!AI108</f>
        <v>0</v>
      </c>
      <c r="AJ108" s="27">
        <f>COGS!AJ108+'SG&amp;A'!AJ108</f>
        <v>0</v>
      </c>
      <c r="AK108" s="27">
        <f>COGS!AK108+'SG&amp;A'!AK108</f>
        <v>0</v>
      </c>
      <c r="AL108" s="27">
        <f>COGS!AL108+'SG&amp;A'!AL108</f>
        <v>0</v>
      </c>
      <c r="AM108" s="27">
        <f>COGS!AM108+'SG&amp;A'!AM108</f>
        <v>0</v>
      </c>
      <c r="AN108" s="27">
        <f>COGS!AN108+'SG&amp;A'!AN108</f>
        <v>0</v>
      </c>
      <c r="AO108" s="27">
        <f>COGS!AO108+'SG&amp;A'!AO108</f>
        <v>0</v>
      </c>
      <c r="AP108" s="27">
        <f>COGS!AP108+'SG&amp;A'!AP108</f>
        <v>0</v>
      </c>
      <c r="AQ108" s="27">
        <f>COGS!AQ108+'SG&amp;A'!AQ108</f>
        <v>0</v>
      </c>
      <c r="AR108" s="27">
        <f>COGS!AR108+'SG&amp;A'!AR108</f>
        <v>0</v>
      </c>
      <c r="AS108" s="27">
        <f>COGS!AS108+'SG&amp;A'!AS108</f>
        <v>0</v>
      </c>
      <c r="AT108" s="27">
        <f>COGS!AT108+'SG&amp;A'!AT108</f>
        <v>0</v>
      </c>
      <c r="AU108" s="27">
        <f>COGS!AU108+'SG&amp;A'!AU108</f>
        <v>0</v>
      </c>
      <c r="AV108" s="27">
        <f>COGS!AV108+'SG&amp;A'!AV108</f>
        <v>0</v>
      </c>
      <c r="AW108" s="27">
        <f>COGS!AW108+'SG&amp;A'!AW108</f>
        <v>0</v>
      </c>
      <c r="AX108" s="27">
        <f>COGS!AX108+'SG&amp;A'!AX108</f>
        <v>0</v>
      </c>
      <c r="AY108" s="27">
        <f>COGS!AY108+'SG&amp;A'!AY108</f>
        <v>0</v>
      </c>
      <c r="AZ108" s="27">
        <f>COGS!AZ108+'SG&amp;A'!AZ108</f>
        <v>0</v>
      </c>
      <c r="BA108" s="27">
        <f>COGS!BA108+'SG&amp;A'!BA108</f>
        <v>0</v>
      </c>
      <c r="BB108" s="27">
        <f>COGS!BB108+'SG&amp;A'!BB108</f>
        <v>0</v>
      </c>
      <c r="BC108" s="27">
        <f>COGS!BC108+'SG&amp;A'!BC108</f>
        <v>0</v>
      </c>
      <c r="BD108" s="27">
        <f>COGS!BD108+'SG&amp;A'!BD108</f>
        <v>0</v>
      </c>
      <c r="BE108" s="27">
        <f>COGS!BE108+'SG&amp;A'!BE108</f>
        <v>0</v>
      </c>
      <c r="BF108" s="27">
        <f>COGS!BF108+'SG&amp;A'!BF108</f>
        <v>0</v>
      </c>
      <c r="BG108" s="27">
        <f>COGS!BG108+'SG&amp;A'!BG108</f>
        <v>0</v>
      </c>
      <c r="BH108" s="27">
        <f>COGS!BH108+'SG&amp;A'!BH108</f>
        <v>0</v>
      </c>
      <c r="BI108" s="27">
        <f>COGS!BI108+'SG&amp;A'!BI108</f>
        <v>0</v>
      </c>
      <c r="BJ108" s="27">
        <f>COGS!BJ108+'SG&amp;A'!BJ108</f>
        <v>0.99352927000000013</v>
      </c>
      <c r="BK108" s="27">
        <f>COGS!BK108+'SG&amp;A'!BK108</f>
        <v>0.90595965999999972</v>
      </c>
      <c r="BL108" s="27">
        <f>COGS!BL108+'SG&amp;A'!BL108</f>
        <v>1.0114273499999999</v>
      </c>
      <c r="BM108" s="27">
        <f>COGS!BM108+'SG&amp;A'!BM108</f>
        <v>1.1285051100000003</v>
      </c>
      <c r="BN108" s="27">
        <f>COGS!BN108+'SG&amp;A'!BN108</f>
        <v>4.0394213900000002</v>
      </c>
      <c r="BO108" s="27">
        <f>COGS!BO108+'SG&amp;A'!BO108</f>
        <v>1.03805455</v>
      </c>
      <c r="BP108" s="27">
        <f>COGS!BP108+'SG&amp;A'!BP108</f>
        <v>1.1284408299999995</v>
      </c>
      <c r="BQ108" s="27">
        <f>COGS!BQ108+'SG&amp;A'!BQ108</f>
        <v>1.3007823700000007</v>
      </c>
      <c r="BR108" s="27">
        <f>COGS!BR108+'SG&amp;A'!BR108</f>
        <v>1.3712050199999997</v>
      </c>
      <c r="BS108" s="27">
        <f>COGS!BS108+'SG&amp;A'!BS108</f>
        <v>4.8384827699999997</v>
      </c>
      <c r="BT108" s="27">
        <f>COGS!BT108+'SG&amp;A'!BT108</f>
        <v>0</v>
      </c>
      <c r="BU108" s="27">
        <f>COGS!BU108+'SG&amp;A'!BU108</f>
        <v>0</v>
      </c>
      <c r="BV108" s="27">
        <f>COGS!BV108+'SG&amp;A'!BV108</f>
        <v>0</v>
      </c>
      <c r="BW108" s="27">
        <f>COGS!BW108+'SG&amp;A'!BW108</f>
        <v>0</v>
      </c>
      <c r="BX108" s="27">
        <f>COGS!BX108+'SG&amp;A'!BX108</f>
        <v>0</v>
      </c>
      <c r="BY108" s="27">
        <f>COGS!BY108+'SG&amp;A'!BY108</f>
        <v>0</v>
      </c>
      <c r="BZ108" s="27">
        <f>COGS!BZ108+'SG&amp;A'!BZ108</f>
        <v>0</v>
      </c>
      <c r="CA108" s="27">
        <f>COGS!CA108+'SG&amp;A'!CA108</f>
        <v>0</v>
      </c>
      <c r="CB108" s="27">
        <f>COGS!CB108+'SG&amp;A'!CB108</f>
        <v>0</v>
      </c>
      <c r="CC108" s="27">
        <f>COGS!CC108+'SG&amp;A'!CC108</f>
        <v>0</v>
      </c>
      <c r="CD108" s="27">
        <f>COGS!CD108+'SG&amp;A'!CD108</f>
        <v>0</v>
      </c>
      <c r="CE108" s="27">
        <f>COGS!CE108+'SG&amp;A'!CE108</f>
        <v>0</v>
      </c>
      <c r="CF108" s="27">
        <f>COGS!CF108+'SG&amp;A'!CF108</f>
        <v>0</v>
      </c>
      <c r="CG108" s="27">
        <f>COGS!CG108+'SG&amp;A'!CG108</f>
        <v>0</v>
      </c>
      <c r="CH108" s="27">
        <f>COGS!CH108+'SG&amp;A'!CH108</f>
        <v>0</v>
      </c>
      <c r="CI108" s="27">
        <f>COGS!CI108+'SG&amp;A'!CI108</f>
        <v>0</v>
      </c>
      <c r="CJ108" s="27">
        <f>COGS!CJ108+'SG&amp;A'!CJ108</f>
        <v>0</v>
      </c>
      <c r="CK108" s="27">
        <f>COGS!CK108+'SG&amp;A'!CK108</f>
        <v>0</v>
      </c>
      <c r="CL108" s="27">
        <f>COGS!CL108+'SG&amp;A'!CL108</f>
        <v>0</v>
      </c>
      <c r="CM108" s="27">
        <f>COGS!CM108+'SG&amp;A'!CM108</f>
        <v>0</v>
      </c>
      <c r="CN108" s="27">
        <f>COGS!CN108+'SG&amp;A'!CN108</f>
        <v>0</v>
      </c>
      <c r="CO108" s="27">
        <f>COGS!CO108+'SG&amp;A'!CO108</f>
        <v>0</v>
      </c>
      <c r="CP108" s="27">
        <f>COGS!CP108+'SG&amp;A'!CP108</f>
        <v>0</v>
      </c>
      <c r="CQ108" s="27">
        <f>COGS!CQ108+'SG&amp;A'!CQ108</f>
        <v>1.2909999999999999</v>
      </c>
      <c r="CR108" s="27">
        <f>COGS!CR108+'SG&amp;A'!CR108</f>
        <v>1.2909999999999999</v>
      </c>
      <c r="CS108" s="27">
        <f>COGS!CS108+'SG&amp;A'!CS108</f>
        <v>0.25800000000000001</v>
      </c>
      <c r="CT108" s="27">
        <f>COGS!CT108+'SG&amp;A'!CT108</f>
        <v>0.31899999999999995</v>
      </c>
      <c r="CU108" s="27">
        <f>COGS!CU108+'SG&amp;A'!CU108</f>
        <v>0.33500000000000008</v>
      </c>
      <c r="CV108" s="27">
        <f>COGS!CV108+'SG&amp;A'!CV108</f>
        <v>0.55799999999999994</v>
      </c>
      <c r="CW108" s="27">
        <f>COGS!CW108+'SG&amp;A'!CW108</f>
        <v>1.47</v>
      </c>
      <c r="CX108" s="27">
        <f>COGS!CX108+'SG&amp;A'!CX108</f>
        <v>0.37</v>
      </c>
      <c r="CY108" s="27">
        <f>COGS!CY108+'SG&amp;A'!CY108</f>
        <v>0.36599999999999999</v>
      </c>
      <c r="CZ108" s="27">
        <f>COGS!CZ108+'SG&amp;A'!CZ108</f>
        <v>0.35399999999999998</v>
      </c>
      <c r="DA108" s="27">
        <f>COGS!DA108+'SG&amp;A'!DA108</f>
        <v>0.55899999999999994</v>
      </c>
      <c r="DB108" s="27">
        <f>COGS!DB108+'SG&amp;A'!DB108</f>
        <v>1.649</v>
      </c>
      <c r="DC108" s="27">
        <f>COGS!DC108+'SG&amp;A'!DC108</f>
        <v>0.42399999999999999</v>
      </c>
      <c r="DD108" s="27">
        <f>COGS!DD108+'SG&amp;A'!DD108</f>
        <v>0.41300000000000003</v>
      </c>
      <c r="DE108" s="27">
        <f>COGS!DE108+'SG&amp;A'!DE108</f>
        <v>0.54700000000000004</v>
      </c>
      <c r="DF108" s="27">
        <f>COGS!DF108+'SG&amp;A'!DF108</f>
        <v>0.62000000000000011</v>
      </c>
      <c r="DG108" s="27">
        <f>COGS!DG108+'SG&amp;A'!DG108</f>
        <v>2.004</v>
      </c>
      <c r="DH108" s="27">
        <f>COGS!DH108+'SG&amp;A'!DH108</f>
        <v>0.55500000000000005</v>
      </c>
      <c r="DI108" s="27">
        <f>COGS!DI108+'SG&amp;A'!DI108</f>
        <v>0.34899999999999998</v>
      </c>
      <c r="DJ108" s="27">
        <f>COGS!DJ108+'SG&amp;A'!DJ108</f>
        <v>0.36899999999999999</v>
      </c>
      <c r="DK108" s="27">
        <f>COGS!DK108+'SG&amp;A'!DK108</f>
        <v>0.44999999999999996</v>
      </c>
      <c r="DL108" s="27">
        <f>COGS!DL108+'SG&amp;A'!DL108</f>
        <v>1.7230000000000001</v>
      </c>
      <c r="DM108" s="27">
        <f>COGS!DM108+'SG&amp;A'!DM108</f>
        <v>0.35</v>
      </c>
      <c r="DN108" s="27">
        <f>COGS!DN108+'SG&amp;A'!DN108</f>
        <v>0.60699999999999998</v>
      </c>
      <c r="DO108" s="27">
        <f>COGS!DO108+'SG&amp;A'!DO108</f>
        <v>0.378</v>
      </c>
      <c r="DP108" s="27">
        <f>COGS!DP108+'SG&amp;A'!DP108</f>
        <v>0.42199999999999999</v>
      </c>
      <c r="DQ108" s="27">
        <f>COGS!DQ108+'SG&amp;A'!DQ108</f>
        <v>1.7569999999999999</v>
      </c>
      <c r="DR108" s="27">
        <f>COGS!DR108+'SG&amp;A'!DR108</f>
        <v>0.46300000000000002</v>
      </c>
      <c r="DS108" s="27">
        <f>COGS!DS108+'SG&amp;A'!DS108</f>
        <v>0.41499999999999998</v>
      </c>
      <c r="DT108" s="27">
        <f>COGS!DT108+'SG&amp;A'!DT108</f>
        <v>0.378</v>
      </c>
      <c r="DU108" s="27">
        <f>COGS!DU108+'SG&amp;A'!DU108</f>
        <v>0.46500000000000002</v>
      </c>
      <c r="DV108" s="27">
        <f>COGS!DV108+'SG&amp;A'!DV108</f>
        <v>1.7210000000000001</v>
      </c>
      <c r="DW108" s="27">
        <f>COGS!DW108+'SG&amp;A'!DW108</f>
        <v>0.43</v>
      </c>
      <c r="DX108" s="27">
        <f>COGS!DX108+'SG&amp;A'!DX108</f>
        <v>0.17416415000000002</v>
      </c>
      <c r="DY108" s="27">
        <f>COGS!DY108+'SG&amp;A'!DY108</f>
        <v>0.51159147999999999</v>
      </c>
      <c r="DZ108" s="27">
        <f>COGS!DZ108+'SG&amp;A'!DZ108</f>
        <v>0.44801536999999986</v>
      </c>
      <c r="EA108" s="27">
        <f>COGS!EA108+'SG&amp;A'!EA108</f>
        <v>1.5637709999999998</v>
      </c>
      <c r="EB108" s="27">
        <f>COGS!EB108+'SG&amp;A'!EB108</f>
        <v>0.30311188</v>
      </c>
      <c r="EC108" s="27">
        <f>COGS!EC108+'SG&amp;A'!EC108</f>
        <v>0.15436800000000001</v>
      </c>
      <c r="ED108" s="27">
        <f>COGS!ED108+'SG&amp;A'!ED108</f>
        <v>0.151</v>
      </c>
      <c r="EE108" s="27">
        <f>COGS!EE108+'SG&amp;A'!EE108</f>
        <v>7.6255000000000003E-2</v>
      </c>
      <c r="EF108" s="27">
        <f>COGS!EF108+'SG&amp;A'!EF108</f>
        <v>0.68473487999999993</v>
      </c>
      <c r="EG108" s="27">
        <f>COGS!EG108+'SG&amp;A'!EG108</f>
        <v>3.930782E-2</v>
      </c>
      <c r="EH108" s="27">
        <f>COGS!EH108+'SG&amp;A'!EH108</f>
        <v>5.9144230000000006E-2</v>
      </c>
      <c r="EI108" s="27">
        <f>COGS!EI108+'SG&amp;A'!EI108</f>
        <v>0.13780203000000002</v>
      </c>
    </row>
    <row r="109" spans="1:139" ht="15" thickBot="1" x14ac:dyDescent="0.35">
      <c r="A109" s="2" t="s">
        <v>331</v>
      </c>
      <c r="B109" s="28">
        <f>COGS!B109+'SG&amp;A'!B109</f>
        <v>0</v>
      </c>
      <c r="C109" s="28">
        <f>COGS!C109+'SG&amp;A'!C109</f>
        <v>0</v>
      </c>
      <c r="D109" s="28">
        <f>COGS!D109+'SG&amp;A'!D109</f>
        <v>0</v>
      </c>
      <c r="E109" s="28">
        <f>COGS!E109+'SG&amp;A'!E109</f>
        <v>0</v>
      </c>
      <c r="F109" s="28">
        <f>COGS!F109+'SG&amp;A'!F109</f>
        <v>0</v>
      </c>
      <c r="G109" s="28">
        <f>COGS!G109+'SG&amp;A'!G109</f>
        <v>0</v>
      </c>
      <c r="H109" s="28">
        <f>COGS!H109+'SG&amp;A'!H109</f>
        <v>0</v>
      </c>
      <c r="I109" s="28">
        <f>COGS!I109+'SG&amp;A'!I109</f>
        <v>0</v>
      </c>
      <c r="J109" s="28">
        <f>COGS!J109+'SG&amp;A'!J109</f>
        <v>0</v>
      </c>
      <c r="K109" s="28">
        <f>COGS!K109+'SG&amp;A'!K109</f>
        <v>0</v>
      </c>
      <c r="L109" s="28">
        <f>COGS!L109+'SG&amp;A'!L109</f>
        <v>0</v>
      </c>
      <c r="M109" s="28">
        <f>COGS!M109+'SG&amp;A'!M109</f>
        <v>0</v>
      </c>
      <c r="N109" s="28">
        <f>COGS!N109+'SG&amp;A'!N109</f>
        <v>0</v>
      </c>
      <c r="O109" s="28">
        <f>COGS!O109+'SG&amp;A'!O109</f>
        <v>0</v>
      </c>
      <c r="P109" s="28">
        <f>COGS!P109+'SG&amp;A'!P109</f>
        <v>0</v>
      </c>
      <c r="Q109" s="28">
        <f>COGS!Q109+'SG&amp;A'!Q109</f>
        <v>0</v>
      </c>
      <c r="R109" s="28">
        <f>COGS!R109+'SG&amp;A'!R109</f>
        <v>0</v>
      </c>
      <c r="S109" s="28">
        <f>COGS!S109+'SG&amp;A'!S109</f>
        <v>0</v>
      </c>
      <c r="T109" s="28">
        <f>COGS!T109+'SG&amp;A'!T109</f>
        <v>0</v>
      </c>
      <c r="U109" s="28">
        <f>COGS!U109+'SG&amp;A'!U109</f>
        <v>0</v>
      </c>
      <c r="V109" s="28">
        <f>COGS!V109+'SG&amp;A'!V109</f>
        <v>0</v>
      </c>
      <c r="W109" s="28">
        <f>COGS!W109+'SG&amp;A'!W109</f>
        <v>0</v>
      </c>
      <c r="X109" s="28">
        <f>COGS!X109+'SG&amp;A'!X109</f>
        <v>0</v>
      </c>
      <c r="Y109" s="28">
        <f>COGS!Y109+'SG&amp;A'!Y109</f>
        <v>0</v>
      </c>
      <c r="Z109" s="28">
        <f>COGS!Z109+'SG&amp;A'!Z109</f>
        <v>0</v>
      </c>
      <c r="AA109" s="28">
        <f>COGS!AA109+'SG&amp;A'!AA109</f>
        <v>0</v>
      </c>
      <c r="AB109" s="28">
        <f>COGS!AB109+'SG&amp;A'!AB109</f>
        <v>0</v>
      </c>
      <c r="AC109" s="28">
        <f>COGS!AC109+'SG&amp;A'!AC109</f>
        <v>0</v>
      </c>
      <c r="AD109" s="28">
        <f>COGS!AD109+'SG&amp;A'!AD109</f>
        <v>0</v>
      </c>
      <c r="AE109" s="28">
        <f>COGS!AE109+'SG&amp;A'!AE109</f>
        <v>0</v>
      </c>
      <c r="AF109" s="28">
        <f>COGS!AF109+'SG&amp;A'!AF109</f>
        <v>0</v>
      </c>
      <c r="AG109" s="28">
        <f>COGS!AG109+'SG&amp;A'!AG109</f>
        <v>0</v>
      </c>
      <c r="AH109" s="28">
        <f>COGS!AH109+'SG&amp;A'!AH109</f>
        <v>0</v>
      </c>
      <c r="AI109" s="28">
        <f>COGS!AI109+'SG&amp;A'!AI109</f>
        <v>0</v>
      </c>
      <c r="AJ109" s="28">
        <f>COGS!AJ109+'SG&amp;A'!AJ109</f>
        <v>0</v>
      </c>
      <c r="AK109" s="28">
        <f>COGS!AK109+'SG&amp;A'!AK109</f>
        <v>0</v>
      </c>
      <c r="AL109" s="28">
        <f>COGS!AL109+'SG&amp;A'!AL109</f>
        <v>0</v>
      </c>
      <c r="AM109" s="28">
        <f>COGS!AM109+'SG&amp;A'!AM109</f>
        <v>0</v>
      </c>
      <c r="AN109" s="28">
        <f>COGS!AN109+'SG&amp;A'!AN109</f>
        <v>0</v>
      </c>
      <c r="AO109" s="28">
        <f>COGS!AO109+'SG&amp;A'!AO109</f>
        <v>0</v>
      </c>
      <c r="AP109" s="28">
        <f>COGS!AP109+'SG&amp;A'!AP109</f>
        <v>0</v>
      </c>
      <c r="AQ109" s="28">
        <f>COGS!AQ109+'SG&amp;A'!AQ109</f>
        <v>0</v>
      </c>
      <c r="AR109" s="28">
        <f>COGS!AR109+'SG&amp;A'!AR109</f>
        <v>0</v>
      </c>
      <c r="AS109" s="28">
        <f>COGS!AS109+'SG&amp;A'!AS109</f>
        <v>0</v>
      </c>
      <c r="AT109" s="28">
        <f>COGS!AT109+'SG&amp;A'!AT109</f>
        <v>0</v>
      </c>
      <c r="AU109" s="28">
        <f>COGS!AU109+'SG&amp;A'!AU109</f>
        <v>0</v>
      </c>
      <c r="AV109" s="28">
        <f>COGS!AV109+'SG&amp;A'!AV109</f>
        <v>0</v>
      </c>
      <c r="AW109" s="28">
        <f>COGS!AW109+'SG&amp;A'!AW109</f>
        <v>0</v>
      </c>
      <c r="AX109" s="28">
        <f>COGS!AX109+'SG&amp;A'!AX109</f>
        <v>0</v>
      </c>
      <c r="AY109" s="28">
        <f>COGS!AY109+'SG&amp;A'!AY109</f>
        <v>0</v>
      </c>
      <c r="AZ109" s="28">
        <f>COGS!AZ109+'SG&amp;A'!AZ109</f>
        <v>0</v>
      </c>
      <c r="BA109" s="28">
        <f>COGS!BA109+'SG&amp;A'!BA109</f>
        <v>0</v>
      </c>
      <c r="BB109" s="28">
        <f>COGS!BB109+'SG&amp;A'!BB109</f>
        <v>0</v>
      </c>
      <c r="BC109" s="28">
        <f>COGS!BC109+'SG&amp;A'!BC109</f>
        <v>0</v>
      </c>
      <c r="BD109" s="28">
        <f>COGS!BD109+'SG&amp;A'!BD109</f>
        <v>0</v>
      </c>
      <c r="BE109" s="28">
        <f>COGS!BE109+'SG&amp;A'!BE109</f>
        <v>0</v>
      </c>
      <c r="BF109" s="28">
        <f>COGS!BF109+'SG&amp;A'!BF109</f>
        <v>0</v>
      </c>
      <c r="BG109" s="28">
        <f>COGS!BG109+'SG&amp;A'!BG109</f>
        <v>0</v>
      </c>
      <c r="BH109" s="28">
        <f>COGS!BH109+'SG&amp;A'!BH109</f>
        <v>0</v>
      </c>
      <c r="BI109" s="28">
        <f>COGS!BI109+'SG&amp;A'!BI109</f>
        <v>0</v>
      </c>
      <c r="BJ109" s="28">
        <f>COGS!BJ109+'SG&amp;A'!BJ109</f>
        <v>2.65895707</v>
      </c>
      <c r="BK109" s="28">
        <f>COGS!BK109+'SG&amp;A'!BK109</f>
        <v>2.8005388999999998</v>
      </c>
      <c r="BL109" s="28">
        <f>COGS!BL109+'SG&amp;A'!BL109</f>
        <v>4.2965860200000012</v>
      </c>
      <c r="BM109" s="28">
        <f>COGS!BM109+'SG&amp;A'!BM109</f>
        <v>3.1322647399999979</v>
      </c>
      <c r="BN109" s="28">
        <f>COGS!BN109+'SG&amp;A'!BN109</f>
        <v>12.88834673</v>
      </c>
      <c r="BO109" s="28">
        <f>COGS!BO109+'SG&amp;A'!BO109</f>
        <v>2.6143959999999997</v>
      </c>
      <c r="BP109" s="28">
        <f>COGS!BP109+'SG&amp;A'!BP109</f>
        <v>2.5590111700000011</v>
      </c>
      <c r="BQ109" s="28">
        <f>COGS!BQ109+'SG&amp;A'!BQ109</f>
        <v>3.1492566999999982</v>
      </c>
      <c r="BR109" s="28">
        <f>COGS!BR109+'SG&amp;A'!BR109</f>
        <v>6.2730119900000005</v>
      </c>
      <c r="BS109" s="28">
        <f>COGS!BS109+'SG&amp;A'!BS109</f>
        <v>14.59567586</v>
      </c>
      <c r="BT109" s="28">
        <f>COGS!BT109+'SG&amp;A'!BT109</f>
        <v>5.8297536000000001</v>
      </c>
      <c r="BU109" s="28">
        <f>COGS!BU109+'SG&amp;A'!BU109</f>
        <v>6.3636196999999992</v>
      </c>
      <c r="BV109" s="28">
        <f>COGS!BV109+'SG&amp;A'!BV109</f>
        <v>7.773705050000002</v>
      </c>
      <c r="BW109" s="28">
        <f>COGS!BW109+'SG&amp;A'!BW109</f>
        <v>3.9048545899999976</v>
      </c>
      <c r="BX109" s="28">
        <f>COGS!BX109+'SG&amp;A'!BX109</f>
        <v>23.871932940000001</v>
      </c>
      <c r="BY109" s="28">
        <f>COGS!BY109+'SG&amp;A'!BY109</f>
        <v>7.6183745299999996</v>
      </c>
      <c r="BZ109" s="28">
        <f>COGS!BZ109+'SG&amp;A'!BZ109</f>
        <v>11.740844379999999</v>
      </c>
      <c r="CA109" s="28">
        <f>COGS!CA109+'SG&amp;A'!CA109</f>
        <v>11.749708040000002</v>
      </c>
      <c r="CB109" s="28">
        <f>COGS!CB109+'SG&amp;A'!CB109</f>
        <v>14.124180979999995</v>
      </c>
      <c r="CC109" s="28">
        <f>COGS!CC109+'SG&amp;A'!CC109</f>
        <v>45.233107929999996</v>
      </c>
      <c r="CD109" s="28">
        <f>COGS!CD109+'SG&amp;A'!CD109</f>
        <v>6.1799199600000003</v>
      </c>
      <c r="CE109" s="28">
        <f>COGS!CE109+'SG&amp;A'!CE109</f>
        <v>6.5622831499999998</v>
      </c>
      <c r="CF109" s="28">
        <f>COGS!CF109+'SG&amp;A'!CF109</f>
        <v>15.545593200000003</v>
      </c>
      <c r="CG109" s="28">
        <f>COGS!CG109+'SG&amp;A'!CG109</f>
        <v>20.994187810000007</v>
      </c>
      <c r="CH109" s="28">
        <f>COGS!CH109+'SG&amp;A'!CH109</f>
        <v>49.281984120000011</v>
      </c>
      <c r="CI109" s="28">
        <f>COGS!CI109+'SG&amp;A'!CI109</f>
        <v>6.13711012</v>
      </c>
      <c r="CJ109" s="28">
        <f>COGS!CJ109+'SG&amp;A'!CJ109</f>
        <v>2.579666389999999</v>
      </c>
      <c r="CK109" s="28">
        <f>COGS!CK109+'SG&amp;A'!CK109</f>
        <v>2.2573926599999998</v>
      </c>
      <c r="CL109" s="28">
        <f>COGS!CL109+'SG&amp;A'!CL109</f>
        <v>3.9239418900000009</v>
      </c>
      <c r="CM109" s="28">
        <f>COGS!CM109+'SG&amp;A'!CM109</f>
        <v>14.898111060000002</v>
      </c>
      <c r="CN109" s="28">
        <f>COGS!CN109+'SG&amp;A'!CN109</f>
        <v>2.1822830400000002</v>
      </c>
      <c r="CO109" s="28">
        <f>COGS!CO109+'SG&amp;A'!CO109</f>
        <v>1.6781807899999999</v>
      </c>
      <c r="CP109" s="28">
        <f>COGS!CP109+'SG&amp;A'!CP109</f>
        <v>1.5022565000000001</v>
      </c>
      <c r="CQ109" s="28">
        <f>COGS!CQ109+'SG&amp;A'!CQ109</f>
        <v>2.1072796699999996</v>
      </c>
      <c r="CR109" s="28">
        <f>COGS!CR109+'SG&amp;A'!CR109</f>
        <v>7.47</v>
      </c>
      <c r="CS109" s="28">
        <f>COGS!CS109+'SG&amp;A'!CS109</f>
        <v>1.5469094399999999</v>
      </c>
      <c r="CT109" s="28">
        <f>COGS!CT109+'SG&amp;A'!CT109</f>
        <v>0.68469310999999999</v>
      </c>
      <c r="CU109" s="28">
        <f>COGS!CU109+'SG&amp;A'!CU109</f>
        <v>0.9645324000000004</v>
      </c>
      <c r="CV109" s="28">
        <f>COGS!CV109+'SG&amp;A'!CV109</f>
        <v>1.4521405599999992</v>
      </c>
      <c r="CW109" s="28">
        <f>COGS!CW109+'SG&amp;A'!CW109</f>
        <v>4.6482755099999995</v>
      </c>
      <c r="CX109" s="28">
        <f>COGS!CX109+'SG&amp;A'!CX109</f>
        <v>2.9159999999999999</v>
      </c>
      <c r="CY109" s="28">
        <f>COGS!CY109+'SG&amp;A'!CY109</f>
        <v>1.39</v>
      </c>
      <c r="CZ109" s="28">
        <f>COGS!CZ109+'SG&amp;A'!CZ109</f>
        <v>0.42599999999999999</v>
      </c>
      <c r="DA109" s="28">
        <f>COGS!DA109+'SG&amp;A'!DA109</f>
        <v>9.5850000000000009</v>
      </c>
      <c r="DB109" s="28">
        <f>COGS!DB109+'SG&amp;A'!DB109</f>
        <v>14.317</v>
      </c>
      <c r="DC109" s="28">
        <f>COGS!DC109+'SG&amp;A'!DC109</f>
        <v>3.16</v>
      </c>
      <c r="DD109" s="28">
        <f>COGS!DD109+'SG&amp;A'!DD109</f>
        <v>7.194</v>
      </c>
      <c r="DE109" s="28">
        <f>COGS!DE109+'SG&amp;A'!DE109</f>
        <v>5.97</v>
      </c>
      <c r="DF109" s="28">
        <f>COGS!DF109+'SG&amp;A'!DF109</f>
        <v>15.179</v>
      </c>
      <c r="DG109" s="28">
        <f>COGS!DG109+'SG&amp;A'!DG109</f>
        <v>31.503</v>
      </c>
      <c r="DH109" s="28">
        <f>COGS!DH109+'SG&amp;A'!DH109</f>
        <v>5.8360000000000003</v>
      </c>
      <c r="DI109" s="28">
        <f>COGS!DI109+'SG&amp;A'!DI109</f>
        <v>2.7869999999999999</v>
      </c>
      <c r="DJ109" s="28">
        <f>COGS!DJ109+'SG&amp;A'!DJ109</f>
        <v>3.5449999999999999</v>
      </c>
      <c r="DK109" s="28">
        <f>COGS!DK109+'SG&amp;A'!DK109</f>
        <v>2.278</v>
      </c>
      <c r="DL109" s="28">
        <f>COGS!DL109+'SG&amp;A'!DL109</f>
        <v>14.446000000000002</v>
      </c>
      <c r="DM109" s="28">
        <f>COGS!DM109+'SG&amp;A'!DM109</f>
        <v>1.8069999999999999</v>
      </c>
      <c r="DN109" s="28">
        <f>COGS!DN109+'SG&amp;A'!DN109</f>
        <v>1.18</v>
      </c>
      <c r="DO109" s="28">
        <f>COGS!DO109+'SG&amp;A'!DO109</f>
        <v>0.48699999999999999</v>
      </c>
      <c r="DP109" s="28">
        <f>COGS!DP109+'SG&amp;A'!DP109</f>
        <v>7.9320000000000004</v>
      </c>
      <c r="DQ109" s="28">
        <f>COGS!DQ109+'SG&amp;A'!DQ109</f>
        <v>11.406000000000001</v>
      </c>
      <c r="DR109" s="28">
        <f>COGS!DR109+'SG&amp;A'!DR109</f>
        <v>1.512</v>
      </c>
      <c r="DS109" s="28">
        <f>COGS!DS109+'SG&amp;A'!DS109</f>
        <v>1.1539999999999999</v>
      </c>
      <c r="DT109" s="28">
        <f>COGS!DT109+'SG&amp;A'!DT109</f>
        <v>1.4750000000000001</v>
      </c>
      <c r="DU109" s="28">
        <f>COGS!DU109+'SG&amp;A'!DU109</f>
        <v>2.9529999999999998</v>
      </c>
      <c r="DV109" s="28">
        <f>COGS!DV109+'SG&amp;A'!DV109</f>
        <v>7.0939999999999994</v>
      </c>
      <c r="DW109" s="28">
        <f>COGS!DW109+'SG&amp;A'!DW109</f>
        <v>2.6840000000000002</v>
      </c>
      <c r="DX109" s="28">
        <f>COGS!DX109+'SG&amp;A'!DX109</f>
        <v>1.2022727799999999</v>
      </c>
      <c r="DY109" s="28">
        <f>COGS!DY109+'SG&amp;A'!DY109</f>
        <v>1.1413814700000002</v>
      </c>
      <c r="DZ109" s="28">
        <f>COGS!DZ109+'SG&amp;A'!DZ109</f>
        <v>1.1131482299999995</v>
      </c>
      <c r="EA109" s="28">
        <f>COGS!EA109+'SG&amp;A'!EA109</f>
        <v>6.1408024799999996</v>
      </c>
      <c r="EB109" s="28">
        <f>COGS!EB109+'SG&amp;A'!EB109</f>
        <v>1.43688982</v>
      </c>
      <c r="EC109" s="28">
        <f>COGS!EC109+'SG&amp;A'!EC109</f>
        <v>1.3199724000000002</v>
      </c>
      <c r="ED109" s="28">
        <f>COGS!ED109+'SG&amp;A'!ED109</f>
        <v>2.097</v>
      </c>
      <c r="EE109" s="28">
        <f>COGS!EE109+'SG&amp;A'!EE109</f>
        <v>0.28119864000000061</v>
      </c>
      <c r="EF109" s="28">
        <f>COGS!EF109+'SG&amp;A'!EF109</f>
        <v>5.1350608600000003</v>
      </c>
      <c r="EG109" s="28">
        <f>COGS!EG109+'SG&amp;A'!EG109</f>
        <v>2.0700397399999999</v>
      </c>
      <c r="EH109" s="28">
        <f>COGS!EH109+'SG&amp;A'!EH109</f>
        <v>1.4671638200000001</v>
      </c>
      <c r="EI109" s="28">
        <f>COGS!EI109+'SG&amp;A'!EI109</f>
        <v>1.9307654499999998</v>
      </c>
    </row>
    <row r="110" spans="1:139" ht="15" thickTop="1" x14ac:dyDescent="0.3">
      <c r="A110" s="1" t="s">
        <v>308</v>
      </c>
      <c r="B110" s="27">
        <f>COGS!B110+'SG&amp;A'!B110</f>
        <v>0</v>
      </c>
      <c r="C110" s="27">
        <f>COGS!C110+'SG&amp;A'!C110</f>
        <v>0</v>
      </c>
      <c r="D110" s="27">
        <f>COGS!D110+'SG&amp;A'!D110</f>
        <v>0</v>
      </c>
      <c r="E110" s="27">
        <f>COGS!E110+'SG&amp;A'!E110</f>
        <v>0</v>
      </c>
      <c r="F110" s="27">
        <f>COGS!F110+'SG&amp;A'!F110</f>
        <v>0</v>
      </c>
      <c r="G110" s="27">
        <f>COGS!G110+'SG&amp;A'!G110</f>
        <v>0</v>
      </c>
      <c r="H110" s="27">
        <f>COGS!H110+'SG&amp;A'!H110</f>
        <v>0</v>
      </c>
      <c r="I110" s="27">
        <f>COGS!I110+'SG&amp;A'!I110</f>
        <v>0</v>
      </c>
      <c r="J110" s="27">
        <f>COGS!J110+'SG&amp;A'!J110</f>
        <v>0</v>
      </c>
      <c r="K110" s="27">
        <f>COGS!K110+'SG&amp;A'!K110</f>
        <v>0</v>
      </c>
      <c r="L110" s="27">
        <f>COGS!L110+'SG&amp;A'!L110</f>
        <v>0</v>
      </c>
      <c r="M110" s="27">
        <f>COGS!M110+'SG&amp;A'!M110</f>
        <v>0</v>
      </c>
      <c r="N110" s="27">
        <f>COGS!N110+'SG&amp;A'!N110</f>
        <v>0</v>
      </c>
      <c r="O110" s="27">
        <f>COGS!O110+'SG&amp;A'!O110</f>
        <v>0</v>
      </c>
      <c r="P110" s="27">
        <f>COGS!P110+'SG&amp;A'!P110</f>
        <v>0</v>
      </c>
      <c r="Q110" s="27">
        <f>COGS!Q110+'SG&amp;A'!Q110</f>
        <v>0</v>
      </c>
      <c r="R110" s="27">
        <f>COGS!R110+'SG&amp;A'!R110</f>
        <v>0</v>
      </c>
      <c r="S110" s="27">
        <f>COGS!S110+'SG&amp;A'!S110</f>
        <v>0</v>
      </c>
      <c r="T110" s="27">
        <f>COGS!T110+'SG&amp;A'!T110</f>
        <v>0</v>
      </c>
      <c r="U110" s="27">
        <f>COGS!U110+'SG&amp;A'!U110</f>
        <v>0</v>
      </c>
      <c r="V110" s="27">
        <f>COGS!V110+'SG&amp;A'!V110</f>
        <v>0</v>
      </c>
      <c r="W110" s="27">
        <f>COGS!W110+'SG&amp;A'!W110</f>
        <v>0</v>
      </c>
      <c r="X110" s="27">
        <f>COGS!X110+'SG&amp;A'!X110</f>
        <v>0</v>
      </c>
      <c r="Y110" s="27">
        <f>COGS!Y110+'SG&amp;A'!Y110</f>
        <v>0</v>
      </c>
      <c r="Z110" s="27">
        <f>COGS!Z110+'SG&amp;A'!Z110</f>
        <v>0</v>
      </c>
      <c r="AA110" s="27">
        <f>COGS!AA110+'SG&amp;A'!AA110</f>
        <v>0</v>
      </c>
      <c r="AB110" s="27">
        <f>COGS!AB110+'SG&amp;A'!AB110</f>
        <v>0</v>
      </c>
      <c r="AC110" s="27">
        <f>COGS!AC110+'SG&amp;A'!AC110</f>
        <v>0</v>
      </c>
      <c r="AD110" s="27">
        <f>COGS!AD110+'SG&amp;A'!AD110</f>
        <v>0</v>
      </c>
      <c r="AE110" s="27">
        <f>COGS!AE110+'SG&amp;A'!AE110</f>
        <v>0</v>
      </c>
      <c r="AF110" s="27">
        <f>COGS!AF110+'SG&amp;A'!AF110</f>
        <v>0</v>
      </c>
      <c r="AG110" s="27">
        <f>COGS!AG110+'SG&amp;A'!AG110</f>
        <v>0</v>
      </c>
      <c r="AH110" s="27">
        <f>COGS!AH110+'SG&amp;A'!AH110</f>
        <v>0</v>
      </c>
      <c r="AI110" s="27">
        <f>COGS!AI110+'SG&amp;A'!AI110</f>
        <v>0</v>
      </c>
      <c r="AJ110" s="27">
        <f>COGS!AJ110+'SG&amp;A'!AJ110</f>
        <v>0</v>
      </c>
      <c r="AK110" s="27">
        <f>COGS!AK110+'SG&amp;A'!AK110</f>
        <v>0</v>
      </c>
      <c r="AL110" s="27">
        <f>COGS!AL110+'SG&amp;A'!AL110</f>
        <v>0</v>
      </c>
      <c r="AM110" s="27">
        <f>COGS!AM110+'SG&amp;A'!AM110</f>
        <v>0</v>
      </c>
      <c r="AN110" s="27">
        <f>COGS!AN110+'SG&amp;A'!AN110</f>
        <v>0</v>
      </c>
      <c r="AO110" s="27">
        <f>COGS!AO110+'SG&amp;A'!AO110</f>
        <v>0</v>
      </c>
      <c r="AP110" s="27">
        <f>COGS!AP110+'SG&amp;A'!AP110</f>
        <v>0</v>
      </c>
      <c r="AQ110" s="27">
        <f>COGS!AQ110+'SG&amp;A'!AQ110</f>
        <v>0</v>
      </c>
      <c r="AR110" s="27">
        <f>COGS!AR110+'SG&amp;A'!AR110</f>
        <v>0</v>
      </c>
      <c r="AS110" s="27">
        <f>COGS!AS110+'SG&amp;A'!AS110</f>
        <v>0</v>
      </c>
      <c r="AT110" s="27">
        <f>COGS!AT110+'SG&amp;A'!AT110</f>
        <v>0</v>
      </c>
      <c r="AU110" s="27">
        <f>COGS!AU110+'SG&amp;A'!AU110</f>
        <v>0</v>
      </c>
      <c r="AV110" s="27">
        <f>COGS!AV110+'SG&amp;A'!AV110</f>
        <v>0</v>
      </c>
      <c r="AW110" s="27">
        <f>COGS!AW110+'SG&amp;A'!AW110</f>
        <v>0</v>
      </c>
      <c r="AX110" s="27">
        <f>COGS!AX110+'SG&amp;A'!AX110</f>
        <v>0</v>
      </c>
      <c r="AY110" s="27">
        <f>COGS!AY110+'SG&amp;A'!AY110</f>
        <v>0</v>
      </c>
      <c r="AZ110" s="27">
        <f>COGS!AZ110+'SG&amp;A'!AZ110</f>
        <v>0</v>
      </c>
      <c r="BA110" s="27">
        <f>COGS!BA110+'SG&amp;A'!BA110</f>
        <v>0</v>
      </c>
      <c r="BB110" s="27">
        <f>COGS!BB110+'SG&amp;A'!BB110</f>
        <v>0</v>
      </c>
      <c r="BC110" s="27">
        <f>COGS!BC110+'SG&amp;A'!BC110</f>
        <v>0</v>
      </c>
      <c r="BD110" s="27">
        <f>COGS!BD110+'SG&amp;A'!BD110</f>
        <v>0</v>
      </c>
      <c r="BE110" s="27">
        <f>COGS!BE110+'SG&amp;A'!BE110</f>
        <v>0</v>
      </c>
      <c r="BF110" s="27">
        <f>COGS!BF110+'SG&amp;A'!BF110</f>
        <v>0</v>
      </c>
      <c r="BG110" s="27">
        <f>COGS!BG110+'SG&amp;A'!BG110</f>
        <v>0</v>
      </c>
      <c r="BH110" s="27">
        <f>COGS!BH110+'SG&amp;A'!BH110</f>
        <v>0</v>
      </c>
      <c r="BI110" s="27">
        <f>COGS!BI110+'SG&amp;A'!BI110</f>
        <v>0</v>
      </c>
      <c r="BJ110" s="27">
        <f>COGS!BJ110+'SG&amp;A'!BJ110</f>
        <v>-25.8</v>
      </c>
      <c r="BK110" s="27">
        <f>COGS!BK110+'SG&amp;A'!BK110</f>
        <v>-26.028274970000002</v>
      </c>
      <c r="BL110" s="27">
        <f>COGS!BL110+'SG&amp;A'!BL110</f>
        <v>-27.992350899999995</v>
      </c>
      <c r="BM110" s="27">
        <f>COGS!BM110+'SG&amp;A'!BM110</f>
        <v>-27.414920370000004</v>
      </c>
      <c r="BN110" s="27">
        <f>COGS!BN110+'SG&amp;A'!BN110</f>
        <v>-107.23554624000002</v>
      </c>
      <c r="BO110" s="27">
        <f>COGS!BO110+'SG&amp;A'!BO110</f>
        <v>-33.557660779999999</v>
      </c>
      <c r="BP110" s="27">
        <f>COGS!BP110+'SG&amp;A'!BP110</f>
        <v>-31.351591069999994</v>
      </c>
      <c r="BQ110" s="27">
        <f>COGS!BQ110+'SG&amp;A'!BQ110</f>
        <v>-38.67826173000001</v>
      </c>
      <c r="BR110" s="27">
        <f>COGS!BR110+'SG&amp;A'!BR110</f>
        <v>-36.812298929999969</v>
      </c>
      <c r="BS110" s="27">
        <f>COGS!BS110+'SG&amp;A'!BS110</f>
        <v>-140.39981250999998</v>
      </c>
      <c r="BT110" s="27">
        <f>COGS!BT110+'SG&amp;A'!BT110</f>
        <v>-28.5</v>
      </c>
      <c r="BU110" s="27">
        <f>COGS!BU110+'SG&amp;A'!BU110</f>
        <v>-29.4</v>
      </c>
      <c r="BV110" s="27">
        <f>COGS!BV110+'SG&amp;A'!BV110</f>
        <v>-28.799999999999997</v>
      </c>
      <c r="BW110" s="27">
        <f>COGS!BW110+'SG&amp;A'!BW110</f>
        <v>-30.9</v>
      </c>
      <c r="BX110" s="27">
        <f>COGS!BX110+'SG&amp;A'!BX110</f>
        <v>-117.60000000000001</v>
      </c>
      <c r="BY110" s="27">
        <f>COGS!BY110+'SG&amp;A'!BY110</f>
        <v>-31.299999999999997</v>
      </c>
      <c r="BZ110" s="27">
        <f>COGS!BZ110+'SG&amp;A'!BZ110</f>
        <v>-30.200000000000003</v>
      </c>
      <c r="CA110" s="27">
        <f>COGS!CA110+'SG&amp;A'!CA110</f>
        <v>-30.7</v>
      </c>
      <c r="CB110" s="27">
        <f>COGS!CB110+'SG&amp;A'!CB110</f>
        <v>-75.7</v>
      </c>
      <c r="CC110" s="27">
        <f>COGS!CC110+'SG&amp;A'!CC110</f>
        <v>-167.89999999999998</v>
      </c>
      <c r="CD110" s="27">
        <f>COGS!CD110+'SG&amp;A'!CD110</f>
        <v>-41.03483026</v>
      </c>
      <c r="CE110" s="27">
        <f>COGS!CE110+'SG&amp;A'!CE110</f>
        <v>-52.2</v>
      </c>
      <c r="CF110" s="27">
        <f>COGS!CF110+'SG&amp;A'!CF110</f>
        <v>-47.6</v>
      </c>
      <c r="CG110" s="27">
        <f>COGS!CG110+'SG&amp;A'!CG110</f>
        <v>-48.599999999999994</v>
      </c>
      <c r="CH110" s="27">
        <f>COGS!CH110+'SG&amp;A'!CH110</f>
        <v>-189.43483026000001</v>
      </c>
      <c r="CI110" s="27">
        <f>COGS!CI110+'SG&amp;A'!CI110</f>
        <v>-49.60220541000001</v>
      </c>
      <c r="CJ110" s="27">
        <f>COGS!CJ110+'SG&amp;A'!CJ110</f>
        <v>-49.847432049999995</v>
      </c>
      <c r="CK110" s="27">
        <f>COGS!CK110+'SG&amp;A'!CK110</f>
        <v>-54.950964380000002</v>
      </c>
      <c r="CL110" s="27">
        <f>COGS!CL110+'SG&amp;A'!CL110</f>
        <v>-55.772326189999973</v>
      </c>
      <c r="CM110" s="27">
        <f>COGS!CM110+'SG&amp;A'!CM110</f>
        <v>-210.17292802999998</v>
      </c>
      <c r="CN110" s="27">
        <f>COGS!CN110+'SG&amp;A'!CN110</f>
        <v>-48.979208139999997</v>
      </c>
      <c r="CO110" s="27">
        <f>COGS!CO110+'SG&amp;A'!CO110</f>
        <v>-48.064842680000005</v>
      </c>
      <c r="CP110" s="27">
        <f>COGS!CP110+'SG&amp;A'!CP110</f>
        <v>-48.5291663</v>
      </c>
      <c r="CQ110" s="27">
        <f>COGS!CQ110+'SG&amp;A'!CQ110</f>
        <v>-29.776782879999999</v>
      </c>
      <c r="CR110" s="27">
        <f>COGS!CR110+'SG&amp;A'!CR110</f>
        <v>-175.35000000000002</v>
      </c>
      <c r="CS110" s="27">
        <f>COGS!CS110+'SG&amp;A'!CS110</f>
        <v>-45.941204939999999</v>
      </c>
      <c r="CT110" s="27">
        <f>COGS!CT110+'SG&amp;A'!CT110</f>
        <v>-45.891313660000009</v>
      </c>
      <c r="CU110" s="27">
        <f>COGS!CU110+'SG&amp;A'!CU110</f>
        <v>-45.324354449999987</v>
      </c>
      <c r="CV110" s="27">
        <f>COGS!CV110+'SG&amp;A'!CV110</f>
        <v>-44.327017280000021</v>
      </c>
      <c r="CW110" s="27">
        <f>COGS!CW110+'SG&amp;A'!CW110</f>
        <v>-181.48389033000001</v>
      </c>
      <c r="CX110" s="27">
        <f>COGS!CX110+'SG&amp;A'!CX110</f>
        <v>-44.137</v>
      </c>
      <c r="CY110" s="27">
        <f>COGS!CY110+'SG&amp;A'!CY110</f>
        <v>-44.161000000000001</v>
      </c>
      <c r="CZ110" s="27">
        <f>COGS!CZ110+'SG&amp;A'!CZ110</f>
        <v>-43.478999999999999</v>
      </c>
      <c r="DA110" s="27">
        <f>COGS!DA110+'SG&amp;A'!DA110</f>
        <v>-42.92</v>
      </c>
      <c r="DB110" s="27">
        <f>COGS!DB110+'SG&amp;A'!DB110</f>
        <v>-174.697</v>
      </c>
      <c r="DC110" s="27">
        <f>COGS!DC110+'SG&amp;A'!DC110</f>
        <v>-44.506999999999998</v>
      </c>
      <c r="DD110" s="27">
        <f>COGS!DD110+'SG&amp;A'!DD110</f>
        <v>-44.241</v>
      </c>
      <c r="DE110" s="27">
        <f>COGS!DE110+'SG&amp;A'!DE110</f>
        <v>-46.552</v>
      </c>
      <c r="DF110" s="27">
        <f>COGS!DF110+'SG&amp;A'!DF110</f>
        <v>-47.710999999999999</v>
      </c>
      <c r="DG110" s="27">
        <f>COGS!DG110+'SG&amp;A'!DG110</f>
        <v>-183.011</v>
      </c>
      <c r="DH110" s="27">
        <f>COGS!DH110+'SG&amp;A'!DH110</f>
        <v>-56.251000000000005</v>
      </c>
      <c r="DI110" s="27">
        <f>COGS!DI110+'SG&amp;A'!DI110</f>
        <v>-56.813000000000002</v>
      </c>
      <c r="DJ110" s="27">
        <f>COGS!DJ110+'SG&amp;A'!DJ110</f>
        <v>-56.989999999999995</v>
      </c>
      <c r="DK110" s="27">
        <f>COGS!DK110+'SG&amp;A'!DK110</f>
        <v>-57.351999999999997</v>
      </c>
      <c r="DL110" s="27">
        <f>COGS!DL110+'SG&amp;A'!DL110</f>
        <v>-227.40600000000001</v>
      </c>
      <c r="DM110" s="27">
        <f>COGS!DM110+'SG&amp;A'!DM110</f>
        <v>-66.554000000000002</v>
      </c>
      <c r="DN110" s="27">
        <f>COGS!DN110+'SG&amp;A'!DN110</f>
        <v>-66.554000000000002</v>
      </c>
      <c r="DO110" s="27">
        <f>COGS!DO110+'SG&amp;A'!DO110</f>
        <v>-66.853999999999999</v>
      </c>
      <c r="DP110" s="27">
        <f>COGS!DP110+'SG&amp;A'!DP110</f>
        <v>-65.715999999999994</v>
      </c>
      <c r="DQ110" s="27">
        <f>COGS!DQ110+'SG&amp;A'!DQ110</f>
        <v>-265.678</v>
      </c>
      <c r="DR110" s="27">
        <f>COGS!DR110+'SG&amp;A'!DR110</f>
        <v>-68.06</v>
      </c>
      <c r="DS110" s="27">
        <f>COGS!DS110+'SG&amp;A'!DS110</f>
        <v>-68.058999999999997</v>
      </c>
      <c r="DT110" s="27">
        <f>COGS!DT110+'SG&amp;A'!DT110</f>
        <v>-68.06</v>
      </c>
      <c r="DU110" s="27">
        <f>COGS!DU110+'SG&amp;A'!DU110</f>
        <v>-77.509</v>
      </c>
      <c r="DV110" s="27">
        <f>COGS!DV110+'SG&amp;A'!DV110</f>
        <v>-281.68799999999999</v>
      </c>
      <c r="DW110" s="27">
        <f>COGS!DW110+'SG&amp;A'!DW110</f>
        <v>-82.262</v>
      </c>
      <c r="DX110" s="27">
        <f>COGS!DX110+'SG&amp;A'!DX110</f>
        <v>-81.787715539999994</v>
      </c>
      <c r="DY110" s="27">
        <f>COGS!DY110+'SG&amp;A'!DY110</f>
        <v>-88.49170285000001</v>
      </c>
      <c r="DZ110" s="27">
        <f>COGS!DZ110+'SG&amp;A'!DZ110</f>
        <v>-88.542723839999979</v>
      </c>
      <c r="EA110" s="27">
        <f>COGS!EA110+'SG&amp;A'!EA110</f>
        <v>-341.08414223</v>
      </c>
      <c r="EB110" s="27">
        <f>COGS!EB110+'SG&amp;A'!EB110</f>
        <v>-96.894044210000004</v>
      </c>
      <c r="EC110" s="27">
        <f>COGS!EC110+'SG&amp;A'!EC110</f>
        <v>-96.923732200000018</v>
      </c>
      <c r="ED110" s="27">
        <f>COGS!ED110+'SG&amp;A'!ED110</f>
        <v>-96.924000000000007</v>
      </c>
      <c r="EE110" s="27">
        <f>COGS!EE110+'SG&amp;A'!EE110</f>
        <v>-97.130364070000013</v>
      </c>
      <c r="EF110" s="27">
        <f>COGS!EF110+'SG&amp;A'!EF110</f>
        <v>-387.87214047999998</v>
      </c>
      <c r="EG110" s="27">
        <f>COGS!EG110+'SG&amp;A'!EG110</f>
        <v>-103.56502857000001</v>
      </c>
      <c r="EH110" s="27">
        <f>COGS!EH110+'SG&amp;A'!EH110</f>
        <v>-106.72748103000001</v>
      </c>
      <c r="EI110" s="27">
        <f>COGS!EI110+'SG&amp;A'!EI110</f>
        <v>-107.54171633999999</v>
      </c>
    </row>
    <row r="111" spans="1:139" x14ac:dyDescent="0.3">
      <c r="A111" s="5" t="s">
        <v>311</v>
      </c>
      <c r="B111" s="10">
        <f>SUM(B88:B110)</f>
        <v>0</v>
      </c>
      <c r="C111" s="10">
        <f t="shared" ref="C111:BN111" si="12">SUM(C88:C110)</f>
        <v>0</v>
      </c>
      <c r="D111" s="10">
        <f t="shared" si="12"/>
        <v>0</v>
      </c>
      <c r="E111" s="10">
        <f t="shared" si="12"/>
        <v>0</v>
      </c>
      <c r="F111" s="10">
        <f t="shared" si="12"/>
        <v>0</v>
      </c>
      <c r="G111" s="10">
        <f t="shared" si="12"/>
        <v>0</v>
      </c>
      <c r="H111" s="10">
        <f t="shared" si="12"/>
        <v>0</v>
      </c>
      <c r="I111" s="10">
        <f t="shared" si="12"/>
        <v>0</v>
      </c>
      <c r="J111" s="10">
        <f t="shared" si="12"/>
        <v>0</v>
      </c>
      <c r="K111" s="10">
        <f t="shared" si="12"/>
        <v>0</v>
      </c>
      <c r="L111" s="10">
        <f t="shared" si="12"/>
        <v>0</v>
      </c>
      <c r="M111" s="10">
        <f t="shared" si="12"/>
        <v>0</v>
      </c>
      <c r="N111" s="10">
        <f t="shared" si="12"/>
        <v>0</v>
      </c>
      <c r="O111" s="10">
        <f t="shared" si="12"/>
        <v>0</v>
      </c>
      <c r="P111" s="10">
        <f t="shared" si="12"/>
        <v>0</v>
      </c>
      <c r="Q111" s="10">
        <f t="shared" si="12"/>
        <v>0</v>
      </c>
      <c r="R111" s="10">
        <f t="shared" si="12"/>
        <v>0</v>
      </c>
      <c r="S111" s="10">
        <f t="shared" si="12"/>
        <v>0</v>
      </c>
      <c r="T111" s="10">
        <f t="shared" si="12"/>
        <v>0</v>
      </c>
      <c r="U111" s="10">
        <f t="shared" si="12"/>
        <v>0</v>
      </c>
      <c r="V111" s="10">
        <f t="shared" si="12"/>
        <v>0</v>
      </c>
      <c r="W111" s="10">
        <f t="shared" si="12"/>
        <v>0</v>
      </c>
      <c r="X111" s="10">
        <f t="shared" si="12"/>
        <v>0</v>
      </c>
      <c r="Y111" s="10">
        <f t="shared" si="12"/>
        <v>0</v>
      </c>
      <c r="Z111" s="10">
        <f t="shared" si="12"/>
        <v>0</v>
      </c>
      <c r="AA111" s="10">
        <f t="shared" si="12"/>
        <v>0</v>
      </c>
      <c r="AB111" s="10">
        <f t="shared" si="12"/>
        <v>0</v>
      </c>
      <c r="AC111" s="10">
        <f t="shared" si="12"/>
        <v>0</v>
      </c>
      <c r="AD111" s="10">
        <f t="shared" si="12"/>
        <v>0</v>
      </c>
      <c r="AE111" s="10">
        <f t="shared" si="12"/>
        <v>0</v>
      </c>
      <c r="AF111" s="10">
        <f t="shared" si="12"/>
        <v>0</v>
      </c>
      <c r="AG111" s="10">
        <f t="shared" si="12"/>
        <v>0</v>
      </c>
      <c r="AH111" s="10">
        <f t="shared" si="12"/>
        <v>0</v>
      </c>
      <c r="AI111" s="10">
        <f t="shared" si="12"/>
        <v>0</v>
      </c>
      <c r="AJ111" s="10">
        <f t="shared" si="12"/>
        <v>0</v>
      </c>
      <c r="AK111" s="10">
        <f t="shared" si="12"/>
        <v>0</v>
      </c>
      <c r="AL111" s="10">
        <f t="shared" si="12"/>
        <v>0</v>
      </c>
      <c r="AM111" s="10">
        <f t="shared" si="12"/>
        <v>0</v>
      </c>
      <c r="AN111" s="10">
        <f t="shared" si="12"/>
        <v>0</v>
      </c>
      <c r="AO111" s="10">
        <f t="shared" si="12"/>
        <v>0</v>
      </c>
      <c r="AP111" s="10">
        <f t="shared" si="12"/>
        <v>0</v>
      </c>
      <c r="AQ111" s="10">
        <f t="shared" si="12"/>
        <v>0</v>
      </c>
      <c r="AR111" s="10">
        <f t="shared" si="12"/>
        <v>0</v>
      </c>
      <c r="AS111" s="10">
        <f t="shared" si="12"/>
        <v>0</v>
      </c>
      <c r="AT111" s="10">
        <f t="shared" si="12"/>
        <v>0</v>
      </c>
      <c r="AU111" s="10">
        <f t="shared" si="12"/>
        <v>0</v>
      </c>
      <c r="AV111" s="10">
        <f t="shared" si="12"/>
        <v>0</v>
      </c>
      <c r="AW111" s="10">
        <f t="shared" si="12"/>
        <v>0</v>
      </c>
      <c r="AX111" s="10">
        <f t="shared" si="12"/>
        <v>0</v>
      </c>
      <c r="AY111" s="10">
        <f t="shared" si="12"/>
        <v>0</v>
      </c>
      <c r="AZ111" s="10">
        <f t="shared" si="12"/>
        <v>0</v>
      </c>
      <c r="BA111" s="10">
        <f t="shared" si="12"/>
        <v>0</v>
      </c>
      <c r="BB111" s="10">
        <f t="shared" si="12"/>
        <v>0</v>
      </c>
      <c r="BC111" s="10">
        <f t="shared" si="12"/>
        <v>0</v>
      </c>
      <c r="BD111" s="10">
        <f t="shared" si="12"/>
        <v>0</v>
      </c>
      <c r="BE111" s="10">
        <f t="shared" si="12"/>
        <v>0</v>
      </c>
      <c r="BF111" s="10">
        <f t="shared" si="12"/>
        <v>0</v>
      </c>
      <c r="BG111" s="10">
        <f t="shared" si="12"/>
        <v>0</v>
      </c>
      <c r="BH111" s="10">
        <f t="shared" si="12"/>
        <v>0</v>
      </c>
      <c r="BI111" s="10">
        <f t="shared" si="12"/>
        <v>0</v>
      </c>
      <c r="BJ111" s="29">
        <f t="shared" si="12"/>
        <v>17.261896540000006</v>
      </c>
      <c r="BK111" s="29">
        <f t="shared" si="12"/>
        <v>17.284473390000006</v>
      </c>
      <c r="BL111" s="29">
        <f t="shared" si="12"/>
        <v>23.874986900000007</v>
      </c>
      <c r="BM111" s="29">
        <f t="shared" si="12"/>
        <v>23.353511339999983</v>
      </c>
      <c r="BN111" s="29">
        <f t="shared" si="12"/>
        <v>81.774868169999934</v>
      </c>
      <c r="BO111" s="29">
        <f t="shared" ref="BO111:DT111" si="13">SUM(BO88:BO110)</f>
        <v>33.484888660000003</v>
      </c>
      <c r="BP111" s="29">
        <f t="shared" si="13"/>
        <v>29.94837712</v>
      </c>
      <c r="BQ111" s="29">
        <f t="shared" si="13"/>
        <v>35.924987509999987</v>
      </c>
      <c r="BR111" s="29">
        <f t="shared" si="13"/>
        <v>44.388348150000027</v>
      </c>
      <c r="BS111" s="29">
        <f t="shared" si="13"/>
        <v>143.74660144000003</v>
      </c>
      <c r="BT111" s="29">
        <f t="shared" si="13"/>
        <v>21.442871949999997</v>
      </c>
      <c r="BU111" s="29">
        <f t="shared" si="13"/>
        <v>44.249667870000003</v>
      </c>
      <c r="BV111" s="29">
        <f t="shared" si="13"/>
        <v>79.029693019999996</v>
      </c>
      <c r="BW111" s="29">
        <f t="shared" si="13"/>
        <v>69.302000490000012</v>
      </c>
      <c r="BX111" s="29">
        <f t="shared" si="13"/>
        <v>214.02423332999996</v>
      </c>
      <c r="BY111" s="29">
        <f t="shared" si="13"/>
        <v>63.759996009999995</v>
      </c>
      <c r="BZ111" s="29">
        <f t="shared" si="13"/>
        <v>74.85306546999999</v>
      </c>
      <c r="CA111" s="29">
        <f t="shared" si="13"/>
        <v>86.984382539999984</v>
      </c>
      <c r="CB111" s="29">
        <f t="shared" si="13"/>
        <v>93.269406140000044</v>
      </c>
      <c r="CC111" s="29">
        <f t="shared" si="13"/>
        <v>318.86685016000001</v>
      </c>
      <c r="CD111" s="29">
        <f t="shared" si="13"/>
        <v>65.113602189999995</v>
      </c>
      <c r="CE111" s="29">
        <f t="shared" si="13"/>
        <v>76.871388769999996</v>
      </c>
      <c r="CF111" s="29">
        <f t="shared" si="13"/>
        <v>89.723494730000027</v>
      </c>
      <c r="CG111" s="29">
        <f t="shared" si="13"/>
        <v>77.704335989999976</v>
      </c>
      <c r="CH111" s="29">
        <f t="shared" si="13"/>
        <v>309.41282167999998</v>
      </c>
      <c r="CI111" s="29">
        <f t="shared" si="13"/>
        <v>64.200578799999988</v>
      </c>
      <c r="CJ111" s="29">
        <f t="shared" si="13"/>
        <v>59.432742960000013</v>
      </c>
      <c r="CK111" s="29">
        <f t="shared" si="13"/>
        <v>60.299658969999996</v>
      </c>
      <c r="CL111" s="29">
        <f t="shared" si="13"/>
        <v>60.397345090000044</v>
      </c>
      <c r="CM111" s="29">
        <f t="shared" si="13"/>
        <v>244.33032582000004</v>
      </c>
      <c r="CN111" s="29">
        <f t="shared" si="13"/>
        <v>55.516281060000011</v>
      </c>
      <c r="CO111" s="29">
        <f t="shared" si="13"/>
        <v>66.30146062999998</v>
      </c>
      <c r="CP111" s="29">
        <f t="shared" si="13"/>
        <v>71.796029439999998</v>
      </c>
      <c r="CQ111" s="29">
        <f t="shared" si="13"/>
        <v>78.889228869999997</v>
      </c>
      <c r="CR111" s="29">
        <f t="shared" si="13"/>
        <v>272.50300000000004</v>
      </c>
      <c r="CS111" s="29">
        <f t="shared" si="13"/>
        <v>43.902301540000003</v>
      </c>
      <c r="CT111" s="29">
        <f t="shared" si="13"/>
        <v>40.96659283000001</v>
      </c>
      <c r="CU111" s="29">
        <f t="shared" si="13"/>
        <v>41.695219070000007</v>
      </c>
      <c r="CV111" s="29">
        <f t="shared" si="13"/>
        <v>46.077981429999994</v>
      </c>
      <c r="CW111" s="29">
        <f t="shared" si="13"/>
        <v>172.64209487000011</v>
      </c>
      <c r="CX111" s="29">
        <f t="shared" si="13"/>
        <v>43.73299999999999</v>
      </c>
      <c r="CY111" s="29">
        <f t="shared" si="13"/>
        <v>38.47699999999999</v>
      </c>
      <c r="CZ111" s="29">
        <f t="shared" si="13"/>
        <v>40.242999999999995</v>
      </c>
      <c r="DA111" s="29">
        <f t="shared" si="13"/>
        <v>63.739999999999995</v>
      </c>
      <c r="DB111" s="29">
        <f t="shared" si="13"/>
        <v>186.19299999999998</v>
      </c>
      <c r="DC111" s="29">
        <f t="shared" si="13"/>
        <v>51.390000000000008</v>
      </c>
      <c r="DD111" s="29">
        <f t="shared" si="13"/>
        <v>61.012999999999991</v>
      </c>
      <c r="DE111" s="29">
        <f t="shared" si="13"/>
        <v>56.92799999999999</v>
      </c>
      <c r="DF111" s="29">
        <f t="shared" si="13"/>
        <v>70.828000000000017</v>
      </c>
      <c r="DG111" s="29">
        <f t="shared" si="13"/>
        <v>240.15900000000008</v>
      </c>
      <c r="DH111" s="29">
        <f t="shared" si="13"/>
        <v>59.006</v>
      </c>
      <c r="DI111" s="29">
        <f t="shared" si="13"/>
        <v>55.188000000000002</v>
      </c>
      <c r="DJ111" s="29">
        <f t="shared" si="13"/>
        <v>61.507000000000005</v>
      </c>
      <c r="DK111" s="29">
        <f t="shared" si="13"/>
        <v>68.913999999999987</v>
      </c>
      <c r="DL111" s="29">
        <f t="shared" si="13"/>
        <v>244.61500000000007</v>
      </c>
      <c r="DM111" s="29">
        <f t="shared" si="13"/>
        <v>63.579999999999984</v>
      </c>
      <c r="DN111" s="29">
        <f t="shared" si="13"/>
        <v>55.606000000000009</v>
      </c>
      <c r="DO111" s="29">
        <f t="shared" si="13"/>
        <v>56.554999999999993</v>
      </c>
      <c r="DP111" s="29">
        <f t="shared" si="13"/>
        <v>115.46499999999999</v>
      </c>
      <c r="DQ111" s="29">
        <f t="shared" si="13"/>
        <v>291.2059999999999</v>
      </c>
      <c r="DR111" s="29">
        <f t="shared" si="13"/>
        <v>68.36699999999999</v>
      </c>
      <c r="DS111" s="29">
        <f t="shared" si="13"/>
        <v>77.22</v>
      </c>
      <c r="DT111" s="29">
        <f t="shared" si="13"/>
        <v>75.229999999999961</v>
      </c>
      <c r="DU111" s="29">
        <f t="shared" ref="DU111:EA111" si="14">SUM(DU88:DU110)</f>
        <v>82.193999999999974</v>
      </c>
      <c r="DV111" s="29">
        <f t="shared" si="14"/>
        <v>303.01100000000008</v>
      </c>
      <c r="DW111" s="29">
        <f t="shared" si="14"/>
        <v>76.781000000000034</v>
      </c>
      <c r="DX111" s="29">
        <f t="shared" si="14"/>
        <v>79.538036779999999</v>
      </c>
      <c r="DY111" s="29">
        <f t="shared" si="14"/>
        <v>89.761357359999991</v>
      </c>
      <c r="DZ111" s="29">
        <f t="shared" si="14"/>
        <v>96.204204480000016</v>
      </c>
      <c r="EA111" s="29">
        <f t="shared" si="14"/>
        <v>342.28459862000011</v>
      </c>
      <c r="EB111" s="29">
        <f>SUM(EB88:EB110)</f>
        <v>96.630670789999982</v>
      </c>
      <c r="EC111" s="29">
        <f>SUM(EC88:EC110)</f>
        <v>99.080807700000037</v>
      </c>
      <c r="ED111" s="29">
        <f>SUM(ED88:ED110)</f>
        <v>98.959000000000003</v>
      </c>
      <c r="EE111" s="29">
        <f>SUM(EE88:EE110)</f>
        <v>112.11491331000002</v>
      </c>
      <c r="EF111" s="29">
        <f t="shared" ref="EF111" si="15">SUM(EF88:EF110)</f>
        <v>406.78539179999996</v>
      </c>
      <c r="EG111" s="29">
        <f>SUM(EG88:EG110)</f>
        <v>103.69754408</v>
      </c>
      <c r="EH111" s="29">
        <f>SUM(EH88:EH110)</f>
        <v>110.46863987999998</v>
      </c>
      <c r="EI111" s="29">
        <f>SUM(EI88:EI110)</f>
        <v>107.36952717999998</v>
      </c>
    </row>
    <row r="114" spans="1:139" x14ac:dyDescent="0.3">
      <c r="A114" s="3" t="s">
        <v>324</v>
      </c>
      <c r="B114" s="6" t="s">
        <v>4</v>
      </c>
      <c r="C114" s="6" t="s">
        <v>5</v>
      </c>
      <c r="D114" s="6" t="s">
        <v>6</v>
      </c>
      <c r="E114" s="6" t="s">
        <v>7</v>
      </c>
      <c r="F114" s="6">
        <v>2018</v>
      </c>
      <c r="G114" s="6" t="s">
        <v>8</v>
      </c>
      <c r="H114" s="6" t="s">
        <v>9</v>
      </c>
      <c r="I114" s="6" t="s">
        <v>10</v>
      </c>
      <c r="J114" s="6" t="s">
        <v>11</v>
      </c>
      <c r="K114" s="6">
        <v>2019</v>
      </c>
      <c r="L114" s="6" t="s">
        <v>12</v>
      </c>
      <c r="M114" s="6" t="s">
        <v>13</v>
      </c>
      <c r="N114" s="6" t="s">
        <v>14</v>
      </c>
      <c r="O114" s="6" t="s">
        <v>15</v>
      </c>
      <c r="P114" s="6">
        <v>2000</v>
      </c>
      <c r="Q114" s="6" t="s">
        <v>16</v>
      </c>
      <c r="R114" s="6" t="s">
        <v>17</v>
      </c>
      <c r="S114" s="6" t="s">
        <v>18</v>
      </c>
      <c r="T114" s="6" t="s">
        <v>19</v>
      </c>
      <c r="U114" s="6">
        <v>2001</v>
      </c>
      <c r="V114" s="6" t="s">
        <v>20</v>
      </c>
      <c r="W114" s="6" t="s">
        <v>21</v>
      </c>
      <c r="X114" s="6" t="s">
        <v>22</v>
      </c>
      <c r="Y114" s="6" t="s">
        <v>23</v>
      </c>
      <c r="Z114" s="6">
        <v>2002</v>
      </c>
      <c r="AA114" s="6" t="s">
        <v>24</v>
      </c>
      <c r="AB114" s="6" t="s">
        <v>25</v>
      </c>
      <c r="AC114" s="6" t="s">
        <v>26</v>
      </c>
      <c r="AD114" s="6" t="s">
        <v>27</v>
      </c>
      <c r="AE114" s="6">
        <v>2003</v>
      </c>
      <c r="AF114" s="6" t="s">
        <v>28</v>
      </c>
      <c r="AG114" s="6" t="s">
        <v>29</v>
      </c>
      <c r="AH114" s="6" t="s">
        <v>30</v>
      </c>
      <c r="AI114" s="6" t="s">
        <v>31</v>
      </c>
      <c r="AJ114" s="6">
        <v>2004</v>
      </c>
      <c r="AK114" s="6" t="s">
        <v>32</v>
      </c>
      <c r="AL114" s="6" t="s">
        <v>33</v>
      </c>
      <c r="AM114" s="6" t="s">
        <v>34</v>
      </c>
      <c r="AN114" s="6" t="s">
        <v>35</v>
      </c>
      <c r="AO114" s="6">
        <v>2005</v>
      </c>
      <c r="AP114" s="6" t="s">
        <v>36</v>
      </c>
      <c r="AQ114" s="6" t="s">
        <v>37</v>
      </c>
      <c r="AR114" s="6" t="s">
        <v>38</v>
      </c>
      <c r="AS114" s="6" t="s">
        <v>39</v>
      </c>
      <c r="AT114" s="6">
        <v>2006</v>
      </c>
      <c r="AU114" s="6" t="s">
        <v>40</v>
      </c>
      <c r="AV114" s="6" t="s">
        <v>41</v>
      </c>
      <c r="AW114" s="6" t="s">
        <v>42</v>
      </c>
      <c r="AX114" s="6" t="s">
        <v>43</v>
      </c>
      <c r="AY114" s="6">
        <v>2007</v>
      </c>
      <c r="AZ114" s="6" t="s">
        <v>44</v>
      </c>
      <c r="BA114" s="6" t="s">
        <v>45</v>
      </c>
      <c r="BB114" s="6" t="s">
        <v>46</v>
      </c>
      <c r="BC114" s="6" t="s">
        <v>47</v>
      </c>
      <c r="BD114" s="6">
        <v>2008</v>
      </c>
      <c r="BE114" s="6" t="s">
        <v>48</v>
      </c>
      <c r="BF114" s="6" t="s">
        <v>49</v>
      </c>
      <c r="BG114" s="6" t="s">
        <v>50</v>
      </c>
      <c r="BH114" s="6" t="s">
        <v>51</v>
      </c>
      <c r="BI114" s="6">
        <v>2009</v>
      </c>
      <c r="BJ114" s="6" t="s">
        <v>52</v>
      </c>
      <c r="BK114" s="6" t="s">
        <v>53</v>
      </c>
      <c r="BL114" s="6" t="s">
        <v>54</v>
      </c>
      <c r="BM114" s="6" t="s">
        <v>55</v>
      </c>
      <c r="BN114" s="6">
        <v>2010</v>
      </c>
      <c r="BO114" s="6" t="s">
        <v>56</v>
      </c>
      <c r="BP114" s="6" t="s">
        <v>57</v>
      </c>
      <c r="BQ114" s="6" t="s">
        <v>58</v>
      </c>
      <c r="BR114" s="6" t="s">
        <v>59</v>
      </c>
      <c r="BS114" s="6">
        <v>2011</v>
      </c>
      <c r="BT114" s="6" t="s">
        <v>60</v>
      </c>
      <c r="BU114" s="6" t="s">
        <v>61</v>
      </c>
      <c r="BV114" s="6" t="s">
        <v>62</v>
      </c>
      <c r="BW114" s="6" t="s">
        <v>63</v>
      </c>
      <c r="BX114" s="6">
        <v>2012</v>
      </c>
      <c r="BY114" s="6" t="s">
        <v>64</v>
      </c>
      <c r="BZ114" s="6" t="s">
        <v>65</v>
      </c>
      <c r="CA114" s="6" t="s">
        <v>66</v>
      </c>
      <c r="CB114" s="6" t="s">
        <v>67</v>
      </c>
      <c r="CC114" s="6">
        <v>2013</v>
      </c>
      <c r="CD114" s="6" t="s">
        <v>68</v>
      </c>
      <c r="CE114" s="6" t="s">
        <v>69</v>
      </c>
      <c r="CF114" s="6" t="s">
        <v>70</v>
      </c>
      <c r="CG114" s="6" t="s">
        <v>71</v>
      </c>
      <c r="CH114" s="6">
        <v>2014</v>
      </c>
      <c r="CI114" s="6" t="s">
        <v>72</v>
      </c>
      <c r="CJ114" s="6" t="s">
        <v>73</v>
      </c>
      <c r="CK114" s="6" t="s">
        <v>74</v>
      </c>
      <c r="CL114" s="6" t="s">
        <v>75</v>
      </c>
      <c r="CM114" s="6">
        <v>2015</v>
      </c>
      <c r="CN114" s="6" t="s">
        <v>76</v>
      </c>
      <c r="CO114" s="6" t="s">
        <v>77</v>
      </c>
      <c r="CP114" s="6" t="s">
        <v>78</v>
      </c>
      <c r="CQ114" s="6" t="s">
        <v>79</v>
      </c>
      <c r="CR114" s="6">
        <v>2016</v>
      </c>
      <c r="CS114" s="6" t="s">
        <v>80</v>
      </c>
      <c r="CT114" s="6" t="s">
        <v>81</v>
      </c>
      <c r="CU114" s="6" t="s">
        <v>82</v>
      </c>
      <c r="CV114" s="6" t="s">
        <v>83</v>
      </c>
      <c r="CW114" s="6">
        <v>2017</v>
      </c>
      <c r="CX114" s="6" t="s">
        <v>84</v>
      </c>
      <c r="CY114" s="6" t="s">
        <v>85</v>
      </c>
      <c r="CZ114" s="6" t="s">
        <v>86</v>
      </c>
      <c r="DA114" s="6" t="s">
        <v>87</v>
      </c>
      <c r="DB114" s="6">
        <v>2018</v>
      </c>
      <c r="DC114" s="6" t="s">
        <v>88</v>
      </c>
      <c r="DD114" s="6" t="s">
        <v>89</v>
      </c>
      <c r="DE114" s="6" t="s">
        <v>90</v>
      </c>
      <c r="DF114" s="6" t="s">
        <v>91</v>
      </c>
      <c r="DG114" s="6">
        <v>2019</v>
      </c>
      <c r="DH114" s="6" t="s">
        <v>92</v>
      </c>
      <c r="DI114" s="6" t="s">
        <v>93</v>
      </c>
      <c r="DJ114" s="6" t="s">
        <v>94</v>
      </c>
      <c r="DK114" s="6" t="s">
        <v>95</v>
      </c>
      <c r="DL114" s="6">
        <v>2020</v>
      </c>
      <c r="DM114" s="6" t="s">
        <v>96</v>
      </c>
      <c r="DN114" s="6" t="s">
        <v>97</v>
      </c>
      <c r="DO114" s="6" t="s">
        <v>98</v>
      </c>
      <c r="DP114" s="6" t="s">
        <v>99</v>
      </c>
      <c r="DQ114" s="6">
        <v>2021</v>
      </c>
      <c r="DR114" s="6" t="s">
        <v>100</v>
      </c>
      <c r="DS114" s="6" t="s">
        <v>101</v>
      </c>
      <c r="DT114" s="6" t="s">
        <v>200</v>
      </c>
      <c r="DU114" s="6" t="s">
        <v>380</v>
      </c>
      <c r="DV114" s="6">
        <v>2022</v>
      </c>
      <c r="DW114" s="6" t="s">
        <v>379</v>
      </c>
      <c r="DX114" s="6" t="s">
        <v>402</v>
      </c>
      <c r="DY114" s="6" t="s">
        <v>414</v>
      </c>
      <c r="DZ114" s="6" t="s">
        <v>419</v>
      </c>
      <c r="EA114" s="6">
        <v>2023</v>
      </c>
      <c r="EB114" s="6" t="s">
        <v>424</v>
      </c>
      <c r="EC114" s="6" t="s">
        <v>429</v>
      </c>
      <c r="ED114" s="6" t="str">
        <f>$ED$1</f>
        <v>3T24</v>
      </c>
      <c r="EE114" s="6" t="str">
        <f>$EE$1</f>
        <v>4T24</v>
      </c>
      <c r="EF114" s="6">
        <f>$EF$1</f>
        <v>2024</v>
      </c>
      <c r="EG114" s="6" t="str">
        <f>EG$1</f>
        <v>1T25</v>
      </c>
      <c r="EH114" s="6" t="str">
        <f>EH$1</f>
        <v>2T25</v>
      </c>
      <c r="EI114" s="6" t="str">
        <f>EI$1</f>
        <v>3T25</v>
      </c>
    </row>
    <row r="115" spans="1:139" ht="15" thickBot="1" x14ac:dyDescent="0.35">
      <c r="A115" s="4" t="s">
        <v>325</v>
      </c>
      <c r="B115" s="7" t="s">
        <v>102</v>
      </c>
      <c r="C115" s="7" t="s">
        <v>103</v>
      </c>
      <c r="D115" s="7" t="s">
        <v>104</v>
      </c>
      <c r="E115" s="7" t="s">
        <v>105</v>
      </c>
      <c r="F115" s="7">
        <v>2018</v>
      </c>
      <c r="G115" s="7" t="s">
        <v>106</v>
      </c>
      <c r="H115" s="7" t="s">
        <v>107</v>
      </c>
      <c r="I115" s="7" t="s">
        <v>108</v>
      </c>
      <c r="J115" s="7" t="s">
        <v>109</v>
      </c>
      <c r="K115" s="7">
        <v>2019</v>
      </c>
      <c r="L115" s="7" t="s">
        <v>110</v>
      </c>
      <c r="M115" s="7" t="s">
        <v>111</v>
      </c>
      <c r="N115" s="7" t="s">
        <v>112</v>
      </c>
      <c r="O115" s="7" t="s">
        <v>113</v>
      </c>
      <c r="P115" s="7">
        <v>2000</v>
      </c>
      <c r="Q115" s="7" t="s">
        <v>114</v>
      </c>
      <c r="R115" s="7" t="s">
        <v>115</v>
      </c>
      <c r="S115" s="7" t="s">
        <v>116</v>
      </c>
      <c r="T115" s="7" t="s">
        <v>117</v>
      </c>
      <c r="U115" s="7">
        <v>2001</v>
      </c>
      <c r="V115" s="7" t="s">
        <v>118</v>
      </c>
      <c r="W115" s="7" t="s">
        <v>119</v>
      </c>
      <c r="X115" s="7" t="s">
        <v>120</v>
      </c>
      <c r="Y115" s="7" t="s">
        <v>121</v>
      </c>
      <c r="Z115" s="7">
        <v>2002</v>
      </c>
      <c r="AA115" s="7" t="s">
        <v>122</v>
      </c>
      <c r="AB115" s="7" t="s">
        <v>123</v>
      </c>
      <c r="AC115" s="7" t="s">
        <v>124</v>
      </c>
      <c r="AD115" s="7" t="s">
        <v>125</v>
      </c>
      <c r="AE115" s="7">
        <v>2003</v>
      </c>
      <c r="AF115" s="7" t="s">
        <v>126</v>
      </c>
      <c r="AG115" s="7" t="s">
        <v>127</v>
      </c>
      <c r="AH115" s="7" t="s">
        <v>128</v>
      </c>
      <c r="AI115" s="7" t="s">
        <v>129</v>
      </c>
      <c r="AJ115" s="7">
        <v>2004</v>
      </c>
      <c r="AK115" s="7" t="s">
        <v>130</v>
      </c>
      <c r="AL115" s="7" t="s">
        <v>131</v>
      </c>
      <c r="AM115" s="7" t="s">
        <v>132</v>
      </c>
      <c r="AN115" s="7" t="s">
        <v>133</v>
      </c>
      <c r="AO115" s="7">
        <v>2005</v>
      </c>
      <c r="AP115" s="7" t="s">
        <v>134</v>
      </c>
      <c r="AQ115" s="7" t="s">
        <v>135</v>
      </c>
      <c r="AR115" s="7" t="s">
        <v>136</v>
      </c>
      <c r="AS115" s="7" t="s">
        <v>137</v>
      </c>
      <c r="AT115" s="7">
        <v>2006</v>
      </c>
      <c r="AU115" s="7" t="s">
        <v>138</v>
      </c>
      <c r="AV115" s="7" t="s">
        <v>139</v>
      </c>
      <c r="AW115" s="7" t="s">
        <v>140</v>
      </c>
      <c r="AX115" s="7" t="s">
        <v>141</v>
      </c>
      <c r="AY115" s="7">
        <v>2007</v>
      </c>
      <c r="AZ115" s="7" t="s">
        <v>142</v>
      </c>
      <c r="BA115" s="7" t="s">
        <v>143</v>
      </c>
      <c r="BB115" s="7" t="s">
        <v>144</v>
      </c>
      <c r="BC115" s="7" t="s">
        <v>145</v>
      </c>
      <c r="BD115" s="7">
        <v>2008</v>
      </c>
      <c r="BE115" s="7" t="s">
        <v>146</v>
      </c>
      <c r="BF115" s="7" t="s">
        <v>147</v>
      </c>
      <c r="BG115" s="7" t="s">
        <v>148</v>
      </c>
      <c r="BH115" s="7" t="s">
        <v>149</v>
      </c>
      <c r="BI115" s="7">
        <v>2009</v>
      </c>
      <c r="BJ115" s="7" t="s">
        <v>150</v>
      </c>
      <c r="BK115" s="7" t="s">
        <v>151</v>
      </c>
      <c r="BL115" s="7" t="s">
        <v>152</v>
      </c>
      <c r="BM115" s="7" t="s">
        <v>153</v>
      </c>
      <c r="BN115" s="7">
        <v>2010</v>
      </c>
      <c r="BO115" s="7" t="s">
        <v>154</v>
      </c>
      <c r="BP115" s="7" t="s">
        <v>155</v>
      </c>
      <c r="BQ115" s="7" t="s">
        <v>156</v>
      </c>
      <c r="BR115" s="7" t="s">
        <v>157</v>
      </c>
      <c r="BS115" s="7">
        <v>2011</v>
      </c>
      <c r="BT115" s="7" t="s">
        <v>158</v>
      </c>
      <c r="BU115" s="7" t="s">
        <v>159</v>
      </c>
      <c r="BV115" s="7" t="s">
        <v>160</v>
      </c>
      <c r="BW115" s="7" t="s">
        <v>161</v>
      </c>
      <c r="BX115" s="7">
        <v>2012</v>
      </c>
      <c r="BY115" s="7" t="s">
        <v>162</v>
      </c>
      <c r="BZ115" s="7" t="s">
        <v>163</v>
      </c>
      <c r="CA115" s="7" t="s">
        <v>164</v>
      </c>
      <c r="CB115" s="7" t="s">
        <v>165</v>
      </c>
      <c r="CC115" s="7">
        <v>2013</v>
      </c>
      <c r="CD115" s="7" t="s">
        <v>166</v>
      </c>
      <c r="CE115" s="7" t="s">
        <v>167</v>
      </c>
      <c r="CF115" s="7" t="s">
        <v>168</v>
      </c>
      <c r="CG115" s="7" t="s">
        <v>169</v>
      </c>
      <c r="CH115" s="7">
        <v>2014</v>
      </c>
      <c r="CI115" s="7" t="s">
        <v>170</v>
      </c>
      <c r="CJ115" s="7" t="s">
        <v>171</v>
      </c>
      <c r="CK115" s="7" t="s">
        <v>172</v>
      </c>
      <c r="CL115" s="7" t="s">
        <v>173</v>
      </c>
      <c r="CM115" s="7">
        <v>2015</v>
      </c>
      <c r="CN115" s="7" t="s">
        <v>174</v>
      </c>
      <c r="CO115" s="7" t="s">
        <v>175</v>
      </c>
      <c r="CP115" s="7" t="s">
        <v>176</v>
      </c>
      <c r="CQ115" s="7" t="s">
        <v>177</v>
      </c>
      <c r="CR115" s="7">
        <v>2016</v>
      </c>
      <c r="CS115" s="7" t="s">
        <v>178</v>
      </c>
      <c r="CT115" s="7" t="s">
        <v>179</v>
      </c>
      <c r="CU115" s="7" t="s">
        <v>180</v>
      </c>
      <c r="CV115" s="7" t="s">
        <v>181</v>
      </c>
      <c r="CW115" s="7">
        <v>2017</v>
      </c>
      <c r="CX115" s="7" t="s">
        <v>182</v>
      </c>
      <c r="CY115" s="7" t="s">
        <v>183</v>
      </c>
      <c r="CZ115" s="7" t="s">
        <v>184</v>
      </c>
      <c r="DA115" s="7" t="s">
        <v>185</v>
      </c>
      <c r="DB115" s="7">
        <v>2018</v>
      </c>
      <c r="DC115" s="7" t="s">
        <v>186</v>
      </c>
      <c r="DD115" s="7" t="s">
        <v>187</v>
      </c>
      <c r="DE115" s="7" t="s">
        <v>188</v>
      </c>
      <c r="DF115" s="7" t="s">
        <v>189</v>
      </c>
      <c r="DG115" s="7">
        <v>2019</v>
      </c>
      <c r="DH115" s="7" t="s">
        <v>190</v>
      </c>
      <c r="DI115" s="7" t="s">
        <v>191</v>
      </c>
      <c r="DJ115" s="7" t="s">
        <v>192</v>
      </c>
      <c r="DK115" s="7" t="s">
        <v>193</v>
      </c>
      <c r="DL115" s="7">
        <v>2020</v>
      </c>
      <c r="DM115" s="7" t="s">
        <v>194</v>
      </c>
      <c r="DN115" s="7" t="s">
        <v>195</v>
      </c>
      <c r="DO115" s="7" t="s">
        <v>196</v>
      </c>
      <c r="DP115" s="7" t="s">
        <v>197</v>
      </c>
      <c r="DQ115" s="7">
        <v>2021</v>
      </c>
      <c r="DR115" s="7" t="s">
        <v>198</v>
      </c>
      <c r="DS115" s="7" t="s">
        <v>199</v>
      </c>
      <c r="DT115" s="7" t="s">
        <v>201</v>
      </c>
      <c r="DU115" s="7" t="s">
        <v>381</v>
      </c>
      <c r="DV115" s="7">
        <v>2022</v>
      </c>
      <c r="DW115" s="7" t="s">
        <v>382</v>
      </c>
      <c r="DX115" s="7" t="s">
        <v>403</v>
      </c>
      <c r="DY115" s="7" t="s">
        <v>415</v>
      </c>
      <c r="DZ115" s="7" t="s">
        <v>420</v>
      </c>
      <c r="EA115" s="7">
        <v>2023</v>
      </c>
      <c r="EB115" s="7" t="s">
        <v>425</v>
      </c>
      <c r="EC115" s="7" t="s">
        <v>430</v>
      </c>
      <c r="ED115" s="7" t="str">
        <f>$ED$2</f>
        <v>3Q24</v>
      </c>
      <c r="EE115" s="7" t="str">
        <f>$EE$2</f>
        <v>4Q24</v>
      </c>
      <c r="EF115" s="7">
        <f>$EF$2</f>
        <v>2024</v>
      </c>
      <c r="EG115" s="7" t="str">
        <f>EG$2</f>
        <v>1Q25</v>
      </c>
      <c r="EH115" s="7" t="str">
        <f>EH$2</f>
        <v>2Q25</v>
      </c>
      <c r="EI115" s="7" t="str">
        <f>EI$2</f>
        <v>3Q25</v>
      </c>
    </row>
    <row r="116" spans="1:139" ht="15" thickTop="1" x14ac:dyDescent="0.3">
      <c r="A116" s="1" t="s">
        <v>2</v>
      </c>
      <c r="B116" s="27">
        <f>COGS!B116+'SG&amp;A'!B116</f>
        <v>0</v>
      </c>
      <c r="C116" s="27">
        <f>COGS!C116+'SG&amp;A'!C116</f>
        <v>0</v>
      </c>
      <c r="D116" s="27">
        <f>COGS!D116+'SG&amp;A'!D116</f>
        <v>0</v>
      </c>
      <c r="E116" s="27">
        <f>COGS!E116+'SG&amp;A'!E116</f>
        <v>0</v>
      </c>
      <c r="F116" s="27">
        <f>COGS!F116+'SG&amp;A'!F116</f>
        <v>0</v>
      </c>
      <c r="G116" s="27">
        <f>COGS!G116+'SG&amp;A'!G116</f>
        <v>0</v>
      </c>
      <c r="H116" s="27">
        <f>COGS!H116+'SG&amp;A'!H116</f>
        <v>0</v>
      </c>
      <c r="I116" s="27">
        <f>COGS!I116+'SG&amp;A'!I116</f>
        <v>0</v>
      </c>
      <c r="J116" s="27">
        <f>COGS!J116+'SG&amp;A'!J116</f>
        <v>0</v>
      </c>
      <c r="K116" s="27">
        <f>COGS!K116+'SG&amp;A'!K116</f>
        <v>0</v>
      </c>
      <c r="L116" s="27">
        <f>COGS!L116+'SG&amp;A'!L116</f>
        <v>0</v>
      </c>
      <c r="M116" s="27">
        <f>COGS!M116+'SG&amp;A'!M116</f>
        <v>0</v>
      </c>
      <c r="N116" s="27">
        <f>COGS!N116+'SG&amp;A'!N116</f>
        <v>0</v>
      </c>
      <c r="O116" s="27">
        <f>COGS!O116+'SG&amp;A'!O116</f>
        <v>0</v>
      </c>
      <c r="P116" s="27">
        <f>COGS!P116+'SG&amp;A'!P116</f>
        <v>0</v>
      </c>
      <c r="Q116" s="27">
        <f>COGS!Q116+'SG&amp;A'!Q116</f>
        <v>0</v>
      </c>
      <c r="R116" s="27">
        <f>COGS!R116+'SG&amp;A'!R116</f>
        <v>0</v>
      </c>
      <c r="S116" s="27">
        <f>COGS!S116+'SG&amp;A'!S116</f>
        <v>0</v>
      </c>
      <c r="T116" s="27">
        <f>COGS!T116+'SG&amp;A'!T116</f>
        <v>0</v>
      </c>
      <c r="U116" s="27">
        <f>COGS!U116+'SG&amp;A'!U116</f>
        <v>0</v>
      </c>
      <c r="V116" s="27">
        <f>COGS!V116+'SG&amp;A'!V116</f>
        <v>0</v>
      </c>
      <c r="W116" s="27">
        <f>COGS!W116+'SG&amp;A'!W116</f>
        <v>0</v>
      </c>
      <c r="X116" s="27">
        <f>COGS!X116+'SG&amp;A'!X116</f>
        <v>0</v>
      </c>
      <c r="Y116" s="27">
        <f>COGS!Y116+'SG&amp;A'!Y116</f>
        <v>0</v>
      </c>
      <c r="Z116" s="27">
        <f>COGS!Z116+'SG&amp;A'!Z116</f>
        <v>0</v>
      </c>
      <c r="AA116" s="27">
        <f>COGS!AA116+'SG&amp;A'!AA116</f>
        <v>0</v>
      </c>
      <c r="AB116" s="27">
        <f>COGS!AB116+'SG&amp;A'!AB116</f>
        <v>0</v>
      </c>
      <c r="AC116" s="27">
        <f>COGS!AC116+'SG&amp;A'!AC116</f>
        <v>0</v>
      </c>
      <c r="AD116" s="27">
        <f>COGS!AD116+'SG&amp;A'!AD116</f>
        <v>0</v>
      </c>
      <c r="AE116" s="27">
        <f>COGS!AE116+'SG&amp;A'!AE116</f>
        <v>0</v>
      </c>
      <c r="AF116" s="27">
        <f>COGS!AF116+'SG&amp;A'!AF116</f>
        <v>0</v>
      </c>
      <c r="AG116" s="27">
        <f>COGS!AG116+'SG&amp;A'!AG116</f>
        <v>0</v>
      </c>
      <c r="AH116" s="27">
        <f>COGS!AH116+'SG&amp;A'!AH116</f>
        <v>0</v>
      </c>
      <c r="AI116" s="27">
        <f>COGS!AI116+'SG&amp;A'!AI116</f>
        <v>0</v>
      </c>
      <c r="AJ116" s="27">
        <f>COGS!AJ116+'SG&amp;A'!AJ116</f>
        <v>0</v>
      </c>
      <c r="AK116" s="27">
        <f>COGS!AK116+'SG&amp;A'!AK116</f>
        <v>0</v>
      </c>
      <c r="AL116" s="27">
        <f>COGS!AL116+'SG&amp;A'!AL116</f>
        <v>0</v>
      </c>
      <c r="AM116" s="27">
        <f>COGS!AM116+'SG&amp;A'!AM116</f>
        <v>0</v>
      </c>
      <c r="AN116" s="27">
        <f>COGS!AN116+'SG&amp;A'!AN116</f>
        <v>0</v>
      </c>
      <c r="AO116" s="27">
        <f>COGS!AO116+'SG&amp;A'!AO116</f>
        <v>0</v>
      </c>
      <c r="AP116" s="27">
        <f>COGS!AP116+'SG&amp;A'!AP116</f>
        <v>0</v>
      </c>
      <c r="AQ116" s="27">
        <f>COGS!AQ116+'SG&amp;A'!AQ116</f>
        <v>0</v>
      </c>
      <c r="AR116" s="27">
        <f>COGS!AR116+'SG&amp;A'!AR116</f>
        <v>0</v>
      </c>
      <c r="AS116" s="27">
        <f>COGS!AS116+'SG&amp;A'!AS116</f>
        <v>0</v>
      </c>
      <c r="AT116" s="27">
        <f>COGS!AT116+'SG&amp;A'!AT116</f>
        <v>0</v>
      </c>
      <c r="AU116" s="27">
        <f>COGS!AU116+'SG&amp;A'!AU116</f>
        <v>0</v>
      </c>
      <c r="AV116" s="27">
        <f>COGS!AV116+'SG&amp;A'!AV116</f>
        <v>0</v>
      </c>
      <c r="AW116" s="27">
        <f>COGS!AW116+'SG&amp;A'!AW116</f>
        <v>0</v>
      </c>
      <c r="AX116" s="27">
        <f>COGS!AX116+'SG&amp;A'!AX116</f>
        <v>0</v>
      </c>
      <c r="AY116" s="27">
        <f>COGS!AY116+'SG&amp;A'!AY116</f>
        <v>0</v>
      </c>
      <c r="AZ116" s="27">
        <f>COGS!AZ116+'SG&amp;A'!AZ116</f>
        <v>0</v>
      </c>
      <c r="BA116" s="27">
        <f>COGS!BA116+'SG&amp;A'!BA116</f>
        <v>0</v>
      </c>
      <c r="BB116" s="27">
        <f>COGS!BB116+'SG&amp;A'!BB116</f>
        <v>0</v>
      </c>
      <c r="BC116" s="27">
        <f>COGS!BC116+'SG&amp;A'!BC116</f>
        <v>0</v>
      </c>
      <c r="BD116" s="27">
        <f>COGS!BD116+'SG&amp;A'!BD116</f>
        <v>0</v>
      </c>
      <c r="BE116" s="27">
        <f>COGS!BE116+'SG&amp;A'!BE116</f>
        <v>0</v>
      </c>
      <c r="BF116" s="27">
        <f>COGS!BF116+'SG&amp;A'!BF116</f>
        <v>0</v>
      </c>
      <c r="BG116" s="27">
        <f>COGS!BG116+'SG&amp;A'!BG116</f>
        <v>0</v>
      </c>
      <c r="BH116" s="27">
        <f>COGS!BH116+'SG&amp;A'!BH116</f>
        <v>0</v>
      </c>
      <c r="BI116" s="27">
        <f>COGS!BI116+'SG&amp;A'!BI116</f>
        <v>0</v>
      </c>
      <c r="BJ116" s="27">
        <f>COGS!BJ116+'SG&amp;A'!BJ116</f>
        <v>1.68185791</v>
      </c>
      <c r="BK116" s="27">
        <f>COGS!BK116+'SG&amp;A'!BK116</f>
        <v>1.78621808</v>
      </c>
      <c r="BL116" s="27">
        <f>COGS!BL116+'SG&amp;A'!BL116</f>
        <v>1.8711568499999991</v>
      </c>
      <c r="BM116" s="27">
        <f>COGS!BM116+'SG&amp;A'!BM116</f>
        <v>1.8865333500000003</v>
      </c>
      <c r="BN116" s="27">
        <f>COGS!BN116+'SG&amp;A'!BN116</f>
        <v>7.2257661899999999</v>
      </c>
      <c r="BO116" s="27">
        <f>COGS!BO116+'SG&amp;A'!BO116</f>
        <v>1.94582012</v>
      </c>
      <c r="BP116" s="27">
        <f>COGS!BP116+'SG&amp;A'!BP116</f>
        <v>2.0433189899999999</v>
      </c>
      <c r="BQ116" s="27">
        <f>COGS!BQ116+'SG&amp;A'!BQ116</f>
        <v>2.2098411800000002</v>
      </c>
      <c r="BR116" s="27">
        <f>COGS!BR116+'SG&amp;A'!BR116</f>
        <v>2.3924777800000006</v>
      </c>
      <c r="BS116" s="27">
        <f>COGS!BS116+'SG&amp;A'!BS116</f>
        <v>8.5914580699999998</v>
      </c>
      <c r="BT116" s="27">
        <f>COGS!BT116+'SG&amp;A'!BT116</f>
        <v>2.6559004500000003</v>
      </c>
      <c r="BU116" s="27">
        <f>COGS!BU116+'SG&amp;A'!BU116</f>
        <v>2.7625753799999999</v>
      </c>
      <c r="BV116" s="27">
        <f>COGS!BV116+'SG&amp;A'!BV116</f>
        <v>2.94969233</v>
      </c>
      <c r="BW116" s="27">
        <f>COGS!BW116+'SG&amp;A'!BW116</f>
        <v>3.2945157700000007</v>
      </c>
      <c r="BX116" s="27">
        <f>COGS!BX116+'SG&amp;A'!BX116</f>
        <v>11.66268393</v>
      </c>
      <c r="BY116" s="27">
        <f>COGS!BY116+'SG&amp;A'!BY116</f>
        <v>2.7693853900000001</v>
      </c>
      <c r="BZ116" s="27">
        <f>COGS!BZ116+'SG&amp;A'!BZ116</f>
        <v>2.6525611300000005</v>
      </c>
      <c r="CA116" s="27">
        <f>COGS!CA116+'SG&amp;A'!CA116</f>
        <v>2.9797349799999999</v>
      </c>
      <c r="CB116" s="27">
        <f>COGS!CB116+'SG&amp;A'!CB116</f>
        <v>6.3003257599999998</v>
      </c>
      <c r="CC116" s="27">
        <f>COGS!CC116+'SG&amp;A'!CC116</f>
        <v>14.70200726</v>
      </c>
      <c r="CD116" s="27">
        <f>COGS!CD116+'SG&amp;A'!CD116</f>
        <v>4.4189533299999999</v>
      </c>
      <c r="CE116" s="27">
        <f>COGS!CE116+'SG&amp;A'!CE116</f>
        <v>4.1045805099999999</v>
      </c>
      <c r="CF116" s="27">
        <f>COGS!CF116+'SG&amp;A'!CF116</f>
        <v>3.7782837299999992</v>
      </c>
      <c r="CG116" s="27">
        <f>COGS!CG116+'SG&amp;A'!CG116</f>
        <v>4.0872450500000035</v>
      </c>
      <c r="CH116" s="27">
        <f>COGS!CH116+'SG&amp;A'!CH116</f>
        <v>16.389062620000001</v>
      </c>
      <c r="CI116" s="27">
        <f>COGS!CI116+'SG&amp;A'!CI116</f>
        <v>6.3318030300000006</v>
      </c>
      <c r="CJ116" s="27">
        <f>COGS!CJ116+'SG&amp;A'!CJ116</f>
        <v>5.7100519099999998</v>
      </c>
      <c r="CK116" s="27">
        <f>COGS!CK116+'SG&amp;A'!CK116</f>
        <v>5.1774617199999993</v>
      </c>
      <c r="CL116" s="27">
        <f>COGS!CL116+'SG&amp;A'!CL116</f>
        <v>11.696740980000001</v>
      </c>
      <c r="CM116" s="27">
        <f>COGS!CM116+'SG&amp;A'!CM116</f>
        <v>28.916057640000002</v>
      </c>
      <c r="CN116" s="27">
        <f>COGS!CN116+'SG&amp;A'!CN116</f>
        <v>8.2111256200000007</v>
      </c>
      <c r="CO116" s="27">
        <f>COGS!CO116+'SG&amp;A'!CO116</f>
        <v>8.2098481799999981</v>
      </c>
      <c r="CP116" s="27">
        <f>COGS!CP116+'SG&amp;A'!CP116</f>
        <v>8.959881059999999</v>
      </c>
      <c r="CQ116" s="27">
        <f>COGS!CQ116+'SG&amp;A'!CQ116</f>
        <v>7.8581451399999986</v>
      </c>
      <c r="CR116" s="27">
        <f>COGS!CR116+'SG&amp;A'!CR116</f>
        <v>33.238999999999997</v>
      </c>
      <c r="CS116" s="27">
        <f>COGS!CS116+'SG&amp;A'!CS116</f>
        <v>9.5398045399999987</v>
      </c>
      <c r="CT116" s="27">
        <f>COGS!CT116+'SG&amp;A'!CT116</f>
        <v>9.8671529000000042</v>
      </c>
      <c r="CU116" s="27">
        <f>COGS!CU116+'SG&amp;A'!CU116</f>
        <v>10.429046169999996</v>
      </c>
      <c r="CV116" s="27">
        <f>COGS!CV116+'SG&amp;A'!CV116</f>
        <v>10.335058500000002</v>
      </c>
      <c r="CW116" s="27">
        <f>COGS!CW116+'SG&amp;A'!CW116</f>
        <v>40.171062110000001</v>
      </c>
      <c r="CX116" s="27">
        <f>COGS!CX116+'SG&amp;A'!CX116</f>
        <v>11.074</v>
      </c>
      <c r="CY116" s="27">
        <f>COGS!CY116+'SG&amp;A'!CY116</f>
        <v>12.148999999999999</v>
      </c>
      <c r="CZ116" s="27">
        <f>COGS!CZ116+'SG&amp;A'!CZ116</f>
        <v>12.422000000000001</v>
      </c>
      <c r="DA116" s="27">
        <f>COGS!DA116+'SG&amp;A'!DA116</f>
        <v>12.835000000000001</v>
      </c>
      <c r="DB116" s="27">
        <f>COGS!DB116+'SG&amp;A'!DB116</f>
        <v>48.48</v>
      </c>
      <c r="DC116" s="27">
        <f>COGS!DC116+'SG&amp;A'!DC116</f>
        <v>11.978999999999999</v>
      </c>
      <c r="DD116" s="27">
        <f>COGS!DD116+'SG&amp;A'!DD116</f>
        <v>11.647</v>
      </c>
      <c r="DE116" s="27">
        <f>COGS!DE116+'SG&amp;A'!DE116</f>
        <v>13.092000000000001</v>
      </c>
      <c r="DF116" s="27">
        <f>COGS!DF116+'SG&amp;A'!DF116</f>
        <v>16.236999999999998</v>
      </c>
      <c r="DG116" s="27">
        <f>COGS!DG116+'SG&amp;A'!DG116</f>
        <v>52.954999999999998</v>
      </c>
      <c r="DH116" s="27">
        <f>COGS!DH116+'SG&amp;A'!DH116</f>
        <v>12.678000000000001</v>
      </c>
      <c r="DI116" s="27">
        <f>COGS!DI116+'SG&amp;A'!DI116</f>
        <v>14.516</v>
      </c>
      <c r="DJ116" s="27">
        <f>COGS!DJ116+'SG&amp;A'!DJ116</f>
        <v>14.347</v>
      </c>
      <c r="DK116" s="27">
        <f>COGS!DK116+'SG&amp;A'!DK116</f>
        <v>14.528</v>
      </c>
      <c r="DL116" s="27">
        <f>COGS!DL116+'SG&amp;A'!DL116</f>
        <v>56.069000000000003</v>
      </c>
      <c r="DM116" s="27">
        <f>COGS!DM116+'SG&amp;A'!DM116</f>
        <v>14.561999999999999</v>
      </c>
      <c r="DN116" s="27">
        <f>COGS!DN116+'SG&amp;A'!DN116</f>
        <v>15.973000000000001</v>
      </c>
      <c r="DO116" s="27">
        <f>COGS!DO116+'SG&amp;A'!DO116</f>
        <v>16.542000000000002</v>
      </c>
      <c r="DP116" s="27">
        <f>COGS!DP116+'SG&amp;A'!DP116</f>
        <v>29.292000000000002</v>
      </c>
      <c r="DQ116" s="27">
        <f>COGS!DQ116+'SG&amp;A'!DQ116</f>
        <v>76.369</v>
      </c>
      <c r="DR116" s="27">
        <f>COGS!DR116+'SG&amp;A'!DR116</f>
        <v>0.17199999999999999</v>
      </c>
      <c r="DS116" s="27">
        <f>COGS!DS116+'SG&amp;A'!DS116</f>
        <v>5.0999999999999997E-2</v>
      </c>
      <c r="DT116" s="27">
        <f>COGS!DT116+'SG&amp;A'!DT116</f>
        <v>4.8000000000000001E-2</v>
      </c>
      <c r="DU116" s="27">
        <f>COGS!DU116+'SG&amp;A'!DU116</f>
        <v>0</v>
      </c>
      <c r="DV116" s="27">
        <f>COGS!DV116+'SG&amp;A'!DV116</f>
        <v>0.27100000000000002</v>
      </c>
      <c r="DW116" s="27">
        <f>COGS!DW116+'SG&amp;A'!DW116</f>
        <v>0</v>
      </c>
      <c r="DX116" s="27">
        <f>COGS!DX116+'SG&amp;A'!DX116</f>
        <v>0</v>
      </c>
      <c r="DY116" s="27">
        <f>COGS!DY116+'SG&amp;A'!DY116</f>
        <v>0</v>
      </c>
      <c r="DZ116" s="27">
        <f>COGS!DZ116+'SG&amp;A'!DZ116</f>
        <v>0</v>
      </c>
      <c r="EA116" s="27">
        <f>COGS!EA116+'SG&amp;A'!EA116</f>
        <v>0</v>
      </c>
      <c r="EB116" s="27">
        <f>COGS!EB116+'SG&amp;A'!EB116</f>
        <v>0</v>
      </c>
      <c r="EC116" s="27">
        <f>COGS!EC116+'SG&amp;A'!EC116</f>
        <v>0</v>
      </c>
      <c r="ED116" s="27">
        <f>COGS!ED116+'SG&amp;A'!ED116</f>
        <v>0</v>
      </c>
      <c r="EE116" s="27">
        <f>COGS!EE116+'SG&amp;A'!EE116</f>
        <v>0</v>
      </c>
      <c r="EF116" s="27">
        <f>COGS!EF116+'SG&amp;A'!EF116</f>
        <v>0</v>
      </c>
      <c r="EG116" s="27">
        <f>COGS!EG116+'SG&amp;A'!EG116</f>
        <v>0</v>
      </c>
      <c r="EH116" s="27">
        <f>COGS!EH116+'SG&amp;A'!EH116</f>
        <v>0</v>
      </c>
      <c r="EI116" s="27">
        <f>COGS!EI116+'SG&amp;A'!EI116</f>
        <v>0</v>
      </c>
    </row>
    <row r="117" spans="1:139" ht="15" thickBot="1" x14ac:dyDescent="0.35">
      <c r="A117" s="2" t="s">
        <v>454</v>
      </c>
      <c r="B117" s="28">
        <f>COGS!B117+'SG&amp;A'!B117</f>
        <v>0</v>
      </c>
      <c r="C117" s="28">
        <f>COGS!C117+'SG&amp;A'!C117</f>
        <v>0</v>
      </c>
      <c r="D117" s="28">
        <f>COGS!D117+'SG&amp;A'!D117</f>
        <v>0</v>
      </c>
      <c r="E117" s="28">
        <f>COGS!E117+'SG&amp;A'!E117</f>
        <v>0</v>
      </c>
      <c r="F117" s="28">
        <f>COGS!F117+'SG&amp;A'!F117</f>
        <v>0</v>
      </c>
      <c r="G117" s="28">
        <f>COGS!G117+'SG&amp;A'!G117</f>
        <v>0</v>
      </c>
      <c r="H117" s="28">
        <f>COGS!H117+'SG&amp;A'!H117</f>
        <v>0</v>
      </c>
      <c r="I117" s="28">
        <f>COGS!I117+'SG&amp;A'!I117</f>
        <v>0</v>
      </c>
      <c r="J117" s="28">
        <f>COGS!J117+'SG&amp;A'!J117</f>
        <v>0</v>
      </c>
      <c r="K117" s="28">
        <f>COGS!K117+'SG&amp;A'!K117</f>
        <v>0</v>
      </c>
      <c r="L117" s="28">
        <f>COGS!L117+'SG&amp;A'!L117</f>
        <v>0</v>
      </c>
      <c r="M117" s="28">
        <f>COGS!M117+'SG&amp;A'!M117</f>
        <v>0</v>
      </c>
      <c r="N117" s="28">
        <f>COGS!N117+'SG&amp;A'!N117</f>
        <v>0</v>
      </c>
      <c r="O117" s="28">
        <f>COGS!O117+'SG&amp;A'!O117</f>
        <v>0</v>
      </c>
      <c r="P117" s="28">
        <f>COGS!P117+'SG&amp;A'!P117</f>
        <v>0</v>
      </c>
      <c r="Q117" s="28">
        <f>COGS!Q117+'SG&amp;A'!Q117</f>
        <v>0</v>
      </c>
      <c r="R117" s="28">
        <f>COGS!R117+'SG&amp;A'!R117</f>
        <v>0</v>
      </c>
      <c r="S117" s="28">
        <f>COGS!S117+'SG&amp;A'!S117</f>
        <v>0</v>
      </c>
      <c r="T117" s="28">
        <f>COGS!T117+'SG&amp;A'!T117</f>
        <v>0</v>
      </c>
      <c r="U117" s="28">
        <f>COGS!U117+'SG&amp;A'!U117</f>
        <v>0</v>
      </c>
      <c r="V117" s="28">
        <f>COGS!V117+'SG&amp;A'!V117</f>
        <v>0</v>
      </c>
      <c r="W117" s="28">
        <f>COGS!W117+'SG&amp;A'!W117</f>
        <v>0</v>
      </c>
      <c r="X117" s="28">
        <f>COGS!X117+'SG&amp;A'!X117</f>
        <v>0</v>
      </c>
      <c r="Y117" s="28">
        <f>COGS!Y117+'SG&amp;A'!Y117</f>
        <v>0</v>
      </c>
      <c r="Z117" s="28">
        <f>COGS!Z117+'SG&amp;A'!Z117</f>
        <v>0</v>
      </c>
      <c r="AA117" s="28">
        <f>COGS!AA117+'SG&amp;A'!AA117</f>
        <v>0</v>
      </c>
      <c r="AB117" s="28">
        <f>COGS!AB117+'SG&amp;A'!AB117</f>
        <v>0</v>
      </c>
      <c r="AC117" s="28">
        <f>COGS!AC117+'SG&amp;A'!AC117</f>
        <v>0</v>
      </c>
      <c r="AD117" s="28">
        <f>COGS!AD117+'SG&amp;A'!AD117</f>
        <v>0</v>
      </c>
      <c r="AE117" s="28">
        <f>COGS!AE117+'SG&amp;A'!AE117</f>
        <v>0</v>
      </c>
      <c r="AF117" s="28">
        <f>COGS!AF117+'SG&amp;A'!AF117</f>
        <v>0</v>
      </c>
      <c r="AG117" s="28">
        <f>COGS!AG117+'SG&amp;A'!AG117</f>
        <v>0</v>
      </c>
      <c r="AH117" s="28">
        <f>COGS!AH117+'SG&amp;A'!AH117</f>
        <v>0</v>
      </c>
      <c r="AI117" s="28">
        <f>COGS!AI117+'SG&amp;A'!AI117</f>
        <v>0</v>
      </c>
      <c r="AJ117" s="28">
        <f>COGS!AJ117+'SG&amp;A'!AJ117</f>
        <v>0</v>
      </c>
      <c r="AK117" s="28">
        <f>COGS!AK117+'SG&amp;A'!AK117</f>
        <v>0</v>
      </c>
      <c r="AL117" s="28">
        <f>COGS!AL117+'SG&amp;A'!AL117</f>
        <v>0</v>
      </c>
      <c r="AM117" s="28">
        <f>COGS!AM117+'SG&amp;A'!AM117</f>
        <v>0</v>
      </c>
      <c r="AN117" s="28">
        <f>COGS!AN117+'SG&amp;A'!AN117</f>
        <v>0</v>
      </c>
      <c r="AO117" s="28">
        <f>COGS!AO117+'SG&amp;A'!AO117</f>
        <v>0</v>
      </c>
      <c r="AP117" s="28">
        <f>COGS!AP117+'SG&amp;A'!AP117</f>
        <v>0</v>
      </c>
      <c r="AQ117" s="28">
        <f>COGS!AQ117+'SG&amp;A'!AQ117</f>
        <v>0</v>
      </c>
      <c r="AR117" s="28">
        <f>COGS!AR117+'SG&amp;A'!AR117</f>
        <v>0</v>
      </c>
      <c r="AS117" s="28">
        <f>COGS!AS117+'SG&amp;A'!AS117</f>
        <v>0</v>
      </c>
      <c r="AT117" s="28">
        <f>COGS!AT117+'SG&amp;A'!AT117</f>
        <v>0</v>
      </c>
      <c r="AU117" s="28">
        <f>COGS!AU117+'SG&amp;A'!AU117</f>
        <v>0</v>
      </c>
      <c r="AV117" s="28">
        <f>COGS!AV117+'SG&amp;A'!AV117</f>
        <v>0</v>
      </c>
      <c r="AW117" s="28">
        <f>COGS!AW117+'SG&amp;A'!AW117</f>
        <v>0</v>
      </c>
      <c r="AX117" s="28">
        <f>COGS!AX117+'SG&amp;A'!AX117</f>
        <v>0</v>
      </c>
      <c r="AY117" s="28">
        <f>COGS!AY117+'SG&amp;A'!AY117</f>
        <v>0</v>
      </c>
      <c r="AZ117" s="28">
        <f>COGS!AZ117+'SG&amp;A'!AZ117</f>
        <v>0</v>
      </c>
      <c r="BA117" s="28">
        <f>COGS!BA117+'SG&amp;A'!BA117</f>
        <v>0</v>
      </c>
      <c r="BB117" s="28">
        <f>COGS!BB117+'SG&amp;A'!BB117</f>
        <v>0</v>
      </c>
      <c r="BC117" s="28">
        <f>COGS!BC117+'SG&amp;A'!BC117</f>
        <v>0</v>
      </c>
      <c r="BD117" s="28">
        <f>COGS!BD117+'SG&amp;A'!BD117</f>
        <v>0</v>
      </c>
      <c r="BE117" s="28">
        <f>COGS!BE117+'SG&amp;A'!BE117</f>
        <v>0</v>
      </c>
      <c r="BF117" s="28">
        <f>COGS!BF117+'SG&amp;A'!BF117</f>
        <v>0</v>
      </c>
      <c r="BG117" s="28">
        <f>COGS!BG117+'SG&amp;A'!BG117</f>
        <v>0</v>
      </c>
      <c r="BH117" s="28">
        <f>COGS!BH117+'SG&amp;A'!BH117</f>
        <v>0</v>
      </c>
      <c r="BI117" s="28">
        <f>COGS!BI117+'SG&amp;A'!BI117</f>
        <v>0</v>
      </c>
      <c r="BJ117" s="28">
        <f>COGS!BJ117+'SG&amp;A'!BJ117</f>
        <v>1.1472587599999999</v>
      </c>
      <c r="BK117" s="28">
        <f>COGS!BK117+'SG&amp;A'!BK117</f>
        <v>1.20046231</v>
      </c>
      <c r="BL117" s="28">
        <f>COGS!BL117+'SG&amp;A'!BL117</f>
        <v>1.30491019</v>
      </c>
      <c r="BM117" s="28">
        <f>COGS!BM117+'SG&amp;A'!BM117</f>
        <v>1.3370749600000009</v>
      </c>
      <c r="BN117" s="28">
        <f>COGS!BN117+'SG&amp;A'!BN117</f>
        <v>4.9897062200000004</v>
      </c>
      <c r="BO117" s="28">
        <f>COGS!BO117+'SG&amp;A'!BO117</f>
        <v>1.4067838799999999</v>
      </c>
      <c r="BP117" s="28">
        <f>COGS!BP117+'SG&amp;A'!BP117</f>
        <v>1.51154104</v>
      </c>
      <c r="BQ117" s="28">
        <f>COGS!BQ117+'SG&amp;A'!BQ117</f>
        <v>1.5927642500000001</v>
      </c>
      <c r="BR117" s="28">
        <f>COGS!BR117+'SG&amp;A'!BR117</f>
        <v>1.6871187499999998</v>
      </c>
      <c r="BS117" s="28">
        <f>COGS!BS117+'SG&amp;A'!BS117</f>
        <v>6.1982079199999998</v>
      </c>
      <c r="BT117" s="28">
        <f>COGS!BT117+'SG&amp;A'!BT117</f>
        <v>1.6700635699999999</v>
      </c>
      <c r="BU117" s="28">
        <f>COGS!BU117+'SG&amp;A'!BU117</f>
        <v>1.76194484</v>
      </c>
      <c r="BV117" s="28">
        <f>COGS!BV117+'SG&amp;A'!BV117</f>
        <v>1.8674662800000004</v>
      </c>
      <c r="BW117" s="28">
        <f>COGS!BW117+'SG&amp;A'!BW117</f>
        <v>2.1325605599999999</v>
      </c>
      <c r="BX117" s="28">
        <f>COGS!BX117+'SG&amp;A'!BX117</f>
        <v>7.4320352500000002</v>
      </c>
      <c r="BY117" s="28">
        <f>COGS!BY117+'SG&amp;A'!BY117</f>
        <v>2.1006320399999998</v>
      </c>
      <c r="BZ117" s="28">
        <f>COGS!BZ117+'SG&amp;A'!BZ117</f>
        <v>2.1270844700000007</v>
      </c>
      <c r="CA117" s="28">
        <f>COGS!CA117+'SG&amp;A'!CA117</f>
        <v>2.2491373799999996</v>
      </c>
      <c r="CB117" s="28">
        <f>COGS!CB117+'SG&amp;A'!CB117</f>
        <v>3.295203980000001</v>
      </c>
      <c r="CC117" s="28">
        <f>COGS!CC117+'SG&amp;A'!CC117</f>
        <v>9.7720578700000011</v>
      </c>
      <c r="CD117" s="28">
        <f>COGS!CD117+'SG&amp;A'!CD117</f>
        <v>2.18289628</v>
      </c>
      <c r="CE117" s="28">
        <f>COGS!CE117+'SG&amp;A'!CE117</f>
        <v>2.4395882700000002</v>
      </c>
      <c r="CF117" s="28">
        <f>COGS!CF117+'SG&amp;A'!CF117</f>
        <v>2.5410947900000003</v>
      </c>
      <c r="CG117" s="28">
        <f>COGS!CG117+'SG&amp;A'!CG117</f>
        <v>7.3770054700000003</v>
      </c>
      <c r="CH117" s="28">
        <f>COGS!CH117+'SG&amp;A'!CH117</f>
        <v>14.54058481</v>
      </c>
      <c r="CI117" s="28">
        <f>COGS!CI117+'SG&amp;A'!CI117</f>
        <v>3.93655365</v>
      </c>
      <c r="CJ117" s="28">
        <f>COGS!CJ117+'SG&amp;A'!CJ117</f>
        <v>4.8521752500000002</v>
      </c>
      <c r="CK117" s="28">
        <f>COGS!CK117+'SG&amp;A'!CK117</f>
        <v>4.4988636</v>
      </c>
      <c r="CL117" s="28">
        <f>COGS!CL117+'SG&amp;A'!CL117</f>
        <v>4.6155539899999969</v>
      </c>
      <c r="CM117" s="28">
        <f>COGS!CM117+'SG&amp;A'!CM117</f>
        <v>17.903146489999997</v>
      </c>
      <c r="CN117" s="28">
        <f>COGS!CN117+'SG&amp;A'!CN117</f>
        <v>4.5713282799999995</v>
      </c>
      <c r="CO117" s="28">
        <f>COGS!CO117+'SG&amp;A'!CO117</f>
        <v>4.8569346200000005</v>
      </c>
      <c r="CP117" s="28">
        <f>COGS!CP117+'SG&amp;A'!CP117</f>
        <v>5.1938901899999985</v>
      </c>
      <c r="CQ117" s="28">
        <f>COGS!CQ117+'SG&amp;A'!CQ117</f>
        <v>5.0518469100000019</v>
      </c>
      <c r="CR117" s="28">
        <f>COGS!CR117+'SG&amp;A'!CR117</f>
        <v>19.673999999999999</v>
      </c>
      <c r="CS117" s="28">
        <f>COGS!CS117+'SG&amp;A'!CS117</f>
        <v>6.74605122</v>
      </c>
      <c r="CT117" s="28">
        <f>COGS!CT117+'SG&amp;A'!CT117</f>
        <v>7.1158093999999998</v>
      </c>
      <c r="CU117" s="28">
        <f>COGS!CU117+'SG&amp;A'!CU117</f>
        <v>7.5924736900000003</v>
      </c>
      <c r="CV117" s="28">
        <f>COGS!CV117+'SG&amp;A'!CV117</f>
        <v>7.7938491999999986</v>
      </c>
      <c r="CW117" s="28">
        <f>COGS!CW117+'SG&amp;A'!CW117</f>
        <v>29.248183509999997</v>
      </c>
      <c r="CX117" s="28">
        <f>COGS!CX117+'SG&amp;A'!CX117</f>
        <v>8.702</v>
      </c>
      <c r="CY117" s="28">
        <f>COGS!CY117+'SG&amp;A'!CY117</f>
        <v>9.3840000000000003</v>
      </c>
      <c r="CZ117" s="28">
        <f>COGS!CZ117+'SG&amp;A'!CZ117</f>
        <v>9.2420000000000009</v>
      </c>
      <c r="DA117" s="28">
        <f>COGS!DA117+'SG&amp;A'!DA117</f>
        <v>10.571999999999999</v>
      </c>
      <c r="DB117" s="28">
        <f>COGS!DB117+'SG&amp;A'!DB117</f>
        <v>37.9</v>
      </c>
      <c r="DC117" s="28">
        <f>COGS!DC117+'SG&amp;A'!DC117</f>
        <v>11.363</v>
      </c>
      <c r="DD117" s="28">
        <f>COGS!DD117+'SG&amp;A'!DD117</f>
        <v>11.869</v>
      </c>
      <c r="DE117" s="28">
        <f>COGS!DE117+'SG&amp;A'!DE117</f>
        <v>12.429</v>
      </c>
      <c r="DF117" s="28">
        <f>COGS!DF117+'SG&amp;A'!DF117</f>
        <v>12.875999999999999</v>
      </c>
      <c r="DG117" s="28">
        <f>COGS!DG117+'SG&amp;A'!DG117</f>
        <v>48.536999999999999</v>
      </c>
      <c r="DH117" s="28">
        <f>COGS!DH117+'SG&amp;A'!DH117</f>
        <v>11.766</v>
      </c>
      <c r="DI117" s="28">
        <f>COGS!DI117+'SG&amp;A'!DI117</f>
        <v>14.193</v>
      </c>
      <c r="DJ117" s="28">
        <f>COGS!DJ117+'SG&amp;A'!DJ117</f>
        <v>14.154</v>
      </c>
      <c r="DK117" s="28">
        <f>COGS!DK117+'SG&amp;A'!DK117</f>
        <v>11.997</v>
      </c>
      <c r="DL117" s="28">
        <f>COGS!DL117+'SG&amp;A'!DL117</f>
        <v>52.11</v>
      </c>
      <c r="DM117" s="28">
        <f>COGS!DM117+'SG&amp;A'!DM117</f>
        <v>15.237</v>
      </c>
      <c r="DN117" s="28">
        <f>COGS!DN117+'SG&amp;A'!DN117</f>
        <v>18.774000000000001</v>
      </c>
      <c r="DO117" s="28">
        <f>COGS!DO117+'SG&amp;A'!DO117</f>
        <v>21.318000000000001</v>
      </c>
      <c r="DP117" s="28">
        <f>COGS!DP117+'SG&amp;A'!DP117</f>
        <v>27.481999999999999</v>
      </c>
      <c r="DQ117" s="28">
        <f>COGS!DQ117+'SG&amp;A'!DQ117</f>
        <v>82.811000000000007</v>
      </c>
      <c r="DR117" s="28">
        <f>COGS!DR117+'SG&amp;A'!DR117</f>
        <v>25.542999999999999</v>
      </c>
      <c r="DS117" s="28">
        <f>COGS!DS117+'SG&amp;A'!DS117</f>
        <v>25.995000000000001</v>
      </c>
      <c r="DT117" s="28">
        <f>COGS!DT117+'SG&amp;A'!DT117</f>
        <v>26.364000000000001</v>
      </c>
      <c r="DU117" s="28">
        <f>COGS!DU117+'SG&amp;A'!DU117</f>
        <v>32.93</v>
      </c>
      <c r="DV117" s="28">
        <f>COGS!DV117+'SG&amp;A'!DV117</f>
        <v>110.83199999999999</v>
      </c>
      <c r="DW117" s="28">
        <f>COGS!DW117+'SG&amp;A'!DW117</f>
        <v>34.622</v>
      </c>
      <c r="DX117" s="28">
        <f>COGS!DX117+'SG&amp;A'!DX117</f>
        <v>32.829000000000001</v>
      </c>
      <c r="DY117" s="28">
        <f>COGS!DY117+'SG&amp;A'!DY117</f>
        <v>33.628174030000004</v>
      </c>
      <c r="DZ117" s="28">
        <f>COGS!DZ117+'SG&amp;A'!DZ117</f>
        <v>37.192191100000002</v>
      </c>
      <c r="EA117" s="28">
        <f>COGS!EA117+'SG&amp;A'!EA117</f>
        <v>138.27136512999999</v>
      </c>
      <c r="EB117" s="28">
        <f>COGS!EB117+'SG&amp;A'!EB117</f>
        <v>46.020830359999998</v>
      </c>
      <c r="EC117" s="28">
        <f>COGS!EC117+'SG&amp;A'!EC117</f>
        <v>46.488544519999998</v>
      </c>
      <c r="ED117" s="28">
        <f>COGS!ED117+'SG&amp;A'!ED117</f>
        <v>50.273000000000003</v>
      </c>
      <c r="EE117" s="28">
        <f>COGS!EE117+'SG&amp;A'!EE117</f>
        <v>49.900551370000002</v>
      </c>
      <c r="EF117" s="28">
        <f>COGS!EF117+'SG&amp;A'!EF117</f>
        <v>192.68292624999998</v>
      </c>
      <c r="EG117" s="28">
        <f>COGS!EG117+'SG&amp;A'!EG117</f>
        <v>62.184856979999999</v>
      </c>
      <c r="EH117" s="28">
        <f>COGS!EH117+'SG&amp;A'!EH117</f>
        <v>57.458376229999999</v>
      </c>
      <c r="EI117" s="28">
        <f>COGS!EI117+'SG&amp;A'!EI117</f>
        <v>55.433522920000001</v>
      </c>
    </row>
    <row r="118" spans="1:139" ht="15" thickTop="1" x14ac:dyDescent="0.3">
      <c r="A118" s="1" t="s">
        <v>442</v>
      </c>
      <c r="B118" s="27">
        <f>COGS!B118+'SG&amp;A'!B118</f>
        <v>0</v>
      </c>
      <c r="C118" s="27">
        <f>COGS!C118+'SG&amp;A'!C118</f>
        <v>0</v>
      </c>
      <c r="D118" s="27">
        <f>COGS!D118+'SG&amp;A'!D118</f>
        <v>0</v>
      </c>
      <c r="E118" s="27">
        <f>COGS!E118+'SG&amp;A'!E118</f>
        <v>0</v>
      </c>
      <c r="F118" s="27">
        <f>COGS!F118+'SG&amp;A'!F118</f>
        <v>0</v>
      </c>
      <c r="G118" s="27">
        <f>COGS!G118+'SG&amp;A'!G118</f>
        <v>0</v>
      </c>
      <c r="H118" s="27">
        <f>COGS!H118+'SG&amp;A'!H118</f>
        <v>0</v>
      </c>
      <c r="I118" s="27">
        <f>COGS!I118+'SG&amp;A'!I118</f>
        <v>0</v>
      </c>
      <c r="J118" s="27">
        <f>COGS!J118+'SG&amp;A'!J118</f>
        <v>0</v>
      </c>
      <c r="K118" s="27">
        <f>COGS!K118+'SG&amp;A'!K118</f>
        <v>0</v>
      </c>
      <c r="L118" s="27">
        <f>COGS!L118+'SG&amp;A'!L118</f>
        <v>0</v>
      </c>
      <c r="M118" s="27">
        <f>COGS!M118+'SG&amp;A'!M118</f>
        <v>0</v>
      </c>
      <c r="N118" s="27">
        <f>COGS!N118+'SG&amp;A'!N118</f>
        <v>0</v>
      </c>
      <c r="O118" s="27">
        <f>COGS!O118+'SG&amp;A'!O118</f>
        <v>0</v>
      </c>
      <c r="P118" s="27">
        <f>COGS!P118+'SG&amp;A'!P118</f>
        <v>0</v>
      </c>
      <c r="Q118" s="27">
        <f>COGS!Q118+'SG&amp;A'!Q118</f>
        <v>0</v>
      </c>
      <c r="R118" s="27">
        <f>COGS!R118+'SG&amp;A'!R118</f>
        <v>0</v>
      </c>
      <c r="S118" s="27">
        <f>COGS!S118+'SG&amp;A'!S118</f>
        <v>0</v>
      </c>
      <c r="T118" s="27">
        <f>COGS!T118+'SG&amp;A'!T118</f>
        <v>0</v>
      </c>
      <c r="U118" s="27">
        <f>COGS!U118+'SG&amp;A'!U118</f>
        <v>0</v>
      </c>
      <c r="V118" s="27">
        <f>COGS!V118+'SG&amp;A'!V118</f>
        <v>0</v>
      </c>
      <c r="W118" s="27">
        <f>COGS!W118+'SG&amp;A'!W118</f>
        <v>0</v>
      </c>
      <c r="X118" s="27">
        <f>COGS!X118+'SG&amp;A'!X118</f>
        <v>0</v>
      </c>
      <c r="Y118" s="27">
        <f>COGS!Y118+'SG&amp;A'!Y118</f>
        <v>0</v>
      </c>
      <c r="Z118" s="27">
        <f>COGS!Z118+'SG&amp;A'!Z118</f>
        <v>0</v>
      </c>
      <c r="AA118" s="27">
        <f>COGS!AA118+'SG&amp;A'!AA118</f>
        <v>0</v>
      </c>
      <c r="AB118" s="27">
        <f>COGS!AB118+'SG&amp;A'!AB118</f>
        <v>0</v>
      </c>
      <c r="AC118" s="27">
        <f>COGS!AC118+'SG&amp;A'!AC118</f>
        <v>0</v>
      </c>
      <c r="AD118" s="27">
        <f>COGS!AD118+'SG&amp;A'!AD118</f>
        <v>0</v>
      </c>
      <c r="AE118" s="27">
        <f>COGS!AE118+'SG&amp;A'!AE118</f>
        <v>0</v>
      </c>
      <c r="AF118" s="27">
        <f>COGS!AF118+'SG&amp;A'!AF118</f>
        <v>0</v>
      </c>
      <c r="AG118" s="27">
        <f>COGS!AG118+'SG&amp;A'!AG118</f>
        <v>0</v>
      </c>
      <c r="AH118" s="27">
        <f>COGS!AH118+'SG&amp;A'!AH118</f>
        <v>0</v>
      </c>
      <c r="AI118" s="27">
        <f>COGS!AI118+'SG&amp;A'!AI118</f>
        <v>0</v>
      </c>
      <c r="AJ118" s="27">
        <f>COGS!AJ118+'SG&amp;A'!AJ118</f>
        <v>0</v>
      </c>
      <c r="AK118" s="27">
        <f>COGS!AK118+'SG&amp;A'!AK118</f>
        <v>0</v>
      </c>
      <c r="AL118" s="27">
        <f>COGS!AL118+'SG&amp;A'!AL118</f>
        <v>0</v>
      </c>
      <c r="AM118" s="27">
        <f>COGS!AM118+'SG&amp;A'!AM118</f>
        <v>0</v>
      </c>
      <c r="AN118" s="27">
        <f>COGS!AN118+'SG&amp;A'!AN118</f>
        <v>0</v>
      </c>
      <c r="AO118" s="27">
        <f>COGS!AO118+'SG&amp;A'!AO118</f>
        <v>0</v>
      </c>
      <c r="AP118" s="27">
        <f>COGS!AP118+'SG&amp;A'!AP118</f>
        <v>0</v>
      </c>
      <c r="AQ118" s="27">
        <f>COGS!AQ118+'SG&amp;A'!AQ118</f>
        <v>0</v>
      </c>
      <c r="AR118" s="27">
        <f>COGS!AR118+'SG&amp;A'!AR118</f>
        <v>0</v>
      </c>
      <c r="AS118" s="27">
        <f>COGS!AS118+'SG&amp;A'!AS118</f>
        <v>0</v>
      </c>
      <c r="AT118" s="27">
        <f>COGS!AT118+'SG&amp;A'!AT118</f>
        <v>0</v>
      </c>
      <c r="AU118" s="27">
        <f>COGS!AU118+'SG&amp;A'!AU118</f>
        <v>0</v>
      </c>
      <c r="AV118" s="27">
        <f>COGS!AV118+'SG&amp;A'!AV118</f>
        <v>0</v>
      </c>
      <c r="AW118" s="27">
        <f>COGS!AW118+'SG&amp;A'!AW118</f>
        <v>0</v>
      </c>
      <c r="AX118" s="27">
        <f>COGS!AX118+'SG&amp;A'!AX118</f>
        <v>0</v>
      </c>
      <c r="AY118" s="27">
        <f>COGS!AY118+'SG&amp;A'!AY118</f>
        <v>0</v>
      </c>
      <c r="AZ118" s="27">
        <f>COGS!AZ118+'SG&amp;A'!AZ118</f>
        <v>0</v>
      </c>
      <c r="BA118" s="27">
        <f>COGS!BA118+'SG&amp;A'!BA118</f>
        <v>0</v>
      </c>
      <c r="BB118" s="27">
        <f>COGS!BB118+'SG&amp;A'!BB118</f>
        <v>0</v>
      </c>
      <c r="BC118" s="27">
        <f>COGS!BC118+'SG&amp;A'!BC118</f>
        <v>0</v>
      </c>
      <c r="BD118" s="27">
        <f>COGS!BD118+'SG&amp;A'!BD118</f>
        <v>0</v>
      </c>
      <c r="BE118" s="27">
        <f>COGS!BE118+'SG&amp;A'!BE118</f>
        <v>0</v>
      </c>
      <c r="BF118" s="27">
        <f>COGS!BF118+'SG&amp;A'!BF118</f>
        <v>0</v>
      </c>
      <c r="BG118" s="27">
        <f>COGS!BG118+'SG&amp;A'!BG118</f>
        <v>0</v>
      </c>
      <c r="BH118" s="27">
        <f>COGS!BH118+'SG&amp;A'!BH118</f>
        <v>0</v>
      </c>
      <c r="BI118" s="27">
        <f>COGS!BI118+'SG&amp;A'!BI118</f>
        <v>0</v>
      </c>
      <c r="BJ118" s="27">
        <f>COGS!BJ118+'SG&amp;A'!BJ118</f>
        <v>13.97805537</v>
      </c>
      <c r="BK118" s="27">
        <f>COGS!BK118+'SG&amp;A'!BK118</f>
        <v>14.038949330000001</v>
      </c>
      <c r="BL118" s="27">
        <f>COGS!BL118+'SG&amp;A'!BL118</f>
        <v>14.244483019999997</v>
      </c>
      <c r="BM118" s="27">
        <f>COGS!BM118+'SG&amp;A'!BM118</f>
        <v>14.650817699999998</v>
      </c>
      <c r="BN118" s="27">
        <f>COGS!BN118+'SG&amp;A'!BN118</f>
        <v>56.912305419999996</v>
      </c>
      <c r="BO118" s="27">
        <f>COGS!BO118+'SG&amp;A'!BO118</f>
        <v>15.1259462</v>
      </c>
      <c r="BP118" s="27">
        <f>COGS!BP118+'SG&amp;A'!BP118</f>
        <v>15.404503400000001</v>
      </c>
      <c r="BQ118" s="27">
        <f>COGS!BQ118+'SG&amp;A'!BQ118</f>
        <v>15.77333537</v>
      </c>
      <c r="BR118" s="27">
        <f>COGS!BR118+'SG&amp;A'!BR118</f>
        <v>16.18203836</v>
      </c>
      <c r="BS118" s="27">
        <f>COGS!BS118+'SG&amp;A'!BS118</f>
        <v>62.485823330000002</v>
      </c>
      <c r="BT118" s="27">
        <f>COGS!BT118+'SG&amp;A'!BT118</f>
        <v>17.251326599999999</v>
      </c>
      <c r="BU118" s="27">
        <f>COGS!BU118+'SG&amp;A'!BU118</f>
        <v>17.441234090000002</v>
      </c>
      <c r="BV118" s="27">
        <f>COGS!BV118+'SG&amp;A'!BV118</f>
        <v>16.061277919999995</v>
      </c>
      <c r="BW118" s="27">
        <f>COGS!BW118+'SG&amp;A'!BW118</f>
        <v>19.973711220000006</v>
      </c>
      <c r="BX118" s="27">
        <f>COGS!BX118+'SG&amp;A'!BX118</f>
        <v>70.727549830000001</v>
      </c>
      <c r="BY118" s="27">
        <f>COGS!BY118+'SG&amp;A'!BY118</f>
        <v>18.110770349999999</v>
      </c>
      <c r="BZ118" s="27">
        <f>COGS!BZ118+'SG&amp;A'!BZ118</f>
        <v>18.531398930000005</v>
      </c>
      <c r="CA118" s="27">
        <f>COGS!CA118+'SG&amp;A'!CA118</f>
        <v>19.567327079999995</v>
      </c>
      <c r="CB118" s="27">
        <f>COGS!CB118+'SG&amp;A'!CB118</f>
        <v>27.228530310000007</v>
      </c>
      <c r="CC118" s="27">
        <f>COGS!CC118+'SG&amp;A'!CC118</f>
        <v>83.438026670000013</v>
      </c>
      <c r="CD118" s="27">
        <f>COGS!CD118+'SG&amp;A'!CD118</f>
        <v>26.097179000000001</v>
      </c>
      <c r="CE118" s="27">
        <f>COGS!CE118+'SG&amp;A'!CE118</f>
        <v>26.574856069999999</v>
      </c>
      <c r="CF118" s="27">
        <f>COGS!CF118+'SG&amp;A'!CF118</f>
        <v>29.282751879999996</v>
      </c>
      <c r="CG118" s="27">
        <f>COGS!CG118+'SG&amp;A'!CG118</f>
        <v>39.656430640000011</v>
      </c>
      <c r="CH118" s="27">
        <f>COGS!CH118+'SG&amp;A'!CH118</f>
        <v>121.61121759000001</v>
      </c>
      <c r="CI118" s="27">
        <f>COGS!CI118+'SG&amp;A'!CI118</f>
        <v>30.280328879999999</v>
      </c>
      <c r="CJ118" s="27">
        <f>COGS!CJ118+'SG&amp;A'!CJ118</f>
        <v>30.634479800000005</v>
      </c>
      <c r="CK118" s="27">
        <f>COGS!CK118+'SG&amp;A'!CK118</f>
        <v>30.955709970000004</v>
      </c>
      <c r="CL118" s="27">
        <f>COGS!CL118+'SG&amp;A'!CL118</f>
        <v>27.167457979999991</v>
      </c>
      <c r="CM118" s="27">
        <f>COGS!CM118+'SG&amp;A'!CM118</f>
        <v>119.03797662999999</v>
      </c>
      <c r="CN118" s="27">
        <f>COGS!CN118+'SG&amp;A'!CN118</f>
        <v>31.626599049999996</v>
      </c>
      <c r="CO118" s="27">
        <f>COGS!CO118+'SG&amp;A'!CO118</f>
        <v>31.809857610000002</v>
      </c>
      <c r="CP118" s="27">
        <f>COGS!CP118+'SG&amp;A'!CP118</f>
        <v>32.216417280000002</v>
      </c>
      <c r="CQ118" s="27">
        <f>COGS!CQ118+'SG&amp;A'!CQ118</f>
        <v>26.269126059999998</v>
      </c>
      <c r="CR118" s="27">
        <f>COGS!CR118+'SG&amp;A'!CR118</f>
        <v>121.922</v>
      </c>
      <c r="CS118" s="27">
        <f>COGS!CS118+'SG&amp;A'!CS118</f>
        <v>36.799191899999997</v>
      </c>
      <c r="CT118" s="27">
        <f>COGS!CT118+'SG&amp;A'!CT118</f>
        <v>36.944164979999996</v>
      </c>
      <c r="CU118" s="27">
        <f>COGS!CU118+'SG&amp;A'!CU118</f>
        <v>37.362363290000005</v>
      </c>
      <c r="CV118" s="27">
        <f>COGS!CV118+'SG&amp;A'!CV118</f>
        <v>38.710657279999978</v>
      </c>
      <c r="CW118" s="27">
        <f>COGS!CW118+'SG&amp;A'!CW118</f>
        <v>149.81637744999998</v>
      </c>
      <c r="CX118" s="27">
        <f>COGS!CX118+'SG&amp;A'!CX118</f>
        <v>39.481999999999999</v>
      </c>
      <c r="CY118" s="27">
        <f>COGS!CY118+'SG&amp;A'!CY118</f>
        <v>38.988999999999997</v>
      </c>
      <c r="CZ118" s="27">
        <f>COGS!CZ118+'SG&amp;A'!CZ118</f>
        <v>38.072000000000003</v>
      </c>
      <c r="DA118" s="27">
        <f>COGS!DA118+'SG&amp;A'!DA118</f>
        <v>14.016999999999999</v>
      </c>
      <c r="DB118" s="27">
        <f>COGS!DB118+'SG&amp;A'!DB118</f>
        <v>130.56</v>
      </c>
      <c r="DC118" s="27">
        <f>COGS!DC118+'SG&amp;A'!DC118</f>
        <v>35.151000000000003</v>
      </c>
      <c r="DD118" s="27">
        <f>COGS!DD118+'SG&amp;A'!DD118</f>
        <v>36.155999999999999</v>
      </c>
      <c r="DE118" s="27">
        <f>COGS!DE118+'SG&amp;A'!DE118</f>
        <v>36.677</v>
      </c>
      <c r="DF118" s="27">
        <f>COGS!DF118+'SG&amp;A'!DF118</f>
        <v>42.725000000000001</v>
      </c>
      <c r="DG118" s="27">
        <f>COGS!DG118+'SG&amp;A'!DG118</f>
        <v>150.709</v>
      </c>
      <c r="DH118" s="27">
        <f>COGS!DH118+'SG&amp;A'!DH118</f>
        <v>31.712</v>
      </c>
      <c r="DI118" s="27">
        <f>COGS!DI118+'SG&amp;A'!DI118</f>
        <v>29.445</v>
      </c>
      <c r="DJ118" s="27">
        <f>COGS!DJ118+'SG&amp;A'!DJ118</f>
        <v>31.556000000000001</v>
      </c>
      <c r="DK118" s="27">
        <f>COGS!DK118+'SG&amp;A'!DK118</f>
        <v>9.8859999999999992</v>
      </c>
      <c r="DL118" s="27">
        <f>COGS!DL118+'SG&amp;A'!DL118</f>
        <v>102.59899999999999</v>
      </c>
      <c r="DM118" s="27">
        <f>COGS!DM118+'SG&amp;A'!DM118</f>
        <v>27.042999999999999</v>
      </c>
      <c r="DN118" s="27">
        <f>COGS!DN118+'SG&amp;A'!DN118</f>
        <v>27.571999999999999</v>
      </c>
      <c r="DO118" s="27">
        <f>COGS!DO118+'SG&amp;A'!DO118</f>
        <v>27.34</v>
      </c>
      <c r="DP118" s="27">
        <f>COGS!DP118+'SG&amp;A'!DP118</f>
        <v>22.253</v>
      </c>
      <c r="DQ118" s="27">
        <f>COGS!DQ118+'SG&amp;A'!DQ118</f>
        <v>104.208</v>
      </c>
      <c r="DR118" s="27">
        <f>COGS!DR118+'SG&amp;A'!DR118</f>
        <v>30.626999999999999</v>
      </c>
      <c r="DS118" s="27">
        <f>COGS!DS118+'SG&amp;A'!DS118</f>
        <v>32.35</v>
      </c>
      <c r="DT118" s="27">
        <f>COGS!DT118+'SG&amp;A'!DT118</f>
        <v>35.246000000000002</v>
      </c>
      <c r="DU118" s="27">
        <f>COGS!DU118+'SG&amp;A'!DU118</f>
        <v>29.594000000000001</v>
      </c>
      <c r="DV118" s="27">
        <f>COGS!DV118+'SG&amp;A'!DV118</f>
        <v>127.81700000000001</v>
      </c>
      <c r="DW118" s="27">
        <f>COGS!DW118+'SG&amp;A'!DW118</f>
        <v>34.728999999999999</v>
      </c>
      <c r="DX118" s="27">
        <f>COGS!DX118+'SG&amp;A'!DX118</f>
        <v>34.454999999999998</v>
      </c>
      <c r="DY118" s="27">
        <f>COGS!DY118+'SG&amp;A'!DY118</f>
        <v>33.729774040000009</v>
      </c>
      <c r="DZ118" s="27">
        <f>COGS!DZ118+'SG&amp;A'!DZ118</f>
        <v>44.812773340000007</v>
      </c>
      <c r="EA118" s="27">
        <f>COGS!EA118+'SG&amp;A'!EA118</f>
        <v>147.72654738</v>
      </c>
      <c r="EB118" s="27">
        <f>COGS!EB118+'SG&amp;A'!EB118</f>
        <v>37.551579880000006</v>
      </c>
      <c r="EC118" s="27">
        <f>COGS!EC118+'SG&amp;A'!EC118</f>
        <v>38.642815259999999</v>
      </c>
      <c r="ED118" s="27">
        <f>COGS!ED118+'SG&amp;A'!ED118</f>
        <v>42.186</v>
      </c>
      <c r="EE118" s="27">
        <f>COGS!EE118+'SG&amp;A'!EE118</f>
        <v>48.400790390000019</v>
      </c>
      <c r="EF118" s="27">
        <f>COGS!EF118+'SG&amp;A'!EF118</f>
        <v>166.78118553000004</v>
      </c>
      <c r="EG118" s="27">
        <f>COGS!EG118+'SG&amp;A'!EG118</f>
        <v>48.837129270000005</v>
      </c>
      <c r="EH118" s="27">
        <f>COGS!EH118+'SG&amp;A'!EH118</f>
        <v>50.283854929999997</v>
      </c>
      <c r="EI118" s="27">
        <f>COGS!EI118+'SG&amp;A'!EI118</f>
        <v>64.640381790000006</v>
      </c>
    </row>
    <row r="119" spans="1:139" ht="15" thickBot="1" x14ac:dyDescent="0.35">
      <c r="A119" s="2" t="s">
        <v>3</v>
      </c>
      <c r="B119" s="28">
        <f>COGS!B119+'SG&amp;A'!B119</f>
        <v>0</v>
      </c>
      <c r="C119" s="28">
        <f>COGS!C119+'SG&amp;A'!C119</f>
        <v>0</v>
      </c>
      <c r="D119" s="28">
        <f>COGS!D119+'SG&amp;A'!D119</f>
        <v>0</v>
      </c>
      <c r="E119" s="28">
        <f>COGS!E119+'SG&amp;A'!E119</f>
        <v>0</v>
      </c>
      <c r="F119" s="28">
        <f>COGS!F119+'SG&amp;A'!F119</f>
        <v>0</v>
      </c>
      <c r="G119" s="28">
        <f>COGS!G119+'SG&amp;A'!G119</f>
        <v>0</v>
      </c>
      <c r="H119" s="28">
        <f>COGS!H119+'SG&amp;A'!H119</f>
        <v>0</v>
      </c>
      <c r="I119" s="28">
        <f>COGS!I119+'SG&amp;A'!I119</f>
        <v>0</v>
      </c>
      <c r="J119" s="28">
        <f>COGS!J119+'SG&amp;A'!J119</f>
        <v>0</v>
      </c>
      <c r="K119" s="28">
        <f>COGS!K119+'SG&amp;A'!K119</f>
        <v>0</v>
      </c>
      <c r="L119" s="28">
        <f>COGS!L119+'SG&amp;A'!L119</f>
        <v>0</v>
      </c>
      <c r="M119" s="28">
        <f>COGS!M119+'SG&amp;A'!M119</f>
        <v>0</v>
      </c>
      <c r="N119" s="28">
        <f>COGS!N119+'SG&amp;A'!N119</f>
        <v>0</v>
      </c>
      <c r="O119" s="28">
        <f>COGS!O119+'SG&amp;A'!O119</f>
        <v>0</v>
      </c>
      <c r="P119" s="28">
        <f>COGS!P119+'SG&amp;A'!P119</f>
        <v>0</v>
      </c>
      <c r="Q119" s="28">
        <f>COGS!Q119+'SG&amp;A'!Q119</f>
        <v>0</v>
      </c>
      <c r="R119" s="28">
        <f>COGS!R119+'SG&amp;A'!R119</f>
        <v>0</v>
      </c>
      <c r="S119" s="28">
        <f>COGS!S119+'SG&amp;A'!S119</f>
        <v>0</v>
      </c>
      <c r="T119" s="28">
        <f>COGS!T119+'SG&amp;A'!T119</f>
        <v>0</v>
      </c>
      <c r="U119" s="28">
        <f>COGS!U119+'SG&amp;A'!U119</f>
        <v>0</v>
      </c>
      <c r="V119" s="28">
        <f>COGS!V119+'SG&amp;A'!V119</f>
        <v>0</v>
      </c>
      <c r="W119" s="28">
        <f>COGS!W119+'SG&amp;A'!W119</f>
        <v>0</v>
      </c>
      <c r="X119" s="28">
        <f>COGS!X119+'SG&amp;A'!X119</f>
        <v>0</v>
      </c>
      <c r="Y119" s="28">
        <f>COGS!Y119+'SG&amp;A'!Y119</f>
        <v>0</v>
      </c>
      <c r="Z119" s="28">
        <f>COGS!Z119+'SG&amp;A'!Z119</f>
        <v>0</v>
      </c>
      <c r="AA119" s="28">
        <f>COGS!AA119+'SG&amp;A'!AA119</f>
        <v>0</v>
      </c>
      <c r="AB119" s="28">
        <f>COGS!AB119+'SG&amp;A'!AB119</f>
        <v>0</v>
      </c>
      <c r="AC119" s="28">
        <f>COGS!AC119+'SG&amp;A'!AC119</f>
        <v>0</v>
      </c>
      <c r="AD119" s="28">
        <f>COGS!AD119+'SG&amp;A'!AD119</f>
        <v>0</v>
      </c>
      <c r="AE119" s="28">
        <f>COGS!AE119+'SG&amp;A'!AE119</f>
        <v>0</v>
      </c>
      <c r="AF119" s="28">
        <f>COGS!AF119+'SG&amp;A'!AF119</f>
        <v>0</v>
      </c>
      <c r="AG119" s="28">
        <f>COGS!AG119+'SG&amp;A'!AG119</f>
        <v>0</v>
      </c>
      <c r="AH119" s="28">
        <f>COGS!AH119+'SG&amp;A'!AH119</f>
        <v>0</v>
      </c>
      <c r="AI119" s="28">
        <f>COGS!AI119+'SG&amp;A'!AI119</f>
        <v>0</v>
      </c>
      <c r="AJ119" s="28">
        <f>COGS!AJ119+'SG&amp;A'!AJ119</f>
        <v>0</v>
      </c>
      <c r="AK119" s="28">
        <f>COGS!AK119+'SG&amp;A'!AK119</f>
        <v>0</v>
      </c>
      <c r="AL119" s="28">
        <f>COGS!AL119+'SG&amp;A'!AL119</f>
        <v>0</v>
      </c>
      <c r="AM119" s="28">
        <f>COGS!AM119+'SG&amp;A'!AM119</f>
        <v>0</v>
      </c>
      <c r="AN119" s="28">
        <f>COGS!AN119+'SG&amp;A'!AN119</f>
        <v>0</v>
      </c>
      <c r="AO119" s="28">
        <f>COGS!AO119+'SG&amp;A'!AO119</f>
        <v>0</v>
      </c>
      <c r="AP119" s="28">
        <f>COGS!AP119+'SG&amp;A'!AP119</f>
        <v>0</v>
      </c>
      <c r="AQ119" s="28">
        <f>COGS!AQ119+'SG&amp;A'!AQ119</f>
        <v>0</v>
      </c>
      <c r="AR119" s="28">
        <f>COGS!AR119+'SG&amp;A'!AR119</f>
        <v>0</v>
      </c>
      <c r="AS119" s="28">
        <f>COGS!AS119+'SG&amp;A'!AS119</f>
        <v>0</v>
      </c>
      <c r="AT119" s="28">
        <f>COGS!AT119+'SG&amp;A'!AT119</f>
        <v>0</v>
      </c>
      <c r="AU119" s="28">
        <f>COGS!AU119+'SG&amp;A'!AU119</f>
        <v>0</v>
      </c>
      <c r="AV119" s="28">
        <f>COGS!AV119+'SG&amp;A'!AV119</f>
        <v>0</v>
      </c>
      <c r="AW119" s="28">
        <f>COGS!AW119+'SG&amp;A'!AW119</f>
        <v>0</v>
      </c>
      <c r="AX119" s="28">
        <f>COGS!AX119+'SG&amp;A'!AX119</f>
        <v>0</v>
      </c>
      <c r="AY119" s="28">
        <f>COGS!AY119+'SG&amp;A'!AY119</f>
        <v>0</v>
      </c>
      <c r="AZ119" s="28">
        <f>COGS!AZ119+'SG&amp;A'!AZ119</f>
        <v>0</v>
      </c>
      <c r="BA119" s="28">
        <f>COGS!BA119+'SG&amp;A'!BA119</f>
        <v>0</v>
      </c>
      <c r="BB119" s="28">
        <f>COGS!BB119+'SG&amp;A'!BB119</f>
        <v>0</v>
      </c>
      <c r="BC119" s="28">
        <f>COGS!BC119+'SG&amp;A'!BC119</f>
        <v>0</v>
      </c>
      <c r="BD119" s="28">
        <f>COGS!BD119+'SG&amp;A'!BD119</f>
        <v>0</v>
      </c>
      <c r="BE119" s="28">
        <f>COGS!BE119+'SG&amp;A'!BE119</f>
        <v>0</v>
      </c>
      <c r="BF119" s="28">
        <f>COGS!BF119+'SG&amp;A'!BF119</f>
        <v>0</v>
      </c>
      <c r="BG119" s="28">
        <f>COGS!BG119+'SG&amp;A'!BG119</f>
        <v>0</v>
      </c>
      <c r="BH119" s="28">
        <f>COGS!BH119+'SG&amp;A'!BH119</f>
        <v>0</v>
      </c>
      <c r="BI119" s="28">
        <f>COGS!BI119+'SG&amp;A'!BI119</f>
        <v>0</v>
      </c>
      <c r="BJ119" s="28">
        <f>COGS!BJ119+'SG&amp;A'!BJ119</f>
        <v>1.85223111</v>
      </c>
      <c r="BK119" s="28">
        <f>COGS!BK119+'SG&amp;A'!BK119</f>
        <v>1.8319678500000003</v>
      </c>
      <c r="BL119" s="28">
        <f>COGS!BL119+'SG&amp;A'!BL119</f>
        <v>1.84577897</v>
      </c>
      <c r="BM119" s="28">
        <f>COGS!BM119+'SG&amp;A'!BM119</f>
        <v>7.8781127299999998</v>
      </c>
      <c r="BN119" s="28">
        <f>COGS!BN119+'SG&amp;A'!BN119</f>
        <v>13.408090659999999</v>
      </c>
      <c r="BO119" s="28">
        <f>COGS!BO119+'SG&amp;A'!BO119</f>
        <v>8.4493995000000002</v>
      </c>
      <c r="BP119" s="28">
        <f>COGS!BP119+'SG&amp;A'!BP119</f>
        <v>8.236000940000002</v>
      </c>
      <c r="BQ119" s="28">
        <f>COGS!BQ119+'SG&amp;A'!BQ119</f>
        <v>7.7275126099999962</v>
      </c>
      <c r="BR119" s="28">
        <f>COGS!BR119+'SG&amp;A'!BR119</f>
        <v>7.7932162199999961</v>
      </c>
      <c r="BS119" s="28">
        <f>COGS!BS119+'SG&amp;A'!BS119</f>
        <v>32.206129269999998</v>
      </c>
      <c r="BT119" s="28">
        <f>COGS!BT119+'SG&amp;A'!BT119</f>
        <v>8.6956822499999991</v>
      </c>
      <c r="BU119" s="28">
        <f>COGS!BU119+'SG&amp;A'!BU119</f>
        <v>8.8770085100000014</v>
      </c>
      <c r="BV119" s="28">
        <f>COGS!BV119+'SG&amp;A'!BV119</f>
        <v>9.1745013000000011</v>
      </c>
      <c r="BW119" s="28">
        <f>COGS!BW119+'SG&amp;A'!BW119</f>
        <v>9.9574631299999918</v>
      </c>
      <c r="BX119" s="28">
        <f>COGS!BX119+'SG&amp;A'!BX119</f>
        <v>36.704655189999997</v>
      </c>
      <c r="BY119" s="28">
        <f>COGS!BY119+'SG&amp;A'!BY119</f>
        <v>9.0524476099999998</v>
      </c>
      <c r="BZ119" s="28">
        <f>COGS!BZ119+'SG&amp;A'!BZ119</f>
        <v>9.2272722300000023</v>
      </c>
      <c r="CA119" s="28">
        <f>COGS!CA119+'SG&amp;A'!CA119</f>
        <v>9.3632988899999976</v>
      </c>
      <c r="CB119" s="28">
        <f>COGS!CB119+'SG&amp;A'!CB119</f>
        <v>11.21685495</v>
      </c>
      <c r="CC119" s="28">
        <f>COGS!CC119+'SG&amp;A'!CC119</f>
        <v>38.85987368</v>
      </c>
      <c r="CD119" s="28">
        <f>COGS!CD119+'SG&amp;A'!CD119</f>
        <v>10.243179809999999</v>
      </c>
      <c r="CE119" s="28">
        <f>COGS!CE119+'SG&amp;A'!CE119</f>
        <v>10.22051731</v>
      </c>
      <c r="CF119" s="28">
        <f>COGS!CF119+'SG&amp;A'!CF119</f>
        <v>10.237045529999998</v>
      </c>
      <c r="CG119" s="28">
        <f>COGS!CG119+'SG&amp;A'!CG119</f>
        <v>13.072189540000005</v>
      </c>
      <c r="CH119" s="28">
        <f>COGS!CH119+'SG&amp;A'!CH119</f>
        <v>43.772932189999999</v>
      </c>
      <c r="CI119" s="28">
        <f>COGS!CI119+'SG&amp;A'!CI119</f>
        <v>11.381150740000001</v>
      </c>
      <c r="CJ119" s="28">
        <f>COGS!CJ119+'SG&amp;A'!CJ119</f>
        <v>11.519133869999999</v>
      </c>
      <c r="CK119" s="28">
        <f>COGS!CK119+'SG&amp;A'!CK119</f>
        <v>11.95894069</v>
      </c>
      <c r="CL119" s="28">
        <f>COGS!CL119+'SG&amp;A'!CL119</f>
        <v>12.033509709999999</v>
      </c>
      <c r="CM119" s="28">
        <f>COGS!CM119+'SG&amp;A'!CM119</f>
        <v>46.892735009999996</v>
      </c>
      <c r="CN119" s="28">
        <f>COGS!CN119+'SG&amp;A'!CN119</f>
        <v>12.31367852</v>
      </c>
      <c r="CO119" s="28">
        <f>COGS!CO119+'SG&amp;A'!CO119</f>
        <v>12.590980160000003</v>
      </c>
      <c r="CP119" s="28">
        <f>COGS!CP119+'SG&amp;A'!CP119</f>
        <v>13.072179430000004</v>
      </c>
      <c r="CQ119" s="28">
        <f>COGS!CQ119+'SG&amp;A'!CQ119</f>
        <v>13.804161889999994</v>
      </c>
      <c r="CR119" s="28">
        <f>COGS!CR119+'SG&amp;A'!CR119</f>
        <v>51.780999999999999</v>
      </c>
      <c r="CS119" s="28">
        <f>COGS!CS119+'SG&amp;A'!CS119</f>
        <v>15.00556592</v>
      </c>
      <c r="CT119" s="28">
        <f>COGS!CT119+'SG&amp;A'!CT119</f>
        <v>15.33660701</v>
      </c>
      <c r="CU119" s="28">
        <f>COGS!CU119+'SG&amp;A'!CU119</f>
        <v>15.606714369999994</v>
      </c>
      <c r="CV119" s="28">
        <f>COGS!CV119+'SG&amp;A'!CV119</f>
        <v>16.115060679999999</v>
      </c>
      <c r="CW119" s="28">
        <f>COGS!CW119+'SG&amp;A'!CW119</f>
        <v>62.063947979999995</v>
      </c>
      <c r="CX119" s="28">
        <f>COGS!CX119+'SG&amp;A'!CX119</f>
        <v>18.297999999999998</v>
      </c>
      <c r="CY119" s="28">
        <f>COGS!CY119+'SG&amp;A'!CY119</f>
        <v>20.111999999999998</v>
      </c>
      <c r="CZ119" s="28">
        <f>COGS!CZ119+'SG&amp;A'!CZ119</f>
        <v>20.821000000000002</v>
      </c>
      <c r="DA119" s="28">
        <f>COGS!DA119+'SG&amp;A'!DA119</f>
        <v>22.495999999999999</v>
      </c>
      <c r="DB119" s="28">
        <f>COGS!DB119+'SG&amp;A'!DB119</f>
        <v>81.72699999999999</v>
      </c>
      <c r="DC119" s="28">
        <f>COGS!DC119+'SG&amp;A'!DC119</f>
        <v>23.751000000000001</v>
      </c>
      <c r="DD119" s="28">
        <f>COGS!DD119+'SG&amp;A'!DD119</f>
        <v>24.014000000000003</v>
      </c>
      <c r="DE119" s="28">
        <f>COGS!DE119+'SG&amp;A'!DE119</f>
        <v>24.186</v>
      </c>
      <c r="DF119" s="28">
        <f>COGS!DF119+'SG&amp;A'!DF119</f>
        <v>25.721</v>
      </c>
      <c r="DG119" s="28">
        <f>COGS!DG119+'SG&amp;A'!DG119</f>
        <v>97.672000000000011</v>
      </c>
      <c r="DH119" s="28">
        <f>COGS!DH119+'SG&amp;A'!DH119</f>
        <v>24.745999999999999</v>
      </c>
      <c r="DI119" s="28">
        <f>COGS!DI119+'SG&amp;A'!DI119</f>
        <v>25.091999999999999</v>
      </c>
      <c r="DJ119" s="28">
        <f>COGS!DJ119+'SG&amp;A'!DJ119</f>
        <v>25.212</v>
      </c>
      <c r="DK119" s="28">
        <f>COGS!DK119+'SG&amp;A'!DK119</f>
        <v>29.021000000000001</v>
      </c>
      <c r="DL119" s="28">
        <f>COGS!DL119+'SG&amp;A'!DL119</f>
        <v>104.071</v>
      </c>
      <c r="DM119" s="28">
        <f>COGS!DM119+'SG&amp;A'!DM119</f>
        <v>39.71</v>
      </c>
      <c r="DN119" s="28">
        <f>COGS!DN119+'SG&amp;A'!DN119</f>
        <v>42.722000000000001</v>
      </c>
      <c r="DO119" s="28">
        <f>COGS!DO119+'SG&amp;A'!DO119</f>
        <v>44.241</v>
      </c>
      <c r="DP119" s="28">
        <f>COGS!DP119+'SG&amp;A'!DP119</f>
        <v>22.193000000000001</v>
      </c>
      <c r="DQ119" s="28">
        <f>COGS!DQ119+'SG&amp;A'!DQ119</f>
        <v>148.86600000000001</v>
      </c>
      <c r="DR119" s="28">
        <f>COGS!DR119+'SG&amp;A'!DR119</f>
        <v>0.33700000000000002</v>
      </c>
      <c r="DS119" s="28">
        <f>COGS!DS119+'SG&amp;A'!DS119</f>
        <v>-0.70599999999999996</v>
      </c>
      <c r="DT119" s="28">
        <f>COGS!DT119+'SG&amp;A'!DT119</f>
        <v>0.13</v>
      </c>
      <c r="DU119" s="28">
        <f>COGS!DU119+'SG&amp;A'!DU119</f>
        <v>1.9999999999999463E-3</v>
      </c>
      <c r="DV119" s="28">
        <f>COGS!DV119+'SG&amp;A'!DV119</f>
        <v>-0.23699999999999999</v>
      </c>
      <c r="DW119" s="28">
        <f>COGS!DW119+'SG&amp;A'!DW119</f>
        <v>2E-3</v>
      </c>
      <c r="DX119" s="28">
        <f>COGS!DX119+'SG&amp;A'!DX119</f>
        <v>1.5443099999999999E-3</v>
      </c>
      <c r="DY119" s="28">
        <f>COGS!DY119+'SG&amp;A'!DY119</f>
        <v>1.2713500000000003E-3</v>
      </c>
      <c r="DZ119" s="28">
        <f>COGS!DZ119+'SG&amp;A'!DZ119</f>
        <v>1.2713899999999994E-3</v>
      </c>
      <c r="EA119" s="28">
        <f>COGS!EA119+'SG&amp;A'!EA119</f>
        <v>6.0870500000000001E-3</v>
      </c>
      <c r="EB119" s="28">
        <f>COGS!EB119+'SG&amp;A'!EB119</f>
        <v>1.2714100000000002E-3</v>
      </c>
      <c r="EC119" s="28">
        <f>COGS!EC119+'SG&amp;A'!EC119</f>
        <v>1.1278900000000001E-3</v>
      </c>
      <c r="ED119" s="28">
        <f>COGS!ED119+'SG&amp;A'!ED119</f>
        <v>1E-3</v>
      </c>
      <c r="EE119" s="28">
        <f>COGS!EE119+'SG&amp;A'!EE119</f>
        <v>6.8532999999999962E-4</v>
      </c>
      <c r="EF119" s="28">
        <f>COGS!EF119+'SG&amp;A'!EF119</f>
        <v>4.0846299999999997E-3</v>
      </c>
      <c r="EG119" s="28">
        <f>COGS!EG119+'SG&amp;A'!EG119</f>
        <v>0</v>
      </c>
      <c r="EH119" s="28">
        <f>COGS!EH119+'SG&amp;A'!EH119</f>
        <v>0</v>
      </c>
      <c r="EI119" s="28">
        <f>COGS!EI119+'SG&amp;A'!EI119</f>
        <v>0</v>
      </c>
    </row>
    <row r="120" spans="1:139" ht="15" thickTop="1" x14ac:dyDescent="0.3">
      <c r="A120" s="1" t="s">
        <v>443</v>
      </c>
      <c r="B120" s="27">
        <f>COGS!B120+'SG&amp;A'!B120</f>
        <v>0</v>
      </c>
      <c r="C120" s="27">
        <f>COGS!C120+'SG&amp;A'!C120</f>
        <v>0</v>
      </c>
      <c r="D120" s="27">
        <f>COGS!D120+'SG&amp;A'!D120</f>
        <v>0</v>
      </c>
      <c r="E120" s="27">
        <f>COGS!E120+'SG&amp;A'!E120</f>
        <v>0</v>
      </c>
      <c r="F120" s="27">
        <f>COGS!F120+'SG&amp;A'!F120</f>
        <v>0</v>
      </c>
      <c r="G120" s="27">
        <f>COGS!G120+'SG&amp;A'!G120</f>
        <v>0</v>
      </c>
      <c r="H120" s="27">
        <f>COGS!H120+'SG&amp;A'!H120</f>
        <v>0</v>
      </c>
      <c r="I120" s="27">
        <f>COGS!I120+'SG&amp;A'!I120</f>
        <v>0</v>
      </c>
      <c r="J120" s="27">
        <f>COGS!J120+'SG&amp;A'!J120</f>
        <v>0</v>
      </c>
      <c r="K120" s="27">
        <f>COGS!K120+'SG&amp;A'!K120</f>
        <v>0</v>
      </c>
      <c r="L120" s="27">
        <f>COGS!L120+'SG&amp;A'!L120</f>
        <v>0</v>
      </c>
      <c r="M120" s="27">
        <f>COGS!M120+'SG&amp;A'!M120</f>
        <v>0</v>
      </c>
      <c r="N120" s="27">
        <f>COGS!N120+'SG&amp;A'!N120</f>
        <v>0</v>
      </c>
      <c r="O120" s="27">
        <f>COGS!O120+'SG&amp;A'!O120</f>
        <v>0</v>
      </c>
      <c r="P120" s="27">
        <f>COGS!P120+'SG&amp;A'!P120</f>
        <v>0</v>
      </c>
      <c r="Q120" s="27">
        <f>COGS!Q120+'SG&amp;A'!Q120</f>
        <v>0</v>
      </c>
      <c r="R120" s="27">
        <f>COGS!R120+'SG&amp;A'!R120</f>
        <v>0</v>
      </c>
      <c r="S120" s="27">
        <f>COGS!S120+'SG&amp;A'!S120</f>
        <v>0</v>
      </c>
      <c r="T120" s="27">
        <f>COGS!T120+'SG&amp;A'!T120</f>
        <v>0</v>
      </c>
      <c r="U120" s="27">
        <f>COGS!U120+'SG&amp;A'!U120</f>
        <v>0</v>
      </c>
      <c r="V120" s="27">
        <f>COGS!V120+'SG&amp;A'!V120</f>
        <v>0</v>
      </c>
      <c r="W120" s="27">
        <f>COGS!W120+'SG&amp;A'!W120</f>
        <v>0</v>
      </c>
      <c r="X120" s="27">
        <f>COGS!X120+'SG&amp;A'!X120</f>
        <v>0</v>
      </c>
      <c r="Y120" s="27">
        <f>COGS!Y120+'SG&amp;A'!Y120</f>
        <v>0</v>
      </c>
      <c r="Z120" s="27">
        <f>COGS!Z120+'SG&amp;A'!Z120</f>
        <v>0</v>
      </c>
      <c r="AA120" s="27">
        <f>COGS!AA120+'SG&amp;A'!AA120</f>
        <v>0</v>
      </c>
      <c r="AB120" s="27">
        <f>COGS!AB120+'SG&amp;A'!AB120</f>
        <v>0</v>
      </c>
      <c r="AC120" s="27">
        <f>COGS!AC120+'SG&amp;A'!AC120</f>
        <v>0</v>
      </c>
      <c r="AD120" s="27">
        <f>COGS!AD120+'SG&amp;A'!AD120</f>
        <v>0</v>
      </c>
      <c r="AE120" s="27">
        <f>COGS!AE120+'SG&amp;A'!AE120</f>
        <v>0</v>
      </c>
      <c r="AF120" s="27">
        <f>COGS!AF120+'SG&amp;A'!AF120</f>
        <v>0</v>
      </c>
      <c r="AG120" s="27">
        <f>COGS!AG120+'SG&amp;A'!AG120</f>
        <v>0</v>
      </c>
      <c r="AH120" s="27">
        <f>COGS!AH120+'SG&amp;A'!AH120</f>
        <v>0</v>
      </c>
      <c r="AI120" s="27">
        <f>COGS!AI120+'SG&amp;A'!AI120</f>
        <v>0</v>
      </c>
      <c r="AJ120" s="27">
        <f>COGS!AJ120+'SG&amp;A'!AJ120</f>
        <v>0</v>
      </c>
      <c r="AK120" s="27">
        <f>COGS!AK120+'SG&amp;A'!AK120</f>
        <v>0</v>
      </c>
      <c r="AL120" s="27">
        <f>COGS!AL120+'SG&amp;A'!AL120</f>
        <v>0</v>
      </c>
      <c r="AM120" s="27">
        <f>COGS!AM120+'SG&amp;A'!AM120</f>
        <v>0</v>
      </c>
      <c r="AN120" s="27">
        <f>COGS!AN120+'SG&amp;A'!AN120</f>
        <v>0</v>
      </c>
      <c r="AO120" s="27">
        <f>COGS!AO120+'SG&amp;A'!AO120</f>
        <v>0</v>
      </c>
      <c r="AP120" s="27">
        <f>COGS!AP120+'SG&amp;A'!AP120</f>
        <v>0</v>
      </c>
      <c r="AQ120" s="27">
        <f>COGS!AQ120+'SG&amp;A'!AQ120</f>
        <v>0</v>
      </c>
      <c r="AR120" s="27">
        <f>COGS!AR120+'SG&amp;A'!AR120</f>
        <v>0</v>
      </c>
      <c r="AS120" s="27">
        <f>COGS!AS120+'SG&amp;A'!AS120</f>
        <v>0</v>
      </c>
      <c r="AT120" s="27">
        <f>COGS!AT120+'SG&amp;A'!AT120</f>
        <v>0</v>
      </c>
      <c r="AU120" s="27">
        <f>COGS!AU120+'SG&amp;A'!AU120</f>
        <v>0</v>
      </c>
      <c r="AV120" s="27">
        <f>COGS!AV120+'SG&amp;A'!AV120</f>
        <v>0</v>
      </c>
      <c r="AW120" s="27">
        <f>COGS!AW120+'SG&amp;A'!AW120</f>
        <v>0</v>
      </c>
      <c r="AX120" s="27">
        <f>COGS!AX120+'SG&amp;A'!AX120</f>
        <v>0</v>
      </c>
      <c r="AY120" s="27">
        <f>COGS!AY120+'SG&amp;A'!AY120</f>
        <v>0</v>
      </c>
      <c r="AZ120" s="27">
        <f>COGS!AZ120+'SG&amp;A'!AZ120</f>
        <v>0</v>
      </c>
      <c r="BA120" s="27">
        <f>COGS!BA120+'SG&amp;A'!BA120</f>
        <v>0</v>
      </c>
      <c r="BB120" s="27">
        <f>COGS!BB120+'SG&amp;A'!BB120</f>
        <v>0</v>
      </c>
      <c r="BC120" s="27">
        <f>COGS!BC120+'SG&amp;A'!BC120</f>
        <v>0</v>
      </c>
      <c r="BD120" s="27">
        <f>COGS!BD120+'SG&amp;A'!BD120</f>
        <v>0</v>
      </c>
      <c r="BE120" s="27">
        <f>COGS!BE120+'SG&amp;A'!BE120</f>
        <v>0</v>
      </c>
      <c r="BF120" s="27">
        <f>COGS!BF120+'SG&amp;A'!BF120</f>
        <v>0</v>
      </c>
      <c r="BG120" s="27">
        <f>COGS!BG120+'SG&amp;A'!BG120</f>
        <v>0</v>
      </c>
      <c r="BH120" s="27">
        <f>COGS!BH120+'SG&amp;A'!BH120</f>
        <v>0</v>
      </c>
      <c r="BI120" s="27">
        <f>COGS!BI120+'SG&amp;A'!BI120</f>
        <v>0</v>
      </c>
      <c r="BJ120" s="27">
        <f>COGS!BJ120+'SG&amp;A'!BJ120</f>
        <v>3.6848242300000003</v>
      </c>
      <c r="BK120" s="27">
        <f>COGS!BK120+'SG&amp;A'!BK120</f>
        <v>3.8575810499999994</v>
      </c>
      <c r="BL120" s="27">
        <f>COGS!BL120+'SG&amp;A'!BL120</f>
        <v>4.1433869299999992</v>
      </c>
      <c r="BM120" s="27">
        <f>COGS!BM120+'SG&amp;A'!BM120</f>
        <v>4.3337348200000001</v>
      </c>
      <c r="BN120" s="27">
        <f>COGS!BN120+'SG&amp;A'!BN120</f>
        <v>16.019527029999999</v>
      </c>
      <c r="BO120" s="27">
        <f>COGS!BO120+'SG&amp;A'!BO120</f>
        <v>4.5976123900000001</v>
      </c>
      <c r="BP120" s="27">
        <f>COGS!BP120+'SG&amp;A'!BP120</f>
        <v>4.7851505799999998</v>
      </c>
      <c r="BQ120" s="27">
        <f>COGS!BQ120+'SG&amp;A'!BQ120</f>
        <v>4.9359098299999999</v>
      </c>
      <c r="BR120" s="27">
        <f>COGS!BR120+'SG&amp;A'!BR120</f>
        <v>5.2056659000000014</v>
      </c>
      <c r="BS120" s="27">
        <f>COGS!BS120+'SG&amp;A'!BS120</f>
        <v>19.524338700000001</v>
      </c>
      <c r="BT120" s="27">
        <f>COGS!BT120+'SG&amp;A'!BT120</f>
        <v>5.53264479</v>
      </c>
      <c r="BU120" s="27">
        <f>COGS!BU120+'SG&amp;A'!BU120</f>
        <v>5.7264935800000023</v>
      </c>
      <c r="BV120" s="27">
        <f>COGS!BV120+'SG&amp;A'!BV120</f>
        <v>6.0022688899999972</v>
      </c>
      <c r="BW120" s="27">
        <f>COGS!BW120+'SG&amp;A'!BW120</f>
        <v>6.3423267300000026</v>
      </c>
      <c r="BX120" s="27">
        <f>COGS!BX120+'SG&amp;A'!BX120</f>
        <v>23.603733990000002</v>
      </c>
      <c r="BY120" s="27">
        <f>COGS!BY120+'SG&amp;A'!BY120</f>
        <v>6.0209667300000005</v>
      </c>
      <c r="BZ120" s="27">
        <f>COGS!BZ120+'SG&amp;A'!BZ120</f>
        <v>6.3552910900000006</v>
      </c>
      <c r="CA120" s="27">
        <f>COGS!CA120+'SG&amp;A'!CA120</f>
        <v>6.5951440399999983</v>
      </c>
      <c r="CB120" s="27">
        <f>COGS!CB120+'SG&amp;A'!CB120</f>
        <v>15.003447319999999</v>
      </c>
      <c r="CC120" s="27">
        <f>COGS!CC120+'SG&amp;A'!CC120</f>
        <v>33.97484918</v>
      </c>
      <c r="CD120" s="27">
        <f>COGS!CD120+'SG&amp;A'!CD120</f>
        <v>9.8044558100000003</v>
      </c>
      <c r="CE120" s="27">
        <f>COGS!CE120+'SG&amp;A'!CE120</f>
        <v>9.7219496099999994</v>
      </c>
      <c r="CF120" s="27">
        <f>COGS!CF120+'SG&amp;A'!CF120</f>
        <v>10.20250888</v>
      </c>
      <c r="CG120" s="27">
        <f>COGS!CG120+'SG&amp;A'!CG120</f>
        <v>7.5522800399999994</v>
      </c>
      <c r="CH120" s="27">
        <f>COGS!CH120+'SG&amp;A'!CH120</f>
        <v>37.281194339999999</v>
      </c>
      <c r="CI120" s="27">
        <f>COGS!CI120+'SG&amp;A'!CI120</f>
        <v>9.7905283399999998</v>
      </c>
      <c r="CJ120" s="27">
        <f>COGS!CJ120+'SG&amp;A'!CJ120</f>
        <v>9.9770893400000009</v>
      </c>
      <c r="CK120" s="27">
        <f>COGS!CK120+'SG&amp;A'!CK120</f>
        <v>10.209827490000004</v>
      </c>
      <c r="CL120" s="27">
        <f>COGS!CL120+'SG&amp;A'!CL120</f>
        <v>10.487194159999996</v>
      </c>
      <c r="CM120" s="27">
        <f>COGS!CM120+'SG&amp;A'!CM120</f>
        <v>40.464639329999997</v>
      </c>
      <c r="CN120" s="27">
        <f>COGS!CN120+'SG&amp;A'!CN120</f>
        <v>8.4391411000000005</v>
      </c>
      <c r="CO120" s="27">
        <f>COGS!CO120+'SG&amp;A'!CO120</f>
        <v>8.5785070700000006</v>
      </c>
      <c r="CP120" s="27">
        <f>COGS!CP120+'SG&amp;A'!CP120</f>
        <v>8.495495969999995</v>
      </c>
      <c r="CQ120" s="27">
        <f>COGS!CQ120+'SG&amp;A'!CQ120</f>
        <v>6.4398558600000042</v>
      </c>
      <c r="CR120" s="27">
        <f>COGS!CR120+'SG&amp;A'!CR120</f>
        <v>31.952999999999999</v>
      </c>
      <c r="CS120" s="27">
        <f>COGS!CS120+'SG&amp;A'!CS120</f>
        <v>12.948856490000001</v>
      </c>
      <c r="CT120" s="27">
        <f>COGS!CT120+'SG&amp;A'!CT120</f>
        <v>13.194537389999997</v>
      </c>
      <c r="CU120" s="27">
        <f>COGS!CU120+'SG&amp;A'!CU120</f>
        <v>13.812292939999999</v>
      </c>
      <c r="CV120" s="27">
        <f>COGS!CV120+'SG&amp;A'!CV120</f>
        <v>12.481385540000005</v>
      </c>
      <c r="CW120" s="27">
        <f>COGS!CW120+'SG&amp;A'!CW120</f>
        <v>52.437072360000002</v>
      </c>
      <c r="CX120" s="27">
        <f>COGS!CX120+'SG&amp;A'!CX120</f>
        <v>15.842000000000001</v>
      </c>
      <c r="CY120" s="27">
        <f>COGS!CY120+'SG&amp;A'!CY120</f>
        <v>12.787000000000001</v>
      </c>
      <c r="CZ120" s="27">
        <f>COGS!CZ120+'SG&amp;A'!CZ120</f>
        <v>14.721</v>
      </c>
      <c r="DA120" s="27">
        <f>COGS!DA120+'SG&amp;A'!DA120</f>
        <v>2.9980000000000002</v>
      </c>
      <c r="DB120" s="27">
        <f>COGS!DB120+'SG&amp;A'!DB120</f>
        <v>46.347999999999999</v>
      </c>
      <c r="DC120" s="27">
        <f>COGS!DC120+'SG&amp;A'!DC120</f>
        <v>14.590999999999999</v>
      </c>
      <c r="DD120" s="27">
        <f>COGS!DD120+'SG&amp;A'!DD120</f>
        <v>14.706</v>
      </c>
      <c r="DE120" s="27">
        <f>COGS!DE120+'SG&amp;A'!DE120</f>
        <v>13.215</v>
      </c>
      <c r="DF120" s="27">
        <f>COGS!DF120+'SG&amp;A'!DF120</f>
        <v>-4.9050000000000002</v>
      </c>
      <c r="DG120" s="27">
        <f>COGS!DG120+'SG&amp;A'!DG120</f>
        <v>37.606999999999999</v>
      </c>
      <c r="DH120" s="27">
        <f>COGS!DH120+'SG&amp;A'!DH120</f>
        <v>8.3729999999999993</v>
      </c>
      <c r="DI120" s="27">
        <f>COGS!DI120+'SG&amp;A'!DI120</f>
        <v>6.1520000000000001</v>
      </c>
      <c r="DJ120" s="27">
        <f>COGS!DJ120+'SG&amp;A'!DJ120</f>
        <v>7.2110000000000003</v>
      </c>
      <c r="DK120" s="27">
        <f>COGS!DK120+'SG&amp;A'!DK120</f>
        <v>11.561</v>
      </c>
      <c r="DL120" s="27">
        <f>COGS!DL120+'SG&amp;A'!DL120</f>
        <v>33.296999999999997</v>
      </c>
      <c r="DM120" s="27">
        <f>COGS!DM120+'SG&amp;A'!DM120</f>
        <v>9.4649999999999999</v>
      </c>
      <c r="DN120" s="27">
        <f>COGS!DN120+'SG&amp;A'!DN120</f>
        <v>9.7279999999999998</v>
      </c>
      <c r="DO120" s="27">
        <f>COGS!DO120+'SG&amp;A'!DO120</f>
        <v>10.127000000000001</v>
      </c>
      <c r="DP120" s="27">
        <f>COGS!DP120+'SG&amp;A'!DP120</f>
        <v>18.553000000000001</v>
      </c>
      <c r="DQ120" s="27">
        <f>COGS!DQ120+'SG&amp;A'!DQ120</f>
        <v>47.873000000000005</v>
      </c>
      <c r="DR120" s="27">
        <f>COGS!DR120+'SG&amp;A'!DR120</f>
        <v>11.333</v>
      </c>
      <c r="DS120" s="27">
        <f>COGS!DS120+'SG&amp;A'!DS120</f>
        <v>11.102</v>
      </c>
      <c r="DT120" s="27">
        <f>COGS!DT120+'SG&amp;A'!DT120</f>
        <v>11.275</v>
      </c>
      <c r="DU120" s="27">
        <f>COGS!DU120+'SG&amp;A'!DU120</f>
        <v>11.196999999999999</v>
      </c>
      <c r="DV120" s="27">
        <f>COGS!DV120+'SG&amp;A'!DV120</f>
        <v>44.906999999999996</v>
      </c>
      <c r="DW120" s="27">
        <f>COGS!DW120+'SG&amp;A'!DW120</f>
        <v>11.239000000000001</v>
      </c>
      <c r="DX120" s="27">
        <f>COGS!DX120+'SG&amp;A'!DX120</f>
        <v>11.472</v>
      </c>
      <c r="DY120" s="27">
        <f>COGS!DY120+'SG&amp;A'!DY120</f>
        <v>11.256876460000001</v>
      </c>
      <c r="DZ120" s="27">
        <f>COGS!DZ120+'SG&amp;A'!DZ120</f>
        <v>19.932136660000005</v>
      </c>
      <c r="EA120" s="27">
        <f>COGS!EA120+'SG&amp;A'!EA120</f>
        <v>53.900013120000004</v>
      </c>
      <c r="EB120" s="27">
        <f>COGS!EB120+'SG&amp;A'!EB120</f>
        <v>15.22948506</v>
      </c>
      <c r="EC120" s="27">
        <f>COGS!EC120+'SG&amp;A'!EC120</f>
        <v>15.90158699</v>
      </c>
      <c r="ED120" s="27">
        <f>COGS!ED120+'SG&amp;A'!ED120</f>
        <v>16.527000000000001</v>
      </c>
      <c r="EE120" s="27">
        <f>COGS!EE120+'SG&amp;A'!EE120</f>
        <v>25.212020689999999</v>
      </c>
      <c r="EF120" s="27">
        <f>COGS!EF120+'SG&amp;A'!EF120</f>
        <v>72.870092740000004</v>
      </c>
      <c r="EG120" s="27">
        <f>COGS!EG120+'SG&amp;A'!EG120</f>
        <v>21.60616319</v>
      </c>
      <c r="EH120" s="27">
        <f>COGS!EH120+'SG&amp;A'!EH120</f>
        <v>21.00308412</v>
      </c>
      <c r="EI120" s="27">
        <f>COGS!EI120+'SG&amp;A'!EI120</f>
        <v>20.606347769999996</v>
      </c>
    </row>
    <row r="121" spans="1:139" ht="15" thickBot="1" x14ac:dyDescent="0.35">
      <c r="A121" s="2" t="s">
        <v>481</v>
      </c>
      <c r="B121" s="28">
        <f>COGS!B121+'SG&amp;A'!B121</f>
        <v>0</v>
      </c>
      <c r="C121" s="28">
        <f>COGS!C121+'SG&amp;A'!C121</f>
        <v>0</v>
      </c>
      <c r="D121" s="28">
        <f>COGS!D121+'SG&amp;A'!D121</f>
        <v>0</v>
      </c>
      <c r="E121" s="28">
        <f>COGS!E121+'SG&amp;A'!E121</f>
        <v>0</v>
      </c>
      <c r="F121" s="28">
        <f>COGS!F121+'SG&amp;A'!F121</f>
        <v>0</v>
      </c>
      <c r="G121" s="28">
        <f>COGS!G121+'SG&amp;A'!G121</f>
        <v>0</v>
      </c>
      <c r="H121" s="28">
        <f>COGS!H121+'SG&amp;A'!H121</f>
        <v>0</v>
      </c>
      <c r="I121" s="28">
        <f>COGS!I121+'SG&amp;A'!I121</f>
        <v>0</v>
      </c>
      <c r="J121" s="28">
        <f>COGS!J121+'SG&amp;A'!J121</f>
        <v>0</v>
      </c>
      <c r="K121" s="28">
        <f>COGS!K121+'SG&amp;A'!K121</f>
        <v>0</v>
      </c>
      <c r="L121" s="28">
        <f>COGS!L121+'SG&amp;A'!L121</f>
        <v>0</v>
      </c>
      <c r="M121" s="28">
        <f>COGS!M121+'SG&amp;A'!M121</f>
        <v>0</v>
      </c>
      <c r="N121" s="28">
        <f>COGS!N121+'SG&amp;A'!N121</f>
        <v>0</v>
      </c>
      <c r="O121" s="28">
        <f>COGS!O121+'SG&amp;A'!O121</f>
        <v>0</v>
      </c>
      <c r="P121" s="28">
        <f>COGS!P121+'SG&amp;A'!P121</f>
        <v>0</v>
      </c>
      <c r="Q121" s="28">
        <f>COGS!Q121+'SG&amp;A'!Q121</f>
        <v>0</v>
      </c>
      <c r="R121" s="28">
        <f>COGS!R121+'SG&amp;A'!R121</f>
        <v>0</v>
      </c>
      <c r="S121" s="28">
        <f>COGS!S121+'SG&amp;A'!S121</f>
        <v>0</v>
      </c>
      <c r="T121" s="28">
        <f>COGS!T121+'SG&amp;A'!T121</f>
        <v>0</v>
      </c>
      <c r="U121" s="28">
        <f>COGS!U121+'SG&amp;A'!U121</f>
        <v>0</v>
      </c>
      <c r="V121" s="28">
        <f>COGS!V121+'SG&amp;A'!V121</f>
        <v>0</v>
      </c>
      <c r="W121" s="28">
        <f>COGS!W121+'SG&amp;A'!W121</f>
        <v>0</v>
      </c>
      <c r="X121" s="28">
        <f>COGS!X121+'SG&amp;A'!X121</f>
        <v>0</v>
      </c>
      <c r="Y121" s="28">
        <f>COGS!Y121+'SG&amp;A'!Y121</f>
        <v>0</v>
      </c>
      <c r="Z121" s="28">
        <f>COGS!Z121+'SG&amp;A'!Z121</f>
        <v>0</v>
      </c>
      <c r="AA121" s="28">
        <f>COGS!AA121+'SG&amp;A'!AA121</f>
        <v>0</v>
      </c>
      <c r="AB121" s="28">
        <f>COGS!AB121+'SG&amp;A'!AB121</f>
        <v>0</v>
      </c>
      <c r="AC121" s="28">
        <f>COGS!AC121+'SG&amp;A'!AC121</f>
        <v>0</v>
      </c>
      <c r="AD121" s="28">
        <f>COGS!AD121+'SG&amp;A'!AD121</f>
        <v>0</v>
      </c>
      <c r="AE121" s="28">
        <f>COGS!AE121+'SG&amp;A'!AE121</f>
        <v>0</v>
      </c>
      <c r="AF121" s="28">
        <f>COGS!AF121+'SG&amp;A'!AF121</f>
        <v>0</v>
      </c>
      <c r="AG121" s="28">
        <f>COGS!AG121+'SG&amp;A'!AG121</f>
        <v>0</v>
      </c>
      <c r="AH121" s="28">
        <f>COGS!AH121+'SG&amp;A'!AH121</f>
        <v>0</v>
      </c>
      <c r="AI121" s="28">
        <f>COGS!AI121+'SG&amp;A'!AI121</f>
        <v>0</v>
      </c>
      <c r="AJ121" s="28">
        <f>COGS!AJ121+'SG&amp;A'!AJ121</f>
        <v>0</v>
      </c>
      <c r="AK121" s="28">
        <f>COGS!AK121+'SG&amp;A'!AK121</f>
        <v>0</v>
      </c>
      <c r="AL121" s="28">
        <f>COGS!AL121+'SG&amp;A'!AL121</f>
        <v>0</v>
      </c>
      <c r="AM121" s="28">
        <f>COGS!AM121+'SG&amp;A'!AM121</f>
        <v>0</v>
      </c>
      <c r="AN121" s="28">
        <f>COGS!AN121+'SG&amp;A'!AN121</f>
        <v>0</v>
      </c>
      <c r="AO121" s="28">
        <f>COGS!AO121+'SG&amp;A'!AO121</f>
        <v>0</v>
      </c>
      <c r="AP121" s="28">
        <f>COGS!AP121+'SG&amp;A'!AP121</f>
        <v>0</v>
      </c>
      <c r="AQ121" s="28">
        <f>COGS!AQ121+'SG&amp;A'!AQ121</f>
        <v>0</v>
      </c>
      <c r="AR121" s="28">
        <f>COGS!AR121+'SG&amp;A'!AR121</f>
        <v>0</v>
      </c>
      <c r="AS121" s="28">
        <f>COGS!AS121+'SG&amp;A'!AS121</f>
        <v>0</v>
      </c>
      <c r="AT121" s="28">
        <f>COGS!AT121+'SG&amp;A'!AT121</f>
        <v>0</v>
      </c>
      <c r="AU121" s="28">
        <f>COGS!AU121+'SG&amp;A'!AU121</f>
        <v>0</v>
      </c>
      <c r="AV121" s="28">
        <f>COGS!AV121+'SG&amp;A'!AV121</f>
        <v>0</v>
      </c>
      <c r="AW121" s="28">
        <f>COGS!AW121+'SG&amp;A'!AW121</f>
        <v>0</v>
      </c>
      <c r="AX121" s="28">
        <f>COGS!AX121+'SG&amp;A'!AX121</f>
        <v>0</v>
      </c>
      <c r="AY121" s="28">
        <f>COGS!AY121+'SG&amp;A'!AY121</f>
        <v>0</v>
      </c>
      <c r="AZ121" s="28">
        <f>COGS!AZ121+'SG&amp;A'!AZ121</f>
        <v>0</v>
      </c>
      <c r="BA121" s="28">
        <f>COGS!BA121+'SG&amp;A'!BA121</f>
        <v>0</v>
      </c>
      <c r="BB121" s="28">
        <f>COGS!BB121+'SG&amp;A'!BB121</f>
        <v>0</v>
      </c>
      <c r="BC121" s="28">
        <f>COGS!BC121+'SG&amp;A'!BC121</f>
        <v>0</v>
      </c>
      <c r="BD121" s="28">
        <f>COGS!BD121+'SG&amp;A'!BD121</f>
        <v>0</v>
      </c>
      <c r="BE121" s="28">
        <f>COGS!BE121+'SG&amp;A'!BE121</f>
        <v>0</v>
      </c>
      <c r="BF121" s="28">
        <f>COGS!BF121+'SG&amp;A'!BF121</f>
        <v>0</v>
      </c>
      <c r="BG121" s="28">
        <f>COGS!BG121+'SG&amp;A'!BG121</f>
        <v>0</v>
      </c>
      <c r="BH121" s="28">
        <f>COGS!BH121+'SG&amp;A'!BH121</f>
        <v>0</v>
      </c>
      <c r="BI121" s="28">
        <f>COGS!BI121+'SG&amp;A'!BI121</f>
        <v>0</v>
      </c>
      <c r="BJ121" s="28">
        <f>COGS!BJ121+'SG&amp;A'!BJ121</f>
        <v>0</v>
      </c>
      <c r="BK121" s="28">
        <f>COGS!BK121+'SG&amp;A'!BK121</f>
        <v>0</v>
      </c>
      <c r="BL121" s="28">
        <f>COGS!BL121+'SG&amp;A'!BL121</f>
        <v>0</v>
      </c>
      <c r="BM121" s="28">
        <f>COGS!BM121+'SG&amp;A'!BM121</f>
        <v>0</v>
      </c>
      <c r="BN121" s="28">
        <f>COGS!BN121+'SG&amp;A'!BN121</f>
        <v>0</v>
      </c>
      <c r="BO121" s="28">
        <f>COGS!BO121+'SG&amp;A'!BO121</f>
        <v>0</v>
      </c>
      <c r="BP121" s="28">
        <f>COGS!BP121+'SG&amp;A'!BP121</f>
        <v>0</v>
      </c>
      <c r="BQ121" s="28">
        <f>COGS!BQ121+'SG&amp;A'!BQ121</f>
        <v>0</v>
      </c>
      <c r="BR121" s="28">
        <f>COGS!BR121+'SG&amp;A'!BR121</f>
        <v>0</v>
      </c>
      <c r="BS121" s="28">
        <f>COGS!BS121+'SG&amp;A'!BS121</f>
        <v>0</v>
      </c>
      <c r="BT121" s="28">
        <f>COGS!BT121+'SG&amp;A'!BT121</f>
        <v>0</v>
      </c>
      <c r="BU121" s="28">
        <f>COGS!BU121+'SG&amp;A'!BU121</f>
        <v>4.9910100000000006E-3</v>
      </c>
      <c r="BV121" s="28">
        <f>COGS!BV121+'SG&amp;A'!BV121</f>
        <v>1.6924469999999997E-2</v>
      </c>
      <c r="BW121" s="28">
        <f>COGS!BW121+'SG&amp;A'!BW121</f>
        <v>4.6295210000000003E-2</v>
      </c>
      <c r="BX121" s="28">
        <f>COGS!BX121+'SG&amp;A'!BX121</f>
        <v>6.8210690000000004E-2</v>
      </c>
      <c r="BY121" s="28">
        <f>COGS!BY121+'SG&amp;A'!BY121</f>
        <v>5.9760959999999995E-2</v>
      </c>
      <c r="BZ121" s="28">
        <f>COGS!BZ121+'SG&amp;A'!BZ121</f>
        <v>6.3241290000000006E-2</v>
      </c>
      <c r="CA121" s="28">
        <f>COGS!CA121+'SG&amp;A'!CA121</f>
        <v>0.17061426000000002</v>
      </c>
      <c r="CB121" s="28">
        <f>COGS!CB121+'SG&amp;A'!CB121</f>
        <v>0.8404003699999999</v>
      </c>
      <c r="CC121" s="28">
        <f>COGS!CC121+'SG&amp;A'!CC121</f>
        <v>1.1340168799999999</v>
      </c>
      <c r="CD121" s="28">
        <f>COGS!CD121+'SG&amp;A'!CD121</f>
        <v>2.1483212600000003</v>
      </c>
      <c r="CE121" s="28">
        <f>COGS!CE121+'SG&amp;A'!CE121</f>
        <v>1.5968337499999996</v>
      </c>
      <c r="CF121" s="28">
        <f>COGS!CF121+'SG&amp;A'!CF121</f>
        <v>2.9396402400000001</v>
      </c>
      <c r="CG121" s="28">
        <f>COGS!CG121+'SG&amp;A'!CG121</f>
        <v>3.2225503799999999</v>
      </c>
      <c r="CH121" s="28">
        <f>COGS!CH121+'SG&amp;A'!CH121</f>
        <v>9.90734563</v>
      </c>
      <c r="CI121" s="28">
        <f>COGS!CI121+'SG&amp;A'!CI121</f>
        <v>3.90921472</v>
      </c>
      <c r="CJ121" s="28">
        <f>COGS!CJ121+'SG&amp;A'!CJ121</f>
        <v>4.5017097899999996</v>
      </c>
      <c r="CK121" s="28">
        <f>COGS!CK121+'SG&amp;A'!CK121</f>
        <v>4.6540488200000016</v>
      </c>
      <c r="CL121" s="28">
        <f>COGS!CL121+'SG&amp;A'!CL121</f>
        <v>4.7160524899999992</v>
      </c>
      <c r="CM121" s="28">
        <f>COGS!CM121+'SG&amp;A'!CM121</f>
        <v>17.78102582</v>
      </c>
      <c r="CN121" s="28">
        <f>COGS!CN121+'SG&amp;A'!CN121</f>
        <v>4.0127823100000004</v>
      </c>
      <c r="CO121" s="28">
        <f>COGS!CO121+'SG&amp;A'!CO121</f>
        <v>4.1192421499999998</v>
      </c>
      <c r="CP121" s="28">
        <f>COGS!CP121+'SG&amp;A'!CP121</f>
        <v>4.2907783500000001</v>
      </c>
      <c r="CQ121" s="28">
        <f>COGS!CQ121+'SG&amp;A'!CQ121</f>
        <v>3.3901971899999999</v>
      </c>
      <c r="CR121" s="28">
        <f>COGS!CR121+'SG&amp;A'!CR121</f>
        <v>15.813000000000001</v>
      </c>
      <c r="CS121" s="28">
        <f>COGS!CS121+'SG&amp;A'!CS121</f>
        <v>4.9253175999999996</v>
      </c>
      <c r="CT121" s="28">
        <f>COGS!CT121+'SG&amp;A'!CT121</f>
        <v>5.4727109000000009</v>
      </c>
      <c r="CU121" s="28">
        <f>COGS!CU121+'SG&amp;A'!CU121</f>
        <v>5.6409520699999991</v>
      </c>
      <c r="CV121" s="28">
        <f>COGS!CV121+'SG&amp;A'!CV121</f>
        <v>6.7045868199999976</v>
      </c>
      <c r="CW121" s="28">
        <f>COGS!CW121+'SG&amp;A'!CW121</f>
        <v>22.743567389999995</v>
      </c>
      <c r="CX121" s="28">
        <f>COGS!CX121+'SG&amp;A'!CX121</f>
        <v>6.3079999999999998</v>
      </c>
      <c r="CY121" s="28">
        <f>COGS!CY121+'SG&amp;A'!CY121</f>
        <v>7.1589999999999998</v>
      </c>
      <c r="CZ121" s="28">
        <f>COGS!CZ121+'SG&amp;A'!CZ121</f>
        <v>7.1870000000000003</v>
      </c>
      <c r="DA121" s="28">
        <f>COGS!DA121+'SG&amp;A'!DA121</f>
        <v>8.7780000000000005</v>
      </c>
      <c r="DB121" s="28">
        <f>COGS!DB121+'SG&amp;A'!DB121</f>
        <v>29.432000000000002</v>
      </c>
      <c r="DC121" s="28">
        <f>COGS!DC121+'SG&amp;A'!DC121</f>
        <v>8.9369999999999994</v>
      </c>
      <c r="DD121" s="28">
        <f>COGS!DD121+'SG&amp;A'!DD121</f>
        <v>9.2330000000000005</v>
      </c>
      <c r="DE121" s="28">
        <f>COGS!DE121+'SG&amp;A'!DE121</f>
        <v>9.8889999999999993</v>
      </c>
      <c r="DF121" s="28">
        <f>COGS!DF121+'SG&amp;A'!DF121</f>
        <v>11.317</v>
      </c>
      <c r="DG121" s="28">
        <f>COGS!DG121+'SG&amp;A'!DG121</f>
        <v>39.376000000000005</v>
      </c>
      <c r="DH121" s="28">
        <f>COGS!DH121+'SG&amp;A'!DH121</f>
        <v>10.308999999999999</v>
      </c>
      <c r="DI121" s="28">
        <f>COGS!DI121+'SG&amp;A'!DI121</f>
        <v>10.737</v>
      </c>
      <c r="DJ121" s="28">
        <f>COGS!DJ121+'SG&amp;A'!DJ121</f>
        <v>11.465</v>
      </c>
      <c r="DK121" s="28">
        <f>COGS!DK121+'SG&amp;A'!DK121</f>
        <v>14.557</v>
      </c>
      <c r="DL121" s="28">
        <f>COGS!DL121+'SG&amp;A'!DL121</f>
        <v>47.067999999999998</v>
      </c>
      <c r="DM121" s="28">
        <f>COGS!DM121+'SG&amp;A'!DM121</f>
        <v>13.865</v>
      </c>
      <c r="DN121" s="28">
        <f>COGS!DN121+'SG&amp;A'!DN121</f>
        <v>15.673</v>
      </c>
      <c r="DO121" s="28">
        <f>COGS!DO121+'SG&amp;A'!DO121</f>
        <v>14.156000000000001</v>
      </c>
      <c r="DP121" s="28">
        <f>COGS!DP121+'SG&amp;A'!DP121</f>
        <v>12.022</v>
      </c>
      <c r="DQ121" s="28">
        <f>COGS!DQ121+'SG&amp;A'!DQ121</f>
        <v>55.716000000000001</v>
      </c>
      <c r="DR121" s="28">
        <f>COGS!DR121+'SG&amp;A'!DR121</f>
        <v>14.315</v>
      </c>
      <c r="DS121" s="28">
        <f>COGS!DS121+'SG&amp;A'!DS121</f>
        <v>14.734999999999999</v>
      </c>
      <c r="DT121" s="28">
        <f>COGS!DT121+'SG&amp;A'!DT121</f>
        <v>16.45</v>
      </c>
      <c r="DU121" s="28">
        <f>COGS!DU121+'SG&amp;A'!DU121</f>
        <v>20.204999999999998</v>
      </c>
      <c r="DV121" s="28">
        <f>COGS!DV121+'SG&amp;A'!DV121</f>
        <v>65.704999999999998</v>
      </c>
      <c r="DW121" s="28">
        <f>COGS!DW121+'SG&amp;A'!DW121</f>
        <v>19.552</v>
      </c>
      <c r="DX121" s="28">
        <f>COGS!DX121+'SG&amp;A'!DX121</f>
        <v>19.821000000000002</v>
      </c>
      <c r="DY121" s="28">
        <f>COGS!DY121+'SG&amp;A'!DY121</f>
        <v>19.645606279999992</v>
      </c>
      <c r="DZ121" s="28">
        <f>COGS!DZ121+'SG&amp;A'!DZ121</f>
        <v>23.616514460000008</v>
      </c>
      <c r="EA121" s="28">
        <f>COGS!EA121+'SG&amp;A'!EA121</f>
        <v>82.635120740000005</v>
      </c>
      <c r="EB121" s="28">
        <f>COGS!EB121+'SG&amp;A'!EB121</f>
        <v>20.101959059999999</v>
      </c>
      <c r="EC121" s="28">
        <f>COGS!EC121+'SG&amp;A'!EC121</f>
        <v>21.018224660000001</v>
      </c>
      <c r="ED121" s="28">
        <f>COGS!ED121+'SG&amp;A'!ED121</f>
        <v>22.795999999999999</v>
      </c>
      <c r="EE121" s="28">
        <f>COGS!EE121+'SG&amp;A'!EE121</f>
        <v>24.985543749999991</v>
      </c>
      <c r="EF121" s="28">
        <f>COGS!EF121+'SG&amp;A'!EF121</f>
        <v>88.901727469999997</v>
      </c>
      <c r="EG121" s="28">
        <f>COGS!EG121+'SG&amp;A'!EG121</f>
        <v>25.414387089999998</v>
      </c>
      <c r="EH121" s="28">
        <f>COGS!EH121+'SG&amp;A'!EH121</f>
        <v>27.375326720000004</v>
      </c>
      <c r="EI121" s="28">
        <f>COGS!EI121+'SG&amp;A'!EI121</f>
        <v>25.667295519999996</v>
      </c>
    </row>
    <row r="122" spans="1:139" ht="15" thickTop="1" x14ac:dyDescent="0.3">
      <c r="A122" s="1" t="s">
        <v>445</v>
      </c>
      <c r="B122" s="27">
        <f>COGS!B122+'SG&amp;A'!B122</f>
        <v>0</v>
      </c>
      <c r="C122" s="27">
        <f>COGS!C122+'SG&amp;A'!C122</f>
        <v>0</v>
      </c>
      <c r="D122" s="27">
        <f>COGS!D122+'SG&amp;A'!D122</f>
        <v>0</v>
      </c>
      <c r="E122" s="27">
        <f>COGS!E122+'SG&amp;A'!E122</f>
        <v>0</v>
      </c>
      <c r="F122" s="27">
        <f>COGS!F122+'SG&amp;A'!F122</f>
        <v>0</v>
      </c>
      <c r="G122" s="27">
        <f>COGS!G122+'SG&amp;A'!G122</f>
        <v>0</v>
      </c>
      <c r="H122" s="27">
        <f>COGS!H122+'SG&amp;A'!H122</f>
        <v>0</v>
      </c>
      <c r="I122" s="27">
        <f>COGS!I122+'SG&amp;A'!I122</f>
        <v>0</v>
      </c>
      <c r="J122" s="27">
        <f>COGS!J122+'SG&amp;A'!J122</f>
        <v>0</v>
      </c>
      <c r="K122" s="27">
        <f>COGS!K122+'SG&amp;A'!K122</f>
        <v>0</v>
      </c>
      <c r="L122" s="27">
        <f>COGS!L122+'SG&amp;A'!L122</f>
        <v>0</v>
      </c>
      <c r="M122" s="27">
        <f>COGS!M122+'SG&amp;A'!M122</f>
        <v>0</v>
      </c>
      <c r="N122" s="27">
        <f>COGS!N122+'SG&amp;A'!N122</f>
        <v>0</v>
      </c>
      <c r="O122" s="27">
        <f>COGS!O122+'SG&amp;A'!O122</f>
        <v>0</v>
      </c>
      <c r="P122" s="27">
        <f>COGS!P122+'SG&amp;A'!P122</f>
        <v>0</v>
      </c>
      <c r="Q122" s="27">
        <f>COGS!Q122+'SG&amp;A'!Q122</f>
        <v>0</v>
      </c>
      <c r="R122" s="27">
        <f>COGS!R122+'SG&amp;A'!R122</f>
        <v>0</v>
      </c>
      <c r="S122" s="27">
        <f>COGS!S122+'SG&amp;A'!S122</f>
        <v>0</v>
      </c>
      <c r="T122" s="27">
        <f>COGS!T122+'SG&amp;A'!T122</f>
        <v>0</v>
      </c>
      <c r="U122" s="27">
        <f>COGS!U122+'SG&amp;A'!U122</f>
        <v>0</v>
      </c>
      <c r="V122" s="27">
        <f>COGS!V122+'SG&amp;A'!V122</f>
        <v>0</v>
      </c>
      <c r="W122" s="27">
        <f>COGS!W122+'SG&amp;A'!W122</f>
        <v>0</v>
      </c>
      <c r="X122" s="27">
        <f>COGS!X122+'SG&amp;A'!X122</f>
        <v>0</v>
      </c>
      <c r="Y122" s="27">
        <f>COGS!Y122+'SG&amp;A'!Y122</f>
        <v>0</v>
      </c>
      <c r="Z122" s="27">
        <f>COGS!Z122+'SG&amp;A'!Z122</f>
        <v>0</v>
      </c>
      <c r="AA122" s="27">
        <f>COGS!AA122+'SG&amp;A'!AA122</f>
        <v>0</v>
      </c>
      <c r="AB122" s="27">
        <f>COGS!AB122+'SG&amp;A'!AB122</f>
        <v>0</v>
      </c>
      <c r="AC122" s="27">
        <f>COGS!AC122+'SG&amp;A'!AC122</f>
        <v>0</v>
      </c>
      <c r="AD122" s="27">
        <f>COGS!AD122+'SG&amp;A'!AD122</f>
        <v>0</v>
      </c>
      <c r="AE122" s="27">
        <f>COGS!AE122+'SG&amp;A'!AE122</f>
        <v>0</v>
      </c>
      <c r="AF122" s="27">
        <f>COGS!AF122+'SG&amp;A'!AF122</f>
        <v>0</v>
      </c>
      <c r="AG122" s="27">
        <f>COGS!AG122+'SG&amp;A'!AG122</f>
        <v>0</v>
      </c>
      <c r="AH122" s="27">
        <f>COGS!AH122+'SG&amp;A'!AH122</f>
        <v>0</v>
      </c>
      <c r="AI122" s="27">
        <f>COGS!AI122+'SG&amp;A'!AI122</f>
        <v>0</v>
      </c>
      <c r="AJ122" s="27">
        <f>COGS!AJ122+'SG&amp;A'!AJ122</f>
        <v>0</v>
      </c>
      <c r="AK122" s="27">
        <f>COGS!AK122+'SG&amp;A'!AK122</f>
        <v>0</v>
      </c>
      <c r="AL122" s="27">
        <f>COGS!AL122+'SG&amp;A'!AL122</f>
        <v>0</v>
      </c>
      <c r="AM122" s="27">
        <f>COGS!AM122+'SG&amp;A'!AM122</f>
        <v>0</v>
      </c>
      <c r="AN122" s="27">
        <f>COGS!AN122+'SG&amp;A'!AN122</f>
        <v>0</v>
      </c>
      <c r="AO122" s="27">
        <f>COGS!AO122+'SG&amp;A'!AO122</f>
        <v>0</v>
      </c>
      <c r="AP122" s="27">
        <f>COGS!AP122+'SG&amp;A'!AP122</f>
        <v>0</v>
      </c>
      <c r="AQ122" s="27">
        <f>COGS!AQ122+'SG&amp;A'!AQ122</f>
        <v>0</v>
      </c>
      <c r="AR122" s="27">
        <f>COGS!AR122+'SG&amp;A'!AR122</f>
        <v>0</v>
      </c>
      <c r="AS122" s="27">
        <f>COGS!AS122+'SG&amp;A'!AS122</f>
        <v>0</v>
      </c>
      <c r="AT122" s="27">
        <f>COGS!AT122+'SG&amp;A'!AT122</f>
        <v>0</v>
      </c>
      <c r="AU122" s="27">
        <f>COGS!AU122+'SG&amp;A'!AU122</f>
        <v>0</v>
      </c>
      <c r="AV122" s="27">
        <f>COGS!AV122+'SG&amp;A'!AV122</f>
        <v>0</v>
      </c>
      <c r="AW122" s="27">
        <f>COGS!AW122+'SG&amp;A'!AW122</f>
        <v>0</v>
      </c>
      <c r="AX122" s="27">
        <f>COGS!AX122+'SG&amp;A'!AX122</f>
        <v>0</v>
      </c>
      <c r="AY122" s="27">
        <f>COGS!AY122+'SG&amp;A'!AY122</f>
        <v>0</v>
      </c>
      <c r="AZ122" s="27">
        <f>COGS!AZ122+'SG&amp;A'!AZ122</f>
        <v>0</v>
      </c>
      <c r="BA122" s="27">
        <f>COGS!BA122+'SG&amp;A'!BA122</f>
        <v>0</v>
      </c>
      <c r="BB122" s="27">
        <f>COGS!BB122+'SG&amp;A'!BB122</f>
        <v>0</v>
      </c>
      <c r="BC122" s="27">
        <f>COGS!BC122+'SG&amp;A'!BC122</f>
        <v>0</v>
      </c>
      <c r="BD122" s="27">
        <f>COGS!BD122+'SG&amp;A'!BD122</f>
        <v>0</v>
      </c>
      <c r="BE122" s="27">
        <f>COGS!BE122+'SG&amp;A'!BE122</f>
        <v>0</v>
      </c>
      <c r="BF122" s="27">
        <f>COGS!BF122+'SG&amp;A'!BF122</f>
        <v>0</v>
      </c>
      <c r="BG122" s="27">
        <f>COGS!BG122+'SG&amp;A'!BG122</f>
        <v>0</v>
      </c>
      <c r="BH122" s="27">
        <f>COGS!BH122+'SG&amp;A'!BH122</f>
        <v>0</v>
      </c>
      <c r="BI122" s="27">
        <f>COGS!BI122+'SG&amp;A'!BI122</f>
        <v>0</v>
      </c>
      <c r="BJ122" s="27">
        <f>COGS!BJ122+'SG&amp;A'!BJ122</f>
        <v>0</v>
      </c>
      <c r="BK122" s="27">
        <f>COGS!BK122+'SG&amp;A'!BK122</f>
        <v>0</v>
      </c>
      <c r="BL122" s="27">
        <f>COGS!BL122+'SG&amp;A'!BL122</f>
        <v>0</v>
      </c>
      <c r="BM122" s="27">
        <f>COGS!BM122+'SG&amp;A'!BM122</f>
        <v>0</v>
      </c>
      <c r="BN122" s="27">
        <f>COGS!BN122+'SG&amp;A'!BN122</f>
        <v>0</v>
      </c>
      <c r="BO122" s="27">
        <f>COGS!BO122+'SG&amp;A'!BO122</f>
        <v>0</v>
      </c>
      <c r="BP122" s="27">
        <f>COGS!BP122+'SG&amp;A'!BP122</f>
        <v>0</v>
      </c>
      <c r="BQ122" s="27">
        <f>COGS!BQ122+'SG&amp;A'!BQ122</f>
        <v>0</v>
      </c>
      <c r="BR122" s="27">
        <f>COGS!BR122+'SG&amp;A'!BR122</f>
        <v>0</v>
      </c>
      <c r="BS122" s="27">
        <f>COGS!BS122+'SG&amp;A'!BS122</f>
        <v>0</v>
      </c>
      <c r="BT122" s="27">
        <f>COGS!BT122+'SG&amp;A'!BT122</f>
        <v>0</v>
      </c>
      <c r="BU122" s="27">
        <f>COGS!BU122+'SG&amp;A'!BU122</f>
        <v>0</v>
      </c>
      <c r="BV122" s="27">
        <f>COGS!BV122+'SG&amp;A'!BV122</f>
        <v>0</v>
      </c>
      <c r="BW122" s="27">
        <f>COGS!BW122+'SG&amp;A'!BW122</f>
        <v>0</v>
      </c>
      <c r="BX122" s="27">
        <f>COGS!BX122+'SG&amp;A'!BX122</f>
        <v>0</v>
      </c>
      <c r="BY122" s="27">
        <f>COGS!BY122+'SG&amp;A'!BY122</f>
        <v>0</v>
      </c>
      <c r="BZ122" s="27">
        <f>COGS!BZ122+'SG&amp;A'!BZ122</f>
        <v>0</v>
      </c>
      <c r="CA122" s="27">
        <f>COGS!CA122+'SG&amp;A'!CA122</f>
        <v>0</v>
      </c>
      <c r="CB122" s="27">
        <f>COGS!CB122+'SG&amp;A'!CB122</f>
        <v>0</v>
      </c>
      <c r="CC122" s="27">
        <f>COGS!CC122+'SG&amp;A'!CC122</f>
        <v>0</v>
      </c>
      <c r="CD122" s="27">
        <f>COGS!CD122+'SG&amp;A'!CD122</f>
        <v>0</v>
      </c>
      <c r="CE122" s="27">
        <f>COGS!CE122+'SG&amp;A'!CE122</f>
        <v>0</v>
      </c>
      <c r="CF122" s="27">
        <f>COGS!CF122+'SG&amp;A'!CF122</f>
        <v>0</v>
      </c>
      <c r="CG122" s="27">
        <f>COGS!CG122+'SG&amp;A'!CG122</f>
        <v>0</v>
      </c>
      <c r="CH122" s="27">
        <f>COGS!CH122+'SG&amp;A'!CH122</f>
        <v>0</v>
      </c>
      <c r="CI122" s="27">
        <f>COGS!CI122+'SG&amp;A'!CI122</f>
        <v>0</v>
      </c>
      <c r="CJ122" s="27">
        <f>COGS!CJ122+'SG&amp;A'!CJ122</f>
        <v>1.6618E-3</v>
      </c>
      <c r="CK122" s="27">
        <f>COGS!CK122+'SG&amp;A'!CK122</f>
        <v>8.873433E-2</v>
      </c>
      <c r="CL122" s="27">
        <f>COGS!CL122+'SG&amp;A'!CL122</f>
        <v>1.35491245</v>
      </c>
      <c r="CM122" s="27">
        <f>COGS!CM122+'SG&amp;A'!CM122</f>
        <v>1.4453085800000001</v>
      </c>
      <c r="CN122" s="27">
        <f>COGS!CN122+'SG&amp;A'!CN122</f>
        <v>0.74045593999999992</v>
      </c>
      <c r="CO122" s="27">
        <f>COGS!CO122+'SG&amp;A'!CO122</f>
        <v>0.88917802000000012</v>
      </c>
      <c r="CP122" s="27">
        <f>COGS!CP122+'SG&amp;A'!CP122</f>
        <v>1.0404222999999999</v>
      </c>
      <c r="CQ122" s="27">
        <f>COGS!CQ122+'SG&amp;A'!CQ122</f>
        <v>1.1629437400000002</v>
      </c>
      <c r="CR122" s="27">
        <f>COGS!CR122+'SG&amp;A'!CR122</f>
        <v>3.8330000000000002</v>
      </c>
      <c r="CS122" s="27">
        <f>COGS!CS122+'SG&amp;A'!CS122</f>
        <v>1.37192008</v>
      </c>
      <c r="CT122" s="27">
        <f>COGS!CT122+'SG&amp;A'!CT122</f>
        <v>1.6091063400000001</v>
      </c>
      <c r="CU122" s="27">
        <f>COGS!CU122+'SG&amp;A'!CU122</f>
        <v>2.0436976600000003</v>
      </c>
      <c r="CV122" s="27">
        <f>COGS!CV122+'SG&amp;A'!CV122</f>
        <v>2.1186951899999995</v>
      </c>
      <c r="CW122" s="27">
        <f>COGS!CW122+'SG&amp;A'!CW122</f>
        <v>7.1434192699999999</v>
      </c>
      <c r="CX122" s="27">
        <f>COGS!CX122+'SG&amp;A'!CX122</f>
        <v>1.456</v>
      </c>
      <c r="CY122" s="27">
        <f>COGS!CY122+'SG&amp;A'!CY122</f>
        <v>2.73</v>
      </c>
      <c r="CZ122" s="27">
        <f>COGS!CZ122+'SG&amp;A'!CZ122</f>
        <v>2.222</v>
      </c>
      <c r="DA122" s="27">
        <f>COGS!DA122+'SG&amp;A'!DA122</f>
        <v>2.524</v>
      </c>
      <c r="DB122" s="27">
        <f>COGS!DB122+'SG&amp;A'!DB122</f>
        <v>8.9319999999999986</v>
      </c>
      <c r="DC122" s="27">
        <f>COGS!DC122+'SG&amp;A'!DC122</f>
        <v>3.14</v>
      </c>
      <c r="DD122" s="27">
        <f>COGS!DD122+'SG&amp;A'!DD122</f>
        <v>3.7040000000000002</v>
      </c>
      <c r="DE122" s="27">
        <f>COGS!DE122+'SG&amp;A'!DE122</f>
        <v>4.3330000000000002</v>
      </c>
      <c r="DF122" s="27">
        <f>COGS!DF122+'SG&amp;A'!DF122</f>
        <v>4.58</v>
      </c>
      <c r="DG122" s="27">
        <f>COGS!DG122+'SG&amp;A'!DG122</f>
        <v>15.757</v>
      </c>
      <c r="DH122" s="27">
        <f>COGS!DH122+'SG&amp;A'!DH122</f>
        <v>2.5339999999999998</v>
      </c>
      <c r="DI122" s="27">
        <f>COGS!DI122+'SG&amp;A'!DI122</f>
        <v>3.1379999999999999</v>
      </c>
      <c r="DJ122" s="27">
        <f>COGS!DJ122+'SG&amp;A'!DJ122</f>
        <v>3.3809999999999998</v>
      </c>
      <c r="DK122" s="27">
        <f>COGS!DK122+'SG&amp;A'!DK122</f>
        <v>4.7729999999999997</v>
      </c>
      <c r="DL122" s="27">
        <f>COGS!DL122+'SG&amp;A'!DL122</f>
        <v>13.825999999999999</v>
      </c>
      <c r="DM122" s="27">
        <f>COGS!DM122+'SG&amp;A'!DM122</f>
        <v>4.84</v>
      </c>
      <c r="DN122" s="27">
        <f>COGS!DN122+'SG&amp;A'!DN122</f>
        <v>4.1310000000000002</v>
      </c>
      <c r="DO122" s="27">
        <f>COGS!DO122+'SG&amp;A'!DO122</f>
        <v>4.5570000000000004</v>
      </c>
      <c r="DP122" s="27">
        <f>COGS!DP122+'SG&amp;A'!DP122</f>
        <v>4.7729999999999997</v>
      </c>
      <c r="DQ122" s="27">
        <f>COGS!DQ122+'SG&amp;A'!DQ122</f>
        <v>18.301000000000002</v>
      </c>
      <c r="DR122" s="27">
        <f>COGS!DR122+'SG&amp;A'!DR122</f>
        <v>4.8780000000000001</v>
      </c>
      <c r="DS122" s="27">
        <f>COGS!DS122+'SG&amp;A'!DS122</f>
        <v>5.0789999999999997</v>
      </c>
      <c r="DT122" s="27">
        <f>COGS!DT122+'SG&amp;A'!DT122</f>
        <v>5.1029999999999998</v>
      </c>
      <c r="DU122" s="27">
        <f>COGS!DU122+'SG&amp;A'!DU122</f>
        <v>4.6420000000000003</v>
      </c>
      <c r="DV122" s="27">
        <f>COGS!DV122+'SG&amp;A'!DV122</f>
        <v>19.702000000000002</v>
      </c>
      <c r="DW122" s="27">
        <f>COGS!DW122+'SG&amp;A'!DW122</f>
        <v>6.9820000000000002</v>
      </c>
      <c r="DX122" s="27">
        <f>COGS!DX122+'SG&amp;A'!DX122</f>
        <v>7.0750000000000002</v>
      </c>
      <c r="DY122" s="27">
        <f>COGS!DY122+'SG&amp;A'!DY122</f>
        <v>7.1608267900000007</v>
      </c>
      <c r="DZ122" s="27">
        <f>COGS!DZ122+'SG&amp;A'!DZ122</f>
        <v>7.7256424699999986</v>
      </c>
      <c r="EA122" s="27">
        <f>COGS!EA122+'SG&amp;A'!EA122</f>
        <v>28.943469260000001</v>
      </c>
      <c r="EB122" s="27">
        <f>COGS!EB122+'SG&amp;A'!EB122</f>
        <v>7.6295142199999999</v>
      </c>
      <c r="EC122" s="27">
        <f>COGS!EC122+'SG&amp;A'!EC122</f>
        <v>7.7893932800000005</v>
      </c>
      <c r="ED122" s="27">
        <f>COGS!ED122+'SG&amp;A'!ED122</f>
        <v>8.0920000000000005</v>
      </c>
      <c r="EE122" s="27">
        <f>COGS!EE122+'SG&amp;A'!EE122</f>
        <v>8.6379247699999997</v>
      </c>
      <c r="EF122" s="27">
        <f>COGS!EF122+'SG&amp;A'!EF122</f>
        <v>32.14883227</v>
      </c>
      <c r="EG122" s="27">
        <f>COGS!EG122+'SG&amp;A'!EG122</f>
        <v>10.00790338</v>
      </c>
      <c r="EH122" s="27">
        <f>COGS!EH122+'SG&amp;A'!EH122</f>
        <v>8.5607563800000008</v>
      </c>
      <c r="EI122" s="27">
        <f>COGS!EI122+'SG&amp;A'!EI122</f>
        <v>9.2932571999999993</v>
      </c>
    </row>
    <row r="123" spans="1:139" ht="15" thickBot="1" x14ac:dyDescent="0.35">
      <c r="A123" s="2" t="s">
        <v>444</v>
      </c>
      <c r="B123" s="28">
        <f>COGS!B123+'SG&amp;A'!B123</f>
        <v>0</v>
      </c>
      <c r="C123" s="28">
        <f>COGS!C123+'SG&amp;A'!C123</f>
        <v>0</v>
      </c>
      <c r="D123" s="28">
        <f>COGS!D123+'SG&amp;A'!D123</f>
        <v>0</v>
      </c>
      <c r="E123" s="28">
        <f>COGS!E123+'SG&amp;A'!E123</f>
        <v>0</v>
      </c>
      <c r="F123" s="28">
        <f>COGS!F123+'SG&amp;A'!F123</f>
        <v>0</v>
      </c>
      <c r="G123" s="28">
        <f>COGS!G123+'SG&amp;A'!G123</f>
        <v>0</v>
      </c>
      <c r="H123" s="28">
        <f>COGS!H123+'SG&amp;A'!H123</f>
        <v>0</v>
      </c>
      <c r="I123" s="28">
        <f>COGS!I123+'SG&amp;A'!I123</f>
        <v>0</v>
      </c>
      <c r="J123" s="28">
        <f>COGS!J123+'SG&amp;A'!J123</f>
        <v>0</v>
      </c>
      <c r="K123" s="28">
        <f>COGS!K123+'SG&amp;A'!K123</f>
        <v>0</v>
      </c>
      <c r="L123" s="28">
        <f>COGS!L123+'SG&amp;A'!L123</f>
        <v>0</v>
      </c>
      <c r="M123" s="28">
        <f>COGS!M123+'SG&amp;A'!M123</f>
        <v>0</v>
      </c>
      <c r="N123" s="28">
        <f>COGS!N123+'SG&amp;A'!N123</f>
        <v>0</v>
      </c>
      <c r="O123" s="28">
        <f>COGS!O123+'SG&amp;A'!O123</f>
        <v>0</v>
      </c>
      <c r="P123" s="28">
        <f>COGS!P123+'SG&amp;A'!P123</f>
        <v>0</v>
      </c>
      <c r="Q123" s="28">
        <f>COGS!Q123+'SG&amp;A'!Q123</f>
        <v>0</v>
      </c>
      <c r="R123" s="28">
        <f>COGS!R123+'SG&amp;A'!R123</f>
        <v>0</v>
      </c>
      <c r="S123" s="28">
        <f>COGS!S123+'SG&amp;A'!S123</f>
        <v>0</v>
      </c>
      <c r="T123" s="28">
        <f>COGS!T123+'SG&amp;A'!T123</f>
        <v>0</v>
      </c>
      <c r="U123" s="28">
        <f>COGS!U123+'SG&amp;A'!U123</f>
        <v>0</v>
      </c>
      <c r="V123" s="28">
        <f>COGS!V123+'SG&amp;A'!V123</f>
        <v>0</v>
      </c>
      <c r="W123" s="28">
        <f>COGS!W123+'SG&amp;A'!W123</f>
        <v>0</v>
      </c>
      <c r="X123" s="28">
        <f>COGS!X123+'SG&amp;A'!X123</f>
        <v>0</v>
      </c>
      <c r="Y123" s="28">
        <f>COGS!Y123+'SG&amp;A'!Y123</f>
        <v>0</v>
      </c>
      <c r="Z123" s="28">
        <f>COGS!Z123+'SG&amp;A'!Z123</f>
        <v>0</v>
      </c>
      <c r="AA123" s="28">
        <f>COGS!AA123+'SG&amp;A'!AA123</f>
        <v>0</v>
      </c>
      <c r="AB123" s="28">
        <f>COGS!AB123+'SG&amp;A'!AB123</f>
        <v>0</v>
      </c>
      <c r="AC123" s="28">
        <f>COGS!AC123+'SG&amp;A'!AC123</f>
        <v>0</v>
      </c>
      <c r="AD123" s="28">
        <f>COGS!AD123+'SG&amp;A'!AD123</f>
        <v>0</v>
      </c>
      <c r="AE123" s="28">
        <f>COGS!AE123+'SG&amp;A'!AE123</f>
        <v>0</v>
      </c>
      <c r="AF123" s="28">
        <f>COGS!AF123+'SG&amp;A'!AF123</f>
        <v>0</v>
      </c>
      <c r="AG123" s="28">
        <f>COGS!AG123+'SG&amp;A'!AG123</f>
        <v>0</v>
      </c>
      <c r="AH123" s="28">
        <f>COGS!AH123+'SG&amp;A'!AH123</f>
        <v>0</v>
      </c>
      <c r="AI123" s="28">
        <f>COGS!AI123+'SG&amp;A'!AI123</f>
        <v>0</v>
      </c>
      <c r="AJ123" s="28">
        <f>COGS!AJ123+'SG&amp;A'!AJ123</f>
        <v>0</v>
      </c>
      <c r="AK123" s="28">
        <f>COGS!AK123+'SG&amp;A'!AK123</f>
        <v>0</v>
      </c>
      <c r="AL123" s="28">
        <f>COGS!AL123+'SG&amp;A'!AL123</f>
        <v>0</v>
      </c>
      <c r="AM123" s="28">
        <f>COGS!AM123+'SG&amp;A'!AM123</f>
        <v>0</v>
      </c>
      <c r="AN123" s="28">
        <f>COGS!AN123+'SG&amp;A'!AN123</f>
        <v>0</v>
      </c>
      <c r="AO123" s="28">
        <f>COGS!AO123+'SG&amp;A'!AO123</f>
        <v>0</v>
      </c>
      <c r="AP123" s="28">
        <f>COGS!AP123+'SG&amp;A'!AP123</f>
        <v>0</v>
      </c>
      <c r="AQ123" s="28">
        <f>COGS!AQ123+'SG&amp;A'!AQ123</f>
        <v>0</v>
      </c>
      <c r="AR123" s="28">
        <f>COGS!AR123+'SG&amp;A'!AR123</f>
        <v>0</v>
      </c>
      <c r="AS123" s="28">
        <f>COGS!AS123+'SG&amp;A'!AS123</f>
        <v>0</v>
      </c>
      <c r="AT123" s="28">
        <f>COGS!AT123+'SG&amp;A'!AT123</f>
        <v>0</v>
      </c>
      <c r="AU123" s="28">
        <f>COGS!AU123+'SG&amp;A'!AU123</f>
        <v>0</v>
      </c>
      <c r="AV123" s="28">
        <f>COGS!AV123+'SG&amp;A'!AV123</f>
        <v>0</v>
      </c>
      <c r="AW123" s="28">
        <f>COGS!AW123+'SG&amp;A'!AW123</f>
        <v>0</v>
      </c>
      <c r="AX123" s="28">
        <f>COGS!AX123+'SG&amp;A'!AX123</f>
        <v>0</v>
      </c>
      <c r="AY123" s="28">
        <f>COGS!AY123+'SG&amp;A'!AY123</f>
        <v>0</v>
      </c>
      <c r="AZ123" s="28">
        <f>COGS!AZ123+'SG&amp;A'!AZ123</f>
        <v>0</v>
      </c>
      <c r="BA123" s="28">
        <f>COGS!BA123+'SG&amp;A'!BA123</f>
        <v>0</v>
      </c>
      <c r="BB123" s="28">
        <f>COGS!BB123+'SG&amp;A'!BB123</f>
        <v>0</v>
      </c>
      <c r="BC123" s="28">
        <f>COGS!BC123+'SG&amp;A'!BC123</f>
        <v>0</v>
      </c>
      <c r="BD123" s="28">
        <f>COGS!BD123+'SG&amp;A'!BD123</f>
        <v>0</v>
      </c>
      <c r="BE123" s="28">
        <f>COGS!BE123+'SG&amp;A'!BE123</f>
        <v>0</v>
      </c>
      <c r="BF123" s="28">
        <f>COGS!BF123+'SG&amp;A'!BF123</f>
        <v>0</v>
      </c>
      <c r="BG123" s="28">
        <f>COGS!BG123+'SG&amp;A'!BG123</f>
        <v>0</v>
      </c>
      <c r="BH123" s="28">
        <f>COGS!BH123+'SG&amp;A'!BH123</f>
        <v>0</v>
      </c>
      <c r="BI123" s="28">
        <f>COGS!BI123+'SG&amp;A'!BI123</f>
        <v>0</v>
      </c>
      <c r="BJ123" s="28">
        <f>COGS!BJ123+'SG&amp;A'!BJ123</f>
        <v>0</v>
      </c>
      <c r="BK123" s="28">
        <f>COGS!BK123+'SG&amp;A'!BK123</f>
        <v>0</v>
      </c>
      <c r="BL123" s="28">
        <f>COGS!BL123+'SG&amp;A'!BL123</f>
        <v>0</v>
      </c>
      <c r="BM123" s="28">
        <f>COGS!BM123+'SG&amp;A'!BM123</f>
        <v>0</v>
      </c>
      <c r="BN123" s="28">
        <f>COGS!BN123+'SG&amp;A'!BN123</f>
        <v>0</v>
      </c>
      <c r="BO123" s="28">
        <f>COGS!BO123+'SG&amp;A'!BO123</f>
        <v>0</v>
      </c>
      <c r="BP123" s="28">
        <f>COGS!BP123+'SG&amp;A'!BP123</f>
        <v>0</v>
      </c>
      <c r="BQ123" s="28">
        <f>COGS!BQ123+'SG&amp;A'!BQ123</f>
        <v>0</v>
      </c>
      <c r="BR123" s="28">
        <f>COGS!BR123+'SG&amp;A'!BR123</f>
        <v>0</v>
      </c>
      <c r="BS123" s="28">
        <f>COGS!BS123+'SG&amp;A'!BS123</f>
        <v>0</v>
      </c>
      <c r="BT123" s="28">
        <f>COGS!BT123+'SG&amp;A'!BT123</f>
        <v>0</v>
      </c>
      <c r="BU123" s="28">
        <f>COGS!BU123+'SG&amp;A'!BU123</f>
        <v>0</v>
      </c>
      <c r="BV123" s="28">
        <f>COGS!BV123+'SG&amp;A'!BV123</f>
        <v>0</v>
      </c>
      <c r="BW123" s="28">
        <f>COGS!BW123+'SG&amp;A'!BW123</f>
        <v>0</v>
      </c>
      <c r="BX123" s="28">
        <f>COGS!BX123+'SG&amp;A'!BX123</f>
        <v>0</v>
      </c>
      <c r="BY123" s="28">
        <f>COGS!BY123+'SG&amp;A'!BY123</f>
        <v>0</v>
      </c>
      <c r="BZ123" s="28">
        <f>COGS!BZ123+'SG&amp;A'!BZ123</f>
        <v>0</v>
      </c>
      <c r="CA123" s="28">
        <f>COGS!CA123+'SG&amp;A'!CA123</f>
        <v>0</v>
      </c>
      <c r="CB123" s="28">
        <f>COGS!CB123+'SG&amp;A'!CB123</f>
        <v>0</v>
      </c>
      <c r="CC123" s="28">
        <f>COGS!CC123+'SG&amp;A'!CC123</f>
        <v>0</v>
      </c>
      <c r="CD123" s="28">
        <f>COGS!CD123+'SG&amp;A'!CD123</f>
        <v>0</v>
      </c>
      <c r="CE123" s="28">
        <f>COGS!CE123+'SG&amp;A'!CE123</f>
        <v>0</v>
      </c>
      <c r="CF123" s="28">
        <f>COGS!CF123+'SG&amp;A'!CF123</f>
        <v>0</v>
      </c>
      <c r="CG123" s="28">
        <f>COGS!CG123+'SG&amp;A'!CG123</f>
        <v>0</v>
      </c>
      <c r="CH123" s="28">
        <f>COGS!CH123+'SG&amp;A'!CH123</f>
        <v>0</v>
      </c>
      <c r="CI123" s="28">
        <f>COGS!CI123+'SG&amp;A'!CI123</f>
        <v>0</v>
      </c>
      <c r="CJ123" s="28">
        <f>COGS!CJ123+'SG&amp;A'!CJ123</f>
        <v>0</v>
      </c>
      <c r="CK123" s="28">
        <f>COGS!CK123+'SG&amp;A'!CK123</f>
        <v>0</v>
      </c>
      <c r="CL123" s="28">
        <f>COGS!CL123+'SG&amp;A'!CL123</f>
        <v>0</v>
      </c>
      <c r="CM123" s="28">
        <f>COGS!CM123+'SG&amp;A'!CM123</f>
        <v>0</v>
      </c>
      <c r="CN123" s="28">
        <f>COGS!CN123+'SG&amp;A'!CN123</f>
        <v>0</v>
      </c>
      <c r="CO123" s="28">
        <f>COGS!CO123+'SG&amp;A'!CO123</f>
        <v>0</v>
      </c>
      <c r="CP123" s="28">
        <f>COGS!CP123+'SG&amp;A'!CP123</f>
        <v>0</v>
      </c>
      <c r="CQ123" s="28">
        <f>COGS!CQ123+'SG&amp;A'!CQ123</f>
        <v>0</v>
      </c>
      <c r="CR123" s="28">
        <f>COGS!CR123+'SG&amp;A'!CR123</f>
        <v>0</v>
      </c>
      <c r="CS123" s="28">
        <f>COGS!CS123+'SG&amp;A'!CS123</f>
        <v>0</v>
      </c>
      <c r="CT123" s="28">
        <f>COGS!CT123+'SG&amp;A'!CT123</f>
        <v>0</v>
      </c>
      <c r="CU123" s="28">
        <f>COGS!CU123+'SG&amp;A'!CU123</f>
        <v>0</v>
      </c>
      <c r="CV123" s="28">
        <f>COGS!CV123+'SG&amp;A'!CV123</f>
        <v>0</v>
      </c>
      <c r="CW123" s="28">
        <f>COGS!CW123+'SG&amp;A'!CW123</f>
        <v>0</v>
      </c>
      <c r="CX123" s="28">
        <f>COGS!CX123+'SG&amp;A'!CX123</f>
        <v>0</v>
      </c>
      <c r="CY123" s="28">
        <f>COGS!CY123+'SG&amp;A'!CY123</f>
        <v>0</v>
      </c>
      <c r="CZ123" s="28">
        <f>COGS!CZ123+'SG&amp;A'!CZ123</f>
        <v>0</v>
      </c>
      <c r="DA123" s="28">
        <f>COGS!DA123+'SG&amp;A'!DA123</f>
        <v>0</v>
      </c>
      <c r="DB123" s="28">
        <f>COGS!DB123+'SG&amp;A'!DB123</f>
        <v>0</v>
      </c>
      <c r="DC123" s="28">
        <f>COGS!DC123+'SG&amp;A'!DC123</f>
        <v>0</v>
      </c>
      <c r="DD123" s="28">
        <f>COGS!DD123+'SG&amp;A'!DD123</f>
        <v>3.87</v>
      </c>
      <c r="DE123" s="28">
        <f>COGS!DE123+'SG&amp;A'!DE123</f>
        <v>13.006</v>
      </c>
      <c r="DF123" s="28">
        <f>COGS!DF123+'SG&amp;A'!DF123</f>
        <v>8.1310000000000002</v>
      </c>
      <c r="DG123" s="28">
        <f>COGS!DG123+'SG&amp;A'!DG123</f>
        <v>25.007000000000001</v>
      </c>
      <c r="DH123" s="28">
        <f>COGS!DH123+'SG&amp;A'!DH123</f>
        <v>12.1</v>
      </c>
      <c r="DI123" s="28">
        <f>COGS!DI123+'SG&amp;A'!DI123</f>
        <v>13.686</v>
      </c>
      <c r="DJ123" s="28">
        <f>COGS!DJ123+'SG&amp;A'!DJ123</f>
        <v>12.295999999999999</v>
      </c>
      <c r="DK123" s="28">
        <f>COGS!DK123+'SG&amp;A'!DK123</f>
        <v>14.654</v>
      </c>
      <c r="DL123" s="28">
        <f>COGS!DL123+'SG&amp;A'!DL123</f>
        <v>52.736000000000004</v>
      </c>
      <c r="DM123" s="28">
        <f>COGS!DM123+'SG&amp;A'!DM123</f>
        <v>11.205</v>
      </c>
      <c r="DN123" s="28">
        <f>COGS!DN123+'SG&amp;A'!DN123</f>
        <v>11.093</v>
      </c>
      <c r="DO123" s="28">
        <f>COGS!DO123+'SG&amp;A'!DO123</f>
        <v>12.061999999999999</v>
      </c>
      <c r="DP123" s="28">
        <f>COGS!DP123+'SG&amp;A'!DP123</f>
        <v>11.945</v>
      </c>
      <c r="DQ123" s="28">
        <f>COGS!DQ123+'SG&amp;A'!DQ123</f>
        <v>46.305</v>
      </c>
      <c r="DR123" s="28">
        <f>COGS!DR123+'SG&amp;A'!DR123</f>
        <v>11.727</v>
      </c>
      <c r="DS123" s="28">
        <f>COGS!DS123+'SG&amp;A'!DS123</f>
        <v>11.816000000000001</v>
      </c>
      <c r="DT123" s="28">
        <f>COGS!DT123+'SG&amp;A'!DT123</f>
        <v>12.707000000000001</v>
      </c>
      <c r="DU123" s="28">
        <f>COGS!DU123+'SG&amp;A'!DU123</f>
        <v>9.1790000000000003</v>
      </c>
      <c r="DV123" s="28">
        <f>COGS!DV123+'SG&amp;A'!DV123</f>
        <v>45.429000000000002</v>
      </c>
      <c r="DW123" s="28">
        <f>COGS!DW123+'SG&amp;A'!DW123</f>
        <v>14.417999999999999</v>
      </c>
      <c r="DX123" s="28">
        <f>COGS!DX123+'SG&amp;A'!DX123</f>
        <v>15.468999999999999</v>
      </c>
      <c r="DY123" s="28">
        <f>COGS!DY123+'SG&amp;A'!DY123</f>
        <v>15.438939830000002</v>
      </c>
      <c r="DZ123" s="28">
        <f>COGS!DZ123+'SG&amp;A'!DZ123</f>
        <v>17.192660099999994</v>
      </c>
      <c r="EA123" s="28">
        <f>COGS!EA123+'SG&amp;A'!EA123</f>
        <v>62.518599929999993</v>
      </c>
      <c r="EB123" s="28">
        <f>COGS!EB123+'SG&amp;A'!EB123</f>
        <v>17.087770920000001</v>
      </c>
      <c r="EC123" s="28">
        <f>COGS!EC123+'SG&amp;A'!EC123</f>
        <v>17.414196379999996</v>
      </c>
      <c r="ED123" s="28">
        <f>COGS!ED123+'SG&amp;A'!ED123</f>
        <v>18.128</v>
      </c>
      <c r="EE123" s="28">
        <f>COGS!EE123+'SG&amp;A'!EE123</f>
        <v>18.633306820000001</v>
      </c>
      <c r="EF123" s="28">
        <f>COGS!EF123+'SG&amp;A'!EF123</f>
        <v>71.263274120000005</v>
      </c>
      <c r="EG123" s="28">
        <f>COGS!EG123+'SG&amp;A'!EG123</f>
        <v>24.875697210000002</v>
      </c>
      <c r="EH123" s="28">
        <f>COGS!EH123+'SG&amp;A'!EH123</f>
        <v>19.862170280000001</v>
      </c>
      <c r="EI123" s="28">
        <f>COGS!EI123+'SG&amp;A'!EI123</f>
        <v>22.651274770000004</v>
      </c>
    </row>
    <row r="124" spans="1:139" ht="15" thickTop="1" x14ac:dyDescent="0.3">
      <c r="A124" s="1" t="s">
        <v>456</v>
      </c>
      <c r="B124" s="27">
        <f>COGS!B124+'SG&amp;A'!B124</f>
        <v>0</v>
      </c>
      <c r="C124" s="27">
        <f>COGS!C124+'SG&amp;A'!C124</f>
        <v>0</v>
      </c>
      <c r="D124" s="27">
        <f>COGS!D124+'SG&amp;A'!D124</f>
        <v>0</v>
      </c>
      <c r="E124" s="27">
        <f>COGS!E124+'SG&amp;A'!E124</f>
        <v>0</v>
      </c>
      <c r="F124" s="27">
        <f>COGS!F124+'SG&amp;A'!F124</f>
        <v>0</v>
      </c>
      <c r="G124" s="27">
        <f>COGS!G124+'SG&amp;A'!G124</f>
        <v>0</v>
      </c>
      <c r="H124" s="27">
        <f>COGS!H124+'SG&amp;A'!H124</f>
        <v>0</v>
      </c>
      <c r="I124" s="27">
        <f>COGS!I124+'SG&amp;A'!I124</f>
        <v>0</v>
      </c>
      <c r="J124" s="27">
        <f>COGS!J124+'SG&amp;A'!J124</f>
        <v>0</v>
      </c>
      <c r="K124" s="27">
        <f>COGS!K124+'SG&amp;A'!K124</f>
        <v>0</v>
      </c>
      <c r="L124" s="27">
        <f>COGS!L124+'SG&amp;A'!L124</f>
        <v>0</v>
      </c>
      <c r="M124" s="27">
        <f>COGS!M124+'SG&amp;A'!M124</f>
        <v>0</v>
      </c>
      <c r="N124" s="27">
        <f>COGS!N124+'SG&amp;A'!N124</f>
        <v>0</v>
      </c>
      <c r="O124" s="27">
        <f>COGS!O124+'SG&amp;A'!O124</f>
        <v>0</v>
      </c>
      <c r="P124" s="27">
        <f>COGS!P124+'SG&amp;A'!P124</f>
        <v>0</v>
      </c>
      <c r="Q124" s="27">
        <f>COGS!Q124+'SG&amp;A'!Q124</f>
        <v>0</v>
      </c>
      <c r="R124" s="27">
        <f>COGS!R124+'SG&amp;A'!R124</f>
        <v>0</v>
      </c>
      <c r="S124" s="27">
        <f>COGS!S124+'SG&amp;A'!S124</f>
        <v>0</v>
      </c>
      <c r="T124" s="27">
        <f>COGS!T124+'SG&amp;A'!T124</f>
        <v>0</v>
      </c>
      <c r="U124" s="27">
        <f>COGS!U124+'SG&amp;A'!U124</f>
        <v>0</v>
      </c>
      <c r="V124" s="27">
        <f>COGS!V124+'SG&amp;A'!V124</f>
        <v>0</v>
      </c>
      <c r="W124" s="27">
        <f>COGS!W124+'SG&amp;A'!W124</f>
        <v>0</v>
      </c>
      <c r="X124" s="27">
        <f>COGS!X124+'SG&amp;A'!X124</f>
        <v>0</v>
      </c>
      <c r="Y124" s="27">
        <f>COGS!Y124+'SG&amp;A'!Y124</f>
        <v>0</v>
      </c>
      <c r="Z124" s="27">
        <f>COGS!Z124+'SG&amp;A'!Z124</f>
        <v>0</v>
      </c>
      <c r="AA124" s="27">
        <f>COGS!AA124+'SG&amp;A'!AA124</f>
        <v>0</v>
      </c>
      <c r="AB124" s="27">
        <f>COGS!AB124+'SG&amp;A'!AB124</f>
        <v>0</v>
      </c>
      <c r="AC124" s="27">
        <f>COGS!AC124+'SG&amp;A'!AC124</f>
        <v>0</v>
      </c>
      <c r="AD124" s="27">
        <f>COGS!AD124+'SG&amp;A'!AD124</f>
        <v>0</v>
      </c>
      <c r="AE124" s="27">
        <f>COGS!AE124+'SG&amp;A'!AE124</f>
        <v>0</v>
      </c>
      <c r="AF124" s="27">
        <f>COGS!AF124+'SG&amp;A'!AF124</f>
        <v>0</v>
      </c>
      <c r="AG124" s="27">
        <f>COGS!AG124+'SG&amp;A'!AG124</f>
        <v>0</v>
      </c>
      <c r="AH124" s="27">
        <f>COGS!AH124+'SG&amp;A'!AH124</f>
        <v>0</v>
      </c>
      <c r="AI124" s="27">
        <f>COGS!AI124+'SG&amp;A'!AI124</f>
        <v>0</v>
      </c>
      <c r="AJ124" s="27">
        <f>COGS!AJ124+'SG&amp;A'!AJ124</f>
        <v>0</v>
      </c>
      <c r="AK124" s="27">
        <f>COGS!AK124+'SG&amp;A'!AK124</f>
        <v>0</v>
      </c>
      <c r="AL124" s="27">
        <f>COGS!AL124+'SG&amp;A'!AL124</f>
        <v>0</v>
      </c>
      <c r="AM124" s="27">
        <f>COGS!AM124+'SG&amp;A'!AM124</f>
        <v>0</v>
      </c>
      <c r="AN124" s="27">
        <f>COGS!AN124+'SG&amp;A'!AN124</f>
        <v>0</v>
      </c>
      <c r="AO124" s="27">
        <f>COGS!AO124+'SG&amp;A'!AO124</f>
        <v>0</v>
      </c>
      <c r="AP124" s="27">
        <f>COGS!AP124+'SG&amp;A'!AP124</f>
        <v>0</v>
      </c>
      <c r="AQ124" s="27">
        <f>COGS!AQ124+'SG&amp;A'!AQ124</f>
        <v>0</v>
      </c>
      <c r="AR124" s="27">
        <f>COGS!AR124+'SG&amp;A'!AR124</f>
        <v>0</v>
      </c>
      <c r="AS124" s="27">
        <f>COGS!AS124+'SG&amp;A'!AS124</f>
        <v>0</v>
      </c>
      <c r="AT124" s="27">
        <f>COGS!AT124+'SG&amp;A'!AT124</f>
        <v>0</v>
      </c>
      <c r="AU124" s="27">
        <f>COGS!AU124+'SG&amp;A'!AU124</f>
        <v>0</v>
      </c>
      <c r="AV124" s="27">
        <f>COGS!AV124+'SG&amp;A'!AV124</f>
        <v>0</v>
      </c>
      <c r="AW124" s="27">
        <f>COGS!AW124+'SG&amp;A'!AW124</f>
        <v>0</v>
      </c>
      <c r="AX124" s="27">
        <f>COGS!AX124+'SG&amp;A'!AX124</f>
        <v>0</v>
      </c>
      <c r="AY124" s="27">
        <f>COGS!AY124+'SG&amp;A'!AY124</f>
        <v>0</v>
      </c>
      <c r="AZ124" s="27">
        <f>COGS!AZ124+'SG&amp;A'!AZ124</f>
        <v>0</v>
      </c>
      <c r="BA124" s="27">
        <f>COGS!BA124+'SG&amp;A'!BA124</f>
        <v>0</v>
      </c>
      <c r="BB124" s="27">
        <f>COGS!BB124+'SG&amp;A'!BB124</f>
        <v>0</v>
      </c>
      <c r="BC124" s="27">
        <f>COGS!BC124+'SG&amp;A'!BC124</f>
        <v>0</v>
      </c>
      <c r="BD124" s="27">
        <f>COGS!BD124+'SG&amp;A'!BD124</f>
        <v>0</v>
      </c>
      <c r="BE124" s="27">
        <f>COGS!BE124+'SG&amp;A'!BE124</f>
        <v>0</v>
      </c>
      <c r="BF124" s="27">
        <f>COGS!BF124+'SG&amp;A'!BF124</f>
        <v>0</v>
      </c>
      <c r="BG124" s="27">
        <f>COGS!BG124+'SG&amp;A'!BG124</f>
        <v>0</v>
      </c>
      <c r="BH124" s="27">
        <f>COGS!BH124+'SG&amp;A'!BH124</f>
        <v>0</v>
      </c>
      <c r="BI124" s="27">
        <f>COGS!BI124+'SG&amp;A'!BI124</f>
        <v>0</v>
      </c>
      <c r="BJ124" s="27">
        <f>COGS!BJ124+'SG&amp;A'!BJ124</f>
        <v>0</v>
      </c>
      <c r="BK124" s="27">
        <f>COGS!BK124+'SG&amp;A'!BK124</f>
        <v>0</v>
      </c>
      <c r="BL124" s="27">
        <f>COGS!BL124+'SG&amp;A'!BL124</f>
        <v>0</v>
      </c>
      <c r="BM124" s="27">
        <f>COGS!BM124+'SG&amp;A'!BM124</f>
        <v>0</v>
      </c>
      <c r="BN124" s="27">
        <f>COGS!BN124+'SG&amp;A'!BN124</f>
        <v>0</v>
      </c>
      <c r="BO124" s="27">
        <f>COGS!BO124+'SG&amp;A'!BO124</f>
        <v>0</v>
      </c>
      <c r="BP124" s="27">
        <f>COGS!BP124+'SG&amp;A'!BP124</f>
        <v>0</v>
      </c>
      <c r="BQ124" s="27">
        <f>COGS!BQ124+'SG&amp;A'!BQ124</f>
        <v>0</v>
      </c>
      <c r="BR124" s="27">
        <f>COGS!BR124+'SG&amp;A'!BR124</f>
        <v>0</v>
      </c>
      <c r="BS124" s="27">
        <f>COGS!BS124+'SG&amp;A'!BS124</f>
        <v>0</v>
      </c>
      <c r="BT124" s="27">
        <f>COGS!BT124+'SG&amp;A'!BT124</f>
        <v>0</v>
      </c>
      <c r="BU124" s="27">
        <f>COGS!BU124+'SG&amp;A'!BU124</f>
        <v>0</v>
      </c>
      <c r="BV124" s="27">
        <f>COGS!BV124+'SG&amp;A'!BV124</f>
        <v>0</v>
      </c>
      <c r="BW124" s="27">
        <f>COGS!BW124+'SG&amp;A'!BW124</f>
        <v>0</v>
      </c>
      <c r="BX124" s="27">
        <f>COGS!BX124+'SG&amp;A'!BX124</f>
        <v>0</v>
      </c>
      <c r="BY124" s="27">
        <f>COGS!BY124+'SG&amp;A'!BY124</f>
        <v>0</v>
      </c>
      <c r="BZ124" s="27">
        <f>COGS!BZ124+'SG&amp;A'!BZ124</f>
        <v>0</v>
      </c>
      <c r="CA124" s="27">
        <f>COGS!CA124+'SG&amp;A'!CA124</f>
        <v>0</v>
      </c>
      <c r="CB124" s="27">
        <f>COGS!CB124+'SG&amp;A'!CB124</f>
        <v>0</v>
      </c>
      <c r="CC124" s="27">
        <f>COGS!CC124+'SG&amp;A'!CC124</f>
        <v>0</v>
      </c>
      <c r="CD124" s="27">
        <f>COGS!CD124+'SG&amp;A'!CD124</f>
        <v>0</v>
      </c>
      <c r="CE124" s="27">
        <f>COGS!CE124+'SG&amp;A'!CE124</f>
        <v>0</v>
      </c>
      <c r="CF124" s="27">
        <f>COGS!CF124+'SG&amp;A'!CF124</f>
        <v>0</v>
      </c>
      <c r="CG124" s="27">
        <f>COGS!CG124+'SG&amp;A'!CG124</f>
        <v>0</v>
      </c>
      <c r="CH124" s="27">
        <f>COGS!CH124+'SG&amp;A'!CH124</f>
        <v>0</v>
      </c>
      <c r="CI124" s="27">
        <f>COGS!CI124+'SG&amp;A'!CI124</f>
        <v>0</v>
      </c>
      <c r="CJ124" s="27">
        <f>COGS!CJ124+'SG&amp;A'!CJ124</f>
        <v>0</v>
      </c>
      <c r="CK124" s="27">
        <f>COGS!CK124+'SG&amp;A'!CK124</f>
        <v>0</v>
      </c>
      <c r="CL124" s="27">
        <f>COGS!CL124+'SG&amp;A'!CL124</f>
        <v>0</v>
      </c>
      <c r="CM124" s="27">
        <f>COGS!CM124+'SG&amp;A'!CM124</f>
        <v>0</v>
      </c>
      <c r="CN124" s="27">
        <f>COGS!CN124+'SG&amp;A'!CN124</f>
        <v>0</v>
      </c>
      <c r="CO124" s="27">
        <f>COGS!CO124+'SG&amp;A'!CO124</f>
        <v>0</v>
      </c>
      <c r="CP124" s="27">
        <f>COGS!CP124+'SG&amp;A'!CP124</f>
        <v>0</v>
      </c>
      <c r="CQ124" s="27">
        <f>COGS!CQ124+'SG&amp;A'!CQ124</f>
        <v>0</v>
      </c>
      <c r="CR124" s="27">
        <f>COGS!CR124+'SG&amp;A'!CR124</f>
        <v>0</v>
      </c>
      <c r="CS124" s="27">
        <f>COGS!CS124+'SG&amp;A'!CS124</f>
        <v>0</v>
      </c>
      <c r="CT124" s="27">
        <f>COGS!CT124+'SG&amp;A'!CT124</f>
        <v>0</v>
      </c>
      <c r="CU124" s="27">
        <f>COGS!CU124+'SG&amp;A'!CU124</f>
        <v>0</v>
      </c>
      <c r="CV124" s="27">
        <f>COGS!CV124+'SG&amp;A'!CV124</f>
        <v>0</v>
      </c>
      <c r="CW124" s="27">
        <f>COGS!CW124+'SG&amp;A'!CW124</f>
        <v>0</v>
      </c>
      <c r="CX124" s="27">
        <f>COGS!CX124+'SG&amp;A'!CX124</f>
        <v>0</v>
      </c>
      <c r="CY124" s="27">
        <f>COGS!CY124+'SG&amp;A'!CY124</f>
        <v>5.0000000000000001E-3</v>
      </c>
      <c r="CZ124" s="27">
        <f>COGS!CZ124+'SG&amp;A'!CZ124</f>
        <v>7.0999999999999994E-2</v>
      </c>
      <c r="DA124" s="27">
        <f>COGS!DA124+'SG&amp;A'!DA124</f>
        <v>0.58699999999999997</v>
      </c>
      <c r="DB124" s="27">
        <f>COGS!DB124+'SG&amp;A'!DB124</f>
        <v>0.66299999999999992</v>
      </c>
      <c r="DC124" s="27">
        <f>COGS!DC124+'SG&amp;A'!DC124</f>
        <v>0</v>
      </c>
      <c r="DD124" s="27">
        <f>COGS!DD124+'SG&amp;A'!DD124</f>
        <v>5.0460000000000003</v>
      </c>
      <c r="DE124" s="27">
        <f>COGS!DE124+'SG&amp;A'!DE124</f>
        <v>5.359</v>
      </c>
      <c r="DF124" s="27">
        <f>COGS!DF124+'SG&amp;A'!DF124</f>
        <v>6.5250000000000004</v>
      </c>
      <c r="DG124" s="27">
        <f>COGS!DG124+'SG&amp;A'!DG124</f>
        <v>16.93</v>
      </c>
      <c r="DH124" s="27">
        <f>COGS!DH124+'SG&amp;A'!DH124</f>
        <v>5.57</v>
      </c>
      <c r="DI124" s="27">
        <f>COGS!DI124+'SG&amp;A'!DI124</f>
        <v>7.8179999999999996</v>
      </c>
      <c r="DJ124" s="27">
        <f>COGS!DJ124+'SG&amp;A'!DJ124</f>
        <v>6.8769999999999998</v>
      </c>
      <c r="DK124" s="27">
        <f>COGS!DK124+'SG&amp;A'!DK124</f>
        <v>5.0620000000000003</v>
      </c>
      <c r="DL124" s="27">
        <f>COGS!DL124+'SG&amp;A'!DL124</f>
        <v>25.327000000000002</v>
      </c>
      <c r="DM124" s="27">
        <f>COGS!DM124+'SG&amp;A'!DM124</f>
        <v>5.9950000000000001</v>
      </c>
      <c r="DN124" s="27">
        <f>COGS!DN124+'SG&amp;A'!DN124</f>
        <v>5.77</v>
      </c>
      <c r="DO124" s="27">
        <f>COGS!DO124+'SG&amp;A'!DO124</f>
        <v>5.968</v>
      </c>
      <c r="DP124" s="27">
        <f>COGS!DP124+'SG&amp;A'!DP124</f>
        <v>8.3059999999999992</v>
      </c>
      <c r="DQ124" s="27">
        <f>COGS!DQ124+'SG&amp;A'!DQ124</f>
        <v>26.039000000000001</v>
      </c>
      <c r="DR124" s="27">
        <f>COGS!DR124+'SG&amp;A'!DR124</f>
        <v>9.3469999999999995</v>
      </c>
      <c r="DS124" s="27">
        <f>COGS!DS124+'SG&amp;A'!DS124</f>
        <v>8.6620000000000008</v>
      </c>
      <c r="DT124" s="27">
        <f>COGS!DT124+'SG&amp;A'!DT124</f>
        <v>5.9390000000000001</v>
      </c>
      <c r="DU124" s="27">
        <f>COGS!DU124+'SG&amp;A'!DU124</f>
        <v>7.9359999999999999</v>
      </c>
      <c r="DV124" s="27">
        <f>COGS!DV124+'SG&amp;A'!DV124</f>
        <v>31.884</v>
      </c>
      <c r="DW124" s="27">
        <f>COGS!DW124+'SG&amp;A'!DW124</f>
        <v>7.2069999999999999</v>
      </c>
      <c r="DX124" s="27">
        <f>COGS!DX124+'SG&amp;A'!DX124</f>
        <v>10.868</v>
      </c>
      <c r="DY124" s="27">
        <f>COGS!DY124+'SG&amp;A'!DY124</f>
        <v>11.387703480000001</v>
      </c>
      <c r="DZ124" s="27">
        <f>COGS!DZ124+'SG&amp;A'!DZ124</f>
        <v>12.21144561</v>
      </c>
      <c r="EA124" s="27">
        <f>COGS!EA124+'SG&amp;A'!EA124</f>
        <v>41.67414909</v>
      </c>
      <c r="EB124" s="27">
        <f>COGS!EB124+'SG&amp;A'!EB124</f>
        <v>13.270454050000001</v>
      </c>
      <c r="EC124" s="27">
        <f>COGS!EC124+'SG&amp;A'!EC124</f>
        <v>15.173611629999998</v>
      </c>
      <c r="ED124" s="27">
        <f>COGS!ED124+'SG&amp;A'!ED124</f>
        <v>18.948</v>
      </c>
      <c r="EE124" s="27">
        <f>COGS!EE124+'SG&amp;A'!EE124</f>
        <v>17.50847589</v>
      </c>
      <c r="EF124" s="27">
        <f>COGS!EF124+'SG&amp;A'!EF124</f>
        <v>64.900541570000001</v>
      </c>
      <c r="EG124" s="27">
        <f>COGS!EG124+'SG&amp;A'!EG124</f>
        <v>19.926740949999999</v>
      </c>
      <c r="EH124" s="27">
        <f>COGS!EH124+'SG&amp;A'!EH124</f>
        <v>22.40059213</v>
      </c>
      <c r="EI124" s="27">
        <f>COGS!EI124+'SG&amp;A'!EI124</f>
        <v>22.420714090000004</v>
      </c>
    </row>
    <row r="125" spans="1:139" ht="15" thickBot="1" x14ac:dyDescent="0.35">
      <c r="A125" s="2" t="s">
        <v>446</v>
      </c>
      <c r="B125" s="28">
        <f>COGS!B125+'SG&amp;A'!B125</f>
        <v>0</v>
      </c>
      <c r="C125" s="28">
        <f>COGS!C125+'SG&amp;A'!C125</f>
        <v>0</v>
      </c>
      <c r="D125" s="28">
        <f>COGS!D125+'SG&amp;A'!D125</f>
        <v>0</v>
      </c>
      <c r="E125" s="28">
        <f>COGS!E125+'SG&amp;A'!E125</f>
        <v>0</v>
      </c>
      <c r="F125" s="28">
        <f>COGS!F125+'SG&amp;A'!F125</f>
        <v>0</v>
      </c>
      <c r="G125" s="28">
        <f>COGS!G125+'SG&amp;A'!G125</f>
        <v>0</v>
      </c>
      <c r="H125" s="28">
        <f>COGS!H125+'SG&amp;A'!H125</f>
        <v>0</v>
      </c>
      <c r="I125" s="28">
        <f>COGS!I125+'SG&amp;A'!I125</f>
        <v>0</v>
      </c>
      <c r="J125" s="28">
        <f>COGS!J125+'SG&amp;A'!J125</f>
        <v>0</v>
      </c>
      <c r="K125" s="28">
        <f>COGS!K125+'SG&amp;A'!K125</f>
        <v>0</v>
      </c>
      <c r="L125" s="28">
        <f>COGS!L125+'SG&amp;A'!L125</f>
        <v>0</v>
      </c>
      <c r="M125" s="28">
        <f>COGS!M125+'SG&amp;A'!M125</f>
        <v>0</v>
      </c>
      <c r="N125" s="28">
        <f>COGS!N125+'SG&amp;A'!N125</f>
        <v>0</v>
      </c>
      <c r="O125" s="28">
        <f>COGS!O125+'SG&amp;A'!O125</f>
        <v>0</v>
      </c>
      <c r="P125" s="28">
        <f>COGS!P125+'SG&amp;A'!P125</f>
        <v>0</v>
      </c>
      <c r="Q125" s="28">
        <f>COGS!Q125+'SG&amp;A'!Q125</f>
        <v>0</v>
      </c>
      <c r="R125" s="28">
        <f>COGS!R125+'SG&amp;A'!R125</f>
        <v>0</v>
      </c>
      <c r="S125" s="28">
        <f>COGS!S125+'SG&amp;A'!S125</f>
        <v>0</v>
      </c>
      <c r="T125" s="28">
        <f>COGS!T125+'SG&amp;A'!T125</f>
        <v>0</v>
      </c>
      <c r="U125" s="28">
        <f>COGS!U125+'SG&amp;A'!U125</f>
        <v>0</v>
      </c>
      <c r="V125" s="28">
        <f>COGS!V125+'SG&amp;A'!V125</f>
        <v>0</v>
      </c>
      <c r="W125" s="28">
        <f>COGS!W125+'SG&amp;A'!W125</f>
        <v>0</v>
      </c>
      <c r="X125" s="28">
        <f>COGS!X125+'SG&amp;A'!X125</f>
        <v>0</v>
      </c>
      <c r="Y125" s="28">
        <f>COGS!Y125+'SG&amp;A'!Y125</f>
        <v>0</v>
      </c>
      <c r="Z125" s="28">
        <f>COGS!Z125+'SG&amp;A'!Z125</f>
        <v>0</v>
      </c>
      <c r="AA125" s="28">
        <f>COGS!AA125+'SG&amp;A'!AA125</f>
        <v>0</v>
      </c>
      <c r="AB125" s="28">
        <f>COGS!AB125+'SG&amp;A'!AB125</f>
        <v>0</v>
      </c>
      <c r="AC125" s="28">
        <f>COGS!AC125+'SG&amp;A'!AC125</f>
        <v>0</v>
      </c>
      <c r="AD125" s="28">
        <f>COGS!AD125+'SG&amp;A'!AD125</f>
        <v>0</v>
      </c>
      <c r="AE125" s="28">
        <f>COGS!AE125+'SG&amp;A'!AE125</f>
        <v>0</v>
      </c>
      <c r="AF125" s="28">
        <f>COGS!AF125+'SG&amp;A'!AF125</f>
        <v>0</v>
      </c>
      <c r="AG125" s="28">
        <f>COGS!AG125+'SG&amp;A'!AG125</f>
        <v>0</v>
      </c>
      <c r="AH125" s="28">
        <f>COGS!AH125+'SG&amp;A'!AH125</f>
        <v>0</v>
      </c>
      <c r="AI125" s="28">
        <f>COGS!AI125+'SG&amp;A'!AI125</f>
        <v>0</v>
      </c>
      <c r="AJ125" s="28">
        <f>COGS!AJ125+'SG&amp;A'!AJ125</f>
        <v>0</v>
      </c>
      <c r="AK125" s="28">
        <f>COGS!AK125+'SG&amp;A'!AK125</f>
        <v>0</v>
      </c>
      <c r="AL125" s="28">
        <f>COGS!AL125+'SG&amp;A'!AL125</f>
        <v>0</v>
      </c>
      <c r="AM125" s="28">
        <f>COGS!AM125+'SG&amp;A'!AM125</f>
        <v>0</v>
      </c>
      <c r="AN125" s="28">
        <f>COGS!AN125+'SG&amp;A'!AN125</f>
        <v>0</v>
      </c>
      <c r="AO125" s="28">
        <f>COGS!AO125+'SG&amp;A'!AO125</f>
        <v>0</v>
      </c>
      <c r="AP125" s="28">
        <f>COGS!AP125+'SG&amp;A'!AP125</f>
        <v>0</v>
      </c>
      <c r="AQ125" s="28">
        <f>COGS!AQ125+'SG&amp;A'!AQ125</f>
        <v>0</v>
      </c>
      <c r="AR125" s="28">
        <f>COGS!AR125+'SG&amp;A'!AR125</f>
        <v>0</v>
      </c>
      <c r="AS125" s="28">
        <f>COGS!AS125+'SG&amp;A'!AS125</f>
        <v>0</v>
      </c>
      <c r="AT125" s="28">
        <f>COGS!AT125+'SG&amp;A'!AT125</f>
        <v>0</v>
      </c>
      <c r="AU125" s="28">
        <f>COGS!AU125+'SG&amp;A'!AU125</f>
        <v>0</v>
      </c>
      <c r="AV125" s="28">
        <f>COGS!AV125+'SG&amp;A'!AV125</f>
        <v>0</v>
      </c>
      <c r="AW125" s="28">
        <f>COGS!AW125+'SG&amp;A'!AW125</f>
        <v>0</v>
      </c>
      <c r="AX125" s="28">
        <f>COGS!AX125+'SG&amp;A'!AX125</f>
        <v>0</v>
      </c>
      <c r="AY125" s="28">
        <f>COGS!AY125+'SG&amp;A'!AY125</f>
        <v>0</v>
      </c>
      <c r="AZ125" s="28">
        <f>COGS!AZ125+'SG&amp;A'!AZ125</f>
        <v>0</v>
      </c>
      <c r="BA125" s="28">
        <f>COGS!BA125+'SG&amp;A'!BA125</f>
        <v>0</v>
      </c>
      <c r="BB125" s="28">
        <f>COGS!BB125+'SG&amp;A'!BB125</f>
        <v>0</v>
      </c>
      <c r="BC125" s="28">
        <f>COGS!BC125+'SG&amp;A'!BC125</f>
        <v>0</v>
      </c>
      <c r="BD125" s="28">
        <f>COGS!BD125+'SG&amp;A'!BD125</f>
        <v>0</v>
      </c>
      <c r="BE125" s="28">
        <f>COGS!BE125+'SG&amp;A'!BE125</f>
        <v>0</v>
      </c>
      <c r="BF125" s="28">
        <f>COGS!BF125+'SG&amp;A'!BF125</f>
        <v>0</v>
      </c>
      <c r="BG125" s="28">
        <f>COGS!BG125+'SG&amp;A'!BG125</f>
        <v>0</v>
      </c>
      <c r="BH125" s="28">
        <f>COGS!BH125+'SG&amp;A'!BH125</f>
        <v>0</v>
      </c>
      <c r="BI125" s="28">
        <f>COGS!BI125+'SG&amp;A'!BI125</f>
        <v>0</v>
      </c>
      <c r="BJ125" s="28">
        <f>COGS!BJ125+'SG&amp;A'!BJ125</f>
        <v>0</v>
      </c>
      <c r="BK125" s="28">
        <f>COGS!BK125+'SG&amp;A'!BK125</f>
        <v>0</v>
      </c>
      <c r="BL125" s="28">
        <f>COGS!BL125+'SG&amp;A'!BL125</f>
        <v>0</v>
      </c>
      <c r="BM125" s="28">
        <f>COGS!BM125+'SG&amp;A'!BM125</f>
        <v>0</v>
      </c>
      <c r="BN125" s="28">
        <f>COGS!BN125+'SG&amp;A'!BN125</f>
        <v>0</v>
      </c>
      <c r="BO125" s="28">
        <f>COGS!BO125+'SG&amp;A'!BO125</f>
        <v>0</v>
      </c>
      <c r="BP125" s="28">
        <f>COGS!BP125+'SG&amp;A'!BP125</f>
        <v>0</v>
      </c>
      <c r="BQ125" s="28">
        <f>COGS!BQ125+'SG&amp;A'!BQ125</f>
        <v>0</v>
      </c>
      <c r="BR125" s="28">
        <f>COGS!BR125+'SG&amp;A'!BR125</f>
        <v>0</v>
      </c>
      <c r="BS125" s="28">
        <f>COGS!BS125+'SG&amp;A'!BS125</f>
        <v>0</v>
      </c>
      <c r="BT125" s="28">
        <f>COGS!BT125+'SG&amp;A'!BT125</f>
        <v>0</v>
      </c>
      <c r="BU125" s="28">
        <f>COGS!BU125+'SG&amp;A'!BU125</f>
        <v>0</v>
      </c>
      <c r="BV125" s="28">
        <f>COGS!BV125+'SG&amp;A'!BV125</f>
        <v>0</v>
      </c>
      <c r="BW125" s="28">
        <f>COGS!BW125+'SG&amp;A'!BW125</f>
        <v>0</v>
      </c>
      <c r="BX125" s="28">
        <f>COGS!BX125+'SG&amp;A'!BX125</f>
        <v>0</v>
      </c>
      <c r="BY125" s="28">
        <f>COGS!BY125+'SG&amp;A'!BY125</f>
        <v>0</v>
      </c>
      <c r="BZ125" s="28">
        <f>COGS!BZ125+'SG&amp;A'!BZ125</f>
        <v>0</v>
      </c>
      <c r="CA125" s="28">
        <f>COGS!CA125+'SG&amp;A'!CA125</f>
        <v>0</v>
      </c>
      <c r="CB125" s="28">
        <f>COGS!CB125+'SG&amp;A'!CB125</f>
        <v>0</v>
      </c>
      <c r="CC125" s="28">
        <f>COGS!CC125+'SG&amp;A'!CC125</f>
        <v>0</v>
      </c>
      <c r="CD125" s="28">
        <f>COGS!CD125+'SG&amp;A'!CD125</f>
        <v>0</v>
      </c>
      <c r="CE125" s="28">
        <f>COGS!CE125+'SG&amp;A'!CE125</f>
        <v>0</v>
      </c>
      <c r="CF125" s="28">
        <f>COGS!CF125+'SG&amp;A'!CF125</f>
        <v>0</v>
      </c>
      <c r="CG125" s="28">
        <f>COGS!CG125+'SG&amp;A'!CG125</f>
        <v>0</v>
      </c>
      <c r="CH125" s="28">
        <f>COGS!CH125+'SG&amp;A'!CH125</f>
        <v>0</v>
      </c>
      <c r="CI125" s="28">
        <f>COGS!CI125+'SG&amp;A'!CI125</f>
        <v>0</v>
      </c>
      <c r="CJ125" s="28">
        <f>COGS!CJ125+'SG&amp;A'!CJ125</f>
        <v>0</v>
      </c>
      <c r="CK125" s="28">
        <f>COGS!CK125+'SG&amp;A'!CK125</f>
        <v>0</v>
      </c>
      <c r="CL125" s="28">
        <f>COGS!CL125+'SG&amp;A'!CL125</f>
        <v>0</v>
      </c>
      <c r="CM125" s="28">
        <f>COGS!CM125+'SG&amp;A'!CM125</f>
        <v>0</v>
      </c>
      <c r="CN125" s="28">
        <f>COGS!CN125+'SG&amp;A'!CN125</f>
        <v>0</v>
      </c>
      <c r="CO125" s="28">
        <f>COGS!CO125+'SG&amp;A'!CO125</f>
        <v>0</v>
      </c>
      <c r="CP125" s="28">
        <f>COGS!CP125+'SG&amp;A'!CP125</f>
        <v>0</v>
      </c>
      <c r="CQ125" s="28">
        <f>COGS!CQ125+'SG&amp;A'!CQ125</f>
        <v>0</v>
      </c>
      <c r="CR125" s="28">
        <f>COGS!CR125+'SG&amp;A'!CR125</f>
        <v>0</v>
      </c>
      <c r="CS125" s="28">
        <f>COGS!CS125+'SG&amp;A'!CS125</f>
        <v>0</v>
      </c>
      <c r="CT125" s="28">
        <f>COGS!CT125+'SG&amp;A'!CT125</f>
        <v>0</v>
      </c>
      <c r="CU125" s="28">
        <f>COGS!CU125+'SG&amp;A'!CU125</f>
        <v>0</v>
      </c>
      <c r="CV125" s="28">
        <f>COGS!CV125+'SG&amp;A'!CV125</f>
        <v>0</v>
      </c>
      <c r="CW125" s="28">
        <f>COGS!CW125+'SG&amp;A'!CW125</f>
        <v>0</v>
      </c>
      <c r="CX125" s="28">
        <f>COGS!CX125+'SG&amp;A'!CX125</f>
        <v>0</v>
      </c>
      <c r="CY125" s="28">
        <f>COGS!CY125+'SG&amp;A'!CY125</f>
        <v>0</v>
      </c>
      <c r="CZ125" s="28">
        <f>COGS!CZ125+'SG&amp;A'!CZ125</f>
        <v>0</v>
      </c>
      <c r="DA125" s="28">
        <f>COGS!DA125+'SG&amp;A'!DA125</f>
        <v>0</v>
      </c>
      <c r="DB125" s="28">
        <f>COGS!DB125+'SG&amp;A'!DB125</f>
        <v>0</v>
      </c>
      <c r="DC125" s="28">
        <f>COGS!DC125+'SG&amp;A'!DC125</f>
        <v>0</v>
      </c>
      <c r="DD125" s="28">
        <f>COGS!DD125+'SG&amp;A'!DD125</f>
        <v>0</v>
      </c>
      <c r="DE125" s="28">
        <f>COGS!DE125+'SG&amp;A'!DE125</f>
        <v>0</v>
      </c>
      <c r="DF125" s="28">
        <f>COGS!DF125+'SG&amp;A'!DF125</f>
        <v>0</v>
      </c>
      <c r="DG125" s="28">
        <f>COGS!DG125+'SG&amp;A'!DG125</f>
        <v>0</v>
      </c>
      <c r="DH125" s="28">
        <f>COGS!DH125+'SG&amp;A'!DH125</f>
        <v>0</v>
      </c>
      <c r="DI125" s="28">
        <f>COGS!DI125+'SG&amp;A'!DI125</f>
        <v>0</v>
      </c>
      <c r="DJ125" s="28">
        <f>COGS!DJ125+'SG&amp;A'!DJ125</f>
        <v>0</v>
      </c>
      <c r="DK125" s="28">
        <f>COGS!DK125+'SG&amp;A'!DK125</f>
        <v>0.27500000000000002</v>
      </c>
      <c r="DL125" s="28">
        <f>COGS!DL125+'SG&amp;A'!DL125</f>
        <v>0.27500000000000002</v>
      </c>
      <c r="DM125" s="28">
        <f>COGS!DM125+'SG&amp;A'!DM125</f>
        <v>2.5169999999999999</v>
      </c>
      <c r="DN125" s="28">
        <f>COGS!DN125+'SG&amp;A'!DN125</f>
        <v>2.738</v>
      </c>
      <c r="DO125" s="28">
        <f>COGS!DO125+'SG&amp;A'!DO125</f>
        <v>5.702</v>
      </c>
      <c r="DP125" s="28">
        <f>COGS!DP125+'SG&amp;A'!DP125</f>
        <v>2.1749999999999998</v>
      </c>
      <c r="DQ125" s="28">
        <f>COGS!DQ125+'SG&amp;A'!DQ125</f>
        <v>13.132000000000001</v>
      </c>
      <c r="DR125" s="28">
        <f>COGS!DR125+'SG&amp;A'!DR125</f>
        <v>3.7090000000000001</v>
      </c>
      <c r="DS125" s="28">
        <f>COGS!DS125+'SG&amp;A'!DS125</f>
        <v>3.8929999999999998</v>
      </c>
      <c r="DT125" s="28">
        <f>COGS!DT125+'SG&amp;A'!DT125</f>
        <v>4.2359999999999998</v>
      </c>
      <c r="DU125" s="28">
        <f>COGS!DU125+'SG&amp;A'!DU125</f>
        <v>5.6369999999999996</v>
      </c>
      <c r="DV125" s="28">
        <f>COGS!DV125+'SG&amp;A'!DV125</f>
        <v>17.475000000000001</v>
      </c>
      <c r="DW125" s="28">
        <f>COGS!DW125+'SG&amp;A'!DW125</f>
        <v>6.08</v>
      </c>
      <c r="DX125" s="28">
        <f>COGS!DX125+'SG&amp;A'!DX125</f>
        <v>6.0940000000000003</v>
      </c>
      <c r="DY125" s="28">
        <f>COGS!DY125+'SG&amp;A'!DY125</f>
        <v>6.4969377999999987</v>
      </c>
      <c r="DZ125" s="28">
        <f>COGS!DZ125+'SG&amp;A'!DZ125</f>
        <v>7.5522280000000004</v>
      </c>
      <c r="EA125" s="28">
        <f>COGS!EA125+'SG&amp;A'!EA125</f>
        <v>26.223165799999997</v>
      </c>
      <c r="EB125" s="28">
        <f>COGS!EB125+'SG&amp;A'!EB125</f>
        <v>7.3559988199999999</v>
      </c>
      <c r="EC125" s="28">
        <f>COGS!EC125+'SG&amp;A'!EC125</f>
        <v>7.8263149499999995</v>
      </c>
      <c r="ED125" s="28">
        <f>COGS!ED125+'SG&amp;A'!ED125</f>
        <v>8.9629999999999992</v>
      </c>
      <c r="EE125" s="28">
        <f>COGS!EE125+'SG&amp;A'!EE125</f>
        <v>15.810046870000001</v>
      </c>
      <c r="EF125" s="28">
        <f>COGS!EF125+'SG&amp;A'!EF125</f>
        <v>39.955360640000002</v>
      </c>
      <c r="EG125" s="28">
        <f>COGS!EG125+'SG&amp;A'!EG125</f>
        <v>12.640387669999999</v>
      </c>
      <c r="EH125" s="28">
        <f>COGS!EH125+'SG&amp;A'!EH125</f>
        <v>12.822058720000001</v>
      </c>
      <c r="EI125" s="28">
        <f>COGS!EI125+'SG&amp;A'!EI125</f>
        <v>13.349970950000003</v>
      </c>
    </row>
    <row r="126" spans="1:139" ht="15" thickTop="1" x14ac:dyDescent="0.3">
      <c r="A126" s="1" t="s">
        <v>447</v>
      </c>
      <c r="B126" s="27">
        <f>COGS!B126+'SG&amp;A'!B126</f>
        <v>0</v>
      </c>
      <c r="C126" s="27">
        <f>COGS!C126+'SG&amp;A'!C126</f>
        <v>0</v>
      </c>
      <c r="D126" s="27">
        <f>COGS!D126+'SG&amp;A'!D126</f>
        <v>0</v>
      </c>
      <c r="E126" s="27">
        <f>COGS!E126+'SG&amp;A'!E126</f>
        <v>0</v>
      </c>
      <c r="F126" s="27">
        <f>COGS!F126+'SG&amp;A'!F126</f>
        <v>0</v>
      </c>
      <c r="G126" s="27">
        <f>COGS!G126+'SG&amp;A'!G126</f>
        <v>0</v>
      </c>
      <c r="H126" s="27">
        <f>COGS!H126+'SG&amp;A'!H126</f>
        <v>0</v>
      </c>
      <c r="I126" s="27">
        <f>COGS!I126+'SG&amp;A'!I126</f>
        <v>0</v>
      </c>
      <c r="J126" s="27">
        <f>COGS!J126+'SG&amp;A'!J126</f>
        <v>0</v>
      </c>
      <c r="K126" s="27">
        <f>COGS!K126+'SG&amp;A'!K126</f>
        <v>0</v>
      </c>
      <c r="L126" s="27">
        <f>COGS!L126+'SG&amp;A'!L126</f>
        <v>0</v>
      </c>
      <c r="M126" s="27">
        <f>COGS!M126+'SG&amp;A'!M126</f>
        <v>0</v>
      </c>
      <c r="N126" s="27">
        <f>COGS!N126+'SG&amp;A'!N126</f>
        <v>0</v>
      </c>
      <c r="O126" s="27">
        <f>COGS!O126+'SG&amp;A'!O126</f>
        <v>0</v>
      </c>
      <c r="P126" s="27">
        <f>COGS!P126+'SG&amp;A'!P126</f>
        <v>0</v>
      </c>
      <c r="Q126" s="27">
        <f>COGS!Q126+'SG&amp;A'!Q126</f>
        <v>0</v>
      </c>
      <c r="R126" s="27">
        <f>COGS!R126+'SG&amp;A'!R126</f>
        <v>0</v>
      </c>
      <c r="S126" s="27">
        <f>COGS!S126+'SG&amp;A'!S126</f>
        <v>0</v>
      </c>
      <c r="T126" s="27">
        <f>COGS!T126+'SG&amp;A'!T126</f>
        <v>0</v>
      </c>
      <c r="U126" s="27">
        <f>COGS!U126+'SG&amp;A'!U126</f>
        <v>0</v>
      </c>
      <c r="V126" s="27">
        <f>COGS!V126+'SG&amp;A'!V126</f>
        <v>0</v>
      </c>
      <c r="W126" s="27">
        <f>COGS!W126+'SG&amp;A'!W126</f>
        <v>0</v>
      </c>
      <c r="X126" s="27">
        <f>COGS!X126+'SG&amp;A'!X126</f>
        <v>0</v>
      </c>
      <c r="Y126" s="27">
        <f>COGS!Y126+'SG&amp;A'!Y126</f>
        <v>0</v>
      </c>
      <c r="Z126" s="27">
        <f>COGS!Z126+'SG&amp;A'!Z126</f>
        <v>0</v>
      </c>
      <c r="AA126" s="27">
        <f>COGS!AA126+'SG&amp;A'!AA126</f>
        <v>0</v>
      </c>
      <c r="AB126" s="27">
        <f>COGS!AB126+'SG&amp;A'!AB126</f>
        <v>0</v>
      </c>
      <c r="AC126" s="27">
        <f>COGS!AC126+'SG&amp;A'!AC126</f>
        <v>0</v>
      </c>
      <c r="AD126" s="27">
        <f>COGS!AD126+'SG&amp;A'!AD126</f>
        <v>0</v>
      </c>
      <c r="AE126" s="27">
        <f>COGS!AE126+'SG&amp;A'!AE126</f>
        <v>0</v>
      </c>
      <c r="AF126" s="27">
        <f>COGS!AF126+'SG&amp;A'!AF126</f>
        <v>0</v>
      </c>
      <c r="AG126" s="27">
        <f>COGS!AG126+'SG&amp;A'!AG126</f>
        <v>0</v>
      </c>
      <c r="AH126" s="27">
        <f>COGS!AH126+'SG&amp;A'!AH126</f>
        <v>0</v>
      </c>
      <c r="AI126" s="27">
        <f>COGS!AI126+'SG&amp;A'!AI126</f>
        <v>0</v>
      </c>
      <c r="AJ126" s="27">
        <f>COGS!AJ126+'SG&amp;A'!AJ126</f>
        <v>0</v>
      </c>
      <c r="AK126" s="27">
        <f>COGS!AK126+'SG&amp;A'!AK126</f>
        <v>0</v>
      </c>
      <c r="AL126" s="27">
        <f>COGS!AL126+'SG&amp;A'!AL126</f>
        <v>0</v>
      </c>
      <c r="AM126" s="27">
        <f>COGS!AM126+'SG&amp;A'!AM126</f>
        <v>0</v>
      </c>
      <c r="AN126" s="27">
        <f>COGS!AN126+'SG&amp;A'!AN126</f>
        <v>0</v>
      </c>
      <c r="AO126" s="27">
        <f>COGS!AO126+'SG&amp;A'!AO126</f>
        <v>0</v>
      </c>
      <c r="AP126" s="27">
        <f>COGS!AP126+'SG&amp;A'!AP126</f>
        <v>0</v>
      </c>
      <c r="AQ126" s="27">
        <f>COGS!AQ126+'SG&amp;A'!AQ126</f>
        <v>0</v>
      </c>
      <c r="AR126" s="27">
        <f>COGS!AR126+'SG&amp;A'!AR126</f>
        <v>0</v>
      </c>
      <c r="AS126" s="27">
        <f>COGS!AS126+'SG&amp;A'!AS126</f>
        <v>0</v>
      </c>
      <c r="AT126" s="27">
        <f>COGS!AT126+'SG&amp;A'!AT126</f>
        <v>0</v>
      </c>
      <c r="AU126" s="27">
        <f>COGS!AU126+'SG&amp;A'!AU126</f>
        <v>0</v>
      </c>
      <c r="AV126" s="27">
        <f>COGS!AV126+'SG&amp;A'!AV126</f>
        <v>0</v>
      </c>
      <c r="AW126" s="27">
        <f>COGS!AW126+'SG&amp;A'!AW126</f>
        <v>0</v>
      </c>
      <c r="AX126" s="27">
        <f>COGS!AX126+'SG&amp;A'!AX126</f>
        <v>0</v>
      </c>
      <c r="AY126" s="27">
        <f>COGS!AY126+'SG&amp;A'!AY126</f>
        <v>0</v>
      </c>
      <c r="AZ126" s="27">
        <f>COGS!AZ126+'SG&amp;A'!AZ126</f>
        <v>0</v>
      </c>
      <c r="BA126" s="27">
        <f>COGS!BA126+'SG&amp;A'!BA126</f>
        <v>0</v>
      </c>
      <c r="BB126" s="27">
        <f>COGS!BB126+'SG&amp;A'!BB126</f>
        <v>0</v>
      </c>
      <c r="BC126" s="27">
        <f>COGS!BC126+'SG&amp;A'!BC126</f>
        <v>0</v>
      </c>
      <c r="BD126" s="27">
        <f>COGS!BD126+'SG&amp;A'!BD126</f>
        <v>0</v>
      </c>
      <c r="BE126" s="27">
        <f>COGS!BE126+'SG&amp;A'!BE126</f>
        <v>0</v>
      </c>
      <c r="BF126" s="27">
        <f>COGS!BF126+'SG&amp;A'!BF126</f>
        <v>0</v>
      </c>
      <c r="BG126" s="27">
        <f>COGS!BG126+'SG&amp;A'!BG126</f>
        <v>0</v>
      </c>
      <c r="BH126" s="27">
        <f>COGS!BH126+'SG&amp;A'!BH126</f>
        <v>0</v>
      </c>
      <c r="BI126" s="27">
        <f>COGS!BI126+'SG&amp;A'!BI126</f>
        <v>0</v>
      </c>
      <c r="BJ126" s="27">
        <f>COGS!BJ126+'SG&amp;A'!BJ126</f>
        <v>0</v>
      </c>
      <c r="BK126" s="27">
        <f>COGS!BK126+'SG&amp;A'!BK126</f>
        <v>0</v>
      </c>
      <c r="BL126" s="27">
        <f>COGS!BL126+'SG&amp;A'!BL126</f>
        <v>0</v>
      </c>
      <c r="BM126" s="27">
        <f>COGS!BM126+'SG&amp;A'!BM126</f>
        <v>0</v>
      </c>
      <c r="BN126" s="27">
        <f>COGS!BN126+'SG&amp;A'!BN126</f>
        <v>0</v>
      </c>
      <c r="BO126" s="27">
        <f>COGS!BO126+'SG&amp;A'!BO126</f>
        <v>0</v>
      </c>
      <c r="BP126" s="27">
        <f>COGS!BP126+'SG&amp;A'!BP126</f>
        <v>0</v>
      </c>
      <c r="BQ126" s="27">
        <f>COGS!BQ126+'SG&amp;A'!BQ126</f>
        <v>0</v>
      </c>
      <c r="BR126" s="27">
        <f>COGS!BR126+'SG&amp;A'!BR126</f>
        <v>0</v>
      </c>
      <c r="BS126" s="27">
        <f>COGS!BS126+'SG&amp;A'!BS126</f>
        <v>0</v>
      </c>
      <c r="BT126" s="27">
        <f>COGS!BT126+'SG&amp;A'!BT126</f>
        <v>0</v>
      </c>
      <c r="BU126" s="27">
        <f>COGS!BU126+'SG&amp;A'!BU126</f>
        <v>0</v>
      </c>
      <c r="BV126" s="27">
        <f>COGS!BV126+'SG&amp;A'!BV126</f>
        <v>0</v>
      </c>
      <c r="BW126" s="27">
        <f>COGS!BW126+'SG&amp;A'!BW126</f>
        <v>0</v>
      </c>
      <c r="BX126" s="27">
        <f>COGS!BX126+'SG&amp;A'!BX126</f>
        <v>0</v>
      </c>
      <c r="BY126" s="27">
        <f>COGS!BY126+'SG&amp;A'!BY126</f>
        <v>0</v>
      </c>
      <c r="BZ126" s="27">
        <f>COGS!BZ126+'SG&amp;A'!BZ126</f>
        <v>0</v>
      </c>
      <c r="CA126" s="27">
        <f>COGS!CA126+'SG&amp;A'!CA126</f>
        <v>0</v>
      </c>
      <c r="CB126" s="27">
        <f>COGS!CB126+'SG&amp;A'!CB126</f>
        <v>0</v>
      </c>
      <c r="CC126" s="27">
        <f>COGS!CC126+'SG&amp;A'!CC126</f>
        <v>0</v>
      </c>
      <c r="CD126" s="27">
        <f>COGS!CD126+'SG&amp;A'!CD126</f>
        <v>0</v>
      </c>
      <c r="CE126" s="27">
        <f>COGS!CE126+'SG&amp;A'!CE126</f>
        <v>0</v>
      </c>
      <c r="CF126" s="27">
        <f>COGS!CF126+'SG&amp;A'!CF126</f>
        <v>0</v>
      </c>
      <c r="CG126" s="27">
        <f>COGS!CG126+'SG&amp;A'!CG126</f>
        <v>0</v>
      </c>
      <c r="CH126" s="27">
        <f>COGS!CH126+'SG&amp;A'!CH126</f>
        <v>0</v>
      </c>
      <c r="CI126" s="27">
        <f>COGS!CI126+'SG&amp;A'!CI126</f>
        <v>0</v>
      </c>
      <c r="CJ126" s="27">
        <f>COGS!CJ126+'SG&amp;A'!CJ126</f>
        <v>0</v>
      </c>
      <c r="CK126" s="27">
        <f>COGS!CK126+'SG&amp;A'!CK126</f>
        <v>0</v>
      </c>
      <c r="CL126" s="27">
        <f>COGS!CL126+'SG&amp;A'!CL126</f>
        <v>0</v>
      </c>
      <c r="CM126" s="27">
        <f>COGS!CM126+'SG&amp;A'!CM126</f>
        <v>0</v>
      </c>
      <c r="CN126" s="27">
        <f>COGS!CN126+'SG&amp;A'!CN126</f>
        <v>0</v>
      </c>
      <c r="CO126" s="27">
        <f>COGS!CO126+'SG&amp;A'!CO126</f>
        <v>0</v>
      </c>
      <c r="CP126" s="27">
        <f>COGS!CP126+'SG&amp;A'!CP126</f>
        <v>0</v>
      </c>
      <c r="CQ126" s="27">
        <f>COGS!CQ126+'SG&amp;A'!CQ126</f>
        <v>0</v>
      </c>
      <c r="CR126" s="27">
        <f>COGS!CR126+'SG&amp;A'!CR126</f>
        <v>0</v>
      </c>
      <c r="CS126" s="27">
        <f>COGS!CS126+'SG&amp;A'!CS126</f>
        <v>0</v>
      </c>
      <c r="CT126" s="27">
        <f>COGS!CT126+'SG&amp;A'!CT126</f>
        <v>0</v>
      </c>
      <c r="CU126" s="27">
        <f>COGS!CU126+'SG&amp;A'!CU126</f>
        <v>0</v>
      </c>
      <c r="CV126" s="27">
        <f>COGS!CV126+'SG&amp;A'!CV126</f>
        <v>0</v>
      </c>
      <c r="CW126" s="27">
        <f>COGS!CW126+'SG&amp;A'!CW126</f>
        <v>0</v>
      </c>
      <c r="CX126" s="27">
        <f>COGS!CX126+'SG&amp;A'!CX126</f>
        <v>0</v>
      </c>
      <c r="CY126" s="27">
        <f>COGS!CY126+'SG&amp;A'!CY126</f>
        <v>0</v>
      </c>
      <c r="CZ126" s="27">
        <f>COGS!CZ126+'SG&amp;A'!CZ126</f>
        <v>0</v>
      </c>
      <c r="DA126" s="27">
        <f>COGS!DA126+'SG&amp;A'!DA126</f>
        <v>0</v>
      </c>
      <c r="DB126" s="27">
        <f>COGS!DB126+'SG&amp;A'!DB126</f>
        <v>0</v>
      </c>
      <c r="DC126" s="27">
        <f>COGS!DC126+'SG&amp;A'!DC126</f>
        <v>0</v>
      </c>
      <c r="DD126" s="27">
        <f>COGS!DD126+'SG&amp;A'!DD126</f>
        <v>0</v>
      </c>
      <c r="DE126" s="27">
        <f>COGS!DE126+'SG&amp;A'!DE126</f>
        <v>0</v>
      </c>
      <c r="DF126" s="27">
        <f>COGS!DF126+'SG&amp;A'!DF126</f>
        <v>0</v>
      </c>
      <c r="DG126" s="27">
        <f>COGS!DG126+'SG&amp;A'!DG126</f>
        <v>0</v>
      </c>
      <c r="DH126" s="27">
        <f>COGS!DH126+'SG&amp;A'!DH126</f>
        <v>0</v>
      </c>
      <c r="DI126" s="27">
        <f>COGS!DI126+'SG&amp;A'!DI126</f>
        <v>0</v>
      </c>
      <c r="DJ126" s="27">
        <f>COGS!DJ126+'SG&amp;A'!DJ126</f>
        <v>0</v>
      </c>
      <c r="DK126" s="27">
        <f>COGS!DK126+'SG&amp;A'!DK126</f>
        <v>0</v>
      </c>
      <c r="DL126" s="27">
        <f>COGS!DL126+'SG&amp;A'!DL126</f>
        <v>0</v>
      </c>
      <c r="DM126" s="27">
        <f>COGS!DM126+'SG&amp;A'!DM126</f>
        <v>0</v>
      </c>
      <c r="DN126" s="27">
        <f>COGS!DN126+'SG&amp;A'!DN126</f>
        <v>0</v>
      </c>
      <c r="DO126" s="27">
        <f>COGS!DO126+'SG&amp;A'!DO126</f>
        <v>2.9000000000000001E-2</v>
      </c>
      <c r="DP126" s="27">
        <f>COGS!DP126+'SG&amp;A'!DP126</f>
        <v>8.6999999999999994E-2</v>
      </c>
      <c r="DQ126" s="27">
        <f>COGS!DQ126+'SG&amp;A'!DQ126</f>
        <v>0.11599999999999999</v>
      </c>
      <c r="DR126" s="27">
        <f>COGS!DR126+'SG&amp;A'!DR126</f>
        <v>0.46</v>
      </c>
      <c r="DS126" s="27">
        <f>COGS!DS126+'SG&amp;A'!DS126</f>
        <v>1.8109999999999999</v>
      </c>
      <c r="DT126" s="27">
        <f>COGS!DT126+'SG&amp;A'!DT126</f>
        <v>3.3940000000000001</v>
      </c>
      <c r="DU126" s="27">
        <f>COGS!DU126+'SG&amp;A'!DU126</f>
        <v>16.632999999999999</v>
      </c>
      <c r="DV126" s="27">
        <f>COGS!DV126+'SG&amp;A'!DV126</f>
        <v>22.297999999999998</v>
      </c>
      <c r="DW126" s="27">
        <f>COGS!DW126+'SG&amp;A'!DW126</f>
        <v>15.288</v>
      </c>
      <c r="DX126" s="27">
        <f>COGS!DX126+'SG&amp;A'!DX126</f>
        <v>20.492000000000001</v>
      </c>
      <c r="DY126" s="27">
        <f>COGS!DY126+'SG&amp;A'!DY126</f>
        <v>8.1789797199999992</v>
      </c>
      <c r="DZ126" s="27">
        <f>COGS!DZ126+'SG&amp;A'!DZ126</f>
        <v>16.868614999999998</v>
      </c>
      <c r="EA126" s="27">
        <f>COGS!EA126+'SG&amp;A'!EA126</f>
        <v>60.82759472</v>
      </c>
      <c r="EB126" s="27">
        <f>COGS!EB126+'SG&amp;A'!EB126</f>
        <v>16.382405289999998</v>
      </c>
      <c r="EC126" s="27">
        <f>COGS!EC126+'SG&amp;A'!EC126</f>
        <v>18.685272670000003</v>
      </c>
      <c r="ED126" s="27">
        <f>COGS!ED126+'SG&amp;A'!ED126</f>
        <v>21.838000000000001</v>
      </c>
      <c r="EE126" s="27">
        <f>COGS!EE126+'SG&amp;A'!EE126</f>
        <v>23.750821979999998</v>
      </c>
      <c r="EF126" s="27">
        <f>COGS!EF126+'SG&amp;A'!EF126</f>
        <v>80.656499940000003</v>
      </c>
      <c r="EG126" s="27">
        <f>COGS!EG126+'SG&amp;A'!EG126</f>
        <v>25.375245170000003</v>
      </c>
      <c r="EH126" s="27">
        <f>COGS!EH126+'SG&amp;A'!EH126</f>
        <v>26.605134920000001</v>
      </c>
      <c r="EI126" s="27">
        <f>COGS!EI126+'SG&amp;A'!EI126</f>
        <v>28.071903729999988</v>
      </c>
    </row>
    <row r="127" spans="1:139" ht="15" thickBot="1" x14ac:dyDescent="0.35">
      <c r="A127" s="2" t="s">
        <v>448</v>
      </c>
      <c r="B127" s="28">
        <f>COGS!B127+'SG&amp;A'!B127</f>
        <v>0</v>
      </c>
      <c r="C127" s="28">
        <f>COGS!C127+'SG&amp;A'!C127</f>
        <v>0</v>
      </c>
      <c r="D127" s="28">
        <f>COGS!D127+'SG&amp;A'!D127</f>
        <v>0</v>
      </c>
      <c r="E127" s="28">
        <f>COGS!E127+'SG&amp;A'!E127</f>
        <v>0</v>
      </c>
      <c r="F127" s="28">
        <f>COGS!F127+'SG&amp;A'!F127</f>
        <v>0</v>
      </c>
      <c r="G127" s="28">
        <f>COGS!G127+'SG&amp;A'!G127</f>
        <v>0</v>
      </c>
      <c r="H127" s="28">
        <f>COGS!H127+'SG&amp;A'!H127</f>
        <v>0</v>
      </c>
      <c r="I127" s="28">
        <f>COGS!I127+'SG&amp;A'!I127</f>
        <v>0</v>
      </c>
      <c r="J127" s="28">
        <f>COGS!J127+'SG&amp;A'!J127</f>
        <v>0</v>
      </c>
      <c r="K127" s="28">
        <f>COGS!K127+'SG&amp;A'!K127</f>
        <v>0</v>
      </c>
      <c r="L127" s="28">
        <f>COGS!L127+'SG&amp;A'!L127</f>
        <v>0</v>
      </c>
      <c r="M127" s="28">
        <f>COGS!M127+'SG&amp;A'!M127</f>
        <v>0</v>
      </c>
      <c r="N127" s="28">
        <f>COGS!N127+'SG&amp;A'!N127</f>
        <v>0</v>
      </c>
      <c r="O127" s="28">
        <f>COGS!O127+'SG&amp;A'!O127</f>
        <v>0</v>
      </c>
      <c r="P127" s="28">
        <f>COGS!P127+'SG&amp;A'!P127</f>
        <v>0</v>
      </c>
      <c r="Q127" s="28">
        <f>COGS!Q127+'SG&amp;A'!Q127</f>
        <v>0</v>
      </c>
      <c r="R127" s="28">
        <f>COGS!R127+'SG&amp;A'!R127</f>
        <v>0</v>
      </c>
      <c r="S127" s="28">
        <f>COGS!S127+'SG&amp;A'!S127</f>
        <v>0</v>
      </c>
      <c r="T127" s="28">
        <f>COGS!T127+'SG&amp;A'!T127</f>
        <v>0</v>
      </c>
      <c r="U127" s="28">
        <f>COGS!U127+'SG&amp;A'!U127</f>
        <v>0</v>
      </c>
      <c r="V127" s="28">
        <f>COGS!V127+'SG&amp;A'!V127</f>
        <v>0</v>
      </c>
      <c r="W127" s="28">
        <f>COGS!W127+'SG&amp;A'!W127</f>
        <v>0</v>
      </c>
      <c r="X127" s="28">
        <f>COGS!X127+'SG&amp;A'!X127</f>
        <v>0</v>
      </c>
      <c r="Y127" s="28">
        <f>COGS!Y127+'SG&amp;A'!Y127</f>
        <v>0</v>
      </c>
      <c r="Z127" s="28">
        <f>COGS!Z127+'SG&amp;A'!Z127</f>
        <v>0</v>
      </c>
      <c r="AA127" s="28">
        <f>COGS!AA127+'SG&amp;A'!AA127</f>
        <v>0</v>
      </c>
      <c r="AB127" s="28">
        <f>COGS!AB127+'SG&amp;A'!AB127</f>
        <v>0</v>
      </c>
      <c r="AC127" s="28">
        <f>COGS!AC127+'SG&amp;A'!AC127</f>
        <v>0</v>
      </c>
      <c r="AD127" s="28">
        <f>COGS!AD127+'SG&amp;A'!AD127</f>
        <v>0</v>
      </c>
      <c r="AE127" s="28">
        <f>COGS!AE127+'SG&amp;A'!AE127</f>
        <v>0</v>
      </c>
      <c r="AF127" s="28">
        <f>COGS!AF127+'SG&amp;A'!AF127</f>
        <v>0</v>
      </c>
      <c r="AG127" s="28">
        <f>COGS!AG127+'SG&amp;A'!AG127</f>
        <v>0</v>
      </c>
      <c r="AH127" s="28">
        <f>COGS!AH127+'SG&amp;A'!AH127</f>
        <v>0</v>
      </c>
      <c r="AI127" s="28">
        <f>COGS!AI127+'SG&amp;A'!AI127</f>
        <v>0</v>
      </c>
      <c r="AJ127" s="28">
        <f>COGS!AJ127+'SG&amp;A'!AJ127</f>
        <v>0</v>
      </c>
      <c r="AK127" s="28">
        <f>COGS!AK127+'SG&amp;A'!AK127</f>
        <v>0</v>
      </c>
      <c r="AL127" s="28">
        <f>COGS!AL127+'SG&amp;A'!AL127</f>
        <v>0</v>
      </c>
      <c r="AM127" s="28">
        <f>COGS!AM127+'SG&amp;A'!AM127</f>
        <v>0</v>
      </c>
      <c r="AN127" s="28">
        <f>COGS!AN127+'SG&amp;A'!AN127</f>
        <v>0</v>
      </c>
      <c r="AO127" s="28">
        <f>COGS!AO127+'SG&amp;A'!AO127</f>
        <v>0</v>
      </c>
      <c r="AP127" s="28">
        <f>COGS!AP127+'SG&amp;A'!AP127</f>
        <v>0</v>
      </c>
      <c r="AQ127" s="28">
        <f>COGS!AQ127+'SG&amp;A'!AQ127</f>
        <v>0</v>
      </c>
      <c r="AR127" s="28">
        <f>COGS!AR127+'SG&amp;A'!AR127</f>
        <v>0</v>
      </c>
      <c r="AS127" s="28">
        <f>COGS!AS127+'SG&amp;A'!AS127</f>
        <v>0</v>
      </c>
      <c r="AT127" s="28">
        <f>COGS!AT127+'SG&amp;A'!AT127</f>
        <v>0</v>
      </c>
      <c r="AU127" s="28">
        <f>COGS!AU127+'SG&amp;A'!AU127</f>
        <v>0</v>
      </c>
      <c r="AV127" s="28">
        <f>COGS!AV127+'SG&amp;A'!AV127</f>
        <v>0</v>
      </c>
      <c r="AW127" s="28">
        <f>COGS!AW127+'SG&amp;A'!AW127</f>
        <v>0</v>
      </c>
      <c r="AX127" s="28">
        <f>COGS!AX127+'SG&amp;A'!AX127</f>
        <v>0</v>
      </c>
      <c r="AY127" s="28">
        <f>COGS!AY127+'SG&amp;A'!AY127</f>
        <v>0</v>
      </c>
      <c r="AZ127" s="28">
        <f>COGS!AZ127+'SG&amp;A'!AZ127</f>
        <v>0</v>
      </c>
      <c r="BA127" s="28">
        <f>COGS!BA127+'SG&amp;A'!BA127</f>
        <v>0</v>
      </c>
      <c r="BB127" s="28">
        <f>COGS!BB127+'SG&amp;A'!BB127</f>
        <v>0</v>
      </c>
      <c r="BC127" s="28">
        <f>COGS!BC127+'SG&amp;A'!BC127</f>
        <v>0</v>
      </c>
      <c r="BD127" s="28">
        <f>COGS!BD127+'SG&amp;A'!BD127</f>
        <v>0</v>
      </c>
      <c r="BE127" s="28">
        <f>COGS!BE127+'SG&amp;A'!BE127</f>
        <v>0</v>
      </c>
      <c r="BF127" s="28">
        <f>COGS!BF127+'SG&amp;A'!BF127</f>
        <v>0</v>
      </c>
      <c r="BG127" s="28">
        <f>COGS!BG127+'SG&amp;A'!BG127</f>
        <v>0</v>
      </c>
      <c r="BH127" s="28">
        <f>COGS!BH127+'SG&amp;A'!BH127</f>
        <v>0</v>
      </c>
      <c r="BI127" s="28">
        <f>COGS!BI127+'SG&amp;A'!BI127</f>
        <v>0</v>
      </c>
      <c r="BJ127" s="28">
        <f>COGS!BJ127+'SG&amp;A'!BJ127</f>
        <v>0</v>
      </c>
      <c r="BK127" s="28">
        <f>COGS!BK127+'SG&amp;A'!BK127</f>
        <v>0</v>
      </c>
      <c r="BL127" s="28">
        <f>COGS!BL127+'SG&amp;A'!BL127</f>
        <v>0</v>
      </c>
      <c r="BM127" s="28">
        <f>COGS!BM127+'SG&amp;A'!BM127</f>
        <v>0</v>
      </c>
      <c r="BN127" s="28">
        <f>COGS!BN127+'SG&amp;A'!BN127</f>
        <v>0</v>
      </c>
      <c r="BO127" s="28">
        <f>COGS!BO127+'SG&amp;A'!BO127</f>
        <v>0</v>
      </c>
      <c r="BP127" s="28">
        <f>COGS!BP127+'SG&amp;A'!BP127</f>
        <v>0</v>
      </c>
      <c r="BQ127" s="28">
        <f>COGS!BQ127+'SG&amp;A'!BQ127</f>
        <v>0</v>
      </c>
      <c r="BR127" s="28">
        <f>COGS!BR127+'SG&amp;A'!BR127</f>
        <v>0</v>
      </c>
      <c r="BS127" s="28">
        <f>COGS!BS127+'SG&amp;A'!BS127</f>
        <v>0</v>
      </c>
      <c r="BT127" s="28">
        <f>COGS!BT127+'SG&amp;A'!BT127</f>
        <v>0</v>
      </c>
      <c r="BU127" s="28">
        <f>COGS!BU127+'SG&amp;A'!BU127</f>
        <v>0</v>
      </c>
      <c r="BV127" s="28">
        <f>COGS!BV127+'SG&amp;A'!BV127</f>
        <v>0</v>
      </c>
      <c r="BW127" s="28">
        <f>COGS!BW127+'SG&amp;A'!BW127</f>
        <v>0</v>
      </c>
      <c r="BX127" s="28">
        <f>COGS!BX127+'SG&amp;A'!BX127</f>
        <v>0</v>
      </c>
      <c r="BY127" s="28">
        <f>COGS!BY127+'SG&amp;A'!BY127</f>
        <v>0</v>
      </c>
      <c r="BZ127" s="28">
        <f>COGS!BZ127+'SG&amp;A'!BZ127</f>
        <v>0</v>
      </c>
      <c r="CA127" s="28">
        <f>COGS!CA127+'SG&amp;A'!CA127</f>
        <v>0</v>
      </c>
      <c r="CB127" s="28">
        <f>COGS!CB127+'SG&amp;A'!CB127</f>
        <v>0</v>
      </c>
      <c r="CC127" s="28">
        <f>COGS!CC127+'SG&amp;A'!CC127</f>
        <v>0</v>
      </c>
      <c r="CD127" s="28">
        <f>COGS!CD127+'SG&amp;A'!CD127</f>
        <v>0</v>
      </c>
      <c r="CE127" s="28">
        <f>COGS!CE127+'SG&amp;A'!CE127</f>
        <v>0</v>
      </c>
      <c r="CF127" s="28">
        <f>COGS!CF127+'SG&amp;A'!CF127</f>
        <v>0</v>
      </c>
      <c r="CG127" s="28">
        <f>COGS!CG127+'SG&amp;A'!CG127</f>
        <v>0</v>
      </c>
      <c r="CH127" s="28">
        <f>COGS!CH127+'SG&amp;A'!CH127</f>
        <v>0</v>
      </c>
      <c r="CI127" s="28">
        <f>COGS!CI127+'SG&amp;A'!CI127</f>
        <v>0</v>
      </c>
      <c r="CJ127" s="28">
        <f>COGS!CJ127+'SG&amp;A'!CJ127</f>
        <v>0</v>
      </c>
      <c r="CK127" s="28">
        <f>COGS!CK127+'SG&amp;A'!CK127</f>
        <v>0</v>
      </c>
      <c r="CL127" s="28">
        <f>COGS!CL127+'SG&amp;A'!CL127</f>
        <v>0</v>
      </c>
      <c r="CM127" s="28">
        <f>COGS!CM127+'SG&amp;A'!CM127</f>
        <v>0</v>
      </c>
      <c r="CN127" s="28">
        <f>COGS!CN127+'SG&amp;A'!CN127</f>
        <v>0</v>
      </c>
      <c r="CO127" s="28">
        <f>COGS!CO127+'SG&amp;A'!CO127</f>
        <v>0</v>
      </c>
      <c r="CP127" s="28">
        <f>COGS!CP127+'SG&amp;A'!CP127</f>
        <v>0</v>
      </c>
      <c r="CQ127" s="28">
        <f>COGS!CQ127+'SG&amp;A'!CQ127</f>
        <v>0</v>
      </c>
      <c r="CR127" s="28">
        <f>COGS!CR127+'SG&amp;A'!CR127</f>
        <v>0</v>
      </c>
      <c r="CS127" s="28">
        <f>COGS!CS127+'SG&amp;A'!CS127</f>
        <v>0</v>
      </c>
      <c r="CT127" s="28">
        <f>COGS!CT127+'SG&amp;A'!CT127</f>
        <v>0</v>
      </c>
      <c r="CU127" s="28">
        <f>COGS!CU127+'SG&amp;A'!CU127</f>
        <v>0</v>
      </c>
      <c r="CV127" s="28">
        <f>COGS!CV127+'SG&amp;A'!CV127</f>
        <v>0</v>
      </c>
      <c r="CW127" s="28">
        <f>COGS!CW127+'SG&amp;A'!CW127</f>
        <v>0</v>
      </c>
      <c r="CX127" s="28">
        <f>COGS!CX127+'SG&amp;A'!CX127</f>
        <v>0</v>
      </c>
      <c r="CY127" s="28">
        <f>COGS!CY127+'SG&amp;A'!CY127</f>
        <v>0</v>
      </c>
      <c r="CZ127" s="28">
        <f>COGS!CZ127+'SG&amp;A'!CZ127</f>
        <v>0</v>
      </c>
      <c r="DA127" s="28">
        <f>COGS!DA127+'SG&amp;A'!DA127</f>
        <v>0</v>
      </c>
      <c r="DB127" s="28">
        <f>COGS!DB127+'SG&amp;A'!DB127</f>
        <v>0</v>
      </c>
      <c r="DC127" s="28">
        <f>COGS!DC127+'SG&amp;A'!DC127</f>
        <v>0</v>
      </c>
      <c r="DD127" s="28">
        <f>COGS!DD127+'SG&amp;A'!DD127</f>
        <v>0</v>
      </c>
      <c r="DE127" s="28">
        <f>COGS!DE127+'SG&amp;A'!DE127</f>
        <v>0</v>
      </c>
      <c r="DF127" s="28">
        <f>COGS!DF127+'SG&amp;A'!DF127</f>
        <v>0</v>
      </c>
      <c r="DG127" s="28">
        <f>COGS!DG127+'SG&amp;A'!DG127</f>
        <v>0</v>
      </c>
      <c r="DH127" s="28">
        <f>COGS!DH127+'SG&amp;A'!DH127</f>
        <v>0</v>
      </c>
      <c r="DI127" s="28">
        <f>COGS!DI127+'SG&amp;A'!DI127</f>
        <v>0</v>
      </c>
      <c r="DJ127" s="28">
        <f>COGS!DJ127+'SG&amp;A'!DJ127</f>
        <v>0</v>
      </c>
      <c r="DK127" s="28">
        <f>COGS!DK127+'SG&amp;A'!DK127</f>
        <v>0</v>
      </c>
      <c r="DL127" s="28">
        <f>COGS!DL127+'SG&amp;A'!DL127</f>
        <v>0</v>
      </c>
      <c r="DM127" s="28">
        <f>COGS!DM127+'SG&amp;A'!DM127</f>
        <v>0</v>
      </c>
      <c r="DN127" s="28">
        <f>COGS!DN127+'SG&amp;A'!DN127</f>
        <v>0</v>
      </c>
      <c r="DO127" s="28">
        <f>COGS!DO127+'SG&amp;A'!DO127</f>
        <v>0</v>
      </c>
      <c r="DP127" s="28">
        <f>COGS!DP127+'SG&amp;A'!DP127</f>
        <v>0</v>
      </c>
      <c r="DQ127" s="28">
        <f>COGS!DQ127+'SG&amp;A'!DQ127</f>
        <v>0</v>
      </c>
      <c r="DR127" s="28">
        <f>COGS!DR127+'SG&amp;A'!DR127</f>
        <v>0</v>
      </c>
      <c r="DS127" s="28">
        <f>COGS!DS127+'SG&amp;A'!DS127</f>
        <v>0</v>
      </c>
      <c r="DT127" s="28">
        <f>COGS!DT127+'SG&amp;A'!DT127</f>
        <v>0</v>
      </c>
      <c r="DU127" s="28">
        <f>COGS!DU127+'SG&amp;A'!DU127</f>
        <v>9.7000000000000003E-2</v>
      </c>
      <c r="DV127" s="28">
        <f>COGS!DV127+'SG&amp;A'!DV127</f>
        <v>9.7000000000000003E-2</v>
      </c>
      <c r="DW127" s="28">
        <f>COGS!DW127+'SG&amp;A'!DW127</f>
        <v>0.73099999999999998</v>
      </c>
      <c r="DX127" s="28">
        <f>COGS!DX127+'SG&amp;A'!DX127</f>
        <v>2.919</v>
      </c>
      <c r="DY127" s="28">
        <f>COGS!DY127+'SG&amp;A'!DY127</f>
        <v>5.4149620400000007</v>
      </c>
      <c r="DZ127" s="28">
        <f>COGS!DZ127+'SG&amp;A'!DZ127</f>
        <v>7.3777327499999998</v>
      </c>
      <c r="EA127" s="28">
        <f>COGS!EA127+'SG&amp;A'!EA127</f>
        <v>16.442694790000001</v>
      </c>
      <c r="EB127" s="28">
        <f>COGS!EB127+'SG&amp;A'!EB127</f>
        <v>9.2692832500000009</v>
      </c>
      <c r="EC127" s="28">
        <f>COGS!EC127+'SG&amp;A'!EC127</f>
        <v>12.302362370000001</v>
      </c>
      <c r="ED127" s="28">
        <f>COGS!ED127+'SG&amp;A'!ED127</f>
        <v>12.614000000000001</v>
      </c>
      <c r="EE127" s="28">
        <f>COGS!EE127+'SG&amp;A'!EE127</f>
        <v>16.464462170000001</v>
      </c>
      <c r="EF127" s="28">
        <f>COGS!EF127+'SG&amp;A'!EF127</f>
        <v>50.650107790000007</v>
      </c>
      <c r="EG127" s="28">
        <f>COGS!EG127+'SG&amp;A'!EG127</f>
        <v>16.94117902</v>
      </c>
      <c r="EH127" s="28">
        <f>COGS!EH127+'SG&amp;A'!EH127</f>
        <v>19.049175169999998</v>
      </c>
      <c r="EI127" s="28">
        <f>COGS!EI127+'SG&amp;A'!EI127</f>
        <v>21.923271700000004</v>
      </c>
    </row>
    <row r="128" spans="1:139" ht="15" thickTop="1" x14ac:dyDescent="0.3">
      <c r="A128" s="1" t="s">
        <v>449</v>
      </c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>
        <f>COGS!BJ128+'SG&amp;A'!BJ128</f>
        <v>0</v>
      </c>
      <c r="BK128" s="27">
        <f>COGS!BK128+'SG&amp;A'!BK128</f>
        <v>0</v>
      </c>
      <c r="BL128" s="27">
        <f>COGS!BL128+'SG&amp;A'!BL128</f>
        <v>0</v>
      </c>
      <c r="BM128" s="27">
        <f>COGS!BM128+'SG&amp;A'!BM128</f>
        <v>0</v>
      </c>
      <c r="BN128" s="27">
        <f>COGS!BN128+'SG&amp;A'!BN128</f>
        <v>0</v>
      </c>
      <c r="BO128" s="27">
        <f>COGS!BO128+'SG&amp;A'!BO128</f>
        <v>0</v>
      </c>
      <c r="BP128" s="27">
        <f>COGS!BP128+'SG&amp;A'!BP128</f>
        <v>0</v>
      </c>
      <c r="BQ128" s="27">
        <f>COGS!BQ128+'SG&amp;A'!BQ128</f>
        <v>0</v>
      </c>
      <c r="BR128" s="27">
        <f>COGS!BR128+'SG&amp;A'!BR128</f>
        <v>0</v>
      </c>
      <c r="BS128" s="27">
        <f>COGS!BS128+'SG&amp;A'!BS128</f>
        <v>0</v>
      </c>
      <c r="BT128" s="27">
        <f>COGS!BT128+'SG&amp;A'!BT128</f>
        <v>0</v>
      </c>
      <c r="BU128" s="27">
        <f>COGS!BU128+'SG&amp;A'!BU128</f>
        <v>0</v>
      </c>
      <c r="BV128" s="27">
        <f>COGS!BV128+'SG&amp;A'!BV128</f>
        <v>0</v>
      </c>
      <c r="BW128" s="27">
        <f>COGS!BW128+'SG&amp;A'!BW128</f>
        <v>0</v>
      </c>
      <c r="BX128" s="27">
        <f>COGS!BX128+'SG&amp;A'!BX128</f>
        <v>0</v>
      </c>
      <c r="BY128" s="27">
        <f>COGS!BY128+'SG&amp;A'!BY128</f>
        <v>0</v>
      </c>
      <c r="BZ128" s="27">
        <f>COGS!BZ128+'SG&amp;A'!BZ128</f>
        <v>0</v>
      </c>
      <c r="CA128" s="27">
        <f>COGS!CA128+'SG&amp;A'!CA128</f>
        <v>0</v>
      </c>
      <c r="CB128" s="27">
        <f>COGS!CB128+'SG&amp;A'!CB128</f>
        <v>0</v>
      </c>
      <c r="CC128" s="27">
        <f>COGS!CC128+'SG&amp;A'!CC128</f>
        <v>0</v>
      </c>
      <c r="CD128" s="27">
        <f>COGS!CD128+'SG&amp;A'!CD128</f>
        <v>0</v>
      </c>
      <c r="CE128" s="27">
        <f>COGS!CE128+'SG&amp;A'!CE128</f>
        <v>0</v>
      </c>
      <c r="CF128" s="27">
        <f>COGS!CF128+'SG&amp;A'!CF128</f>
        <v>0</v>
      </c>
      <c r="CG128" s="27">
        <f>COGS!CG128+'SG&amp;A'!CG128</f>
        <v>0</v>
      </c>
      <c r="CH128" s="27">
        <f>COGS!CH128+'SG&amp;A'!CH128</f>
        <v>0</v>
      </c>
      <c r="CI128" s="27">
        <f>COGS!CI128+'SG&amp;A'!CI128</f>
        <v>0</v>
      </c>
      <c r="CJ128" s="27">
        <f>COGS!CJ128+'SG&amp;A'!CJ128</f>
        <v>0</v>
      </c>
      <c r="CK128" s="27">
        <f>COGS!CK128+'SG&amp;A'!CK128</f>
        <v>0</v>
      </c>
      <c r="CL128" s="27">
        <f>COGS!CL128+'SG&amp;A'!CL128</f>
        <v>0</v>
      </c>
      <c r="CM128" s="27">
        <f>COGS!CM128+'SG&amp;A'!CM128</f>
        <v>0</v>
      </c>
      <c r="CN128" s="27">
        <f>COGS!CN128+'SG&amp;A'!CN128</f>
        <v>0</v>
      </c>
      <c r="CO128" s="27">
        <f>COGS!CO128+'SG&amp;A'!CO128</f>
        <v>0</v>
      </c>
      <c r="CP128" s="27">
        <f>COGS!CP128+'SG&amp;A'!CP128</f>
        <v>0</v>
      </c>
      <c r="CQ128" s="27">
        <f>COGS!CQ128+'SG&amp;A'!CQ128</f>
        <v>0</v>
      </c>
      <c r="CR128" s="27">
        <f>COGS!CR128+'SG&amp;A'!CR128</f>
        <v>0</v>
      </c>
      <c r="CS128" s="27">
        <f>COGS!CS128+'SG&amp;A'!CS128</f>
        <v>0</v>
      </c>
      <c r="CT128" s="27">
        <f>COGS!CT128+'SG&amp;A'!CT128</f>
        <v>0</v>
      </c>
      <c r="CU128" s="27">
        <f>COGS!CU128+'SG&amp;A'!CU128</f>
        <v>0</v>
      </c>
      <c r="CV128" s="27">
        <f>COGS!CV128+'SG&amp;A'!CV128</f>
        <v>0</v>
      </c>
      <c r="CW128" s="27">
        <f>COGS!CW128+'SG&amp;A'!CW128</f>
        <v>0</v>
      </c>
      <c r="CX128" s="27">
        <f>COGS!CX128+'SG&amp;A'!CX128</f>
        <v>0</v>
      </c>
      <c r="CY128" s="27">
        <f>COGS!CY128+'SG&amp;A'!CY128</f>
        <v>0</v>
      </c>
      <c r="CZ128" s="27">
        <f>COGS!CZ128+'SG&amp;A'!CZ128</f>
        <v>0</v>
      </c>
      <c r="DA128" s="27">
        <f>COGS!DA128+'SG&amp;A'!DA128</f>
        <v>0</v>
      </c>
      <c r="DB128" s="27">
        <f>COGS!DB128+'SG&amp;A'!DB128</f>
        <v>0</v>
      </c>
      <c r="DC128" s="27">
        <f>COGS!DC128+'SG&amp;A'!DC128</f>
        <v>0</v>
      </c>
      <c r="DD128" s="27">
        <f>COGS!DD128+'SG&amp;A'!DD128</f>
        <v>0</v>
      </c>
      <c r="DE128" s="27">
        <f>COGS!DE128+'SG&amp;A'!DE128</f>
        <v>0</v>
      </c>
      <c r="DF128" s="27">
        <f>COGS!DF128+'SG&amp;A'!DF128</f>
        <v>0</v>
      </c>
      <c r="DG128" s="27">
        <f>COGS!DG128+'SG&amp;A'!DG128</f>
        <v>0</v>
      </c>
      <c r="DH128" s="27">
        <f>COGS!DH128+'SG&amp;A'!DH128</f>
        <v>0</v>
      </c>
      <c r="DI128" s="27">
        <f>COGS!DI128+'SG&amp;A'!DI128</f>
        <v>0</v>
      </c>
      <c r="DJ128" s="27">
        <f>COGS!DJ128+'SG&amp;A'!DJ128</f>
        <v>0</v>
      </c>
      <c r="DK128" s="27">
        <f>COGS!DK128+'SG&amp;A'!DK128</f>
        <v>0</v>
      </c>
      <c r="DL128" s="27">
        <f>COGS!DL128+'SG&amp;A'!DL128</f>
        <v>0</v>
      </c>
      <c r="DM128" s="27">
        <f>COGS!DM128+'SG&amp;A'!DM128</f>
        <v>0</v>
      </c>
      <c r="DN128" s="27">
        <f>COGS!DN128+'SG&amp;A'!DN128</f>
        <v>0</v>
      </c>
      <c r="DO128" s="27">
        <f>COGS!DO128+'SG&amp;A'!DO128</f>
        <v>0</v>
      </c>
      <c r="DP128" s="27">
        <f>COGS!DP128+'SG&amp;A'!DP128</f>
        <v>0</v>
      </c>
      <c r="DQ128" s="27">
        <f>COGS!DQ128+'SG&amp;A'!DQ128</f>
        <v>0</v>
      </c>
      <c r="DR128" s="27">
        <f>COGS!DR128+'SG&amp;A'!DR128</f>
        <v>0</v>
      </c>
      <c r="DS128" s="27">
        <f>COGS!DS128+'SG&amp;A'!DS128</f>
        <v>0</v>
      </c>
      <c r="DT128" s="27">
        <f>COGS!DT128+'SG&amp;A'!DT128</f>
        <v>0</v>
      </c>
      <c r="DU128" s="27">
        <f>COGS!DU128+'SG&amp;A'!DU128</f>
        <v>0</v>
      </c>
      <c r="DV128" s="27">
        <f>COGS!DV128+'SG&amp;A'!DV128</f>
        <v>0</v>
      </c>
      <c r="DW128" s="27">
        <f>COGS!DW128+'SG&amp;A'!DW128</f>
        <v>0</v>
      </c>
      <c r="DX128" s="27">
        <f>COGS!DX128+'SG&amp;A'!DX128</f>
        <v>5.2130000000000001</v>
      </c>
      <c r="DY128" s="27">
        <f>COGS!DY128+'SG&amp;A'!DY128</f>
        <v>6.1208064100000001</v>
      </c>
      <c r="DZ128" s="27">
        <f>COGS!DZ128+'SG&amp;A'!DZ128</f>
        <v>9.1148835300000002</v>
      </c>
      <c r="EA128" s="27">
        <f>COGS!EA128+'SG&amp;A'!EA128</f>
        <v>20.448689940000001</v>
      </c>
      <c r="EB128" s="27">
        <f>COGS!EB128+'SG&amp;A'!EB128</f>
        <v>7.0237931500000004</v>
      </c>
      <c r="EC128" s="27">
        <f>COGS!EC128+'SG&amp;A'!EC128</f>
        <v>8.3744967599999995</v>
      </c>
      <c r="ED128" s="27">
        <f>COGS!ED128+'SG&amp;A'!ED128</f>
        <v>13.363</v>
      </c>
      <c r="EE128" s="27">
        <f>COGS!EE128+'SG&amp;A'!EE128</f>
        <v>12.914183920000001</v>
      </c>
      <c r="EF128" s="27">
        <f>COGS!EF128+'SG&amp;A'!EF128</f>
        <v>41.675473830000001</v>
      </c>
      <c r="EG128" s="27">
        <f>COGS!EG128+'SG&amp;A'!EG128</f>
        <v>15.558777390000001</v>
      </c>
      <c r="EH128" s="27">
        <f>COGS!EH128+'SG&amp;A'!EH128</f>
        <v>18.686905049999996</v>
      </c>
      <c r="EI128" s="27">
        <f>COGS!EI128+'SG&amp;A'!EI128</f>
        <v>19.818236630000001</v>
      </c>
    </row>
    <row r="129" spans="1:139" ht="15" thickBot="1" x14ac:dyDescent="0.35">
      <c r="A129" s="2" t="s">
        <v>460</v>
      </c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>
        <f>COGS!EE129+'SG&amp;A'!EE129</f>
        <v>0</v>
      </c>
      <c r="EF129" s="28">
        <f>COGS!EF129+'SG&amp;A'!EF129</f>
        <v>0</v>
      </c>
      <c r="EG129" s="28">
        <f>COGS!EG129+'SG&amp;A'!EG129</f>
        <v>0</v>
      </c>
      <c r="EH129" s="28">
        <f>COGS!EH129+'SG&amp;A'!EH129</f>
        <v>23.402763019999998</v>
      </c>
      <c r="EI129" s="28">
        <f>COGS!EI129+'SG&amp;A'!EI129</f>
        <v>28.328069220000003</v>
      </c>
    </row>
    <row r="130" spans="1:139" ht="15" thickTop="1" x14ac:dyDescent="0.3">
      <c r="A130" s="1" t="s">
        <v>304</v>
      </c>
      <c r="B130" s="27">
        <f>COGS!B130+'SG&amp;A'!B130</f>
        <v>0</v>
      </c>
      <c r="C130" s="27">
        <f>COGS!C130+'SG&amp;A'!C130</f>
        <v>0</v>
      </c>
      <c r="D130" s="27">
        <f>COGS!D130+'SG&amp;A'!D130</f>
        <v>0</v>
      </c>
      <c r="E130" s="27">
        <f>COGS!E130+'SG&amp;A'!E130</f>
        <v>0</v>
      </c>
      <c r="F130" s="27">
        <f>COGS!F130+'SG&amp;A'!F130</f>
        <v>0</v>
      </c>
      <c r="G130" s="27">
        <f>COGS!G130+'SG&amp;A'!G130</f>
        <v>0</v>
      </c>
      <c r="H130" s="27">
        <f>COGS!H130+'SG&amp;A'!H130</f>
        <v>0</v>
      </c>
      <c r="I130" s="27">
        <f>COGS!I130+'SG&amp;A'!I130</f>
        <v>0</v>
      </c>
      <c r="J130" s="27">
        <f>COGS!J130+'SG&amp;A'!J130</f>
        <v>0</v>
      </c>
      <c r="K130" s="27">
        <f>COGS!K130+'SG&amp;A'!K130</f>
        <v>0</v>
      </c>
      <c r="L130" s="27">
        <f>COGS!L130+'SG&amp;A'!L130</f>
        <v>0</v>
      </c>
      <c r="M130" s="27">
        <f>COGS!M130+'SG&amp;A'!M130</f>
        <v>0</v>
      </c>
      <c r="N130" s="27">
        <f>COGS!N130+'SG&amp;A'!N130</f>
        <v>0</v>
      </c>
      <c r="O130" s="27">
        <f>COGS!O130+'SG&amp;A'!O130</f>
        <v>0</v>
      </c>
      <c r="P130" s="27">
        <f>COGS!P130+'SG&amp;A'!P130</f>
        <v>0</v>
      </c>
      <c r="Q130" s="27">
        <f>COGS!Q130+'SG&amp;A'!Q130</f>
        <v>0</v>
      </c>
      <c r="R130" s="27">
        <f>COGS!R130+'SG&amp;A'!R130</f>
        <v>0</v>
      </c>
      <c r="S130" s="27">
        <f>COGS!S130+'SG&amp;A'!S130</f>
        <v>0</v>
      </c>
      <c r="T130" s="27">
        <f>COGS!T130+'SG&amp;A'!T130</f>
        <v>0</v>
      </c>
      <c r="U130" s="27">
        <f>COGS!U130+'SG&amp;A'!U130</f>
        <v>0</v>
      </c>
      <c r="V130" s="27">
        <f>COGS!V130+'SG&amp;A'!V130</f>
        <v>0</v>
      </c>
      <c r="W130" s="27">
        <f>COGS!W130+'SG&amp;A'!W130</f>
        <v>0</v>
      </c>
      <c r="X130" s="27">
        <f>COGS!X130+'SG&amp;A'!X130</f>
        <v>0</v>
      </c>
      <c r="Y130" s="27">
        <f>COGS!Y130+'SG&amp;A'!Y130</f>
        <v>0</v>
      </c>
      <c r="Z130" s="27">
        <f>COGS!Z130+'SG&amp;A'!Z130</f>
        <v>0</v>
      </c>
      <c r="AA130" s="27">
        <f>COGS!AA130+'SG&amp;A'!AA130</f>
        <v>0</v>
      </c>
      <c r="AB130" s="27">
        <f>COGS!AB130+'SG&amp;A'!AB130</f>
        <v>0</v>
      </c>
      <c r="AC130" s="27">
        <f>COGS!AC130+'SG&amp;A'!AC130</f>
        <v>0</v>
      </c>
      <c r="AD130" s="27">
        <f>COGS!AD130+'SG&amp;A'!AD130</f>
        <v>0</v>
      </c>
      <c r="AE130" s="27">
        <f>COGS!AE130+'SG&amp;A'!AE130</f>
        <v>0</v>
      </c>
      <c r="AF130" s="27">
        <f>COGS!AF130+'SG&amp;A'!AF130</f>
        <v>0</v>
      </c>
      <c r="AG130" s="27">
        <f>COGS!AG130+'SG&amp;A'!AG130</f>
        <v>0</v>
      </c>
      <c r="AH130" s="27">
        <f>COGS!AH130+'SG&amp;A'!AH130</f>
        <v>0</v>
      </c>
      <c r="AI130" s="27">
        <f>COGS!AI130+'SG&amp;A'!AI130</f>
        <v>0</v>
      </c>
      <c r="AJ130" s="27">
        <f>COGS!AJ130+'SG&amp;A'!AJ130</f>
        <v>0</v>
      </c>
      <c r="AK130" s="27">
        <f>COGS!AK130+'SG&amp;A'!AK130</f>
        <v>0</v>
      </c>
      <c r="AL130" s="27">
        <f>COGS!AL130+'SG&amp;A'!AL130</f>
        <v>0</v>
      </c>
      <c r="AM130" s="27">
        <f>COGS!AM130+'SG&amp;A'!AM130</f>
        <v>0</v>
      </c>
      <c r="AN130" s="27">
        <f>COGS!AN130+'SG&amp;A'!AN130</f>
        <v>0</v>
      </c>
      <c r="AO130" s="27">
        <f>COGS!AO130+'SG&amp;A'!AO130</f>
        <v>0</v>
      </c>
      <c r="AP130" s="27">
        <f>COGS!AP130+'SG&amp;A'!AP130</f>
        <v>0</v>
      </c>
      <c r="AQ130" s="27">
        <f>COGS!AQ130+'SG&amp;A'!AQ130</f>
        <v>0</v>
      </c>
      <c r="AR130" s="27">
        <f>COGS!AR130+'SG&amp;A'!AR130</f>
        <v>0</v>
      </c>
      <c r="AS130" s="27">
        <f>COGS!AS130+'SG&amp;A'!AS130</f>
        <v>0</v>
      </c>
      <c r="AT130" s="27">
        <f>COGS!AT130+'SG&amp;A'!AT130</f>
        <v>0</v>
      </c>
      <c r="AU130" s="27">
        <f>COGS!AU130+'SG&amp;A'!AU130</f>
        <v>0</v>
      </c>
      <c r="AV130" s="27">
        <f>COGS!AV130+'SG&amp;A'!AV130</f>
        <v>0</v>
      </c>
      <c r="AW130" s="27">
        <f>COGS!AW130+'SG&amp;A'!AW130</f>
        <v>0</v>
      </c>
      <c r="AX130" s="27">
        <f>COGS!AX130+'SG&amp;A'!AX130</f>
        <v>0</v>
      </c>
      <c r="AY130" s="27">
        <f>COGS!AY130+'SG&amp;A'!AY130</f>
        <v>0</v>
      </c>
      <c r="AZ130" s="27">
        <f>COGS!AZ130+'SG&amp;A'!AZ130</f>
        <v>0</v>
      </c>
      <c r="BA130" s="27">
        <f>COGS!BA130+'SG&amp;A'!BA130</f>
        <v>0</v>
      </c>
      <c r="BB130" s="27">
        <f>COGS!BB130+'SG&amp;A'!BB130</f>
        <v>0</v>
      </c>
      <c r="BC130" s="27">
        <f>COGS!BC130+'SG&amp;A'!BC130</f>
        <v>0</v>
      </c>
      <c r="BD130" s="27">
        <f>COGS!BD130+'SG&amp;A'!BD130</f>
        <v>0</v>
      </c>
      <c r="BE130" s="27">
        <f>COGS!BE130+'SG&amp;A'!BE130</f>
        <v>0</v>
      </c>
      <c r="BF130" s="27">
        <f>COGS!BF130+'SG&amp;A'!BF130</f>
        <v>0</v>
      </c>
      <c r="BG130" s="27">
        <f>COGS!BG130+'SG&amp;A'!BG130</f>
        <v>0</v>
      </c>
      <c r="BH130" s="27">
        <f>COGS!BH130+'SG&amp;A'!BH130</f>
        <v>0</v>
      </c>
      <c r="BI130" s="27">
        <f>COGS!BI130+'SG&amp;A'!BI130</f>
        <v>0</v>
      </c>
      <c r="BJ130" s="27">
        <f>COGS!BJ130+'SG&amp;A'!BJ130</f>
        <v>0</v>
      </c>
      <c r="BK130" s="27">
        <f>COGS!BK130+'SG&amp;A'!BK130</f>
        <v>0</v>
      </c>
      <c r="BL130" s="27">
        <f>COGS!BL130+'SG&amp;A'!BL130</f>
        <v>0</v>
      </c>
      <c r="BM130" s="27">
        <f>COGS!BM130+'SG&amp;A'!BM130</f>
        <v>0</v>
      </c>
      <c r="BN130" s="27">
        <f>COGS!BN130+'SG&amp;A'!BN130</f>
        <v>0</v>
      </c>
      <c r="BO130" s="27">
        <f>COGS!BO130+'SG&amp;A'!BO130</f>
        <v>0</v>
      </c>
      <c r="BP130" s="27">
        <f>COGS!BP130+'SG&amp;A'!BP130</f>
        <v>0</v>
      </c>
      <c r="BQ130" s="27">
        <f>COGS!BQ130+'SG&amp;A'!BQ130</f>
        <v>0</v>
      </c>
      <c r="BR130" s="27">
        <f>COGS!BR130+'SG&amp;A'!BR130</f>
        <v>0</v>
      </c>
      <c r="BS130" s="27">
        <f>COGS!BS130+'SG&amp;A'!BS130</f>
        <v>0</v>
      </c>
      <c r="BT130" s="27">
        <f>COGS!BT130+'SG&amp;A'!BT130</f>
        <v>0</v>
      </c>
      <c r="BU130" s="27">
        <f>COGS!BU130+'SG&amp;A'!BU130</f>
        <v>2.3668975299999997</v>
      </c>
      <c r="BV130" s="27">
        <f>COGS!BV130+'SG&amp;A'!BV130</f>
        <v>7.1230258300000013</v>
      </c>
      <c r="BW130" s="27">
        <f>COGS!BW130+'SG&amp;A'!BW130</f>
        <v>7.4738036699999997</v>
      </c>
      <c r="BX130" s="27">
        <f>COGS!BX130+'SG&amp;A'!BX130</f>
        <v>16.963727030000001</v>
      </c>
      <c r="BY130" s="27">
        <f>COGS!BY130+'SG&amp;A'!BY130</f>
        <v>5.8223522299999999</v>
      </c>
      <c r="BZ130" s="27">
        <f>COGS!BZ130+'SG&amp;A'!BZ130</f>
        <v>3.7413012300000004</v>
      </c>
      <c r="CA130" s="27">
        <f>COGS!CA130+'SG&amp;A'!CA130</f>
        <v>6.2624483300000007</v>
      </c>
      <c r="CB130" s="27">
        <f>COGS!CB130+'SG&amp;A'!CB130</f>
        <v>6.2570771700000014</v>
      </c>
      <c r="CC130" s="27">
        <f>COGS!CC130+'SG&amp;A'!CC130</f>
        <v>22.083178960000001</v>
      </c>
      <c r="CD130" s="27">
        <f>COGS!CD130+'SG&amp;A'!CD130</f>
        <v>6.7379589100000006</v>
      </c>
      <c r="CE130" s="27">
        <f>COGS!CE130+'SG&amp;A'!CE130</f>
        <v>5.631993060000001</v>
      </c>
      <c r="CF130" s="27">
        <f>COGS!CF130+'SG&amp;A'!CF130</f>
        <v>5.7446242699999983</v>
      </c>
      <c r="CG130" s="27">
        <f>COGS!CG130+'SG&amp;A'!CG130</f>
        <v>5.4721773999999943</v>
      </c>
      <c r="CH130" s="27">
        <f>COGS!CH130+'SG&amp;A'!CH130</f>
        <v>23.586753639999994</v>
      </c>
      <c r="CI130" s="27">
        <f>COGS!CI130+'SG&amp;A'!CI130</f>
        <v>5.4940802900000012</v>
      </c>
      <c r="CJ130" s="27">
        <f>COGS!CJ130+'SG&amp;A'!CJ130</f>
        <v>6.3960628899999978</v>
      </c>
      <c r="CK130" s="27">
        <f>COGS!CK130+'SG&amp;A'!CK130</f>
        <v>7.7549045200000002</v>
      </c>
      <c r="CL130" s="27">
        <f>COGS!CL130+'SG&amp;A'!CL130</f>
        <v>6.8613795599999978</v>
      </c>
      <c r="CM130" s="27">
        <f>COGS!CM130+'SG&amp;A'!CM130</f>
        <v>26.506427259999995</v>
      </c>
      <c r="CN130" s="27">
        <f>COGS!CN130+'SG&amp;A'!CN130</f>
        <v>6.6330064399999999</v>
      </c>
      <c r="CO130" s="27">
        <f>COGS!CO130+'SG&amp;A'!CO130</f>
        <v>5.3563781899999992</v>
      </c>
      <c r="CP130" s="27">
        <f>COGS!CP130+'SG&amp;A'!CP130</f>
        <v>5.4196018200000022</v>
      </c>
      <c r="CQ130" s="27">
        <f>COGS!CQ130+'SG&amp;A'!CQ130</f>
        <v>5.5990135499999969</v>
      </c>
      <c r="CR130" s="27">
        <f>COGS!CR130+'SG&amp;A'!CR130</f>
        <v>23.007999999999999</v>
      </c>
      <c r="CS130" s="27">
        <f>COGS!CS130+'SG&amp;A'!CS130</f>
        <v>5.7600264499999998</v>
      </c>
      <c r="CT130" s="27">
        <f>COGS!CT130+'SG&amp;A'!CT130</f>
        <v>4.9719735499999995</v>
      </c>
      <c r="CU130" s="27">
        <f>COGS!CU130+'SG&amp;A'!CU130</f>
        <v>4.8070000000000004</v>
      </c>
      <c r="CV130" s="27">
        <f>COGS!CV130+'SG&amp;A'!CV130</f>
        <v>5.1830000000000007</v>
      </c>
      <c r="CW130" s="27">
        <f>COGS!CW130+'SG&amp;A'!CW130</f>
        <v>20.722000000000001</v>
      </c>
      <c r="CX130" s="27">
        <f>COGS!CX130+'SG&amp;A'!CX130</f>
        <v>5.0979999999999999</v>
      </c>
      <c r="CY130" s="27">
        <f>COGS!CY130+'SG&amp;A'!CY130</f>
        <v>4.9849999999999994</v>
      </c>
      <c r="CZ130" s="27">
        <f>COGS!CZ130+'SG&amp;A'!CZ130</f>
        <v>4.9969999999999999</v>
      </c>
      <c r="DA130" s="27">
        <f>COGS!DA130+'SG&amp;A'!DA130</f>
        <v>4.9359999999999999</v>
      </c>
      <c r="DB130" s="27">
        <f>COGS!DB130+'SG&amp;A'!DB130</f>
        <v>20.015999999999998</v>
      </c>
      <c r="DC130" s="27">
        <f>COGS!DC130+'SG&amp;A'!DC130</f>
        <v>5.4550000000000001</v>
      </c>
      <c r="DD130" s="27">
        <f>COGS!DD130+'SG&amp;A'!DD130</f>
        <v>7.2029999999999994</v>
      </c>
      <c r="DE130" s="27">
        <f>COGS!DE130+'SG&amp;A'!DE130</f>
        <v>6.641</v>
      </c>
      <c r="DF130" s="27">
        <f>COGS!DF130+'SG&amp;A'!DF130</f>
        <v>6.7229999999999999</v>
      </c>
      <c r="DG130" s="27">
        <f>COGS!DG130+'SG&amp;A'!DG130</f>
        <v>26.022000000000002</v>
      </c>
      <c r="DH130" s="27">
        <f>COGS!DH130+'SG&amp;A'!DH130</f>
        <v>6.2330000000000005</v>
      </c>
      <c r="DI130" s="27">
        <f>COGS!DI130+'SG&amp;A'!DI130</f>
        <v>5.2690000000000001</v>
      </c>
      <c r="DJ130" s="27">
        <f>COGS!DJ130+'SG&amp;A'!DJ130</f>
        <v>5.12</v>
      </c>
      <c r="DK130" s="27">
        <f>COGS!DK130+'SG&amp;A'!DK130</f>
        <v>3.9770000000000003</v>
      </c>
      <c r="DL130" s="27">
        <f>COGS!DL130+'SG&amp;A'!DL130</f>
        <v>20.599</v>
      </c>
      <c r="DM130" s="27">
        <f>COGS!DM130+'SG&amp;A'!DM130</f>
        <v>2.6310000000000002</v>
      </c>
      <c r="DN130" s="27">
        <f>COGS!DN130+'SG&amp;A'!DN130</f>
        <v>9.2690000000000001</v>
      </c>
      <c r="DO130" s="27">
        <f>COGS!DO130+'SG&amp;A'!DO130</f>
        <v>10.133000000000001</v>
      </c>
      <c r="DP130" s="27">
        <f>COGS!DP130+'SG&amp;A'!DP130</f>
        <v>11.238</v>
      </c>
      <c r="DQ130" s="27">
        <f>COGS!DQ130+'SG&amp;A'!DQ130</f>
        <v>33.271000000000001</v>
      </c>
      <c r="DR130" s="27">
        <f>COGS!DR130+'SG&amp;A'!DR130</f>
        <v>10.942</v>
      </c>
      <c r="DS130" s="27">
        <f>COGS!DS130+'SG&amp;A'!DS130</f>
        <v>12.818999999999999</v>
      </c>
      <c r="DT130" s="27">
        <f>COGS!DT130+'SG&amp;A'!DT130</f>
        <v>12.574999999999999</v>
      </c>
      <c r="DU130" s="27">
        <f>COGS!DU130+'SG&amp;A'!DU130</f>
        <v>13.529</v>
      </c>
      <c r="DV130" s="27">
        <f>COGS!DV130+'SG&amp;A'!DV130</f>
        <v>49.865000000000002</v>
      </c>
      <c r="DW130" s="27">
        <f>COGS!DW130+'SG&amp;A'!DW130</f>
        <v>20.749000000000002</v>
      </c>
      <c r="DX130" s="27">
        <f>COGS!DX130+'SG&amp;A'!DX130</f>
        <v>22.202005149999998</v>
      </c>
      <c r="DY130" s="27">
        <f>COGS!DY130+'SG&amp;A'!DY130</f>
        <v>13.951362150000001</v>
      </c>
      <c r="DZ130" s="27">
        <f>COGS!DZ130+'SG&amp;A'!DZ130</f>
        <v>11.816269420000001</v>
      </c>
      <c r="EA130" s="27">
        <f>COGS!EA130+'SG&amp;A'!EA130</f>
        <v>68.718636719999992</v>
      </c>
      <c r="EB130" s="27">
        <f>COGS!EB130+'SG&amp;A'!EB130</f>
        <v>5.6427805700000002</v>
      </c>
      <c r="EC130" s="27">
        <f>COGS!EC130+'SG&amp;A'!EC130</f>
        <v>3.1313931699999999</v>
      </c>
      <c r="ED130" s="27">
        <f>COGS!ED130+'SG&amp;A'!ED130</f>
        <v>2.4009999999999998</v>
      </c>
      <c r="EE130" s="27">
        <f>COGS!EE130+'SG&amp;A'!EE130</f>
        <v>6.4638330199999983</v>
      </c>
      <c r="EF130" s="27">
        <f>COGS!EF130+'SG&amp;A'!EF130</f>
        <v>17.639006759999997</v>
      </c>
      <c r="EG130" s="27">
        <f>COGS!EG130+'SG&amp;A'!EG130</f>
        <v>2.0507996899999998</v>
      </c>
      <c r="EH130" s="27">
        <f>COGS!EH130+'SG&amp;A'!EH130</f>
        <v>2.4785775899999996</v>
      </c>
      <c r="EI130" s="27">
        <f>COGS!EI130+'SG&amp;A'!EI130</f>
        <v>3.8051007000000001</v>
      </c>
    </row>
    <row r="131" spans="1:139" ht="15" thickBot="1" x14ac:dyDescent="0.35">
      <c r="A131" s="2" t="s">
        <v>305</v>
      </c>
      <c r="B131" s="28">
        <f>COGS!B131+'SG&amp;A'!B131</f>
        <v>0</v>
      </c>
      <c r="C131" s="28">
        <f>COGS!C131+'SG&amp;A'!C131</f>
        <v>0</v>
      </c>
      <c r="D131" s="28">
        <f>COGS!D131+'SG&amp;A'!D131</f>
        <v>0</v>
      </c>
      <c r="E131" s="28">
        <f>COGS!E131+'SG&amp;A'!E131</f>
        <v>0</v>
      </c>
      <c r="F131" s="28">
        <f>COGS!F131+'SG&amp;A'!F131</f>
        <v>0</v>
      </c>
      <c r="G131" s="28">
        <f>COGS!G131+'SG&amp;A'!G131</f>
        <v>0</v>
      </c>
      <c r="H131" s="28">
        <f>COGS!H131+'SG&amp;A'!H131</f>
        <v>0</v>
      </c>
      <c r="I131" s="28">
        <f>COGS!I131+'SG&amp;A'!I131</f>
        <v>0</v>
      </c>
      <c r="J131" s="28">
        <f>COGS!J131+'SG&amp;A'!J131</f>
        <v>0</v>
      </c>
      <c r="K131" s="28">
        <f>COGS!K131+'SG&amp;A'!K131</f>
        <v>0</v>
      </c>
      <c r="L131" s="28">
        <f>COGS!L131+'SG&amp;A'!L131</f>
        <v>0</v>
      </c>
      <c r="M131" s="28">
        <f>COGS!M131+'SG&amp;A'!M131</f>
        <v>0</v>
      </c>
      <c r="N131" s="28">
        <f>COGS!N131+'SG&amp;A'!N131</f>
        <v>0</v>
      </c>
      <c r="O131" s="28">
        <f>COGS!O131+'SG&amp;A'!O131</f>
        <v>0</v>
      </c>
      <c r="P131" s="28">
        <f>COGS!P131+'SG&amp;A'!P131</f>
        <v>0</v>
      </c>
      <c r="Q131" s="28">
        <f>COGS!Q131+'SG&amp;A'!Q131</f>
        <v>0</v>
      </c>
      <c r="R131" s="28">
        <f>COGS!R131+'SG&amp;A'!R131</f>
        <v>0</v>
      </c>
      <c r="S131" s="28">
        <f>COGS!S131+'SG&amp;A'!S131</f>
        <v>0</v>
      </c>
      <c r="T131" s="28">
        <f>COGS!T131+'SG&amp;A'!T131</f>
        <v>0</v>
      </c>
      <c r="U131" s="28">
        <f>COGS!U131+'SG&amp;A'!U131</f>
        <v>0</v>
      </c>
      <c r="V131" s="28">
        <f>COGS!V131+'SG&amp;A'!V131</f>
        <v>0</v>
      </c>
      <c r="W131" s="28">
        <f>COGS!W131+'SG&amp;A'!W131</f>
        <v>0</v>
      </c>
      <c r="X131" s="28">
        <f>COGS!X131+'SG&amp;A'!X131</f>
        <v>0</v>
      </c>
      <c r="Y131" s="28">
        <f>COGS!Y131+'SG&amp;A'!Y131</f>
        <v>0</v>
      </c>
      <c r="Z131" s="28">
        <f>COGS!Z131+'SG&amp;A'!Z131</f>
        <v>0</v>
      </c>
      <c r="AA131" s="28">
        <f>COGS!AA131+'SG&amp;A'!AA131</f>
        <v>0</v>
      </c>
      <c r="AB131" s="28">
        <f>COGS!AB131+'SG&amp;A'!AB131</f>
        <v>0</v>
      </c>
      <c r="AC131" s="28">
        <f>COGS!AC131+'SG&amp;A'!AC131</f>
        <v>0</v>
      </c>
      <c r="AD131" s="28">
        <f>COGS!AD131+'SG&amp;A'!AD131</f>
        <v>0</v>
      </c>
      <c r="AE131" s="28">
        <f>COGS!AE131+'SG&amp;A'!AE131</f>
        <v>0</v>
      </c>
      <c r="AF131" s="28">
        <f>COGS!AF131+'SG&amp;A'!AF131</f>
        <v>0</v>
      </c>
      <c r="AG131" s="28">
        <f>COGS!AG131+'SG&amp;A'!AG131</f>
        <v>0</v>
      </c>
      <c r="AH131" s="28">
        <f>COGS!AH131+'SG&amp;A'!AH131</f>
        <v>0</v>
      </c>
      <c r="AI131" s="28">
        <f>COGS!AI131+'SG&amp;A'!AI131</f>
        <v>0</v>
      </c>
      <c r="AJ131" s="28">
        <f>COGS!AJ131+'SG&amp;A'!AJ131</f>
        <v>0</v>
      </c>
      <c r="AK131" s="28">
        <f>COGS!AK131+'SG&amp;A'!AK131</f>
        <v>0</v>
      </c>
      <c r="AL131" s="28">
        <f>COGS!AL131+'SG&amp;A'!AL131</f>
        <v>0</v>
      </c>
      <c r="AM131" s="28">
        <f>COGS!AM131+'SG&amp;A'!AM131</f>
        <v>0</v>
      </c>
      <c r="AN131" s="28">
        <f>COGS!AN131+'SG&amp;A'!AN131</f>
        <v>0</v>
      </c>
      <c r="AO131" s="28">
        <f>COGS!AO131+'SG&amp;A'!AO131</f>
        <v>0</v>
      </c>
      <c r="AP131" s="28">
        <f>COGS!AP131+'SG&amp;A'!AP131</f>
        <v>0</v>
      </c>
      <c r="AQ131" s="28">
        <f>COGS!AQ131+'SG&amp;A'!AQ131</f>
        <v>0</v>
      </c>
      <c r="AR131" s="28">
        <f>COGS!AR131+'SG&amp;A'!AR131</f>
        <v>0</v>
      </c>
      <c r="AS131" s="28">
        <f>COGS!AS131+'SG&amp;A'!AS131</f>
        <v>0</v>
      </c>
      <c r="AT131" s="28">
        <f>COGS!AT131+'SG&amp;A'!AT131</f>
        <v>0</v>
      </c>
      <c r="AU131" s="28">
        <f>COGS!AU131+'SG&amp;A'!AU131</f>
        <v>0</v>
      </c>
      <c r="AV131" s="28">
        <f>COGS!AV131+'SG&amp;A'!AV131</f>
        <v>0</v>
      </c>
      <c r="AW131" s="28">
        <f>COGS!AW131+'SG&amp;A'!AW131</f>
        <v>0</v>
      </c>
      <c r="AX131" s="28">
        <f>COGS!AX131+'SG&amp;A'!AX131</f>
        <v>0</v>
      </c>
      <c r="AY131" s="28">
        <f>COGS!AY131+'SG&amp;A'!AY131</f>
        <v>0</v>
      </c>
      <c r="AZ131" s="28">
        <f>COGS!AZ131+'SG&amp;A'!AZ131</f>
        <v>0</v>
      </c>
      <c r="BA131" s="28">
        <f>COGS!BA131+'SG&amp;A'!BA131</f>
        <v>0</v>
      </c>
      <c r="BB131" s="28">
        <f>COGS!BB131+'SG&amp;A'!BB131</f>
        <v>0</v>
      </c>
      <c r="BC131" s="28">
        <f>COGS!BC131+'SG&amp;A'!BC131</f>
        <v>0</v>
      </c>
      <c r="BD131" s="28">
        <f>COGS!BD131+'SG&amp;A'!BD131</f>
        <v>0</v>
      </c>
      <c r="BE131" s="28">
        <f>COGS!BE131+'SG&amp;A'!BE131</f>
        <v>0</v>
      </c>
      <c r="BF131" s="28">
        <f>COGS!BF131+'SG&amp;A'!BF131</f>
        <v>0</v>
      </c>
      <c r="BG131" s="28">
        <f>COGS!BG131+'SG&amp;A'!BG131</f>
        <v>0</v>
      </c>
      <c r="BH131" s="28">
        <f>COGS!BH131+'SG&amp;A'!BH131</f>
        <v>0</v>
      </c>
      <c r="BI131" s="28">
        <f>COGS!BI131+'SG&amp;A'!BI131</f>
        <v>0</v>
      </c>
      <c r="BJ131" s="28">
        <f>COGS!BJ131+'SG&amp;A'!BJ131</f>
        <v>0</v>
      </c>
      <c r="BK131" s="28">
        <f>COGS!BK131+'SG&amp;A'!BK131</f>
        <v>0</v>
      </c>
      <c r="BL131" s="28">
        <f>COGS!BL131+'SG&amp;A'!BL131</f>
        <v>0</v>
      </c>
      <c r="BM131" s="28">
        <f>COGS!BM131+'SG&amp;A'!BM131</f>
        <v>0</v>
      </c>
      <c r="BN131" s="28">
        <f>COGS!BN131+'SG&amp;A'!BN131</f>
        <v>0</v>
      </c>
      <c r="BO131" s="28">
        <f>COGS!BO131+'SG&amp;A'!BO131</f>
        <v>0</v>
      </c>
      <c r="BP131" s="28">
        <f>COGS!BP131+'SG&amp;A'!BP131</f>
        <v>0</v>
      </c>
      <c r="BQ131" s="28">
        <f>COGS!BQ131+'SG&amp;A'!BQ131</f>
        <v>0</v>
      </c>
      <c r="BR131" s="28">
        <f>COGS!BR131+'SG&amp;A'!BR131</f>
        <v>0</v>
      </c>
      <c r="BS131" s="28">
        <f>COGS!BS131+'SG&amp;A'!BS131</f>
        <v>0</v>
      </c>
      <c r="BT131" s="28">
        <f>COGS!BT131+'SG&amp;A'!BT131</f>
        <v>0</v>
      </c>
      <c r="BU131" s="28">
        <f>COGS!BU131+'SG&amp;A'!BU131</f>
        <v>0</v>
      </c>
      <c r="BV131" s="28">
        <f>COGS!BV131+'SG&amp;A'!BV131</f>
        <v>0</v>
      </c>
      <c r="BW131" s="28">
        <f>COGS!BW131+'SG&amp;A'!BW131</f>
        <v>0</v>
      </c>
      <c r="BX131" s="28">
        <f>COGS!BX131+'SG&amp;A'!BX131</f>
        <v>0</v>
      </c>
      <c r="BY131" s="28">
        <f>COGS!BY131+'SG&amp;A'!BY131</f>
        <v>0</v>
      </c>
      <c r="BZ131" s="28">
        <f>COGS!BZ131+'SG&amp;A'!BZ131</f>
        <v>0</v>
      </c>
      <c r="CA131" s="28">
        <f>COGS!CA131+'SG&amp;A'!CA131</f>
        <v>0</v>
      </c>
      <c r="CB131" s="28">
        <f>COGS!CB131+'SG&amp;A'!CB131</f>
        <v>0</v>
      </c>
      <c r="CC131" s="28">
        <f>COGS!CC131+'SG&amp;A'!CC131</f>
        <v>0</v>
      </c>
      <c r="CD131" s="28">
        <f>COGS!CD131+'SG&amp;A'!CD131</f>
        <v>0</v>
      </c>
      <c r="CE131" s="28">
        <f>COGS!CE131+'SG&amp;A'!CE131</f>
        <v>0</v>
      </c>
      <c r="CF131" s="28">
        <f>COGS!CF131+'SG&amp;A'!CF131</f>
        <v>0</v>
      </c>
      <c r="CG131" s="28">
        <f>COGS!CG131+'SG&amp;A'!CG131</f>
        <v>0</v>
      </c>
      <c r="CH131" s="28">
        <f>COGS!CH131+'SG&amp;A'!CH131</f>
        <v>0</v>
      </c>
      <c r="CI131" s="28">
        <f>COGS!CI131+'SG&amp;A'!CI131</f>
        <v>0</v>
      </c>
      <c r="CJ131" s="28">
        <f>COGS!CJ131+'SG&amp;A'!CJ131</f>
        <v>0</v>
      </c>
      <c r="CK131" s="28">
        <f>COGS!CK131+'SG&amp;A'!CK131</f>
        <v>0</v>
      </c>
      <c r="CL131" s="28">
        <f>COGS!CL131+'SG&amp;A'!CL131</f>
        <v>0</v>
      </c>
      <c r="CM131" s="28">
        <f>COGS!CM131+'SG&amp;A'!CM131</f>
        <v>0</v>
      </c>
      <c r="CN131" s="28">
        <f>COGS!CN131+'SG&amp;A'!CN131</f>
        <v>0</v>
      </c>
      <c r="CO131" s="28">
        <f>COGS!CO131+'SG&amp;A'!CO131</f>
        <v>0</v>
      </c>
      <c r="CP131" s="28">
        <f>COGS!CP131+'SG&amp;A'!CP131</f>
        <v>0</v>
      </c>
      <c r="CQ131" s="28">
        <f>COGS!CQ131+'SG&amp;A'!CQ131</f>
        <v>0</v>
      </c>
      <c r="CR131" s="28">
        <f>COGS!CR131+'SG&amp;A'!CR131</f>
        <v>0</v>
      </c>
      <c r="CS131" s="28">
        <f>COGS!CS131+'SG&amp;A'!CS131</f>
        <v>0</v>
      </c>
      <c r="CT131" s="28">
        <f>COGS!CT131+'SG&amp;A'!CT131</f>
        <v>0</v>
      </c>
      <c r="CU131" s="28">
        <f>COGS!CU131+'SG&amp;A'!CU131</f>
        <v>0</v>
      </c>
      <c r="CV131" s="28">
        <f>COGS!CV131+'SG&amp;A'!CV131</f>
        <v>0</v>
      </c>
      <c r="CW131" s="28">
        <f>COGS!CW131+'SG&amp;A'!CW131</f>
        <v>0</v>
      </c>
      <c r="CX131" s="28">
        <f>COGS!CX131+'SG&amp;A'!CX131</f>
        <v>0</v>
      </c>
      <c r="CY131" s="28">
        <f>COGS!CY131+'SG&amp;A'!CY131</f>
        <v>0</v>
      </c>
      <c r="CZ131" s="28">
        <f>COGS!CZ131+'SG&amp;A'!CZ131</f>
        <v>0</v>
      </c>
      <c r="DA131" s="28">
        <f>COGS!DA131+'SG&amp;A'!DA131</f>
        <v>0</v>
      </c>
      <c r="DB131" s="28">
        <f>COGS!DB131+'SG&amp;A'!DB131</f>
        <v>0</v>
      </c>
      <c r="DC131" s="28">
        <f>COGS!DC131+'SG&amp;A'!DC131</f>
        <v>2.0009999999999999</v>
      </c>
      <c r="DD131" s="28">
        <f>COGS!DD131+'SG&amp;A'!DD131</f>
        <v>1.9790000000000001</v>
      </c>
      <c r="DE131" s="28">
        <f>COGS!DE131+'SG&amp;A'!DE131</f>
        <v>2.1539999999999999</v>
      </c>
      <c r="DF131" s="28">
        <f>COGS!DF131+'SG&amp;A'!DF131</f>
        <v>2.0270000000000001</v>
      </c>
      <c r="DG131" s="28">
        <f>COGS!DG131+'SG&amp;A'!DG131</f>
        <v>8.1609999999999996</v>
      </c>
      <c r="DH131" s="28">
        <f>COGS!DH131+'SG&amp;A'!DH131</f>
        <v>1.9909999999999999</v>
      </c>
      <c r="DI131" s="28">
        <f>COGS!DI131+'SG&amp;A'!DI131</f>
        <v>1.998</v>
      </c>
      <c r="DJ131" s="28">
        <f>COGS!DJ131+'SG&amp;A'!DJ131</f>
        <v>2.0029999999999997</v>
      </c>
      <c r="DK131" s="28">
        <f>COGS!DK131+'SG&amp;A'!DK131</f>
        <v>2.0009999999999999</v>
      </c>
      <c r="DL131" s="28">
        <f>COGS!DL131+'SG&amp;A'!DL131</f>
        <v>7.9930000000000003</v>
      </c>
      <c r="DM131" s="28">
        <f>COGS!DM131+'SG&amp;A'!DM131</f>
        <v>2.0009999999999999</v>
      </c>
      <c r="DN131" s="28">
        <f>COGS!DN131+'SG&amp;A'!DN131</f>
        <v>2.0099999999999998</v>
      </c>
      <c r="DO131" s="28">
        <f>COGS!DO131+'SG&amp;A'!DO131</f>
        <v>1.829</v>
      </c>
      <c r="DP131" s="28">
        <f>COGS!DP131+'SG&amp;A'!DP131</f>
        <v>1.8520000000000001</v>
      </c>
      <c r="DQ131" s="28">
        <f>COGS!DQ131+'SG&amp;A'!DQ131</f>
        <v>7.6920000000000002</v>
      </c>
      <c r="DR131" s="28">
        <f>COGS!DR131+'SG&amp;A'!DR131</f>
        <v>1.871</v>
      </c>
      <c r="DS131" s="28">
        <f>COGS!DS131+'SG&amp;A'!DS131</f>
        <v>1.8959999999999999</v>
      </c>
      <c r="DT131" s="28">
        <f>COGS!DT131+'SG&amp;A'!DT131</f>
        <v>1.9049999999999998</v>
      </c>
      <c r="DU131" s="28">
        <f>COGS!DU131+'SG&amp;A'!DU131</f>
        <v>1.5329999999999999</v>
      </c>
      <c r="DV131" s="28">
        <f>COGS!DV131+'SG&amp;A'!DV131</f>
        <v>7.2050000000000001</v>
      </c>
      <c r="DW131" s="28">
        <f>COGS!DW131+'SG&amp;A'!DW131</f>
        <v>1.5429999999999999</v>
      </c>
      <c r="DX131" s="28">
        <f>COGS!DX131+'SG&amp;A'!DX131</f>
        <v>1.5309999999999999</v>
      </c>
      <c r="DY131" s="28">
        <f>COGS!DY131+'SG&amp;A'!DY131</f>
        <v>1.5385449999999996</v>
      </c>
      <c r="DZ131" s="28">
        <f>COGS!DZ131+'SG&amp;A'!DZ131</f>
        <v>1.5459943600000003</v>
      </c>
      <c r="EA131" s="28">
        <f>COGS!EA131+'SG&amp;A'!EA131</f>
        <v>6.1585393599999989</v>
      </c>
      <c r="EB131" s="28">
        <f>COGS!EB131+'SG&amp;A'!EB131</f>
        <v>1.5939505600000001</v>
      </c>
      <c r="EC131" s="28">
        <f>COGS!EC131+'SG&amp;A'!EC131</f>
        <v>1.6170349499999996</v>
      </c>
      <c r="ED131" s="28">
        <f>COGS!ED131+'SG&amp;A'!ED131</f>
        <v>1.627</v>
      </c>
      <c r="EE131" s="28">
        <f>COGS!EE131+'SG&amp;A'!EE131</f>
        <v>1.6491427600000008</v>
      </c>
      <c r="EF131" s="28">
        <f>COGS!EF131+'SG&amp;A'!EF131</f>
        <v>6.4871282700000004</v>
      </c>
      <c r="EG131" s="28">
        <f>COGS!EG131+'SG&amp;A'!EG131</f>
        <v>1.5677001699999999</v>
      </c>
      <c r="EH131" s="28">
        <f>COGS!EH131+'SG&amp;A'!EH131</f>
        <v>1.5121264700000001</v>
      </c>
      <c r="EI131" s="28">
        <f>COGS!EI131+'SG&amp;A'!EI131</f>
        <v>1.5653712400000002</v>
      </c>
    </row>
    <row r="132" spans="1:139" ht="15" thickTop="1" x14ac:dyDescent="0.3">
      <c r="A132" s="1" t="s">
        <v>306</v>
      </c>
      <c r="B132" s="27">
        <f>COGS!B132+'SG&amp;A'!B132</f>
        <v>0</v>
      </c>
      <c r="C132" s="27">
        <f>COGS!C132+'SG&amp;A'!C132</f>
        <v>0</v>
      </c>
      <c r="D132" s="27">
        <f>COGS!D132+'SG&amp;A'!D132</f>
        <v>0</v>
      </c>
      <c r="E132" s="27">
        <f>COGS!E132+'SG&amp;A'!E132</f>
        <v>0</v>
      </c>
      <c r="F132" s="27">
        <f>COGS!F132+'SG&amp;A'!F132</f>
        <v>0</v>
      </c>
      <c r="G132" s="27">
        <f>COGS!G132+'SG&amp;A'!G132</f>
        <v>0</v>
      </c>
      <c r="H132" s="27">
        <f>COGS!H132+'SG&amp;A'!H132</f>
        <v>0</v>
      </c>
      <c r="I132" s="27">
        <f>COGS!I132+'SG&amp;A'!I132</f>
        <v>0</v>
      </c>
      <c r="J132" s="27">
        <f>COGS!J132+'SG&amp;A'!J132</f>
        <v>0</v>
      </c>
      <c r="K132" s="27">
        <f>COGS!K132+'SG&amp;A'!K132</f>
        <v>0</v>
      </c>
      <c r="L132" s="27">
        <f>COGS!L132+'SG&amp;A'!L132</f>
        <v>0</v>
      </c>
      <c r="M132" s="27">
        <f>COGS!M132+'SG&amp;A'!M132</f>
        <v>0</v>
      </c>
      <c r="N132" s="27">
        <f>COGS!N132+'SG&amp;A'!N132</f>
        <v>0</v>
      </c>
      <c r="O132" s="27">
        <f>COGS!O132+'SG&amp;A'!O132</f>
        <v>0</v>
      </c>
      <c r="P132" s="27">
        <f>COGS!P132+'SG&amp;A'!P132</f>
        <v>0</v>
      </c>
      <c r="Q132" s="27">
        <f>COGS!Q132+'SG&amp;A'!Q132</f>
        <v>0</v>
      </c>
      <c r="R132" s="27">
        <f>COGS!R132+'SG&amp;A'!R132</f>
        <v>0</v>
      </c>
      <c r="S132" s="27">
        <f>COGS!S132+'SG&amp;A'!S132</f>
        <v>0</v>
      </c>
      <c r="T132" s="27">
        <f>COGS!T132+'SG&amp;A'!T132</f>
        <v>0</v>
      </c>
      <c r="U132" s="27">
        <f>COGS!U132+'SG&amp;A'!U132</f>
        <v>0</v>
      </c>
      <c r="V132" s="27">
        <f>COGS!V132+'SG&amp;A'!V132</f>
        <v>0</v>
      </c>
      <c r="W132" s="27">
        <f>COGS!W132+'SG&amp;A'!W132</f>
        <v>0</v>
      </c>
      <c r="X132" s="27">
        <f>COGS!X132+'SG&amp;A'!X132</f>
        <v>0</v>
      </c>
      <c r="Y132" s="27">
        <f>COGS!Y132+'SG&amp;A'!Y132</f>
        <v>0</v>
      </c>
      <c r="Z132" s="27">
        <f>COGS!Z132+'SG&amp;A'!Z132</f>
        <v>0</v>
      </c>
      <c r="AA132" s="27">
        <f>COGS!AA132+'SG&amp;A'!AA132</f>
        <v>0</v>
      </c>
      <c r="AB132" s="27">
        <f>COGS!AB132+'SG&amp;A'!AB132</f>
        <v>0</v>
      </c>
      <c r="AC132" s="27">
        <f>COGS!AC132+'SG&amp;A'!AC132</f>
        <v>0</v>
      </c>
      <c r="AD132" s="27">
        <f>COGS!AD132+'SG&amp;A'!AD132</f>
        <v>0</v>
      </c>
      <c r="AE132" s="27">
        <f>COGS!AE132+'SG&amp;A'!AE132</f>
        <v>0</v>
      </c>
      <c r="AF132" s="27">
        <f>COGS!AF132+'SG&amp;A'!AF132</f>
        <v>0</v>
      </c>
      <c r="AG132" s="27">
        <f>COGS!AG132+'SG&amp;A'!AG132</f>
        <v>0</v>
      </c>
      <c r="AH132" s="27">
        <f>COGS!AH132+'SG&amp;A'!AH132</f>
        <v>0</v>
      </c>
      <c r="AI132" s="27">
        <f>COGS!AI132+'SG&amp;A'!AI132</f>
        <v>0</v>
      </c>
      <c r="AJ132" s="27">
        <f>COGS!AJ132+'SG&amp;A'!AJ132</f>
        <v>0</v>
      </c>
      <c r="AK132" s="27">
        <f>COGS!AK132+'SG&amp;A'!AK132</f>
        <v>0</v>
      </c>
      <c r="AL132" s="27">
        <f>COGS!AL132+'SG&amp;A'!AL132</f>
        <v>0</v>
      </c>
      <c r="AM132" s="27">
        <f>COGS!AM132+'SG&amp;A'!AM132</f>
        <v>0</v>
      </c>
      <c r="AN132" s="27">
        <f>COGS!AN132+'SG&amp;A'!AN132</f>
        <v>0</v>
      </c>
      <c r="AO132" s="27">
        <f>COGS!AO132+'SG&amp;A'!AO132</f>
        <v>0</v>
      </c>
      <c r="AP132" s="27">
        <f>COGS!AP132+'SG&amp;A'!AP132</f>
        <v>0</v>
      </c>
      <c r="AQ132" s="27">
        <f>COGS!AQ132+'SG&amp;A'!AQ132</f>
        <v>0</v>
      </c>
      <c r="AR132" s="27">
        <f>COGS!AR132+'SG&amp;A'!AR132</f>
        <v>0</v>
      </c>
      <c r="AS132" s="27">
        <f>COGS!AS132+'SG&amp;A'!AS132</f>
        <v>0</v>
      </c>
      <c r="AT132" s="27">
        <f>COGS!AT132+'SG&amp;A'!AT132</f>
        <v>0</v>
      </c>
      <c r="AU132" s="27">
        <f>COGS!AU132+'SG&amp;A'!AU132</f>
        <v>0</v>
      </c>
      <c r="AV132" s="27">
        <f>COGS!AV132+'SG&amp;A'!AV132</f>
        <v>0</v>
      </c>
      <c r="AW132" s="27">
        <f>COGS!AW132+'SG&amp;A'!AW132</f>
        <v>0</v>
      </c>
      <c r="AX132" s="27">
        <f>COGS!AX132+'SG&amp;A'!AX132</f>
        <v>0</v>
      </c>
      <c r="AY132" s="27">
        <f>COGS!AY132+'SG&amp;A'!AY132</f>
        <v>0</v>
      </c>
      <c r="AZ132" s="27">
        <f>COGS!AZ132+'SG&amp;A'!AZ132</f>
        <v>0</v>
      </c>
      <c r="BA132" s="27">
        <f>COGS!BA132+'SG&amp;A'!BA132</f>
        <v>0</v>
      </c>
      <c r="BB132" s="27">
        <f>COGS!BB132+'SG&amp;A'!BB132</f>
        <v>0</v>
      </c>
      <c r="BC132" s="27">
        <f>COGS!BC132+'SG&amp;A'!BC132</f>
        <v>0</v>
      </c>
      <c r="BD132" s="27">
        <f>COGS!BD132+'SG&amp;A'!BD132</f>
        <v>0</v>
      </c>
      <c r="BE132" s="27">
        <f>COGS!BE132+'SG&amp;A'!BE132</f>
        <v>0</v>
      </c>
      <c r="BF132" s="27">
        <f>COGS!BF132+'SG&amp;A'!BF132</f>
        <v>0</v>
      </c>
      <c r="BG132" s="27">
        <f>COGS!BG132+'SG&amp;A'!BG132</f>
        <v>0</v>
      </c>
      <c r="BH132" s="27">
        <f>COGS!BH132+'SG&amp;A'!BH132</f>
        <v>0</v>
      </c>
      <c r="BI132" s="27">
        <f>COGS!BI132+'SG&amp;A'!BI132</f>
        <v>0</v>
      </c>
      <c r="BJ132" s="27">
        <f>COGS!BJ132+'SG&amp;A'!BJ132</f>
        <v>7.2826526600000001</v>
      </c>
      <c r="BK132" s="27">
        <f>COGS!BK132+'SG&amp;A'!BK132</f>
        <v>7.3294424400000011</v>
      </c>
      <c r="BL132" s="27">
        <f>COGS!BL132+'SG&amp;A'!BL132</f>
        <v>7.3727746199999977</v>
      </c>
      <c r="BM132" s="27">
        <f>COGS!BM132+'SG&amp;A'!BM132</f>
        <v>5.3958596800000009</v>
      </c>
      <c r="BN132" s="27">
        <f>COGS!BN132+'SG&amp;A'!BN132</f>
        <v>27.3807294</v>
      </c>
      <c r="BO132" s="27">
        <f>COGS!BO132+'SG&amp;A'!BO132</f>
        <v>1.26516473</v>
      </c>
      <c r="BP132" s="27">
        <f>COGS!BP132+'SG&amp;A'!BP132</f>
        <v>1.31407389</v>
      </c>
      <c r="BQ132" s="27">
        <f>COGS!BQ132+'SG&amp;A'!BQ132</f>
        <v>1.3904528000000003</v>
      </c>
      <c r="BR132" s="27">
        <f>COGS!BR132+'SG&amp;A'!BR132</f>
        <v>1.4211031800000002</v>
      </c>
      <c r="BS132" s="27">
        <f>COGS!BS132+'SG&amp;A'!BS132</f>
        <v>5.3907946000000004</v>
      </c>
      <c r="BT132" s="27">
        <f>COGS!BT132+'SG&amp;A'!BT132</f>
        <v>1.4798952300000001</v>
      </c>
      <c r="BU132" s="27">
        <f>COGS!BU132+'SG&amp;A'!BU132</f>
        <v>1.7409699099999998</v>
      </c>
      <c r="BV132" s="27">
        <f>COGS!BV132+'SG&amp;A'!BV132</f>
        <v>1.7985524200000003</v>
      </c>
      <c r="BW132" s="27">
        <f>COGS!BW132+'SG&amp;A'!BW132</f>
        <v>1.8478599199999997</v>
      </c>
      <c r="BX132" s="27">
        <f>COGS!BX132+'SG&amp;A'!BX132</f>
        <v>6.8672774799999994</v>
      </c>
      <c r="BY132" s="27">
        <f>COGS!BY132+'SG&amp;A'!BY132</f>
        <v>1.9110934900000001</v>
      </c>
      <c r="BZ132" s="27">
        <f>COGS!BZ132+'SG&amp;A'!BZ132</f>
        <v>2.0122621799999996</v>
      </c>
      <c r="CA132" s="27">
        <f>COGS!CA132+'SG&amp;A'!CA132</f>
        <v>2.0827259000000007</v>
      </c>
      <c r="CB132" s="27">
        <f>COGS!CB132+'SG&amp;A'!CB132</f>
        <v>2.1644461799999997</v>
      </c>
      <c r="CC132" s="27">
        <f>COGS!CC132+'SG&amp;A'!CC132</f>
        <v>8.1705277499999998</v>
      </c>
      <c r="CD132" s="27">
        <f>COGS!CD132+'SG&amp;A'!CD132</f>
        <v>2.3377356900000001</v>
      </c>
      <c r="CE132" s="27">
        <f>COGS!CE132+'SG&amp;A'!CE132</f>
        <v>2.4756956299999993</v>
      </c>
      <c r="CF132" s="27">
        <f>COGS!CF132+'SG&amp;A'!CF132</f>
        <v>2.5011773499999994</v>
      </c>
      <c r="CG132" s="27">
        <f>COGS!CG132+'SG&amp;A'!CG132</f>
        <v>2.5912732800000033</v>
      </c>
      <c r="CH132" s="27">
        <f>COGS!CH132+'SG&amp;A'!CH132</f>
        <v>9.9058819500000013</v>
      </c>
      <c r="CI132" s="27">
        <f>COGS!CI132+'SG&amp;A'!CI132</f>
        <v>2.8289677200000001</v>
      </c>
      <c r="CJ132" s="27">
        <f>COGS!CJ132+'SG&amp;A'!CJ132</f>
        <v>2.9297854999999999</v>
      </c>
      <c r="CK132" s="27">
        <f>COGS!CK132+'SG&amp;A'!CK132</f>
        <v>2.9537902900000002</v>
      </c>
      <c r="CL132" s="27">
        <f>COGS!CL132+'SG&amp;A'!CL132</f>
        <v>2.9360082000000012</v>
      </c>
      <c r="CM132" s="27">
        <f>COGS!CM132+'SG&amp;A'!CM132</f>
        <v>11.648551710000001</v>
      </c>
      <c r="CN132" s="27">
        <f>COGS!CN132+'SG&amp;A'!CN132</f>
        <v>2.9496284500000001</v>
      </c>
      <c r="CO132" s="27">
        <f>COGS!CO132+'SG&amp;A'!CO132</f>
        <v>2.9702579500000001</v>
      </c>
      <c r="CP132" s="27">
        <f>COGS!CP132+'SG&amp;A'!CP132</f>
        <v>3.0053386799999999</v>
      </c>
      <c r="CQ132" s="27">
        <f>COGS!CQ132+'SG&amp;A'!CQ132</f>
        <v>3.0617749199999995</v>
      </c>
      <c r="CR132" s="27">
        <f>COGS!CR132+'SG&amp;A'!CR132</f>
        <v>11.987</v>
      </c>
      <c r="CS132" s="27">
        <f>COGS!CS132+'SG&amp;A'!CS132</f>
        <v>3.1175491600000003</v>
      </c>
      <c r="CT132" s="27">
        <f>COGS!CT132+'SG&amp;A'!CT132</f>
        <v>2.89806045</v>
      </c>
      <c r="CU132" s="27">
        <f>COGS!CU132+'SG&amp;A'!CU132</f>
        <v>2.8479906100000001</v>
      </c>
      <c r="CV132" s="27">
        <f>COGS!CV132+'SG&amp;A'!CV132</f>
        <v>2.8320159900000004</v>
      </c>
      <c r="CW132" s="27">
        <f>COGS!CW132+'SG&amp;A'!CW132</f>
        <v>11.695616210000001</v>
      </c>
      <c r="CX132" s="27">
        <f>COGS!CX132+'SG&amp;A'!CX132</f>
        <v>2.8210000000000002</v>
      </c>
      <c r="CY132" s="27">
        <f>COGS!CY132+'SG&amp;A'!CY132</f>
        <v>2.8769999999999998</v>
      </c>
      <c r="CZ132" s="27">
        <f>COGS!CZ132+'SG&amp;A'!CZ132</f>
        <v>3.0209999999999999</v>
      </c>
      <c r="DA132" s="27">
        <f>COGS!DA132+'SG&amp;A'!DA132</f>
        <v>2.992</v>
      </c>
      <c r="DB132" s="27">
        <f>COGS!DB132+'SG&amp;A'!DB132</f>
        <v>11.711000000000002</v>
      </c>
      <c r="DC132" s="27">
        <f>COGS!DC132+'SG&amp;A'!DC132</f>
        <v>3.3279999999999998</v>
      </c>
      <c r="DD132" s="27">
        <f>COGS!DD132+'SG&amp;A'!DD132</f>
        <v>3.145</v>
      </c>
      <c r="DE132" s="27">
        <f>COGS!DE132+'SG&amp;A'!DE132</f>
        <v>3.0070000000000001</v>
      </c>
      <c r="DF132" s="27">
        <f>COGS!DF132+'SG&amp;A'!DF132</f>
        <v>2.899</v>
      </c>
      <c r="DG132" s="27">
        <f>COGS!DG132+'SG&amp;A'!DG132</f>
        <v>12.379000000000001</v>
      </c>
      <c r="DH132" s="27">
        <f>COGS!DH132+'SG&amp;A'!DH132</f>
        <v>4.1280000000000001</v>
      </c>
      <c r="DI132" s="27">
        <f>COGS!DI132+'SG&amp;A'!DI132</f>
        <v>4.2690000000000001</v>
      </c>
      <c r="DJ132" s="27">
        <f>COGS!DJ132+'SG&amp;A'!DJ132</f>
        <v>4.2640000000000002</v>
      </c>
      <c r="DK132" s="27">
        <f>COGS!DK132+'SG&amp;A'!DK132</f>
        <v>3.722</v>
      </c>
      <c r="DL132" s="27">
        <f>COGS!DL132+'SG&amp;A'!DL132</f>
        <v>16.383000000000003</v>
      </c>
      <c r="DM132" s="27">
        <f>COGS!DM132+'SG&amp;A'!DM132</f>
        <v>3.8730000000000002</v>
      </c>
      <c r="DN132" s="27">
        <f>COGS!DN132+'SG&amp;A'!DN132</f>
        <v>4.8380000000000001</v>
      </c>
      <c r="DO132" s="27">
        <f>COGS!DO132+'SG&amp;A'!DO132</f>
        <v>4.4870000000000001</v>
      </c>
      <c r="DP132" s="27">
        <f>COGS!DP132+'SG&amp;A'!DP132</f>
        <v>4.68</v>
      </c>
      <c r="DQ132" s="27">
        <f>COGS!DQ132+'SG&amp;A'!DQ132</f>
        <v>17.878</v>
      </c>
      <c r="DR132" s="27">
        <f>COGS!DR132+'SG&amp;A'!DR132</f>
        <v>4.9059999999999997</v>
      </c>
      <c r="DS132" s="27">
        <f>COGS!DS132+'SG&amp;A'!DS132</f>
        <v>5.1209999999999996</v>
      </c>
      <c r="DT132" s="27">
        <f>COGS!DT132+'SG&amp;A'!DT132</f>
        <v>5.9880000000000004</v>
      </c>
      <c r="DU132" s="27">
        <f>COGS!DU132+'SG&amp;A'!DU132</f>
        <v>7.3929999999999998</v>
      </c>
      <c r="DV132" s="27">
        <f>COGS!DV132+'SG&amp;A'!DV132</f>
        <v>23.407999999999998</v>
      </c>
      <c r="DW132" s="27">
        <f>COGS!DW132+'SG&amp;A'!DW132</f>
        <v>5.9329999999999998</v>
      </c>
      <c r="DX132" s="27">
        <f>COGS!DX132+'SG&amp;A'!DX132</f>
        <v>5.8253653000000005</v>
      </c>
      <c r="DY132" s="27">
        <f>COGS!DY132+'SG&amp;A'!DY132</f>
        <v>7.0226612499999987</v>
      </c>
      <c r="DZ132" s="27">
        <f>COGS!DZ132+'SG&amp;A'!DZ132</f>
        <v>8.3583496500000027</v>
      </c>
      <c r="EA132" s="27">
        <f>COGS!EA132+'SG&amp;A'!EA132</f>
        <v>27.139376200000005</v>
      </c>
      <c r="EB132" s="27">
        <f>COGS!EB132+'SG&amp;A'!EB132</f>
        <v>8.2006811800000001</v>
      </c>
      <c r="EC132" s="27">
        <f>COGS!EC132+'SG&amp;A'!EC132</f>
        <v>8.8682075499999993</v>
      </c>
      <c r="ED132" s="27">
        <f>COGS!ED132+'SG&amp;A'!ED132</f>
        <v>10.788</v>
      </c>
      <c r="EE132" s="27">
        <f>COGS!EE132+'SG&amp;A'!EE132</f>
        <v>12.783115440000003</v>
      </c>
      <c r="EF132" s="27">
        <f>COGS!EF132+'SG&amp;A'!EF132</f>
        <v>40.640004170000005</v>
      </c>
      <c r="EG132" s="27">
        <f>COGS!EG132+'SG&amp;A'!EG132</f>
        <v>12.150430930000001</v>
      </c>
      <c r="EH132" s="27">
        <f>COGS!EH132+'SG&amp;A'!EH132</f>
        <v>11.57648803</v>
      </c>
      <c r="EI132" s="27">
        <f>COGS!EI132+'SG&amp;A'!EI132</f>
        <v>15.344884419999998</v>
      </c>
    </row>
    <row r="133" spans="1:139" ht="15" thickBot="1" x14ac:dyDescent="0.35">
      <c r="A133" s="2" t="s">
        <v>323</v>
      </c>
      <c r="B133" s="28">
        <f>COGS!B133+'SG&amp;A'!B133</f>
        <v>0</v>
      </c>
      <c r="C133" s="28">
        <f>COGS!C133+'SG&amp;A'!C133</f>
        <v>0</v>
      </c>
      <c r="D133" s="28">
        <f>COGS!D133+'SG&amp;A'!D133</f>
        <v>0</v>
      </c>
      <c r="E133" s="28">
        <f>COGS!E133+'SG&amp;A'!E133</f>
        <v>0</v>
      </c>
      <c r="F133" s="28">
        <f>COGS!F133+'SG&amp;A'!F133</f>
        <v>0</v>
      </c>
      <c r="G133" s="28">
        <f>COGS!G133+'SG&amp;A'!G133</f>
        <v>0</v>
      </c>
      <c r="H133" s="28">
        <f>COGS!H133+'SG&amp;A'!H133</f>
        <v>0</v>
      </c>
      <c r="I133" s="28">
        <f>COGS!I133+'SG&amp;A'!I133</f>
        <v>0</v>
      </c>
      <c r="J133" s="28">
        <f>COGS!J133+'SG&amp;A'!J133</f>
        <v>0</v>
      </c>
      <c r="K133" s="28">
        <f>COGS!K133+'SG&amp;A'!K133</f>
        <v>0</v>
      </c>
      <c r="L133" s="28">
        <f>COGS!L133+'SG&amp;A'!L133</f>
        <v>0</v>
      </c>
      <c r="M133" s="28">
        <f>COGS!M133+'SG&amp;A'!M133</f>
        <v>0</v>
      </c>
      <c r="N133" s="28">
        <f>COGS!N133+'SG&amp;A'!N133</f>
        <v>0</v>
      </c>
      <c r="O133" s="28">
        <f>COGS!O133+'SG&amp;A'!O133</f>
        <v>0</v>
      </c>
      <c r="P133" s="28">
        <f>COGS!P133+'SG&amp;A'!P133</f>
        <v>0</v>
      </c>
      <c r="Q133" s="28">
        <f>COGS!Q133+'SG&amp;A'!Q133</f>
        <v>0</v>
      </c>
      <c r="R133" s="28">
        <f>COGS!R133+'SG&amp;A'!R133</f>
        <v>0</v>
      </c>
      <c r="S133" s="28">
        <f>COGS!S133+'SG&amp;A'!S133</f>
        <v>0</v>
      </c>
      <c r="T133" s="28">
        <f>COGS!T133+'SG&amp;A'!T133</f>
        <v>0</v>
      </c>
      <c r="U133" s="28">
        <f>COGS!U133+'SG&amp;A'!U133</f>
        <v>0</v>
      </c>
      <c r="V133" s="28">
        <f>COGS!V133+'SG&amp;A'!V133</f>
        <v>0</v>
      </c>
      <c r="W133" s="28">
        <f>COGS!W133+'SG&amp;A'!W133</f>
        <v>0</v>
      </c>
      <c r="X133" s="28">
        <f>COGS!X133+'SG&amp;A'!X133</f>
        <v>0</v>
      </c>
      <c r="Y133" s="28">
        <f>COGS!Y133+'SG&amp;A'!Y133</f>
        <v>0</v>
      </c>
      <c r="Z133" s="28">
        <f>COGS!Z133+'SG&amp;A'!Z133</f>
        <v>0</v>
      </c>
      <c r="AA133" s="28">
        <f>COGS!AA133+'SG&amp;A'!AA133</f>
        <v>0</v>
      </c>
      <c r="AB133" s="28">
        <f>COGS!AB133+'SG&amp;A'!AB133</f>
        <v>0</v>
      </c>
      <c r="AC133" s="28">
        <f>COGS!AC133+'SG&amp;A'!AC133</f>
        <v>0</v>
      </c>
      <c r="AD133" s="28">
        <f>COGS!AD133+'SG&amp;A'!AD133</f>
        <v>0</v>
      </c>
      <c r="AE133" s="28">
        <f>COGS!AE133+'SG&amp;A'!AE133</f>
        <v>0</v>
      </c>
      <c r="AF133" s="28">
        <f>COGS!AF133+'SG&amp;A'!AF133</f>
        <v>0</v>
      </c>
      <c r="AG133" s="28">
        <f>COGS!AG133+'SG&amp;A'!AG133</f>
        <v>0</v>
      </c>
      <c r="AH133" s="28">
        <f>COGS!AH133+'SG&amp;A'!AH133</f>
        <v>0</v>
      </c>
      <c r="AI133" s="28">
        <f>COGS!AI133+'SG&amp;A'!AI133</f>
        <v>0</v>
      </c>
      <c r="AJ133" s="28">
        <f>COGS!AJ133+'SG&amp;A'!AJ133</f>
        <v>0</v>
      </c>
      <c r="AK133" s="28">
        <f>COGS!AK133+'SG&amp;A'!AK133</f>
        <v>0</v>
      </c>
      <c r="AL133" s="28">
        <f>COGS!AL133+'SG&amp;A'!AL133</f>
        <v>0</v>
      </c>
      <c r="AM133" s="28">
        <f>COGS!AM133+'SG&amp;A'!AM133</f>
        <v>0</v>
      </c>
      <c r="AN133" s="28">
        <f>COGS!AN133+'SG&amp;A'!AN133</f>
        <v>0</v>
      </c>
      <c r="AO133" s="28">
        <f>COGS!AO133+'SG&amp;A'!AO133</f>
        <v>0</v>
      </c>
      <c r="AP133" s="28">
        <f>COGS!AP133+'SG&amp;A'!AP133</f>
        <v>0</v>
      </c>
      <c r="AQ133" s="28">
        <f>COGS!AQ133+'SG&amp;A'!AQ133</f>
        <v>0</v>
      </c>
      <c r="AR133" s="28">
        <f>COGS!AR133+'SG&amp;A'!AR133</f>
        <v>0</v>
      </c>
      <c r="AS133" s="28">
        <f>COGS!AS133+'SG&amp;A'!AS133</f>
        <v>0</v>
      </c>
      <c r="AT133" s="28">
        <f>COGS!AT133+'SG&amp;A'!AT133</f>
        <v>0</v>
      </c>
      <c r="AU133" s="28">
        <f>COGS!AU133+'SG&amp;A'!AU133</f>
        <v>0</v>
      </c>
      <c r="AV133" s="28">
        <f>COGS!AV133+'SG&amp;A'!AV133</f>
        <v>0</v>
      </c>
      <c r="AW133" s="28">
        <f>COGS!AW133+'SG&amp;A'!AW133</f>
        <v>0</v>
      </c>
      <c r="AX133" s="28">
        <f>COGS!AX133+'SG&amp;A'!AX133</f>
        <v>0</v>
      </c>
      <c r="AY133" s="28">
        <f>COGS!AY133+'SG&amp;A'!AY133</f>
        <v>0</v>
      </c>
      <c r="AZ133" s="28">
        <f>COGS!AZ133+'SG&amp;A'!AZ133</f>
        <v>0</v>
      </c>
      <c r="BA133" s="28">
        <f>COGS!BA133+'SG&amp;A'!BA133</f>
        <v>0</v>
      </c>
      <c r="BB133" s="28">
        <f>COGS!BB133+'SG&amp;A'!BB133</f>
        <v>0</v>
      </c>
      <c r="BC133" s="28">
        <f>COGS!BC133+'SG&amp;A'!BC133</f>
        <v>0</v>
      </c>
      <c r="BD133" s="28">
        <f>COGS!BD133+'SG&amp;A'!BD133</f>
        <v>0</v>
      </c>
      <c r="BE133" s="28">
        <f>COGS!BE133+'SG&amp;A'!BE133</f>
        <v>0</v>
      </c>
      <c r="BF133" s="28">
        <f>COGS!BF133+'SG&amp;A'!BF133</f>
        <v>0</v>
      </c>
      <c r="BG133" s="28">
        <f>COGS!BG133+'SG&amp;A'!BG133</f>
        <v>0</v>
      </c>
      <c r="BH133" s="28">
        <f>COGS!BH133+'SG&amp;A'!BH133</f>
        <v>0</v>
      </c>
      <c r="BI133" s="28">
        <f>COGS!BI133+'SG&amp;A'!BI133</f>
        <v>0</v>
      </c>
      <c r="BJ133" s="28">
        <f>COGS!BJ133+'SG&amp;A'!BJ133</f>
        <v>0</v>
      </c>
      <c r="BK133" s="28">
        <f>COGS!BK133+'SG&amp;A'!BK133</f>
        <v>0</v>
      </c>
      <c r="BL133" s="28">
        <f>COGS!BL133+'SG&amp;A'!BL133</f>
        <v>0</v>
      </c>
      <c r="BM133" s="28">
        <f>COGS!BM133+'SG&amp;A'!BM133</f>
        <v>0</v>
      </c>
      <c r="BN133" s="28">
        <f>COGS!BN133+'SG&amp;A'!BN133</f>
        <v>0</v>
      </c>
      <c r="BO133" s="28">
        <f>COGS!BO133+'SG&amp;A'!BO133</f>
        <v>0</v>
      </c>
      <c r="BP133" s="28">
        <f>COGS!BP133+'SG&amp;A'!BP133</f>
        <v>0</v>
      </c>
      <c r="BQ133" s="28">
        <f>COGS!BQ133+'SG&amp;A'!BQ133</f>
        <v>0</v>
      </c>
      <c r="BR133" s="28">
        <f>COGS!BR133+'SG&amp;A'!BR133</f>
        <v>0</v>
      </c>
      <c r="BS133" s="28">
        <f>COGS!BS133+'SG&amp;A'!BS133</f>
        <v>0</v>
      </c>
      <c r="BT133" s="28">
        <f>COGS!BT133+'SG&amp;A'!BT133</f>
        <v>0</v>
      </c>
      <c r="BU133" s="28">
        <f>COGS!BU133+'SG&amp;A'!BU133</f>
        <v>0</v>
      </c>
      <c r="BV133" s="28">
        <f>COGS!BV133+'SG&amp;A'!BV133</f>
        <v>0</v>
      </c>
      <c r="BW133" s="28">
        <f>COGS!BW133+'SG&amp;A'!BW133</f>
        <v>0</v>
      </c>
      <c r="BX133" s="28">
        <f>COGS!BX133+'SG&amp;A'!BX133</f>
        <v>0</v>
      </c>
      <c r="BY133" s="28">
        <f>COGS!BY133+'SG&amp;A'!BY133</f>
        <v>0</v>
      </c>
      <c r="BZ133" s="28">
        <f>COGS!BZ133+'SG&amp;A'!BZ133</f>
        <v>0</v>
      </c>
      <c r="CA133" s="28">
        <f>COGS!CA133+'SG&amp;A'!CA133</f>
        <v>0</v>
      </c>
      <c r="CB133" s="28">
        <f>COGS!CB133+'SG&amp;A'!CB133</f>
        <v>0</v>
      </c>
      <c r="CC133" s="28">
        <f>COGS!CC133+'SG&amp;A'!CC133</f>
        <v>0</v>
      </c>
      <c r="CD133" s="28">
        <f>COGS!CD133+'SG&amp;A'!CD133</f>
        <v>0</v>
      </c>
      <c r="CE133" s="28">
        <f>COGS!CE133+'SG&amp;A'!CE133</f>
        <v>0</v>
      </c>
      <c r="CF133" s="28">
        <f>COGS!CF133+'SG&amp;A'!CF133</f>
        <v>0</v>
      </c>
      <c r="CG133" s="28">
        <f>COGS!CG133+'SG&amp;A'!CG133</f>
        <v>0</v>
      </c>
      <c r="CH133" s="28">
        <f>COGS!CH133+'SG&amp;A'!CH133</f>
        <v>0</v>
      </c>
      <c r="CI133" s="28">
        <f>COGS!CI133+'SG&amp;A'!CI133</f>
        <v>0</v>
      </c>
      <c r="CJ133" s="28">
        <f>COGS!CJ133+'SG&amp;A'!CJ133</f>
        <v>0</v>
      </c>
      <c r="CK133" s="28">
        <f>COGS!CK133+'SG&amp;A'!CK133</f>
        <v>0</v>
      </c>
      <c r="CL133" s="28">
        <f>COGS!CL133+'SG&amp;A'!CL133</f>
        <v>0</v>
      </c>
      <c r="CM133" s="28">
        <f>COGS!CM133+'SG&amp;A'!CM133</f>
        <v>0</v>
      </c>
      <c r="CN133" s="28">
        <f>COGS!CN133+'SG&amp;A'!CN133</f>
        <v>0</v>
      </c>
      <c r="CO133" s="28">
        <f>COGS!CO133+'SG&amp;A'!CO133</f>
        <v>0</v>
      </c>
      <c r="CP133" s="28">
        <f>COGS!CP133+'SG&amp;A'!CP133</f>
        <v>0</v>
      </c>
      <c r="CQ133" s="28">
        <f>COGS!CQ133+'SG&amp;A'!CQ133</f>
        <v>0</v>
      </c>
      <c r="CR133" s="28">
        <f>COGS!CR133+'SG&amp;A'!CR133</f>
        <v>0</v>
      </c>
      <c r="CS133" s="28">
        <f>COGS!CS133+'SG&amp;A'!CS133</f>
        <v>0</v>
      </c>
      <c r="CT133" s="28">
        <f>COGS!CT133+'SG&amp;A'!CT133</f>
        <v>0</v>
      </c>
      <c r="CU133" s="28">
        <f>COGS!CU133+'SG&amp;A'!CU133</f>
        <v>0</v>
      </c>
      <c r="CV133" s="28">
        <f>COGS!CV133+'SG&amp;A'!CV133</f>
        <v>0</v>
      </c>
      <c r="CW133" s="28">
        <f>COGS!CW133+'SG&amp;A'!CW133</f>
        <v>0</v>
      </c>
      <c r="CX133" s="28">
        <f>COGS!CX133+'SG&amp;A'!CX133</f>
        <v>0</v>
      </c>
      <c r="CY133" s="28">
        <f>COGS!CY133+'SG&amp;A'!CY133</f>
        <v>0</v>
      </c>
      <c r="CZ133" s="28">
        <f>COGS!CZ133+'SG&amp;A'!CZ133</f>
        <v>0</v>
      </c>
      <c r="DA133" s="28">
        <f>COGS!DA133+'SG&amp;A'!DA133</f>
        <v>0</v>
      </c>
      <c r="DB133" s="28">
        <f>COGS!DB133+'SG&amp;A'!DB133</f>
        <v>0</v>
      </c>
      <c r="DC133" s="28">
        <f>COGS!DC133+'SG&amp;A'!DC133</f>
        <v>0</v>
      </c>
      <c r="DD133" s="28">
        <f>COGS!DD133+'SG&amp;A'!DD133</f>
        <v>0</v>
      </c>
      <c r="DE133" s="28">
        <f>COGS!DE133+'SG&amp;A'!DE133</f>
        <v>0</v>
      </c>
      <c r="DF133" s="28">
        <f>COGS!DF133+'SG&amp;A'!DF133</f>
        <v>0</v>
      </c>
      <c r="DG133" s="28">
        <f>COGS!DG133+'SG&amp;A'!DG133</f>
        <v>0</v>
      </c>
      <c r="DH133" s="28">
        <f>COGS!DH133+'SG&amp;A'!DH133</f>
        <v>0</v>
      </c>
      <c r="DI133" s="28">
        <f>COGS!DI133+'SG&amp;A'!DI133</f>
        <v>0</v>
      </c>
      <c r="DJ133" s="28">
        <f>COGS!DJ133+'SG&amp;A'!DJ133</f>
        <v>0</v>
      </c>
      <c r="DK133" s="28">
        <f>COGS!DK133+'SG&amp;A'!DK133</f>
        <v>0</v>
      </c>
      <c r="DL133" s="28">
        <f>COGS!DL133+'SG&amp;A'!DL133</f>
        <v>0</v>
      </c>
      <c r="DM133" s="28">
        <f>COGS!DM133+'SG&amp;A'!DM133</f>
        <v>0</v>
      </c>
      <c r="DN133" s="28">
        <f>COGS!DN133+'SG&amp;A'!DN133</f>
        <v>0</v>
      </c>
      <c r="DO133" s="28">
        <f>COGS!DO133+'SG&amp;A'!DO133</f>
        <v>0</v>
      </c>
      <c r="DP133" s="28">
        <f>COGS!DP133+'SG&amp;A'!DP133</f>
        <v>0</v>
      </c>
      <c r="DQ133" s="28">
        <f>COGS!DQ133+'SG&amp;A'!DQ133</f>
        <v>0</v>
      </c>
      <c r="DR133" s="28">
        <f>COGS!DR133+'SG&amp;A'!DR133</f>
        <v>0</v>
      </c>
      <c r="DS133" s="28">
        <f>COGS!DS133+'SG&amp;A'!DS133</f>
        <v>0</v>
      </c>
      <c r="DT133" s="28">
        <f>COGS!DT133+'SG&amp;A'!DT133</f>
        <v>0</v>
      </c>
      <c r="DU133" s="28">
        <f>COGS!DU133+'SG&amp;A'!DU133</f>
        <v>0</v>
      </c>
      <c r="DV133" s="28">
        <f>COGS!DV133+'SG&amp;A'!DV133</f>
        <v>0</v>
      </c>
      <c r="DW133" s="28">
        <f>COGS!DW133+'SG&amp;A'!DW133</f>
        <v>0</v>
      </c>
      <c r="DX133" s="28">
        <f>COGS!DX133+'SG&amp;A'!DX133</f>
        <v>0</v>
      </c>
      <c r="DY133" s="28">
        <f>COGS!DY133+'SG&amp;A'!DY133</f>
        <v>0</v>
      </c>
      <c r="DZ133" s="28">
        <f>COGS!DZ133+'SG&amp;A'!DZ133</f>
        <v>0</v>
      </c>
      <c r="EA133" s="28">
        <f>COGS!EA133+'SG&amp;A'!EA133</f>
        <v>0</v>
      </c>
      <c r="EB133" s="28">
        <f>COGS!EB133+'SG&amp;A'!EB133</f>
        <v>0</v>
      </c>
      <c r="EC133" s="28">
        <f>COGS!EC133+'SG&amp;A'!EC133</f>
        <v>0</v>
      </c>
      <c r="ED133" s="28">
        <f>COGS!ED133+'SG&amp;A'!ED133</f>
        <v>0</v>
      </c>
      <c r="EE133" s="28">
        <f>COGS!EE133+'SG&amp;A'!EE133</f>
        <v>0</v>
      </c>
      <c r="EF133" s="28">
        <f>COGS!EF133+'SG&amp;A'!EF133</f>
        <v>0</v>
      </c>
      <c r="EG133" s="28">
        <f>COGS!EG133+'SG&amp;A'!EG133</f>
        <v>0</v>
      </c>
      <c r="EH133" s="28">
        <f>COGS!EH133+'SG&amp;A'!EH133</f>
        <v>0</v>
      </c>
      <c r="EI133" s="28">
        <f>COGS!EI133+'SG&amp;A'!EI133</f>
        <v>0</v>
      </c>
    </row>
    <row r="134" spans="1:139" ht="15" thickTop="1" x14ac:dyDescent="0.3">
      <c r="A134" s="1" t="s">
        <v>322</v>
      </c>
      <c r="B134" s="27">
        <f>COGS!B134+'SG&amp;A'!B134</f>
        <v>0</v>
      </c>
      <c r="C134" s="27">
        <f>COGS!C134+'SG&amp;A'!C134</f>
        <v>0</v>
      </c>
      <c r="D134" s="27">
        <f>COGS!D134+'SG&amp;A'!D134</f>
        <v>0</v>
      </c>
      <c r="E134" s="27">
        <f>COGS!E134+'SG&amp;A'!E134</f>
        <v>0</v>
      </c>
      <c r="F134" s="27">
        <f>COGS!F134+'SG&amp;A'!F134</f>
        <v>0</v>
      </c>
      <c r="G134" s="27">
        <f>COGS!G134+'SG&amp;A'!G134</f>
        <v>0</v>
      </c>
      <c r="H134" s="27">
        <f>COGS!H134+'SG&amp;A'!H134</f>
        <v>0</v>
      </c>
      <c r="I134" s="27">
        <f>COGS!I134+'SG&amp;A'!I134</f>
        <v>0</v>
      </c>
      <c r="J134" s="27">
        <f>COGS!J134+'SG&amp;A'!J134</f>
        <v>0</v>
      </c>
      <c r="K134" s="27">
        <f>COGS!K134+'SG&amp;A'!K134</f>
        <v>0</v>
      </c>
      <c r="L134" s="27">
        <f>COGS!L134+'SG&amp;A'!L134</f>
        <v>0</v>
      </c>
      <c r="M134" s="27">
        <f>COGS!M134+'SG&amp;A'!M134</f>
        <v>0</v>
      </c>
      <c r="N134" s="27">
        <f>COGS!N134+'SG&amp;A'!N134</f>
        <v>0</v>
      </c>
      <c r="O134" s="27">
        <f>COGS!O134+'SG&amp;A'!O134</f>
        <v>0</v>
      </c>
      <c r="P134" s="27">
        <f>COGS!P134+'SG&amp;A'!P134</f>
        <v>0</v>
      </c>
      <c r="Q134" s="27">
        <f>COGS!Q134+'SG&amp;A'!Q134</f>
        <v>0</v>
      </c>
      <c r="R134" s="27">
        <f>COGS!R134+'SG&amp;A'!R134</f>
        <v>0</v>
      </c>
      <c r="S134" s="27">
        <f>COGS!S134+'SG&amp;A'!S134</f>
        <v>0</v>
      </c>
      <c r="T134" s="27">
        <f>COGS!T134+'SG&amp;A'!T134</f>
        <v>0</v>
      </c>
      <c r="U134" s="27">
        <f>COGS!U134+'SG&amp;A'!U134</f>
        <v>0</v>
      </c>
      <c r="V134" s="27">
        <f>COGS!V134+'SG&amp;A'!V134</f>
        <v>0</v>
      </c>
      <c r="W134" s="27">
        <f>COGS!W134+'SG&amp;A'!W134</f>
        <v>0</v>
      </c>
      <c r="X134" s="27">
        <f>COGS!X134+'SG&amp;A'!X134</f>
        <v>0</v>
      </c>
      <c r="Y134" s="27">
        <f>COGS!Y134+'SG&amp;A'!Y134</f>
        <v>0</v>
      </c>
      <c r="Z134" s="27">
        <f>COGS!Z134+'SG&amp;A'!Z134</f>
        <v>0</v>
      </c>
      <c r="AA134" s="27">
        <f>COGS!AA134+'SG&amp;A'!AA134</f>
        <v>0</v>
      </c>
      <c r="AB134" s="27">
        <f>COGS!AB134+'SG&amp;A'!AB134</f>
        <v>0</v>
      </c>
      <c r="AC134" s="27">
        <f>COGS!AC134+'SG&amp;A'!AC134</f>
        <v>0</v>
      </c>
      <c r="AD134" s="27">
        <f>COGS!AD134+'SG&amp;A'!AD134</f>
        <v>0</v>
      </c>
      <c r="AE134" s="27">
        <f>COGS!AE134+'SG&amp;A'!AE134</f>
        <v>0</v>
      </c>
      <c r="AF134" s="27">
        <f>COGS!AF134+'SG&amp;A'!AF134</f>
        <v>0</v>
      </c>
      <c r="AG134" s="27">
        <f>COGS!AG134+'SG&amp;A'!AG134</f>
        <v>0</v>
      </c>
      <c r="AH134" s="27">
        <f>COGS!AH134+'SG&amp;A'!AH134</f>
        <v>0</v>
      </c>
      <c r="AI134" s="27">
        <f>COGS!AI134+'SG&amp;A'!AI134</f>
        <v>0</v>
      </c>
      <c r="AJ134" s="27">
        <f>COGS!AJ134+'SG&amp;A'!AJ134</f>
        <v>0</v>
      </c>
      <c r="AK134" s="27">
        <f>COGS!AK134+'SG&amp;A'!AK134</f>
        <v>0</v>
      </c>
      <c r="AL134" s="27">
        <f>COGS!AL134+'SG&amp;A'!AL134</f>
        <v>0</v>
      </c>
      <c r="AM134" s="27">
        <f>COGS!AM134+'SG&amp;A'!AM134</f>
        <v>0</v>
      </c>
      <c r="AN134" s="27">
        <f>COGS!AN134+'SG&amp;A'!AN134</f>
        <v>0</v>
      </c>
      <c r="AO134" s="27">
        <f>COGS!AO134+'SG&amp;A'!AO134</f>
        <v>0</v>
      </c>
      <c r="AP134" s="27">
        <f>COGS!AP134+'SG&amp;A'!AP134</f>
        <v>0</v>
      </c>
      <c r="AQ134" s="27">
        <f>COGS!AQ134+'SG&amp;A'!AQ134</f>
        <v>0</v>
      </c>
      <c r="AR134" s="27">
        <f>COGS!AR134+'SG&amp;A'!AR134</f>
        <v>0</v>
      </c>
      <c r="AS134" s="27">
        <f>COGS!AS134+'SG&amp;A'!AS134</f>
        <v>0</v>
      </c>
      <c r="AT134" s="27">
        <f>COGS!AT134+'SG&amp;A'!AT134</f>
        <v>0</v>
      </c>
      <c r="AU134" s="27">
        <f>COGS!AU134+'SG&amp;A'!AU134</f>
        <v>0</v>
      </c>
      <c r="AV134" s="27">
        <f>COGS!AV134+'SG&amp;A'!AV134</f>
        <v>0</v>
      </c>
      <c r="AW134" s="27">
        <f>COGS!AW134+'SG&amp;A'!AW134</f>
        <v>0</v>
      </c>
      <c r="AX134" s="27">
        <f>COGS!AX134+'SG&amp;A'!AX134</f>
        <v>0</v>
      </c>
      <c r="AY134" s="27">
        <f>COGS!AY134+'SG&amp;A'!AY134</f>
        <v>0</v>
      </c>
      <c r="AZ134" s="27">
        <f>COGS!AZ134+'SG&amp;A'!AZ134</f>
        <v>0</v>
      </c>
      <c r="BA134" s="27">
        <f>COGS!BA134+'SG&amp;A'!BA134</f>
        <v>0</v>
      </c>
      <c r="BB134" s="27">
        <f>COGS!BB134+'SG&amp;A'!BB134</f>
        <v>0</v>
      </c>
      <c r="BC134" s="27">
        <f>COGS!BC134+'SG&amp;A'!BC134</f>
        <v>0</v>
      </c>
      <c r="BD134" s="27">
        <f>COGS!BD134+'SG&amp;A'!BD134</f>
        <v>0</v>
      </c>
      <c r="BE134" s="27">
        <f>COGS!BE134+'SG&amp;A'!BE134</f>
        <v>0</v>
      </c>
      <c r="BF134" s="27">
        <f>COGS!BF134+'SG&amp;A'!BF134</f>
        <v>0</v>
      </c>
      <c r="BG134" s="27">
        <f>COGS!BG134+'SG&amp;A'!BG134</f>
        <v>0</v>
      </c>
      <c r="BH134" s="27">
        <f>COGS!BH134+'SG&amp;A'!BH134</f>
        <v>0</v>
      </c>
      <c r="BI134" s="27">
        <f>COGS!BI134+'SG&amp;A'!BI134</f>
        <v>0</v>
      </c>
      <c r="BJ134" s="27">
        <f>COGS!BJ134+'SG&amp;A'!BJ134</f>
        <v>0</v>
      </c>
      <c r="BK134" s="27">
        <f>COGS!BK134+'SG&amp;A'!BK134</f>
        <v>0</v>
      </c>
      <c r="BL134" s="27">
        <f>COGS!BL134+'SG&amp;A'!BL134</f>
        <v>0</v>
      </c>
      <c r="BM134" s="27">
        <f>COGS!BM134+'SG&amp;A'!BM134</f>
        <v>0</v>
      </c>
      <c r="BN134" s="27">
        <f>COGS!BN134+'SG&amp;A'!BN134</f>
        <v>0</v>
      </c>
      <c r="BO134" s="27">
        <f>COGS!BO134+'SG&amp;A'!BO134</f>
        <v>0</v>
      </c>
      <c r="BP134" s="27">
        <f>COGS!BP134+'SG&amp;A'!BP134</f>
        <v>0</v>
      </c>
      <c r="BQ134" s="27">
        <f>COGS!BQ134+'SG&amp;A'!BQ134</f>
        <v>0</v>
      </c>
      <c r="BR134" s="27">
        <f>COGS!BR134+'SG&amp;A'!BR134</f>
        <v>0</v>
      </c>
      <c r="BS134" s="27">
        <f>COGS!BS134+'SG&amp;A'!BS134</f>
        <v>0</v>
      </c>
      <c r="BT134" s="27">
        <f>COGS!BT134+'SG&amp;A'!BT134</f>
        <v>0</v>
      </c>
      <c r="BU134" s="27">
        <f>COGS!BU134+'SG&amp;A'!BU134</f>
        <v>0</v>
      </c>
      <c r="BV134" s="27">
        <f>COGS!BV134+'SG&amp;A'!BV134</f>
        <v>0</v>
      </c>
      <c r="BW134" s="27">
        <f>COGS!BW134+'SG&amp;A'!BW134</f>
        <v>0</v>
      </c>
      <c r="BX134" s="27">
        <f>COGS!BX134+'SG&amp;A'!BX134</f>
        <v>0</v>
      </c>
      <c r="BY134" s="27">
        <f>COGS!BY134+'SG&amp;A'!BY134</f>
        <v>0</v>
      </c>
      <c r="BZ134" s="27">
        <f>COGS!BZ134+'SG&amp;A'!BZ134</f>
        <v>0</v>
      </c>
      <c r="CA134" s="27">
        <f>COGS!CA134+'SG&amp;A'!CA134</f>
        <v>0</v>
      </c>
      <c r="CB134" s="27">
        <f>COGS!CB134+'SG&amp;A'!CB134</f>
        <v>0</v>
      </c>
      <c r="CC134" s="27">
        <f>COGS!CC134+'SG&amp;A'!CC134</f>
        <v>0</v>
      </c>
      <c r="CD134" s="27">
        <f>COGS!CD134+'SG&amp;A'!CD134</f>
        <v>0</v>
      </c>
      <c r="CE134" s="27">
        <f>COGS!CE134+'SG&amp;A'!CE134</f>
        <v>0</v>
      </c>
      <c r="CF134" s="27">
        <f>COGS!CF134+'SG&amp;A'!CF134</f>
        <v>0</v>
      </c>
      <c r="CG134" s="27">
        <f>COGS!CG134+'SG&amp;A'!CG134</f>
        <v>0</v>
      </c>
      <c r="CH134" s="27">
        <f>COGS!CH134+'SG&amp;A'!CH134</f>
        <v>0</v>
      </c>
      <c r="CI134" s="27">
        <f>COGS!CI134+'SG&amp;A'!CI134</f>
        <v>0</v>
      </c>
      <c r="CJ134" s="27">
        <f>COGS!CJ134+'SG&amp;A'!CJ134</f>
        <v>0</v>
      </c>
      <c r="CK134" s="27">
        <f>COGS!CK134+'SG&amp;A'!CK134</f>
        <v>0</v>
      </c>
      <c r="CL134" s="27">
        <f>COGS!CL134+'SG&amp;A'!CL134</f>
        <v>0</v>
      </c>
      <c r="CM134" s="27">
        <f>COGS!CM134+'SG&amp;A'!CM134</f>
        <v>0</v>
      </c>
      <c r="CN134" s="27">
        <f>COGS!CN134+'SG&amp;A'!CN134</f>
        <v>0</v>
      </c>
      <c r="CO134" s="27">
        <f>COGS!CO134+'SG&amp;A'!CO134</f>
        <v>0</v>
      </c>
      <c r="CP134" s="27">
        <f>COGS!CP134+'SG&amp;A'!CP134</f>
        <v>0</v>
      </c>
      <c r="CQ134" s="27">
        <f>COGS!CQ134+'SG&amp;A'!CQ134</f>
        <v>0</v>
      </c>
      <c r="CR134" s="27">
        <f>COGS!CR134+'SG&amp;A'!CR134</f>
        <v>0</v>
      </c>
      <c r="CS134" s="27">
        <f>COGS!CS134+'SG&amp;A'!CS134</f>
        <v>0</v>
      </c>
      <c r="CT134" s="27">
        <f>COGS!CT134+'SG&amp;A'!CT134</f>
        <v>0</v>
      </c>
      <c r="CU134" s="27">
        <f>COGS!CU134+'SG&amp;A'!CU134</f>
        <v>0</v>
      </c>
      <c r="CV134" s="27">
        <f>COGS!CV134+'SG&amp;A'!CV134</f>
        <v>0</v>
      </c>
      <c r="CW134" s="27">
        <f>COGS!CW134+'SG&amp;A'!CW134</f>
        <v>0</v>
      </c>
      <c r="CX134" s="27">
        <f>COGS!CX134+'SG&amp;A'!CX134</f>
        <v>0</v>
      </c>
      <c r="CY134" s="27">
        <f>COGS!CY134+'SG&amp;A'!CY134</f>
        <v>0</v>
      </c>
      <c r="CZ134" s="27">
        <f>COGS!CZ134+'SG&amp;A'!CZ134</f>
        <v>0</v>
      </c>
      <c r="DA134" s="27">
        <f>COGS!DA134+'SG&amp;A'!DA134</f>
        <v>0</v>
      </c>
      <c r="DB134" s="27">
        <f>COGS!DB134+'SG&amp;A'!DB134</f>
        <v>0</v>
      </c>
      <c r="DC134" s="27">
        <f>COGS!DC134+'SG&amp;A'!DC134</f>
        <v>0</v>
      </c>
      <c r="DD134" s="27">
        <f>COGS!DD134+'SG&amp;A'!DD134</f>
        <v>0</v>
      </c>
      <c r="DE134" s="27">
        <f>COGS!DE134+'SG&amp;A'!DE134</f>
        <v>0</v>
      </c>
      <c r="DF134" s="27">
        <f>COGS!DF134+'SG&amp;A'!DF134</f>
        <v>0</v>
      </c>
      <c r="DG134" s="27">
        <f>COGS!DG134+'SG&amp;A'!DG134</f>
        <v>0</v>
      </c>
      <c r="DH134" s="27">
        <f>COGS!DH134+'SG&amp;A'!DH134</f>
        <v>0</v>
      </c>
      <c r="DI134" s="27">
        <f>COGS!DI134+'SG&amp;A'!DI134</f>
        <v>0</v>
      </c>
      <c r="DJ134" s="27">
        <f>COGS!DJ134+'SG&amp;A'!DJ134</f>
        <v>0</v>
      </c>
      <c r="DK134" s="27">
        <f>COGS!DK134+'SG&amp;A'!DK134</f>
        <v>0</v>
      </c>
      <c r="DL134" s="27">
        <f>COGS!DL134+'SG&amp;A'!DL134</f>
        <v>0</v>
      </c>
      <c r="DM134" s="27">
        <f>COGS!DM134+'SG&amp;A'!DM134</f>
        <v>0</v>
      </c>
      <c r="DN134" s="27">
        <f>COGS!DN134+'SG&amp;A'!DN134</f>
        <v>0</v>
      </c>
      <c r="DO134" s="27">
        <f>COGS!DO134+'SG&amp;A'!DO134</f>
        <v>0</v>
      </c>
      <c r="DP134" s="27">
        <f>COGS!DP134+'SG&amp;A'!DP134</f>
        <v>0</v>
      </c>
      <c r="DQ134" s="27">
        <f>COGS!DQ134+'SG&amp;A'!DQ134</f>
        <v>0</v>
      </c>
      <c r="DR134" s="27">
        <f>COGS!DR134+'SG&amp;A'!DR134</f>
        <v>0</v>
      </c>
      <c r="DS134" s="27">
        <f>COGS!DS134+'SG&amp;A'!DS134</f>
        <v>0</v>
      </c>
      <c r="DT134" s="27">
        <f>COGS!DT134+'SG&amp;A'!DT134</f>
        <v>0</v>
      </c>
      <c r="DU134" s="27">
        <f>COGS!DU134+'SG&amp;A'!DU134</f>
        <v>0</v>
      </c>
      <c r="DV134" s="27">
        <f>COGS!DV134+'SG&amp;A'!DV134</f>
        <v>0</v>
      </c>
      <c r="DW134" s="27">
        <f>COGS!DW134+'SG&amp;A'!DW134</f>
        <v>0</v>
      </c>
      <c r="DX134" s="27">
        <f>COGS!DX134+'SG&amp;A'!DX134</f>
        <v>0</v>
      </c>
      <c r="DY134" s="27">
        <f>COGS!DY134+'SG&amp;A'!DY134</f>
        <v>0</v>
      </c>
      <c r="DZ134" s="27">
        <f>COGS!DZ134+'SG&amp;A'!DZ134</f>
        <v>0</v>
      </c>
      <c r="EA134" s="27">
        <f>COGS!EA134+'SG&amp;A'!EA134</f>
        <v>0</v>
      </c>
      <c r="EB134" s="27">
        <f>COGS!EB134+'SG&amp;A'!EB134</f>
        <v>0</v>
      </c>
      <c r="EC134" s="27">
        <f>COGS!EC134+'SG&amp;A'!EC134</f>
        <v>0</v>
      </c>
      <c r="ED134" s="27">
        <f>COGS!ED134+'SG&amp;A'!ED134</f>
        <v>0</v>
      </c>
      <c r="EE134" s="27">
        <f>COGS!EE134+'SG&amp;A'!EE134</f>
        <v>0</v>
      </c>
      <c r="EF134" s="27">
        <f>COGS!EF134+'SG&amp;A'!EF134</f>
        <v>0</v>
      </c>
      <c r="EG134" s="27">
        <f>COGS!EG134+'SG&amp;A'!EG134</f>
        <v>0</v>
      </c>
      <c r="EH134" s="27">
        <f>COGS!EH134+'SG&amp;A'!EH134</f>
        <v>0</v>
      </c>
      <c r="EI134" s="27">
        <f>COGS!EI134+'SG&amp;A'!EI134</f>
        <v>0</v>
      </c>
    </row>
    <row r="135" spans="1:139" ht="15" thickBot="1" x14ac:dyDescent="0.35">
      <c r="A135" s="2" t="s">
        <v>370</v>
      </c>
      <c r="B135" s="28">
        <f>COGS!B135+'SG&amp;A'!B135</f>
        <v>0</v>
      </c>
      <c r="C135" s="28">
        <f>COGS!C135+'SG&amp;A'!C135</f>
        <v>0</v>
      </c>
      <c r="D135" s="28">
        <f>COGS!D135+'SG&amp;A'!D135</f>
        <v>0</v>
      </c>
      <c r="E135" s="28">
        <f>COGS!E135+'SG&amp;A'!E135</f>
        <v>0</v>
      </c>
      <c r="F135" s="28">
        <f>COGS!F135+'SG&amp;A'!F135</f>
        <v>0</v>
      </c>
      <c r="G135" s="28">
        <f>COGS!G135+'SG&amp;A'!G135</f>
        <v>0</v>
      </c>
      <c r="H135" s="28">
        <f>COGS!H135+'SG&amp;A'!H135</f>
        <v>0</v>
      </c>
      <c r="I135" s="28">
        <f>COGS!I135+'SG&amp;A'!I135</f>
        <v>0</v>
      </c>
      <c r="J135" s="28">
        <f>COGS!J135+'SG&amp;A'!J135</f>
        <v>0</v>
      </c>
      <c r="K135" s="28">
        <f>COGS!K135+'SG&amp;A'!K135</f>
        <v>0</v>
      </c>
      <c r="L135" s="28">
        <f>COGS!L135+'SG&amp;A'!L135</f>
        <v>0</v>
      </c>
      <c r="M135" s="28">
        <f>COGS!M135+'SG&amp;A'!M135</f>
        <v>0</v>
      </c>
      <c r="N135" s="28">
        <f>COGS!N135+'SG&amp;A'!N135</f>
        <v>0</v>
      </c>
      <c r="O135" s="28">
        <f>COGS!O135+'SG&amp;A'!O135</f>
        <v>0</v>
      </c>
      <c r="P135" s="28">
        <f>COGS!P135+'SG&amp;A'!P135</f>
        <v>0</v>
      </c>
      <c r="Q135" s="28">
        <f>COGS!Q135+'SG&amp;A'!Q135</f>
        <v>0</v>
      </c>
      <c r="R135" s="28">
        <f>COGS!R135+'SG&amp;A'!R135</f>
        <v>0</v>
      </c>
      <c r="S135" s="28">
        <f>COGS!S135+'SG&amp;A'!S135</f>
        <v>0</v>
      </c>
      <c r="T135" s="28">
        <f>COGS!T135+'SG&amp;A'!T135</f>
        <v>0</v>
      </c>
      <c r="U135" s="28">
        <f>COGS!U135+'SG&amp;A'!U135</f>
        <v>0</v>
      </c>
      <c r="V135" s="28">
        <f>COGS!V135+'SG&amp;A'!V135</f>
        <v>0</v>
      </c>
      <c r="W135" s="28">
        <f>COGS!W135+'SG&amp;A'!W135</f>
        <v>0</v>
      </c>
      <c r="X135" s="28">
        <f>COGS!X135+'SG&amp;A'!X135</f>
        <v>0</v>
      </c>
      <c r="Y135" s="28">
        <f>COGS!Y135+'SG&amp;A'!Y135</f>
        <v>0</v>
      </c>
      <c r="Z135" s="28">
        <f>COGS!Z135+'SG&amp;A'!Z135</f>
        <v>0</v>
      </c>
      <c r="AA135" s="28">
        <f>COGS!AA135+'SG&amp;A'!AA135</f>
        <v>0</v>
      </c>
      <c r="AB135" s="28">
        <f>COGS!AB135+'SG&amp;A'!AB135</f>
        <v>0</v>
      </c>
      <c r="AC135" s="28">
        <f>COGS!AC135+'SG&amp;A'!AC135</f>
        <v>0</v>
      </c>
      <c r="AD135" s="28">
        <f>COGS!AD135+'SG&amp;A'!AD135</f>
        <v>0</v>
      </c>
      <c r="AE135" s="28">
        <f>COGS!AE135+'SG&amp;A'!AE135</f>
        <v>0</v>
      </c>
      <c r="AF135" s="28">
        <f>COGS!AF135+'SG&amp;A'!AF135</f>
        <v>0</v>
      </c>
      <c r="AG135" s="28">
        <f>COGS!AG135+'SG&amp;A'!AG135</f>
        <v>0</v>
      </c>
      <c r="AH135" s="28">
        <f>COGS!AH135+'SG&amp;A'!AH135</f>
        <v>0</v>
      </c>
      <c r="AI135" s="28">
        <f>COGS!AI135+'SG&amp;A'!AI135</f>
        <v>0</v>
      </c>
      <c r="AJ135" s="28">
        <f>COGS!AJ135+'SG&amp;A'!AJ135</f>
        <v>0</v>
      </c>
      <c r="AK135" s="28">
        <f>COGS!AK135+'SG&amp;A'!AK135</f>
        <v>0</v>
      </c>
      <c r="AL135" s="28">
        <f>COGS!AL135+'SG&amp;A'!AL135</f>
        <v>0</v>
      </c>
      <c r="AM135" s="28">
        <f>COGS!AM135+'SG&amp;A'!AM135</f>
        <v>0</v>
      </c>
      <c r="AN135" s="28">
        <f>COGS!AN135+'SG&amp;A'!AN135</f>
        <v>0</v>
      </c>
      <c r="AO135" s="28">
        <f>COGS!AO135+'SG&amp;A'!AO135</f>
        <v>0</v>
      </c>
      <c r="AP135" s="28">
        <f>COGS!AP135+'SG&amp;A'!AP135</f>
        <v>0</v>
      </c>
      <c r="AQ135" s="28">
        <f>COGS!AQ135+'SG&amp;A'!AQ135</f>
        <v>0</v>
      </c>
      <c r="AR135" s="28">
        <f>COGS!AR135+'SG&amp;A'!AR135</f>
        <v>0</v>
      </c>
      <c r="AS135" s="28">
        <f>COGS!AS135+'SG&amp;A'!AS135</f>
        <v>0</v>
      </c>
      <c r="AT135" s="28">
        <f>COGS!AT135+'SG&amp;A'!AT135</f>
        <v>0</v>
      </c>
      <c r="AU135" s="28">
        <f>COGS!AU135+'SG&amp;A'!AU135</f>
        <v>0</v>
      </c>
      <c r="AV135" s="28">
        <f>COGS!AV135+'SG&amp;A'!AV135</f>
        <v>0</v>
      </c>
      <c r="AW135" s="28">
        <f>COGS!AW135+'SG&amp;A'!AW135</f>
        <v>0</v>
      </c>
      <c r="AX135" s="28">
        <f>COGS!AX135+'SG&amp;A'!AX135</f>
        <v>0</v>
      </c>
      <c r="AY135" s="28">
        <f>COGS!AY135+'SG&amp;A'!AY135</f>
        <v>0</v>
      </c>
      <c r="AZ135" s="28">
        <f>COGS!AZ135+'SG&amp;A'!AZ135</f>
        <v>0</v>
      </c>
      <c r="BA135" s="28">
        <f>COGS!BA135+'SG&amp;A'!BA135</f>
        <v>0</v>
      </c>
      <c r="BB135" s="28">
        <f>COGS!BB135+'SG&amp;A'!BB135</f>
        <v>0</v>
      </c>
      <c r="BC135" s="28">
        <f>COGS!BC135+'SG&amp;A'!BC135</f>
        <v>0</v>
      </c>
      <c r="BD135" s="28">
        <f>COGS!BD135+'SG&amp;A'!BD135</f>
        <v>0</v>
      </c>
      <c r="BE135" s="28">
        <f>COGS!BE135+'SG&amp;A'!BE135</f>
        <v>0</v>
      </c>
      <c r="BF135" s="28">
        <f>COGS!BF135+'SG&amp;A'!BF135</f>
        <v>0</v>
      </c>
      <c r="BG135" s="28">
        <f>COGS!BG135+'SG&amp;A'!BG135</f>
        <v>0</v>
      </c>
      <c r="BH135" s="28">
        <f>COGS!BH135+'SG&amp;A'!BH135</f>
        <v>0</v>
      </c>
      <c r="BI135" s="28">
        <f>COGS!BI135+'SG&amp;A'!BI135</f>
        <v>0</v>
      </c>
      <c r="BJ135" s="28">
        <f>COGS!BJ135+'SG&amp;A'!BJ135</f>
        <v>1.5697007000000001</v>
      </c>
      <c r="BK135" s="28">
        <f>COGS!BK135+'SG&amp;A'!BK135</f>
        <v>1.7608803300000004</v>
      </c>
      <c r="BL135" s="28">
        <f>COGS!BL135+'SG&amp;A'!BL135</f>
        <v>1.8206205499999992</v>
      </c>
      <c r="BM135" s="28">
        <f>COGS!BM135+'SG&amp;A'!BM135</f>
        <v>1.8691212400000004</v>
      </c>
      <c r="BN135" s="28">
        <f>COGS!BN135+'SG&amp;A'!BN135</f>
        <v>7.0203228199999996</v>
      </c>
      <c r="BO135" s="28">
        <f>COGS!BO135+'SG&amp;A'!BO135</f>
        <v>4.1158693</v>
      </c>
      <c r="BP135" s="28">
        <f>COGS!BP135+'SG&amp;A'!BP135</f>
        <v>4.2911427800000004</v>
      </c>
      <c r="BQ135" s="28">
        <f>COGS!BQ135+'SG&amp;A'!BQ135</f>
        <v>4.3588639499999982</v>
      </c>
      <c r="BR135" s="28">
        <f>COGS!BR135+'SG&amp;A'!BR135</f>
        <v>4.8226308300000031</v>
      </c>
      <c r="BS135" s="28">
        <f>COGS!BS135+'SG&amp;A'!BS135</f>
        <v>17.588506859999999</v>
      </c>
      <c r="BT135" s="28">
        <f>COGS!BT135+'SG&amp;A'!BT135</f>
        <v>0</v>
      </c>
      <c r="BU135" s="28">
        <f>COGS!BU135+'SG&amp;A'!BU135</f>
        <v>0</v>
      </c>
      <c r="BV135" s="28">
        <f>COGS!BV135+'SG&amp;A'!BV135</f>
        <v>0</v>
      </c>
      <c r="BW135" s="28">
        <f>COGS!BW135+'SG&amp;A'!BW135</f>
        <v>0</v>
      </c>
      <c r="BX135" s="28">
        <f>COGS!BX135+'SG&amp;A'!BX135</f>
        <v>0</v>
      </c>
      <c r="BY135" s="28">
        <f>COGS!BY135+'SG&amp;A'!BY135</f>
        <v>0</v>
      </c>
      <c r="BZ135" s="28">
        <f>COGS!BZ135+'SG&amp;A'!BZ135</f>
        <v>0</v>
      </c>
      <c r="CA135" s="28">
        <f>COGS!CA135+'SG&amp;A'!CA135</f>
        <v>0</v>
      </c>
      <c r="CB135" s="28">
        <f>COGS!CB135+'SG&amp;A'!CB135</f>
        <v>0</v>
      </c>
      <c r="CC135" s="28">
        <f>COGS!CC135+'SG&amp;A'!CC135</f>
        <v>0</v>
      </c>
      <c r="CD135" s="28">
        <f>COGS!CD135+'SG&amp;A'!CD135</f>
        <v>0</v>
      </c>
      <c r="CE135" s="28">
        <f>COGS!CE135+'SG&amp;A'!CE135</f>
        <v>0</v>
      </c>
      <c r="CF135" s="28">
        <f>COGS!CF135+'SG&amp;A'!CF135</f>
        <v>0</v>
      </c>
      <c r="CG135" s="28">
        <f>COGS!CG135+'SG&amp;A'!CG135</f>
        <v>0</v>
      </c>
      <c r="CH135" s="28">
        <f>COGS!CH135+'SG&amp;A'!CH135</f>
        <v>0</v>
      </c>
      <c r="CI135" s="28">
        <f>COGS!CI135+'SG&amp;A'!CI135</f>
        <v>0</v>
      </c>
      <c r="CJ135" s="28">
        <f>COGS!CJ135+'SG&amp;A'!CJ135</f>
        <v>0</v>
      </c>
      <c r="CK135" s="28">
        <f>COGS!CK135+'SG&amp;A'!CK135</f>
        <v>0</v>
      </c>
      <c r="CL135" s="28">
        <f>COGS!CL135+'SG&amp;A'!CL135</f>
        <v>0</v>
      </c>
      <c r="CM135" s="28">
        <f>COGS!CM135+'SG&amp;A'!CM135</f>
        <v>0</v>
      </c>
      <c r="CN135" s="28">
        <f>COGS!CN135+'SG&amp;A'!CN135</f>
        <v>0</v>
      </c>
      <c r="CO135" s="28">
        <f>COGS!CO135+'SG&amp;A'!CO135</f>
        <v>0</v>
      </c>
      <c r="CP135" s="28">
        <f>COGS!CP135+'SG&amp;A'!CP135</f>
        <v>0</v>
      </c>
      <c r="CQ135" s="28">
        <f>COGS!CQ135+'SG&amp;A'!CQ135</f>
        <v>0</v>
      </c>
      <c r="CR135" s="28">
        <f>COGS!CR135+'SG&amp;A'!CR135</f>
        <v>0</v>
      </c>
      <c r="CS135" s="28">
        <f>COGS!CS135+'SG&amp;A'!CS135</f>
        <v>0</v>
      </c>
      <c r="CT135" s="28">
        <f>COGS!CT135+'SG&amp;A'!CT135</f>
        <v>0</v>
      </c>
      <c r="CU135" s="28">
        <f>COGS!CU135+'SG&amp;A'!CU135</f>
        <v>0</v>
      </c>
      <c r="CV135" s="28">
        <f>COGS!CV135+'SG&amp;A'!CV135</f>
        <v>0</v>
      </c>
      <c r="CW135" s="28">
        <f>COGS!CW135+'SG&amp;A'!CW135</f>
        <v>0</v>
      </c>
      <c r="CX135" s="28">
        <f>COGS!CX135+'SG&amp;A'!CX135</f>
        <v>0</v>
      </c>
      <c r="CY135" s="28">
        <f>COGS!CY135+'SG&amp;A'!CY135</f>
        <v>0</v>
      </c>
      <c r="CZ135" s="28">
        <f>COGS!CZ135+'SG&amp;A'!CZ135</f>
        <v>0</v>
      </c>
      <c r="DA135" s="28">
        <f>COGS!DA135+'SG&amp;A'!DA135</f>
        <v>0</v>
      </c>
      <c r="DB135" s="28">
        <f>COGS!DB135+'SG&amp;A'!DB135</f>
        <v>0</v>
      </c>
      <c r="DC135" s="28">
        <f>COGS!DC135+'SG&amp;A'!DC135</f>
        <v>0</v>
      </c>
      <c r="DD135" s="28">
        <f>COGS!DD135+'SG&amp;A'!DD135</f>
        <v>0</v>
      </c>
      <c r="DE135" s="28">
        <f>COGS!DE135+'SG&amp;A'!DE135</f>
        <v>0</v>
      </c>
      <c r="DF135" s="28">
        <f>COGS!DF135+'SG&amp;A'!DF135</f>
        <v>0</v>
      </c>
      <c r="DG135" s="28">
        <f>COGS!DG135+'SG&amp;A'!DG135</f>
        <v>0</v>
      </c>
      <c r="DH135" s="28">
        <f>COGS!DH135+'SG&amp;A'!DH135</f>
        <v>0</v>
      </c>
      <c r="DI135" s="28">
        <f>COGS!DI135+'SG&amp;A'!DI135</f>
        <v>0</v>
      </c>
      <c r="DJ135" s="28">
        <f>COGS!DJ135+'SG&amp;A'!DJ135</f>
        <v>0</v>
      </c>
      <c r="DK135" s="28">
        <f>COGS!DK135+'SG&amp;A'!DK135</f>
        <v>0</v>
      </c>
      <c r="DL135" s="28">
        <f>COGS!DL135+'SG&amp;A'!DL135</f>
        <v>0</v>
      </c>
      <c r="DM135" s="28">
        <f>COGS!DM135+'SG&amp;A'!DM135</f>
        <v>0</v>
      </c>
      <c r="DN135" s="28">
        <f>COGS!DN135+'SG&amp;A'!DN135</f>
        <v>0</v>
      </c>
      <c r="DO135" s="28">
        <f>COGS!DO135+'SG&amp;A'!DO135</f>
        <v>0</v>
      </c>
      <c r="DP135" s="28">
        <f>COGS!DP135+'SG&amp;A'!DP135</f>
        <v>0</v>
      </c>
      <c r="DQ135" s="28">
        <f>COGS!DQ135+'SG&amp;A'!DQ135</f>
        <v>0</v>
      </c>
      <c r="DR135" s="28">
        <f>COGS!DR135+'SG&amp;A'!DR135</f>
        <v>0</v>
      </c>
      <c r="DS135" s="28">
        <f>COGS!DS135+'SG&amp;A'!DS135</f>
        <v>0</v>
      </c>
      <c r="DT135" s="28">
        <f>COGS!DT135+'SG&amp;A'!DT135</f>
        <v>0</v>
      </c>
      <c r="DU135" s="28">
        <f>COGS!DU135+'SG&amp;A'!DU135</f>
        <v>0</v>
      </c>
      <c r="DV135" s="28">
        <f>COGS!DV135+'SG&amp;A'!DV135</f>
        <v>0</v>
      </c>
      <c r="DW135" s="28">
        <f>COGS!DW135+'SG&amp;A'!DW135</f>
        <v>0</v>
      </c>
      <c r="DX135" s="28">
        <f>COGS!DX135+'SG&amp;A'!DX135</f>
        <v>0</v>
      </c>
      <c r="DY135" s="28">
        <f>COGS!DY135+'SG&amp;A'!DY135</f>
        <v>0</v>
      </c>
      <c r="DZ135" s="28">
        <f>COGS!DZ135+'SG&amp;A'!DZ135</f>
        <v>0</v>
      </c>
      <c r="EA135" s="28">
        <f>COGS!EA135+'SG&amp;A'!EA135</f>
        <v>0</v>
      </c>
      <c r="EB135" s="28">
        <f>COGS!EB135+'SG&amp;A'!EB135</f>
        <v>0</v>
      </c>
      <c r="EC135" s="28">
        <f>COGS!EC135+'SG&amp;A'!EC135</f>
        <v>0</v>
      </c>
      <c r="ED135" s="28">
        <f>COGS!ED135+'SG&amp;A'!ED135</f>
        <v>0</v>
      </c>
      <c r="EE135" s="28">
        <f>COGS!EE135+'SG&amp;A'!EE135</f>
        <v>0</v>
      </c>
      <c r="EF135" s="28">
        <f>COGS!EF135+'SG&amp;A'!EF135</f>
        <v>0</v>
      </c>
      <c r="EG135" s="28">
        <f>COGS!EG135+'SG&amp;A'!EG135</f>
        <v>0</v>
      </c>
      <c r="EH135" s="28">
        <f>COGS!EH135+'SG&amp;A'!EH135</f>
        <v>0</v>
      </c>
      <c r="EI135" s="28">
        <f>COGS!EI135+'SG&amp;A'!EI135</f>
        <v>0</v>
      </c>
    </row>
    <row r="136" spans="1:139" ht="15" thickTop="1" x14ac:dyDescent="0.3">
      <c r="A136" s="1" t="s">
        <v>338</v>
      </c>
      <c r="B136" s="27">
        <f>COGS!B136+'SG&amp;A'!B136</f>
        <v>0</v>
      </c>
      <c r="C136" s="27">
        <f>COGS!C136+'SG&amp;A'!C136</f>
        <v>0</v>
      </c>
      <c r="D136" s="27">
        <f>COGS!D136+'SG&amp;A'!D136</f>
        <v>0</v>
      </c>
      <c r="E136" s="27">
        <f>COGS!E136+'SG&amp;A'!E136</f>
        <v>0</v>
      </c>
      <c r="F136" s="27">
        <f>COGS!F136+'SG&amp;A'!F136</f>
        <v>0</v>
      </c>
      <c r="G136" s="27">
        <f>COGS!G136+'SG&amp;A'!G136</f>
        <v>0</v>
      </c>
      <c r="H136" s="27">
        <f>COGS!H136+'SG&amp;A'!H136</f>
        <v>0</v>
      </c>
      <c r="I136" s="27">
        <f>COGS!I136+'SG&amp;A'!I136</f>
        <v>0</v>
      </c>
      <c r="J136" s="27">
        <f>COGS!J136+'SG&amp;A'!J136</f>
        <v>0</v>
      </c>
      <c r="K136" s="27">
        <f>COGS!K136+'SG&amp;A'!K136</f>
        <v>0</v>
      </c>
      <c r="L136" s="27">
        <f>COGS!L136+'SG&amp;A'!L136</f>
        <v>0</v>
      </c>
      <c r="M136" s="27">
        <f>COGS!M136+'SG&amp;A'!M136</f>
        <v>0</v>
      </c>
      <c r="N136" s="27">
        <f>COGS!N136+'SG&amp;A'!N136</f>
        <v>0</v>
      </c>
      <c r="O136" s="27">
        <f>COGS!O136+'SG&amp;A'!O136</f>
        <v>0</v>
      </c>
      <c r="P136" s="27">
        <f>COGS!P136+'SG&amp;A'!P136</f>
        <v>0</v>
      </c>
      <c r="Q136" s="27">
        <f>COGS!Q136+'SG&amp;A'!Q136</f>
        <v>0</v>
      </c>
      <c r="R136" s="27">
        <f>COGS!R136+'SG&amp;A'!R136</f>
        <v>0</v>
      </c>
      <c r="S136" s="27">
        <f>COGS!S136+'SG&amp;A'!S136</f>
        <v>0</v>
      </c>
      <c r="T136" s="27">
        <f>COGS!T136+'SG&amp;A'!T136</f>
        <v>0</v>
      </c>
      <c r="U136" s="27">
        <f>COGS!U136+'SG&amp;A'!U136</f>
        <v>0</v>
      </c>
      <c r="V136" s="27">
        <f>COGS!V136+'SG&amp;A'!V136</f>
        <v>0</v>
      </c>
      <c r="W136" s="27">
        <f>COGS!W136+'SG&amp;A'!W136</f>
        <v>0</v>
      </c>
      <c r="X136" s="27">
        <f>COGS!X136+'SG&amp;A'!X136</f>
        <v>0</v>
      </c>
      <c r="Y136" s="27">
        <f>COGS!Y136+'SG&amp;A'!Y136</f>
        <v>0</v>
      </c>
      <c r="Z136" s="27">
        <f>COGS!Z136+'SG&amp;A'!Z136</f>
        <v>0</v>
      </c>
      <c r="AA136" s="27">
        <f>COGS!AA136+'SG&amp;A'!AA136</f>
        <v>0</v>
      </c>
      <c r="AB136" s="27">
        <f>COGS!AB136+'SG&amp;A'!AB136</f>
        <v>0</v>
      </c>
      <c r="AC136" s="27">
        <f>COGS!AC136+'SG&amp;A'!AC136</f>
        <v>0</v>
      </c>
      <c r="AD136" s="27">
        <f>COGS!AD136+'SG&amp;A'!AD136</f>
        <v>0</v>
      </c>
      <c r="AE136" s="27">
        <f>COGS!AE136+'SG&amp;A'!AE136</f>
        <v>0</v>
      </c>
      <c r="AF136" s="27">
        <f>COGS!AF136+'SG&amp;A'!AF136</f>
        <v>0</v>
      </c>
      <c r="AG136" s="27">
        <f>COGS!AG136+'SG&amp;A'!AG136</f>
        <v>0</v>
      </c>
      <c r="AH136" s="27">
        <f>COGS!AH136+'SG&amp;A'!AH136</f>
        <v>0</v>
      </c>
      <c r="AI136" s="27">
        <f>COGS!AI136+'SG&amp;A'!AI136</f>
        <v>0</v>
      </c>
      <c r="AJ136" s="27">
        <f>COGS!AJ136+'SG&amp;A'!AJ136</f>
        <v>0</v>
      </c>
      <c r="AK136" s="27">
        <f>COGS!AK136+'SG&amp;A'!AK136</f>
        <v>0</v>
      </c>
      <c r="AL136" s="27">
        <f>COGS!AL136+'SG&amp;A'!AL136</f>
        <v>0</v>
      </c>
      <c r="AM136" s="27">
        <f>COGS!AM136+'SG&amp;A'!AM136</f>
        <v>0</v>
      </c>
      <c r="AN136" s="27">
        <f>COGS!AN136+'SG&amp;A'!AN136</f>
        <v>0</v>
      </c>
      <c r="AO136" s="27">
        <f>COGS!AO136+'SG&amp;A'!AO136</f>
        <v>0</v>
      </c>
      <c r="AP136" s="27">
        <f>COGS!AP136+'SG&amp;A'!AP136</f>
        <v>0</v>
      </c>
      <c r="AQ136" s="27">
        <f>COGS!AQ136+'SG&amp;A'!AQ136</f>
        <v>0</v>
      </c>
      <c r="AR136" s="27">
        <f>COGS!AR136+'SG&amp;A'!AR136</f>
        <v>0</v>
      </c>
      <c r="AS136" s="27">
        <f>COGS!AS136+'SG&amp;A'!AS136</f>
        <v>0</v>
      </c>
      <c r="AT136" s="27">
        <f>COGS!AT136+'SG&amp;A'!AT136</f>
        <v>0</v>
      </c>
      <c r="AU136" s="27">
        <f>COGS!AU136+'SG&amp;A'!AU136</f>
        <v>0</v>
      </c>
      <c r="AV136" s="27">
        <f>COGS!AV136+'SG&amp;A'!AV136</f>
        <v>0</v>
      </c>
      <c r="AW136" s="27">
        <f>COGS!AW136+'SG&amp;A'!AW136</f>
        <v>0</v>
      </c>
      <c r="AX136" s="27">
        <f>COGS!AX136+'SG&amp;A'!AX136</f>
        <v>0</v>
      </c>
      <c r="AY136" s="27">
        <f>COGS!AY136+'SG&amp;A'!AY136</f>
        <v>0</v>
      </c>
      <c r="AZ136" s="27">
        <f>COGS!AZ136+'SG&amp;A'!AZ136</f>
        <v>0</v>
      </c>
      <c r="BA136" s="27">
        <f>COGS!BA136+'SG&amp;A'!BA136</f>
        <v>0</v>
      </c>
      <c r="BB136" s="27">
        <f>COGS!BB136+'SG&amp;A'!BB136</f>
        <v>0</v>
      </c>
      <c r="BC136" s="27">
        <f>COGS!BC136+'SG&amp;A'!BC136</f>
        <v>0</v>
      </c>
      <c r="BD136" s="27">
        <f>COGS!BD136+'SG&amp;A'!BD136</f>
        <v>0</v>
      </c>
      <c r="BE136" s="27">
        <f>COGS!BE136+'SG&amp;A'!BE136</f>
        <v>0</v>
      </c>
      <c r="BF136" s="27">
        <f>COGS!BF136+'SG&amp;A'!BF136</f>
        <v>0</v>
      </c>
      <c r="BG136" s="27">
        <f>COGS!BG136+'SG&amp;A'!BG136</f>
        <v>0</v>
      </c>
      <c r="BH136" s="27">
        <f>COGS!BH136+'SG&amp;A'!BH136</f>
        <v>0</v>
      </c>
      <c r="BI136" s="27">
        <f>COGS!BI136+'SG&amp;A'!BI136</f>
        <v>0</v>
      </c>
      <c r="BJ136" s="27">
        <f>COGS!BJ136+'SG&amp;A'!BJ136</f>
        <v>0.91138359000000002</v>
      </c>
      <c r="BK136" s="27">
        <f>COGS!BK136+'SG&amp;A'!BK136</f>
        <v>0.77154324000000019</v>
      </c>
      <c r="BL136" s="27">
        <f>COGS!BL136+'SG&amp;A'!BL136</f>
        <v>0.86538521999999962</v>
      </c>
      <c r="BM136" s="27">
        <f>COGS!BM136+'SG&amp;A'!BM136</f>
        <v>1.0828290300000003</v>
      </c>
      <c r="BN136" s="27">
        <f>COGS!BN136+'SG&amp;A'!BN136</f>
        <v>3.6311410799999999</v>
      </c>
      <c r="BO136" s="27">
        <f>COGS!BO136+'SG&amp;A'!BO136</f>
        <v>1.04281826</v>
      </c>
      <c r="BP136" s="27">
        <f>COGS!BP136+'SG&amp;A'!BP136</f>
        <v>1.1216293900000001</v>
      </c>
      <c r="BQ136" s="27">
        <f>COGS!BQ136+'SG&amp;A'!BQ136</f>
        <v>1.2666067899999998</v>
      </c>
      <c r="BR136" s="27">
        <f>COGS!BR136+'SG&amp;A'!BR136</f>
        <v>1.3233508700000003</v>
      </c>
      <c r="BS136" s="27">
        <f>COGS!BS136+'SG&amp;A'!BS136</f>
        <v>4.7544053100000001</v>
      </c>
      <c r="BT136" s="27">
        <f>COGS!BT136+'SG&amp;A'!BT136</f>
        <v>0</v>
      </c>
      <c r="BU136" s="27">
        <f>COGS!BU136+'SG&amp;A'!BU136</f>
        <v>0</v>
      </c>
      <c r="BV136" s="27">
        <f>COGS!BV136+'SG&amp;A'!BV136</f>
        <v>0</v>
      </c>
      <c r="BW136" s="27">
        <f>COGS!BW136+'SG&amp;A'!BW136</f>
        <v>0</v>
      </c>
      <c r="BX136" s="27">
        <f>COGS!BX136+'SG&amp;A'!BX136</f>
        <v>0</v>
      </c>
      <c r="BY136" s="27">
        <f>COGS!BY136+'SG&amp;A'!BY136</f>
        <v>0</v>
      </c>
      <c r="BZ136" s="27">
        <f>COGS!BZ136+'SG&amp;A'!BZ136</f>
        <v>0</v>
      </c>
      <c r="CA136" s="27">
        <f>COGS!CA136+'SG&amp;A'!CA136</f>
        <v>0</v>
      </c>
      <c r="CB136" s="27">
        <f>COGS!CB136+'SG&amp;A'!CB136</f>
        <v>0</v>
      </c>
      <c r="CC136" s="27">
        <f>COGS!CC136+'SG&amp;A'!CC136</f>
        <v>0</v>
      </c>
      <c r="CD136" s="27">
        <f>COGS!CD136+'SG&amp;A'!CD136</f>
        <v>0</v>
      </c>
      <c r="CE136" s="27">
        <f>COGS!CE136+'SG&amp;A'!CE136</f>
        <v>0</v>
      </c>
      <c r="CF136" s="27">
        <f>COGS!CF136+'SG&amp;A'!CF136</f>
        <v>0</v>
      </c>
      <c r="CG136" s="27">
        <f>COGS!CG136+'SG&amp;A'!CG136</f>
        <v>0</v>
      </c>
      <c r="CH136" s="27">
        <f>COGS!CH136+'SG&amp;A'!CH136</f>
        <v>0</v>
      </c>
      <c r="CI136" s="27">
        <f>COGS!CI136+'SG&amp;A'!CI136</f>
        <v>0</v>
      </c>
      <c r="CJ136" s="27">
        <f>COGS!CJ136+'SG&amp;A'!CJ136</f>
        <v>0</v>
      </c>
      <c r="CK136" s="27">
        <f>COGS!CK136+'SG&amp;A'!CK136</f>
        <v>0</v>
      </c>
      <c r="CL136" s="27">
        <f>COGS!CL136+'SG&amp;A'!CL136</f>
        <v>0</v>
      </c>
      <c r="CM136" s="27">
        <f>COGS!CM136+'SG&amp;A'!CM136</f>
        <v>0</v>
      </c>
      <c r="CN136" s="27">
        <f>COGS!CN136+'SG&amp;A'!CN136</f>
        <v>0</v>
      </c>
      <c r="CO136" s="27">
        <f>COGS!CO136+'SG&amp;A'!CO136</f>
        <v>0</v>
      </c>
      <c r="CP136" s="27">
        <f>COGS!CP136+'SG&amp;A'!CP136</f>
        <v>0</v>
      </c>
      <c r="CQ136" s="27">
        <f>COGS!CQ136+'SG&amp;A'!CQ136</f>
        <v>1E-3</v>
      </c>
      <c r="CR136" s="27">
        <f>COGS!CR136+'SG&amp;A'!CR136</f>
        <v>1E-3</v>
      </c>
      <c r="CS136" s="27">
        <f>COGS!CS136+'SG&amp;A'!CS136</f>
        <v>1E-3</v>
      </c>
      <c r="CT136" s="27">
        <f>COGS!CT136+'SG&amp;A'!CT136</f>
        <v>1E-3</v>
      </c>
      <c r="CU136" s="27">
        <f>COGS!CU136+'SG&amp;A'!CU136</f>
        <v>1E-3</v>
      </c>
      <c r="CV136" s="27">
        <f>COGS!CV136+'SG&amp;A'!CV136</f>
        <v>1E-3</v>
      </c>
      <c r="CW136" s="27">
        <f>COGS!CW136+'SG&amp;A'!CW136</f>
        <v>4.0000000000000001E-3</v>
      </c>
      <c r="CX136" s="27">
        <f>COGS!CX136+'SG&amp;A'!CX136</f>
        <v>1E-3</v>
      </c>
      <c r="CY136" s="27">
        <f>COGS!CY136+'SG&amp;A'!CY136</f>
        <v>2E-3</v>
      </c>
      <c r="CZ136" s="27">
        <f>COGS!CZ136+'SG&amp;A'!CZ136</f>
        <v>1E-3</v>
      </c>
      <c r="DA136" s="27">
        <f>COGS!DA136+'SG&amp;A'!DA136</f>
        <v>1E-3</v>
      </c>
      <c r="DB136" s="27">
        <f>COGS!DB136+'SG&amp;A'!DB136</f>
        <v>5.0000000000000001E-3</v>
      </c>
      <c r="DC136" s="27">
        <f>COGS!DC136+'SG&amp;A'!DC136</f>
        <v>1E-3</v>
      </c>
      <c r="DD136" s="27">
        <f>COGS!DD136+'SG&amp;A'!DD136</f>
        <v>1E-3</v>
      </c>
      <c r="DE136" s="27">
        <f>COGS!DE136+'SG&amp;A'!DE136</f>
        <v>1E-3</v>
      </c>
      <c r="DF136" s="27">
        <f>COGS!DF136+'SG&amp;A'!DF136</f>
        <v>2E-3</v>
      </c>
      <c r="DG136" s="27">
        <f>COGS!DG136+'SG&amp;A'!DG136</f>
        <v>5.0000000000000001E-3</v>
      </c>
      <c r="DH136" s="27">
        <f>COGS!DH136+'SG&amp;A'!DH136</f>
        <v>1E-3</v>
      </c>
      <c r="DI136" s="27">
        <f>COGS!DI136+'SG&amp;A'!DI136</f>
        <v>1E-3</v>
      </c>
      <c r="DJ136" s="27">
        <f>COGS!DJ136+'SG&amp;A'!DJ136</f>
        <v>1E-3</v>
      </c>
      <c r="DK136" s="27">
        <f>COGS!DK136+'SG&amp;A'!DK136</f>
        <v>1E-3</v>
      </c>
      <c r="DL136" s="27">
        <f>COGS!DL136+'SG&amp;A'!DL136</f>
        <v>4.0000000000000001E-3</v>
      </c>
      <c r="DM136" s="27">
        <f>COGS!DM136+'SG&amp;A'!DM136</f>
        <v>1E-3</v>
      </c>
      <c r="DN136" s="27">
        <f>COGS!DN136+'SG&amp;A'!DN136</f>
        <v>1E-3</v>
      </c>
      <c r="DO136" s="27">
        <f>COGS!DO136+'SG&amp;A'!DO136</f>
        <v>1E-3</v>
      </c>
      <c r="DP136" s="27">
        <f>COGS!DP136+'SG&amp;A'!DP136</f>
        <v>1E-3</v>
      </c>
      <c r="DQ136" s="27">
        <f>COGS!DQ136+'SG&amp;A'!DQ136</f>
        <v>4.0000000000000001E-3</v>
      </c>
      <c r="DR136" s="27">
        <f>COGS!DR136+'SG&amp;A'!DR136</f>
        <v>1E-3</v>
      </c>
      <c r="DS136" s="27">
        <f>COGS!DS136+'SG&amp;A'!DS136</f>
        <v>1E-3</v>
      </c>
      <c r="DT136" s="27">
        <f>COGS!DT136+'SG&amp;A'!DT136</f>
        <v>1E-3</v>
      </c>
      <c r="DU136" s="27">
        <f>COGS!DU136+'SG&amp;A'!DU136</f>
        <v>-1E-3</v>
      </c>
      <c r="DV136" s="27">
        <f>COGS!DV136+'SG&amp;A'!DV136</f>
        <v>2E-3</v>
      </c>
      <c r="DW136" s="27">
        <f>COGS!DW136+'SG&amp;A'!DW136</f>
        <v>1E-3</v>
      </c>
      <c r="DX136" s="27">
        <f>COGS!DX136+'SG&amp;A'!DX136</f>
        <v>1.011E-3</v>
      </c>
      <c r="DY136" s="27">
        <f>COGS!DY136+'SG&amp;A'!DY136</f>
        <v>1.0120000000000001E-3</v>
      </c>
      <c r="DZ136" s="27">
        <f>COGS!DZ136+'SG&amp;A'!DZ136</f>
        <v>6.9965400000000007E-3</v>
      </c>
      <c r="EA136" s="27">
        <f>COGS!EA136+'SG&amp;A'!EA136</f>
        <v>1.001954E-2</v>
      </c>
      <c r="EB136" s="27">
        <f>COGS!EB136+'SG&amp;A'!EB136</f>
        <v>1.8901939999999999E-2</v>
      </c>
      <c r="EC136" s="27">
        <f>COGS!EC136+'SG&amp;A'!EC136</f>
        <v>1.8901000000000005E-2</v>
      </c>
      <c r="ED136" s="27">
        <f>COGS!ED136+'SG&amp;A'!ED136</f>
        <v>1.9E-2</v>
      </c>
      <c r="EE136" s="27">
        <f>COGS!EE136+'SG&amp;A'!EE136</f>
        <v>1.8901000000000001E-2</v>
      </c>
      <c r="EF136" s="27">
        <f>COGS!EF136+'SG&amp;A'!EF136</f>
        <v>7.5703940000000011E-2</v>
      </c>
      <c r="EG136" s="27">
        <f>COGS!EG136+'SG&amp;A'!EG136</f>
        <v>1.8901999999999999E-2</v>
      </c>
      <c r="EH136" s="27">
        <f>COGS!EH136+'SG&amp;A'!EH136</f>
        <v>1.8901000000000001E-2</v>
      </c>
      <c r="EI136" s="27">
        <f>COGS!EI136+'SG&amp;A'!EI136</f>
        <v>1.8901999999999999E-2</v>
      </c>
    </row>
    <row r="137" spans="1:139" ht="15" thickBot="1" x14ac:dyDescent="0.35">
      <c r="A137" s="2" t="s">
        <v>331</v>
      </c>
      <c r="B137" s="28">
        <f>COGS!B137+'SG&amp;A'!B137</f>
        <v>0</v>
      </c>
      <c r="C137" s="28">
        <f>COGS!C137+'SG&amp;A'!C137</f>
        <v>0</v>
      </c>
      <c r="D137" s="28">
        <f>COGS!D137+'SG&amp;A'!D137</f>
        <v>0</v>
      </c>
      <c r="E137" s="28">
        <f>COGS!E137+'SG&amp;A'!E137</f>
        <v>0</v>
      </c>
      <c r="F137" s="28">
        <f>COGS!F137+'SG&amp;A'!F137</f>
        <v>0</v>
      </c>
      <c r="G137" s="28">
        <f>COGS!G137+'SG&amp;A'!G137</f>
        <v>0</v>
      </c>
      <c r="H137" s="28">
        <f>COGS!H137+'SG&amp;A'!H137</f>
        <v>0</v>
      </c>
      <c r="I137" s="28">
        <f>COGS!I137+'SG&amp;A'!I137</f>
        <v>0</v>
      </c>
      <c r="J137" s="28">
        <f>COGS!J137+'SG&amp;A'!J137</f>
        <v>0</v>
      </c>
      <c r="K137" s="28">
        <f>COGS!K137+'SG&amp;A'!K137</f>
        <v>0</v>
      </c>
      <c r="L137" s="28">
        <f>COGS!L137+'SG&amp;A'!L137</f>
        <v>0</v>
      </c>
      <c r="M137" s="28">
        <f>COGS!M137+'SG&amp;A'!M137</f>
        <v>0</v>
      </c>
      <c r="N137" s="28">
        <f>COGS!N137+'SG&amp;A'!N137</f>
        <v>0</v>
      </c>
      <c r="O137" s="28">
        <f>COGS!O137+'SG&amp;A'!O137</f>
        <v>0</v>
      </c>
      <c r="P137" s="28">
        <f>COGS!P137+'SG&amp;A'!P137</f>
        <v>0</v>
      </c>
      <c r="Q137" s="28">
        <f>COGS!Q137+'SG&amp;A'!Q137</f>
        <v>0</v>
      </c>
      <c r="R137" s="28">
        <f>COGS!R137+'SG&amp;A'!R137</f>
        <v>0</v>
      </c>
      <c r="S137" s="28">
        <f>COGS!S137+'SG&amp;A'!S137</f>
        <v>0</v>
      </c>
      <c r="T137" s="28">
        <f>COGS!T137+'SG&amp;A'!T137</f>
        <v>0</v>
      </c>
      <c r="U137" s="28">
        <f>COGS!U137+'SG&amp;A'!U137</f>
        <v>0</v>
      </c>
      <c r="V137" s="28">
        <f>COGS!V137+'SG&amp;A'!V137</f>
        <v>0</v>
      </c>
      <c r="W137" s="28">
        <f>COGS!W137+'SG&amp;A'!W137</f>
        <v>0</v>
      </c>
      <c r="X137" s="28">
        <f>COGS!X137+'SG&amp;A'!X137</f>
        <v>0</v>
      </c>
      <c r="Y137" s="28">
        <f>COGS!Y137+'SG&amp;A'!Y137</f>
        <v>0</v>
      </c>
      <c r="Z137" s="28">
        <f>COGS!Z137+'SG&amp;A'!Z137</f>
        <v>0</v>
      </c>
      <c r="AA137" s="28">
        <f>COGS!AA137+'SG&amp;A'!AA137</f>
        <v>0</v>
      </c>
      <c r="AB137" s="28">
        <f>COGS!AB137+'SG&amp;A'!AB137</f>
        <v>0</v>
      </c>
      <c r="AC137" s="28">
        <f>COGS!AC137+'SG&amp;A'!AC137</f>
        <v>0</v>
      </c>
      <c r="AD137" s="28">
        <f>COGS!AD137+'SG&amp;A'!AD137</f>
        <v>0</v>
      </c>
      <c r="AE137" s="28">
        <f>COGS!AE137+'SG&amp;A'!AE137</f>
        <v>0</v>
      </c>
      <c r="AF137" s="28">
        <f>COGS!AF137+'SG&amp;A'!AF137</f>
        <v>0</v>
      </c>
      <c r="AG137" s="28">
        <f>COGS!AG137+'SG&amp;A'!AG137</f>
        <v>0</v>
      </c>
      <c r="AH137" s="28">
        <f>COGS!AH137+'SG&amp;A'!AH137</f>
        <v>0</v>
      </c>
      <c r="AI137" s="28">
        <f>COGS!AI137+'SG&amp;A'!AI137</f>
        <v>0</v>
      </c>
      <c r="AJ137" s="28">
        <f>COGS!AJ137+'SG&amp;A'!AJ137</f>
        <v>0</v>
      </c>
      <c r="AK137" s="28">
        <f>COGS!AK137+'SG&amp;A'!AK137</f>
        <v>0</v>
      </c>
      <c r="AL137" s="28">
        <f>COGS!AL137+'SG&amp;A'!AL137</f>
        <v>0</v>
      </c>
      <c r="AM137" s="28">
        <f>COGS!AM137+'SG&amp;A'!AM137</f>
        <v>0</v>
      </c>
      <c r="AN137" s="28">
        <f>COGS!AN137+'SG&amp;A'!AN137</f>
        <v>0</v>
      </c>
      <c r="AO137" s="28">
        <f>COGS!AO137+'SG&amp;A'!AO137</f>
        <v>0</v>
      </c>
      <c r="AP137" s="28">
        <f>COGS!AP137+'SG&amp;A'!AP137</f>
        <v>0</v>
      </c>
      <c r="AQ137" s="28">
        <f>COGS!AQ137+'SG&amp;A'!AQ137</f>
        <v>0</v>
      </c>
      <c r="AR137" s="28">
        <f>COGS!AR137+'SG&amp;A'!AR137</f>
        <v>0</v>
      </c>
      <c r="AS137" s="28">
        <f>COGS!AS137+'SG&amp;A'!AS137</f>
        <v>0</v>
      </c>
      <c r="AT137" s="28">
        <f>COGS!AT137+'SG&amp;A'!AT137</f>
        <v>0</v>
      </c>
      <c r="AU137" s="28">
        <f>COGS!AU137+'SG&amp;A'!AU137</f>
        <v>0</v>
      </c>
      <c r="AV137" s="28">
        <f>COGS!AV137+'SG&amp;A'!AV137</f>
        <v>0</v>
      </c>
      <c r="AW137" s="28">
        <f>COGS!AW137+'SG&amp;A'!AW137</f>
        <v>0</v>
      </c>
      <c r="AX137" s="28">
        <f>COGS!AX137+'SG&amp;A'!AX137</f>
        <v>0</v>
      </c>
      <c r="AY137" s="28">
        <f>COGS!AY137+'SG&amp;A'!AY137</f>
        <v>0</v>
      </c>
      <c r="AZ137" s="28">
        <f>COGS!AZ137+'SG&amp;A'!AZ137</f>
        <v>0</v>
      </c>
      <c r="BA137" s="28">
        <f>COGS!BA137+'SG&amp;A'!BA137</f>
        <v>0</v>
      </c>
      <c r="BB137" s="28">
        <f>COGS!BB137+'SG&amp;A'!BB137</f>
        <v>0</v>
      </c>
      <c r="BC137" s="28">
        <f>COGS!BC137+'SG&amp;A'!BC137</f>
        <v>0</v>
      </c>
      <c r="BD137" s="28">
        <f>COGS!BD137+'SG&amp;A'!BD137</f>
        <v>0</v>
      </c>
      <c r="BE137" s="28">
        <f>COGS!BE137+'SG&amp;A'!BE137</f>
        <v>0</v>
      </c>
      <c r="BF137" s="28">
        <f>COGS!BF137+'SG&amp;A'!BF137</f>
        <v>0</v>
      </c>
      <c r="BG137" s="28">
        <f>COGS!BG137+'SG&amp;A'!BG137</f>
        <v>0</v>
      </c>
      <c r="BH137" s="28">
        <f>COGS!BH137+'SG&amp;A'!BH137</f>
        <v>0</v>
      </c>
      <c r="BI137" s="28">
        <f>COGS!BI137+'SG&amp;A'!BI137</f>
        <v>0</v>
      </c>
      <c r="BJ137" s="28">
        <f>COGS!BJ137+'SG&amp;A'!BJ137</f>
        <v>8.2387310000000005E-2</v>
      </c>
      <c r="BK137" s="28">
        <f>COGS!BK137+'SG&amp;A'!BK137</f>
        <v>8.3724689999999977E-2</v>
      </c>
      <c r="BL137" s="28">
        <f>COGS!BL137+'SG&amp;A'!BL137</f>
        <v>8.4754609999999994E-2</v>
      </c>
      <c r="BM137" s="28">
        <f>COGS!BM137+'SG&amp;A'!BM137</f>
        <v>0.59763392000000015</v>
      </c>
      <c r="BN137" s="28">
        <f>COGS!BN137+'SG&amp;A'!BN137</f>
        <v>0.84850053000000014</v>
      </c>
      <c r="BO137" s="28">
        <f>COGS!BO137+'SG&amp;A'!BO137</f>
        <v>0.21196497</v>
      </c>
      <c r="BP137" s="28">
        <f>COGS!BP137+'SG&amp;A'!BP137</f>
        <v>0.23724965000000001</v>
      </c>
      <c r="BQ137" s="28">
        <f>COGS!BQ137+'SG&amp;A'!BQ137</f>
        <v>0.27186056999999997</v>
      </c>
      <c r="BR137" s="28">
        <f>COGS!BR137+'SG&amp;A'!BR137</f>
        <v>0.27641477000000003</v>
      </c>
      <c r="BS137" s="28">
        <f>COGS!BS137+'SG&amp;A'!BS137</f>
        <v>0.99748996000000001</v>
      </c>
      <c r="BT137" s="28">
        <f>COGS!BT137+'SG&amp;A'!BT137</f>
        <v>0.27632441000000002</v>
      </c>
      <c r="BU137" s="28">
        <f>COGS!BU137+'SG&amp;A'!BU137</f>
        <v>0.27886848000000003</v>
      </c>
      <c r="BV137" s="28">
        <f>COGS!BV137+'SG&amp;A'!BV137</f>
        <v>0.27721785999999987</v>
      </c>
      <c r="BW137" s="28">
        <f>COGS!BW137+'SG&amp;A'!BW137</f>
        <v>0.27806448</v>
      </c>
      <c r="BX137" s="28">
        <f>COGS!BX137+'SG&amp;A'!BX137</f>
        <v>1.11047523</v>
      </c>
      <c r="BY137" s="28">
        <f>COGS!BY137+'SG&amp;A'!BY137</f>
        <v>0.15056797</v>
      </c>
      <c r="BZ137" s="28">
        <f>COGS!BZ137+'SG&amp;A'!BZ137</f>
        <v>0.15147404000000003</v>
      </c>
      <c r="CA137" s="28">
        <f>COGS!CA137+'SG&amp;A'!CA137</f>
        <v>0.15530639000000002</v>
      </c>
      <c r="CB137" s="28">
        <f>COGS!CB137+'SG&amp;A'!CB137</f>
        <v>0.15066047999999993</v>
      </c>
      <c r="CC137" s="28">
        <f>COGS!CC137+'SG&amp;A'!CC137</f>
        <v>0.60800887999999997</v>
      </c>
      <c r="CD137" s="28">
        <f>COGS!CD137+'SG&amp;A'!CD137</f>
        <v>0.15764157000000001</v>
      </c>
      <c r="CE137" s="28">
        <f>COGS!CE137+'SG&amp;A'!CE137</f>
        <v>0.16254743999999999</v>
      </c>
      <c r="CF137" s="28">
        <f>COGS!CF137+'SG&amp;A'!CF137</f>
        <v>0.16350753000000001</v>
      </c>
      <c r="CG137" s="28">
        <f>COGS!CG137+'SG&amp;A'!CG137</f>
        <v>0.16067755</v>
      </c>
      <c r="CH137" s="28">
        <f>COGS!CH137+'SG&amp;A'!CH137</f>
        <v>0.64437409000000001</v>
      </c>
      <c r="CI137" s="28">
        <f>COGS!CI137+'SG&amp;A'!CI137</f>
        <v>0.17291818</v>
      </c>
      <c r="CJ137" s="28">
        <f>COGS!CJ137+'SG&amp;A'!CJ137</f>
        <v>0.17185724999999999</v>
      </c>
      <c r="CK137" s="28">
        <f>COGS!CK137+'SG&amp;A'!CK137</f>
        <v>0.17128606000000005</v>
      </c>
      <c r="CL137" s="28">
        <f>COGS!CL137+'SG&amp;A'!CL137</f>
        <v>0.17329901000000006</v>
      </c>
      <c r="CM137" s="28">
        <f>COGS!CM137+'SG&amp;A'!CM137</f>
        <v>0.68936050000000004</v>
      </c>
      <c r="CN137" s="28">
        <f>COGS!CN137+'SG&amp;A'!CN137</f>
        <v>0.17393748000000001</v>
      </c>
      <c r="CO137" s="28">
        <f>COGS!CO137+'SG&amp;A'!CO137</f>
        <v>0.16858717000000004</v>
      </c>
      <c r="CP137" s="28">
        <f>COGS!CP137+'SG&amp;A'!CP137</f>
        <v>0.15908836000000001</v>
      </c>
      <c r="CQ137" s="28">
        <f>COGS!CQ137+'SG&amp;A'!CQ137</f>
        <v>0.15738699</v>
      </c>
      <c r="CR137" s="28">
        <f>COGS!CR137+'SG&amp;A'!CR137</f>
        <v>0.65900000000000003</v>
      </c>
      <c r="CS137" s="28">
        <f>COGS!CS137+'SG&amp;A'!CS137</f>
        <v>0.16813598999999999</v>
      </c>
      <c r="CT137" s="28">
        <f>COGS!CT137+'SG&amp;A'!CT137</f>
        <v>0.16538715000000001</v>
      </c>
      <c r="CU137" s="28">
        <f>COGS!CU137+'SG&amp;A'!CU137</f>
        <v>0.16923654000000002</v>
      </c>
      <c r="CV137" s="28">
        <f>COGS!CV137+'SG&amp;A'!CV137</f>
        <v>0.17099</v>
      </c>
      <c r="CW137" s="28">
        <f>COGS!CW137+'SG&amp;A'!CW137</f>
        <v>0.67374968000000002</v>
      </c>
      <c r="CX137" s="28">
        <f>COGS!CX137+'SG&amp;A'!CX137</f>
        <v>0.17100000000000001</v>
      </c>
      <c r="CY137" s="28">
        <f>COGS!CY137+'SG&amp;A'!CY137</f>
        <v>0.16900000000000001</v>
      </c>
      <c r="CZ137" s="28">
        <f>COGS!CZ137+'SG&amp;A'!CZ137</f>
        <v>0.16400000000000001</v>
      </c>
      <c r="DA137" s="28">
        <f>COGS!DA137+'SG&amp;A'!DA137</f>
        <v>0.161</v>
      </c>
      <c r="DB137" s="28">
        <f>COGS!DB137+'SG&amp;A'!DB137</f>
        <v>0.66500000000000004</v>
      </c>
      <c r="DC137" s="28">
        <f>COGS!DC137+'SG&amp;A'!DC137</f>
        <v>0.152</v>
      </c>
      <c r="DD137" s="28">
        <f>COGS!DD137+'SG&amp;A'!DD137</f>
        <v>0.14799999999999999</v>
      </c>
      <c r="DE137" s="28">
        <f>COGS!DE137+'SG&amp;A'!DE137</f>
        <v>0.14399999999999999</v>
      </c>
      <c r="DF137" s="28">
        <f>COGS!DF137+'SG&amp;A'!DF137</f>
        <v>0.14299999999999999</v>
      </c>
      <c r="DG137" s="28">
        <f>COGS!DG137+'SG&amp;A'!DG137</f>
        <v>0.58699999999999997</v>
      </c>
      <c r="DH137" s="28">
        <f>COGS!DH137+'SG&amp;A'!DH137</f>
        <v>0.41899999999999998</v>
      </c>
      <c r="DI137" s="28">
        <f>COGS!DI137+'SG&amp;A'!DI137</f>
        <v>0.42299999999999999</v>
      </c>
      <c r="DJ137" s="28">
        <f>COGS!DJ137+'SG&amp;A'!DJ137</f>
        <v>0.30599999999999999</v>
      </c>
      <c r="DK137" s="28">
        <f>COGS!DK137+'SG&amp;A'!DK137</f>
        <v>0.19600000000000001</v>
      </c>
      <c r="DL137" s="28">
        <f>COGS!DL137+'SG&amp;A'!DL137</f>
        <v>1.3439999999999999</v>
      </c>
      <c r="DM137" s="28">
        <f>COGS!DM137+'SG&amp;A'!DM137</f>
        <v>0.155</v>
      </c>
      <c r="DN137" s="28">
        <f>COGS!DN137+'SG&amp;A'!DN137</f>
        <v>0.34799999999999998</v>
      </c>
      <c r="DO137" s="28">
        <f>COGS!DO137+'SG&amp;A'!DO137</f>
        <v>0.41299999999999998</v>
      </c>
      <c r="DP137" s="28">
        <f>COGS!DP137+'SG&amp;A'!DP137</f>
        <v>0.40899999999999997</v>
      </c>
      <c r="DQ137" s="28">
        <f>COGS!DQ137+'SG&amp;A'!DQ137</f>
        <v>1.325</v>
      </c>
      <c r="DR137" s="28">
        <f>COGS!DR137+'SG&amp;A'!DR137</f>
        <v>0.38200000000000001</v>
      </c>
      <c r="DS137" s="28">
        <f>COGS!DS137+'SG&amp;A'!DS137</f>
        <v>0.35199999999999998</v>
      </c>
      <c r="DT137" s="28">
        <f>COGS!DT137+'SG&amp;A'!DT137</f>
        <v>0.35299999999999998</v>
      </c>
      <c r="DU137" s="28">
        <f>COGS!DU137+'SG&amp;A'!DU137</f>
        <v>0.35899999999999999</v>
      </c>
      <c r="DV137" s="28">
        <f>COGS!DV137+'SG&amp;A'!DV137</f>
        <v>1.446</v>
      </c>
      <c r="DW137" s="28">
        <f>COGS!DW137+'SG&amp;A'!DW137</f>
        <v>0.621</v>
      </c>
      <c r="DX137" s="28">
        <f>COGS!DX137+'SG&amp;A'!DX137</f>
        <v>0.39033443000000001</v>
      </c>
      <c r="DY137" s="28">
        <f>COGS!DY137+'SG&amp;A'!DY137</f>
        <v>0.50802173000000006</v>
      </c>
      <c r="DZ137" s="28">
        <f>COGS!DZ137+'SG&amp;A'!DZ137</f>
        <v>0.46289194999999994</v>
      </c>
      <c r="EA137" s="28">
        <f>COGS!EA137+'SG&amp;A'!EA137</f>
        <v>1.98224811</v>
      </c>
      <c r="EB137" s="28">
        <f>COGS!EB137+'SG&amp;A'!EB137</f>
        <v>0.61245207999999995</v>
      </c>
      <c r="EC137" s="28">
        <f>COGS!EC137+'SG&amp;A'!EC137</f>
        <v>0.56996354999999999</v>
      </c>
      <c r="ED137" s="28">
        <f>COGS!ED137+'SG&amp;A'!ED137</f>
        <v>0.53100000000000003</v>
      </c>
      <c r="EE137" s="28">
        <f>COGS!EE137+'SG&amp;A'!EE137</f>
        <v>0.68733298999999981</v>
      </c>
      <c r="EF137" s="28">
        <f>COGS!EF137+'SG&amp;A'!EF137</f>
        <v>2.4007486199999999</v>
      </c>
      <c r="EG137" s="28">
        <f>COGS!EG137+'SG&amp;A'!EG137</f>
        <v>0.58499970999999995</v>
      </c>
      <c r="EH137" s="28">
        <f>COGS!EH137+'SG&amp;A'!EH137</f>
        <v>0.58682347999999995</v>
      </c>
      <c r="EI137" s="28">
        <f>COGS!EI137+'SG&amp;A'!EI137</f>
        <v>0.58810711000000016</v>
      </c>
    </row>
    <row r="138" spans="1:139" ht="15" thickTop="1" x14ac:dyDescent="0.3">
      <c r="A138" s="1" t="s">
        <v>308</v>
      </c>
      <c r="B138" s="27">
        <f>COGS!B138+'SG&amp;A'!B138</f>
        <v>0</v>
      </c>
      <c r="C138" s="27">
        <f>COGS!C138+'SG&amp;A'!C138</f>
        <v>0</v>
      </c>
      <c r="D138" s="27">
        <f>COGS!D138+'SG&amp;A'!D138</f>
        <v>0</v>
      </c>
      <c r="E138" s="27">
        <f>COGS!E138+'SG&amp;A'!E138</f>
        <v>0</v>
      </c>
      <c r="F138" s="27">
        <f>COGS!F138+'SG&amp;A'!F138</f>
        <v>0</v>
      </c>
      <c r="G138" s="27">
        <f>COGS!G138+'SG&amp;A'!G138</f>
        <v>0</v>
      </c>
      <c r="H138" s="27">
        <f>COGS!H138+'SG&amp;A'!H138</f>
        <v>0</v>
      </c>
      <c r="I138" s="27">
        <f>COGS!I138+'SG&amp;A'!I138</f>
        <v>0</v>
      </c>
      <c r="J138" s="27">
        <f>COGS!J138+'SG&amp;A'!J138</f>
        <v>0</v>
      </c>
      <c r="K138" s="27">
        <f>COGS!K138+'SG&amp;A'!K138</f>
        <v>0</v>
      </c>
      <c r="L138" s="27">
        <f>COGS!L138+'SG&amp;A'!L138</f>
        <v>0</v>
      </c>
      <c r="M138" s="27">
        <f>COGS!M138+'SG&amp;A'!M138</f>
        <v>0</v>
      </c>
      <c r="N138" s="27">
        <f>COGS!N138+'SG&amp;A'!N138</f>
        <v>0</v>
      </c>
      <c r="O138" s="27">
        <f>COGS!O138+'SG&amp;A'!O138</f>
        <v>0</v>
      </c>
      <c r="P138" s="27">
        <f>COGS!P138+'SG&amp;A'!P138</f>
        <v>0</v>
      </c>
      <c r="Q138" s="27">
        <f>COGS!Q138+'SG&amp;A'!Q138</f>
        <v>0</v>
      </c>
      <c r="R138" s="27">
        <f>COGS!R138+'SG&amp;A'!R138</f>
        <v>0</v>
      </c>
      <c r="S138" s="27">
        <f>COGS!S138+'SG&amp;A'!S138</f>
        <v>0</v>
      </c>
      <c r="T138" s="27">
        <f>COGS!T138+'SG&amp;A'!T138</f>
        <v>0</v>
      </c>
      <c r="U138" s="27">
        <f>COGS!U138+'SG&amp;A'!U138</f>
        <v>0</v>
      </c>
      <c r="V138" s="27">
        <f>COGS!V138+'SG&amp;A'!V138</f>
        <v>0</v>
      </c>
      <c r="W138" s="27">
        <f>COGS!W138+'SG&amp;A'!W138</f>
        <v>0</v>
      </c>
      <c r="X138" s="27">
        <f>COGS!X138+'SG&amp;A'!X138</f>
        <v>0</v>
      </c>
      <c r="Y138" s="27">
        <f>COGS!Y138+'SG&amp;A'!Y138</f>
        <v>0</v>
      </c>
      <c r="Z138" s="27">
        <f>COGS!Z138+'SG&amp;A'!Z138</f>
        <v>0</v>
      </c>
      <c r="AA138" s="27">
        <f>COGS!AA138+'SG&amp;A'!AA138</f>
        <v>0</v>
      </c>
      <c r="AB138" s="27">
        <f>COGS!AB138+'SG&amp;A'!AB138</f>
        <v>0</v>
      </c>
      <c r="AC138" s="27">
        <f>COGS!AC138+'SG&amp;A'!AC138</f>
        <v>0</v>
      </c>
      <c r="AD138" s="27">
        <f>COGS!AD138+'SG&amp;A'!AD138</f>
        <v>0</v>
      </c>
      <c r="AE138" s="27">
        <f>COGS!AE138+'SG&amp;A'!AE138</f>
        <v>0</v>
      </c>
      <c r="AF138" s="27">
        <f>COGS!AF138+'SG&amp;A'!AF138</f>
        <v>0</v>
      </c>
      <c r="AG138" s="27">
        <f>COGS!AG138+'SG&amp;A'!AG138</f>
        <v>0</v>
      </c>
      <c r="AH138" s="27">
        <f>COGS!AH138+'SG&amp;A'!AH138</f>
        <v>0</v>
      </c>
      <c r="AI138" s="27">
        <f>COGS!AI138+'SG&amp;A'!AI138</f>
        <v>0</v>
      </c>
      <c r="AJ138" s="27">
        <f>COGS!AJ138+'SG&amp;A'!AJ138</f>
        <v>0</v>
      </c>
      <c r="AK138" s="27">
        <f>COGS!AK138+'SG&amp;A'!AK138</f>
        <v>0</v>
      </c>
      <c r="AL138" s="27">
        <f>COGS!AL138+'SG&amp;A'!AL138</f>
        <v>0</v>
      </c>
      <c r="AM138" s="27">
        <f>COGS!AM138+'SG&amp;A'!AM138</f>
        <v>0</v>
      </c>
      <c r="AN138" s="27">
        <f>COGS!AN138+'SG&amp;A'!AN138</f>
        <v>0</v>
      </c>
      <c r="AO138" s="27">
        <f>COGS!AO138+'SG&amp;A'!AO138</f>
        <v>0</v>
      </c>
      <c r="AP138" s="27">
        <f>COGS!AP138+'SG&amp;A'!AP138</f>
        <v>0</v>
      </c>
      <c r="AQ138" s="27">
        <f>COGS!AQ138+'SG&amp;A'!AQ138</f>
        <v>0</v>
      </c>
      <c r="AR138" s="27">
        <f>COGS!AR138+'SG&amp;A'!AR138</f>
        <v>0</v>
      </c>
      <c r="AS138" s="27">
        <f>COGS!AS138+'SG&amp;A'!AS138</f>
        <v>0</v>
      </c>
      <c r="AT138" s="27">
        <f>COGS!AT138+'SG&amp;A'!AT138</f>
        <v>0</v>
      </c>
      <c r="AU138" s="27">
        <f>COGS!AU138+'SG&amp;A'!AU138</f>
        <v>0</v>
      </c>
      <c r="AV138" s="27">
        <f>COGS!AV138+'SG&amp;A'!AV138</f>
        <v>0</v>
      </c>
      <c r="AW138" s="27">
        <f>COGS!AW138+'SG&amp;A'!AW138</f>
        <v>0</v>
      </c>
      <c r="AX138" s="27">
        <f>COGS!AX138+'SG&amp;A'!AX138</f>
        <v>0</v>
      </c>
      <c r="AY138" s="27">
        <f>COGS!AY138+'SG&amp;A'!AY138</f>
        <v>0</v>
      </c>
      <c r="AZ138" s="27">
        <f>COGS!AZ138+'SG&amp;A'!AZ138</f>
        <v>0</v>
      </c>
      <c r="BA138" s="27">
        <f>COGS!BA138+'SG&amp;A'!BA138</f>
        <v>0</v>
      </c>
      <c r="BB138" s="27">
        <f>COGS!BB138+'SG&amp;A'!BB138</f>
        <v>0</v>
      </c>
      <c r="BC138" s="27">
        <f>COGS!BC138+'SG&amp;A'!BC138</f>
        <v>0</v>
      </c>
      <c r="BD138" s="27">
        <f>COGS!BD138+'SG&amp;A'!BD138</f>
        <v>0</v>
      </c>
      <c r="BE138" s="27">
        <f>COGS!BE138+'SG&amp;A'!BE138</f>
        <v>0</v>
      </c>
      <c r="BF138" s="27">
        <f>COGS!BF138+'SG&amp;A'!BF138</f>
        <v>0</v>
      </c>
      <c r="BG138" s="27">
        <f>COGS!BG138+'SG&amp;A'!BG138</f>
        <v>0</v>
      </c>
      <c r="BH138" s="27">
        <f>COGS!BH138+'SG&amp;A'!BH138</f>
        <v>0</v>
      </c>
      <c r="BI138" s="27">
        <f>COGS!BI138+'SG&amp;A'!BI138</f>
        <v>0</v>
      </c>
      <c r="BJ138" s="27">
        <f>COGS!BJ138+'SG&amp;A'!BJ138</f>
        <v>1.0248917799999999</v>
      </c>
      <c r="BK138" s="27">
        <f>COGS!BK138+'SG&amp;A'!BK138</f>
        <v>0.67271570999999986</v>
      </c>
      <c r="BL138" s="27">
        <f>COGS!BL138+'SG&amp;A'!BL138</f>
        <v>0.6607676700000007</v>
      </c>
      <c r="BM138" s="27">
        <f>COGS!BM138+'SG&amp;A'!BM138</f>
        <v>0.65106754000000011</v>
      </c>
      <c r="BN138" s="27">
        <f>COGS!BN138+'SG&amp;A'!BN138</f>
        <v>3.0094427000000006</v>
      </c>
      <c r="BO138" s="27">
        <f>COGS!BO138+'SG&amp;A'!BO138</f>
        <v>2.9313700200000001</v>
      </c>
      <c r="BP138" s="27">
        <f>COGS!BP138+'SG&amp;A'!BP138</f>
        <v>2.8963153299999993</v>
      </c>
      <c r="BQ138" s="27">
        <f>COGS!BQ138+'SG&amp;A'!BQ138</f>
        <v>2.8827710800000013</v>
      </c>
      <c r="BR138" s="27">
        <f>COGS!BR138+'SG&amp;A'!BR138</f>
        <v>1.7825720099999991</v>
      </c>
      <c r="BS138" s="27">
        <f>COGS!BS138+'SG&amp;A'!BS138</f>
        <v>10.49302844</v>
      </c>
      <c r="BT138" s="27">
        <f>COGS!BT138+'SG&amp;A'!BT138</f>
        <v>1</v>
      </c>
      <c r="BU138" s="27">
        <f>COGS!BU138+'SG&amp;A'!BU138</f>
        <v>0.5</v>
      </c>
      <c r="BV138" s="27">
        <f>COGS!BV138+'SG&amp;A'!BV138</f>
        <v>17.900000000000002</v>
      </c>
      <c r="BW138" s="27">
        <f>COGS!BW138+'SG&amp;A'!BW138</f>
        <v>9.3999999999999986</v>
      </c>
      <c r="BX138" s="27">
        <f>COGS!BX138+'SG&amp;A'!BX138</f>
        <v>28.8</v>
      </c>
      <c r="BY138" s="27">
        <f>COGS!BY138+'SG&amp;A'!BY138</f>
        <v>0.1</v>
      </c>
      <c r="BZ138" s="27">
        <f>COGS!BZ138+'SG&amp;A'!BZ138</f>
        <v>8.9665292399999998</v>
      </c>
      <c r="CA138" s="27">
        <f>COGS!CA138+'SG&amp;A'!CA138</f>
        <v>7.4</v>
      </c>
      <c r="CB138" s="27">
        <f>COGS!CB138+'SG&amp;A'!CB138</f>
        <v>7.4</v>
      </c>
      <c r="CC138" s="27">
        <f>COGS!CC138+'SG&amp;A'!CC138</f>
        <v>23.866529239999998</v>
      </c>
      <c r="CD138" s="27">
        <f>COGS!CD138+'SG&amp;A'!CD138</f>
        <v>7.5712367899999995</v>
      </c>
      <c r="CE138" s="27">
        <f>COGS!CE138+'SG&amp;A'!CE138</f>
        <v>8.1</v>
      </c>
      <c r="CF138" s="27">
        <f>COGS!CF138+'SG&amp;A'!CF138</f>
        <v>7.6999999999999993</v>
      </c>
      <c r="CG138" s="27">
        <f>COGS!CG138+'SG&amp;A'!CG138</f>
        <v>8</v>
      </c>
      <c r="CH138" s="27">
        <f>COGS!CH138+'SG&amp;A'!CH138</f>
        <v>31.371236790000001</v>
      </c>
      <c r="CI138" s="27">
        <f>COGS!CI138+'SG&amp;A'!CI138</f>
        <v>7.8280084900000002</v>
      </c>
      <c r="CJ138" s="27">
        <f>COGS!CJ138+'SG&amp;A'!CJ138</f>
        <v>7.8274192200000012</v>
      </c>
      <c r="CK138" s="27">
        <f>COGS!CK138+'SG&amp;A'!CK138</f>
        <v>7.8269173699999968</v>
      </c>
      <c r="CL138" s="27">
        <f>COGS!CL138+'SG&amp;A'!CL138</f>
        <v>9.4847403599999982</v>
      </c>
      <c r="CM138" s="27">
        <f>COGS!CM138+'SG&amp;A'!CM138</f>
        <v>32.967085439999998</v>
      </c>
      <c r="CN138" s="27">
        <f>COGS!CN138+'SG&amp;A'!CN138</f>
        <v>7.85147656</v>
      </c>
      <c r="CO138" s="27">
        <f>COGS!CO138+'SG&amp;A'!CO138</f>
        <v>7.9060848200000002</v>
      </c>
      <c r="CP138" s="27">
        <f>COGS!CP138+'SG&amp;A'!CP138</f>
        <v>5.5634226599999987</v>
      </c>
      <c r="CQ138" s="27">
        <f>COGS!CQ138+'SG&amp;A'!CQ138</f>
        <v>4.7720159600000009</v>
      </c>
      <c r="CR138" s="27">
        <f>COGS!CR138+'SG&amp;A'!CR138</f>
        <v>26.093</v>
      </c>
      <c r="CS138" s="27">
        <f>COGS!CS138+'SG&amp;A'!CS138</f>
        <v>5.44724232</v>
      </c>
      <c r="CT138" s="27">
        <f>COGS!CT138+'SG&amp;A'!CT138</f>
        <v>5.45158699</v>
      </c>
      <c r="CU138" s="27">
        <f>COGS!CU138+'SG&amp;A'!CU138</f>
        <v>5.4421956299999996</v>
      </c>
      <c r="CV138" s="27">
        <f>COGS!CV138+'SG&amp;A'!CV138</f>
        <v>5.4472423200000017</v>
      </c>
      <c r="CW138" s="27">
        <f>COGS!CW138+'SG&amp;A'!CW138</f>
        <v>21.788267260000001</v>
      </c>
      <c r="CX138" s="27">
        <f>COGS!CX138+'SG&amp;A'!CX138</f>
        <v>4.2830000000000004</v>
      </c>
      <c r="CY138" s="27">
        <f>COGS!CY138+'SG&amp;A'!CY138</f>
        <v>4.2830000000000004</v>
      </c>
      <c r="CZ138" s="27">
        <f>COGS!CZ138+'SG&amp;A'!CZ138</f>
        <v>4.2830000000000004</v>
      </c>
      <c r="DA138" s="27">
        <f>COGS!DA138+'SG&amp;A'!DA138</f>
        <v>4.2830000000000004</v>
      </c>
      <c r="DB138" s="27">
        <f>COGS!DB138+'SG&amp;A'!DB138</f>
        <v>17.132000000000001</v>
      </c>
      <c r="DC138" s="27">
        <f>COGS!DC138+'SG&amp;A'!DC138</f>
        <v>3.9529999999999998</v>
      </c>
      <c r="DD138" s="27">
        <f>COGS!DD138+'SG&amp;A'!DD138</f>
        <v>3.9529999999999998</v>
      </c>
      <c r="DE138" s="27">
        <f>COGS!DE138+'SG&amp;A'!DE138</f>
        <v>6.8620000000000001</v>
      </c>
      <c r="DF138" s="27">
        <f>COGS!DF138+'SG&amp;A'!DF138</f>
        <v>21.036000000000001</v>
      </c>
      <c r="DG138" s="27">
        <f>COGS!DG138+'SG&amp;A'!DG138</f>
        <v>35.804000000000002</v>
      </c>
      <c r="DH138" s="27">
        <f>COGS!DH138+'SG&amp;A'!DH138</f>
        <v>-6.7149999999999999</v>
      </c>
      <c r="DI138" s="27">
        <f>COGS!DI138+'SG&amp;A'!DI138</f>
        <v>6.8470000000000004</v>
      </c>
      <c r="DJ138" s="27">
        <f>COGS!DJ138+'SG&amp;A'!DJ138</f>
        <v>6.8470000000000004</v>
      </c>
      <c r="DK138" s="27">
        <f>COGS!DK138+'SG&amp;A'!DK138</f>
        <v>6.383</v>
      </c>
      <c r="DL138" s="27">
        <f>COGS!DL138+'SG&amp;A'!DL138</f>
        <v>13.362000000000002</v>
      </c>
      <c r="DM138" s="27">
        <f>COGS!DM138+'SG&amp;A'!DM138</f>
        <v>1.2</v>
      </c>
      <c r="DN138" s="27">
        <f>COGS!DN138+'SG&amp;A'!DN138</f>
        <v>5.7539999999999996</v>
      </c>
      <c r="DO138" s="27">
        <f>COGS!DO138+'SG&amp;A'!DO138</f>
        <v>2.649</v>
      </c>
      <c r="DP138" s="27">
        <f>COGS!DP138+'SG&amp;A'!DP138</f>
        <v>1.9040000000000001</v>
      </c>
      <c r="DQ138" s="27">
        <f>COGS!DQ138+'SG&amp;A'!DQ138</f>
        <v>11.507</v>
      </c>
      <c r="DR138" s="27">
        <f>COGS!DR138+'SG&amp;A'!DR138</f>
        <v>3.2469999999999999</v>
      </c>
      <c r="DS138" s="27">
        <f>COGS!DS138+'SG&amp;A'!DS138</f>
        <v>3.2509999999999999</v>
      </c>
      <c r="DT138" s="27">
        <f>COGS!DT138+'SG&amp;A'!DT138</f>
        <v>3.2370000000000001</v>
      </c>
      <c r="DU138" s="27">
        <f>COGS!DU138+'SG&amp;A'!DU138</f>
        <v>3.3690000000000002</v>
      </c>
      <c r="DV138" s="27">
        <f>COGS!DV138+'SG&amp;A'!DV138</f>
        <v>13.103999999999999</v>
      </c>
      <c r="DW138" s="27">
        <f>COGS!DW138+'SG&amp;A'!DW138</f>
        <v>3.6670000000000003</v>
      </c>
      <c r="DX138" s="27">
        <f>COGS!DX138+'SG&amp;A'!DX138</f>
        <v>4.0270062099999997</v>
      </c>
      <c r="DY138" s="27">
        <f>COGS!DY138+'SG&amp;A'!DY138</f>
        <v>3.1622713699999991</v>
      </c>
      <c r="DZ138" s="27">
        <f>COGS!DZ138+'SG&amp;A'!DZ138</f>
        <v>3.6312544800000008</v>
      </c>
      <c r="EA138" s="27">
        <f>COGS!EA138+'SG&amp;A'!EA138</f>
        <v>14.487532060000001</v>
      </c>
      <c r="EB138" s="27">
        <f>COGS!EB138+'SG&amp;A'!EB138</f>
        <v>3.83192281</v>
      </c>
      <c r="EC138" s="27">
        <f>COGS!EC138+'SG&amp;A'!EC138</f>
        <v>4.1994469299999997</v>
      </c>
      <c r="ED138" s="27">
        <f>COGS!ED138+'SG&amp;A'!ED138</f>
        <v>3.6930000000000001</v>
      </c>
      <c r="EE138" s="27">
        <f>COGS!EE138+'SG&amp;A'!EE138</f>
        <v>3.3531869799999985</v>
      </c>
      <c r="EF138" s="27">
        <f>COGS!EF138+'SG&amp;A'!EF138</f>
        <v>15.077556719999997</v>
      </c>
      <c r="EG138" s="27">
        <f>COGS!EG138+'SG&amp;A'!EG138</f>
        <v>3.5546702799999998</v>
      </c>
      <c r="EH138" s="27">
        <f>COGS!EH138+'SG&amp;A'!EH138</f>
        <v>3.5237984500000006</v>
      </c>
      <c r="EI138" s="27">
        <f>COGS!EI138+'SG&amp;A'!EI138</f>
        <v>3.4541785499999991</v>
      </c>
    </row>
    <row r="139" spans="1:139" x14ac:dyDescent="0.3">
      <c r="A139" s="5" t="s">
        <v>311</v>
      </c>
      <c r="B139" s="10">
        <f>SUM(B116:B138)</f>
        <v>0</v>
      </c>
      <c r="C139" s="10">
        <f t="shared" ref="C139:BN139" si="16">SUM(C116:C138)</f>
        <v>0</v>
      </c>
      <c r="D139" s="10">
        <f t="shared" si="16"/>
        <v>0</v>
      </c>
      <c r="E139" s="10">
        <f t="shared" si="16"/>
        <v>0</v>
      </c>
      <c r="F139" s="10">
        <f t="shared" si="16"/>
        <v>0</v>
      </c>
      <c r="G139" s="10">
        <f t="shared" si="16"/>
        <v>0</v>
      </c>
      <c r="H139" s="10">
        <f t="shared" si="16"/>
        <v>0</v>
      </c>
      <c r="I139" s="10">
        <f t="shared" si="16"/>
        <v>0</v>
      </c>
      <c r="J139" s="10">
        <f t="shared" si="16"/>
        <v>0</v>
      </c>
      <c r="K139" s="10">
        <f t="shared" si="16"/>
        <v>0</v>
      </c>
      <c r="L139" s="10">
        <f t="shared" si="16"/>
        <v>0</v>
      </c>
      <c r="M139" s="10">
        <f t="shared" si="16"/>
        <v>0</v>
      </c>
      <c r="N139" s="10">
        <f t="shared" si="16"/>
        <v>0</v>
      </c>
      <c r="O139" s="10">
        <f t="shared" si="16"/>
        <v>0</v>
      </c>
      <c r="P139" s="10">
        <f t="shared" si="16"/>
        <v>0</v>
      </c>
      <c r="Q139" s="10">
        <f t="shared" si="16"/>
        <v>0</v>
      </c>
      <c r="R139" s="10">
        <f t="shared" si="16"/>
        <v>0</v>
      </c>
      <c r="S139" s="10">
        <f t="shared" si="16"/>
        <v>0</v>
      </c>
      <c r="T139" s="10">
        <f t="shared" si="16"/>
        <v>0</v>
      </c>
      <c r="U139" s="10">
        <f t="shared" si="16"/>
        <v>0</v>
      </c>
      <c r="V139" s="10">
        <f t="shared" si="16"/>
        <v>0</v>
      </c>
      <c r="W139" s="10">
        <f t="shared" si="16"/>
        <v>0</v>
      </c>
      <c r="X139" s="10">
        <f t="shared" si="16"/>
        <v>0</v>
      </c>
      <c r="Y139" s="10">
        <f t="shared" si="16"/>
        <v>0</v>
      </c>
      <c r="Z139" s="10">
        <f t="shared" si="16"/>
        <v>0</v>
      </c>
      <c r="AA139" s="10">
        <f t="shared" si="16"/>
        <v>0</v>
      </c>
      <c r="AB139" s="10">
        <f t="shared" si="16"/>
        <v>0</v>
      </c>
      <c r="AC139" s="10">
        <f t="shared" si="16"/>
        <v>0</v>
      </c>
      <c r="AD139" s="10">
        <f t="shared" si="16"/>
        <v>0</v>
      </c>
      <c r="AE139" s="10">
        <f t="shared" si="16"/>
        <v>0</v>
      </c>
      <c r="AF139" s="10">
        <f t="shared" si="16"/>
        <v>0</v>
      </c>
      <c r="AG139" s="10">
        <f t="shared" si="16"/>
        <v>0</v>
      </c>
      <c r="AH139" s="10">
        <f t="shared" si="16"/>
        <v>0</v>
      </c>
      <c r="AI139" s="10">
        <f t="shared" si="16"/>
        <v>0</v>
      </c>
      <c r="AJ139" s="10">
        <f t="shared" si="16"/>
        <v>0</v>
      </c>
      <c r="AK139" s="10">
        <f t="shared" si="16"/>
        <v>0</v>
      </c>
      <c r="AL139" s="10">
        <f t="shared" si="16"/>
        <v>0</v>
      </c>
      <c r="AM139" s="10">
        <f t="shared" si="16"/>
        <v>0</v>
      </c>
      <c r="AN139" s="10">
        <f t="shared" si="16"/>
        <v>0</v>
      </c>
      <c r="AO139" s="10">
        <f t="shared" si="16"/>
        <v>0</v>
      </c>
      <c r="AP139" s="10">
        <f t="shared" si="16"/>
        <v>0</v>
      </c>
      <c r="AQ139" s="10">
        <f t="shared" si="16"/>
        <v>0</v>
      </c>
      <c r="AR139" s="10">
        <f t="shared" si="16"/>
        <v>0</v>
      </c>
      <c r="AS139" s="10">
        <f t="shared" si="16"/>
        <v>0</v>
      </c>
      <c r="AT139" s="10">
        <f t="shared" si="16"/>
        <v>0</v>
      </c>
      <c r="AU139" s="10">
        <f t="shared" si="16"/>
        <v>0</v>
      </c>
      <c r="AV139" s="10">
        <f t="shared" si="16"/>
        <v>0</v>
      </c>
      <c r="AW139" s="10">
        <f t="shared" si="16"/>
        <v>0</v>
      </c>
      <c r="AX139" s="10">
        <f t="shared" si="16"/>
        <v>0</v>
      </c>
      <c r="AY139" s="10">
        <f t="shared" si="16"/>
        <v>0</v>
      </c>
      <c r="AZ139" s="10">
        <f t="shared" si="16"/>
        <v>0</v>
      </c>
      <c r="BA139" s="10">
        <f t="shared" si="16"/>
        <v>0</v>
      </c>
      <c r="BB139" s="10">
        <f t="shared" si="16"/>
        <v>0</v>
      </c>
      <c r="BC139" s="10">
        <f t="shared" si="16"/>
        <v>0</v>
      </c>
      <c r="BD139" s="10">
        <f t="shared" si="16"/>
        <v>0</v>
      </c>
      <c r="BE139" s="10">
        <f t="shared" si="16"/>
        <v>0</v>
      </c>
      <c r="BF139" s="10">
        <f t="shared" si="16"/>
        <v>0</v>
      </c>
      <c r="BG139" s="10">
        <f t="shared" si="16"/>
        <v>0</v>
      </c>
      <c r="BH139" s="10">
        <f t="shared" si="16"/>
        <v>0</v>
      </c>
      <c r="BI139" s="10">
        <f t="shared" si="16"/>
        <v>0</v>
      </c>
      <c r="BJ139" s="29">
        <f t="shared" si="16"/>
        <v>33.21524342</v>
      </c>
      <c r="BK139" s="29">
        <f t="shared" si="16"/>
        <v>33.333485029999999</v>
      </c>
      <c r="BL139" s="29">
        <f t="shared" si="16"/>
        <v>34.214018629999991</v>
      </c>
      <c r="BM139" s="29">
        <f t="shared" si="16"/>
        <v>39.682784969999993</v>
      </c>
      <c r="BN139" s="29">
        <f t="shared" si="16"/>
        <v>140.44553204999997</v>
      </c>
      <c r="BO139" s="29">
        <f t="shared" ref="BO139:DT139" si="17">SUM(BO116:BO138)</f>
        <v>41.09274937</v>
      </c>
      <c r="BP139" s="29">
        <f t="shared" si="17"/>
        <v>41.840925990000009</v>
      </c>
      <c r="BQ139" s="29">
        <f t="shared" si="17"/>
        <v>42.409918429999991</v>
      </c>
      <c r="BR139" s="29">
        <f t="shared" si="17"/>
        <v>42.886588669999995</v>
      </c>
      <c r="BS139" s="29">
        <f t="shared" si="17"/>
        <v>168.23018246000001</v>
      </c>
      <c r="BT139" s="29">
        <f t="shared" si="17"/>
        <v>38.561837299999993</v>
      </c>
      <c r="BU139" s="29">
        <f t="shared" si="17"/>
        <v>41.460983330000005</v>
      </c>
      <c r="BV139" s="29">
        <f t="shared" si="17"/>
        <v>63.170927300000002</v>
      </c>
      <c r="BW139" s="29">
        <f t="shared" si="17"/>
        <v>60.746600689999994</v>
      </c>
      <c r="BX139" s="29">
        <f t="shared" si="17"/>
        <v>203.94034862000001</v>
      </c>
      <c r="BY139" s="29">
        <f t="shared" si="17"/>
        <v>46.097976769999995</v>
      </c>
      <c r="BZ139" s="29">
        <f t="shared" si="17"/>
        <v>53.828415830000004</v>
      </c>
      <c r="CA139" s="29">
        <f t="shared" si="17"/>
        <v>56.825737249999989</v>
      </c>
      <c r="CB139" s="29">
        <f t="shared" si="17"/>
        <v>79.856946520000008</v>
      </c>
      <c r="CC139" s="29">
        <f t="shared" si="17"/>
        <v>236.60907637</v>
      </c>
      <c r="CD139" s="29">
        <f t="shared" si="17"/>
        <v>71.699558450000012</v>
      </c>
      <c r="CE139" s="29">
        <f t="shared" si="17"/>
        <v>71.02856165</v>
      </c>
      <c r="CF139" s="29">
        <f t="shared" si="17"/>
        <v>75.090634200000011</v>
      </c>
      <c r="CG139" s="29">
        <f t="shared" si="17"/>
        <v>91.191829350000035</v>
      </c>
      <c r="CH139" s="29">
        <f t="shared" si="17"/>
        <v>309.01058365</v>
      </c>
      <c r="CI139" s="29">
        <f t="shared" si="17"/>
        <v>81.953554039999986</v>
      </c>
      <c r="CJ139" s="29">
        <f t="shared" si="17"/>
        <v>84.521426619999971</v>
      </c>
      <c r="CK139" s="29">
        <f t="shared" si="17"/>
        <v>86.25048486</v>
      </c>
      <c r="CL139" s="29">
        <f t="shared" si="17"/>
        <v>91.526848889999982</v>
      </c>
      <c r="CM139" s="29">
        <f t="shared" si="17"/>
        <v>344.25231441000005</v>
      </c>
      <c r="CN139" s="29">
        <f t="shared" si="17"/>
        <v>87.523159750000019</v>
      </c>
      <c r="CO139" s="29">
        <f t="shared" si="17"/>
        <v>87.455855940000021</v>
      </c>
      <c r="CP139" s="29">
        <f t="shared" si="17"/>
        <v>87.416516099999996</v>
      </c>
      <c r="CQ139" s="29">
        <f t="shared" si="17"/>
        <v>77.567468210000015</v>
      </c>
      <c r="CR139" s="29">
        <f t="shared" si="17"/>
        <v>339.96299999999997</v>
      </c>
      <c r="CS139" s="29">
        <f t="shared" si="17"/>
        <v>101.83066166999998</v>
      </c>
      <c r="CT139" s="29">
        <f t="shared" si="17"/>
        <v>103.02809705999999</v>
      </c>
      <c r="CU139" s="29">
        <f t="shared" si="17"/>
        <v>105.75496296999999</v>
      </c>
      <c r="CV139" s="29">
        <f t="shared" si="17"/>
        <v>107.89354152</v>
      </c>
      <c r="CW139" s="29">
        <f t="shared" si="17"/>
        <v>418.50726321999997</v>
      </c>
      <c r="CX139" s="29">
        <f t="shared" si="17"/>
        <v>113.536</v>
      </c>
      <c r="CY139" s="29">
        <f t="shared" si="17"/>
        <v>115.631</v>
      </c>
      <c r="CZ139" s="29">
        <f t="shared" si="17"/>
        <v>117.224</v>
      </c>
      <c r="DA139" s="29">
        <f t="shared" si="17"/>
        <v>87.18</v>
      </c>
      <c r="DB139" s="29">
        <f t="shared" si="17"/>
        <v>433.57100000000008</v>
      </c>
      <c r="DC139" s="29">
        <f t="shared" si="17"/>
        <v>123.80200000000001</v>
      </c>
      <c r="DD139" s="29">
        <f t="shared" si="17"/>
        <v>136.67400000000004</v>
      </c>
      <c r="DE139" s="29">
        <f t="shared" si="17"/>
        <v>150.995</v>
      </c>
      <c r="DF139" s="29">
        <f t="shared" si="17"/>
        <v>156.03700000000001</v>
      </c>
      <c r="DG139" s="29">
        <f t="shared" si="17"/>
        <v>567.50799999999992</v>
      </c>
      <c r="DH139" s="29">
        <f t="shared" si="17"/>
        <v>125.84500000000006</v>
      </c>
      <c r="DI139" s="29">
        <f t="shared" si="17"/>
        <v>143.584</v>
      </c>
      <c r="DJ139" s="29">
        <f t="shared" si="17"/>
        <v>145.04000000000002</v>
      </c>
      <c r="DK139" s="29">
        <f t="shared" si="17"/>
        <v>132.59399999999999</v>
      </c>
      <c r="DL139" s="29">
        <f t="shared" si="17"/>
        <v>547.06299999999999</v>
      </c>
      <c r="DM139" s="29">
        <f t="shared" si="17"/>
        <v>154.29999999999998</v>
      </c>
      <c r="DN139" s="29">
        <f t="shared" si="17"/>
        <v>176.39399999999998</v>
      </c>
      <c r="DO139" s="29">
        <f t="shared" si="17"/>
        <v>181.554</v>
      </c>
      <c r="DP139" s="29">
        <f t="shared" si="17"/>
        <v>179.16499999999999</v>
      </c>
      <c r="DQ139" s="29">
        <f t="shared" si="17"/>
        <v>691.4129999999999</v>
      </c>
      <c r="DR139" s="29">
        <f t="shared" si="17"/>
        <v>133.79699999999997</v>
      </c>
      <c r="DS139" s="29">
        <f t="shared" si="17"/>
        <v>138.22800000000004</v>
      </c>
      <c r="DT139" s="29">
        <f t="shared" si="17"/>
        <v>144.95100000000002</v>
      </c>
      <c r="DU139" s="29">
        <f t="shared" ref="DU139:EA139" si="18">SUM(DU116:DU138)</f>
        <v>164.23400000000001</v>
      </c>
      <c r="DV139" s="29">
        <f t="shared" si="18"/>
        <v>581.21000000000015</v>
      </c>
      <c r="DW139" s="29">
        <f t="shared" si="18"/>
        <v>183.36400000000003</v>
      </c>
      <c r="DX139" s="29">
        <f t="shared" si="18"/>
        <v>200.68526639999996</v>
      </c>
      <c r="DY139" s="29">
        <f t="shared" si="18"/>
        <v>184.64473173000005</v>
      </c>
      <c r="DZ139" s="29">
        <f t="shared" si="18"/>
        <v>229.41985081000004</v>
      </c>
      <c r="EA139" s="29">
        <f t="shared" si="18"/>
        <v>798.11384894000003</v>
      </c>
      <c r="EB139" s="29">
        <f>SUM(EB116:EB138)</f>
        <v>216.82503461000005</v>
      </c>
      <c r="EC139" s="29">
        <f>SUM(EC116:EC138)</f>
        <v>228.02289451000004</v>
      </c>
      <c r="ED139" s="29">
        <f>SUM(ED116:ED138)</f>
        <v>252.7880000000001</v>
      </c>
      <c r="EE139" s="29">
        <f>SUM(EE116:EE138)</f>
        <v>287.17432614000006</v>
      </c>
      <c r="EF139" s="29">
        <f t="shared" ref="EF139" si="19">SUM(EF116:EF138)</f>
        <v>984.81025525999996</v>
      </c>
      <c r="EG139" s="29">
        <f>SUM(EG116:EG138)</f>
        <v>303.29597010000003</v>
      </c>
      <c r="EH139" s="29">
        <f>SUM(EH116:EH138)</f>
        <v>327.20691269000008</v>
      </c>
      <c r="EI139" s="29">
        <f>SUM(EI116:EI138)</f>
        <v>356.98079031000003</v>
      </c>
    </row>
    <row r="142" spans="1:139" x14ac:dyDescent="0.3">
      <c r="A142" s="3" t="s">
        <v>371</v>
      </c>
      <c r="B142" s="6" t="s">
        <v>4</v>
      </c>
      <c r="C142" s="6" t="s">
        <v>5</v>
      </c>
      <c r="D142" s="6" t="s">
        <v>6</v>
      </c>
      <c r="E142" s="6" t="s">
        <v>7</v>
      </c>
      <c r="F142" s="6">
        <v>2018</v>
      </c>
      <c r="G142" s="6" t="s">
        <v>8</v>
      </c>
      <c r="H142" s="6" t="s">
        <v>9</v>
      </c>
      <c r="I142" s="6" t="s">
        <v>10</v>
      </c>
      <c r="J142" s="6" t="s">
        <v>11</v>
      </c>
      <c r="K142" s="6">
        <v>2019</v>
      </c>
      <c r="L142" s="6" t="s">
        <v>12</v>
      </c>
      <c r="M142" s="6" t="s">
        <v>13</v>
      </c>
      <c r="N142" s="6" t="s">
        <v>14</v>
      </c>
      <c r="O142" s="6" t="s">
        <v>15</v>
      </c>
      <c r="P142" s="6">
        <v>2000</v>
      </c>
      <c r="Q142" s="6" t="s">
        <v>16</v>
      </c>
      <c r="R142" s="6" t="s">
        <v>17</v>
      </c>
      <c r="S142" s="6" t="s">
        <v>18</v>
      </c>
      <c r="T142" s="6" t="s">
        <v>19</v>
      </c>
      <c r="U142" s="6">
        <v>2001</v>
      </c>
      <c r="V142" s="6" t="s">
        <v>20</v>
      </c>
      <c r="W142" s="6" t="s">
        <v>21</v>
      </c>
      <c r="X142" s="6" t="s">
        <v>22</v>
      </c>
      <c r="Y142" s="6" t="s">
        <v>23</v>
      </c>
      <c r="Z142" s="6">
        <v>2002</v>
      </c>
      <c r="AA142" s="6" t="s">
        <v>24</v>
      </c>
      <c r="AB142" s="6" t="s">
        <v>25</v>
      </c>
      <c r="AC142" s="6" t="s">
        <v>26</v>
      </c>
      <c r="AD142" s="6" t="s">
        <v>27</v>
      </c>
      <c r="AE142" s="6">
        <v>2003</v>
      </c>
      <c r="AF142" s="6" t="s">
        <v>28</v>
      </c>
      <c r="AG142" s="6" t="s">
        <v>29</v>
      </c>
      <c r="AH142" s="6" t="s">
        <v>30</v>
      </c>
      <c r="AI142" s="6" t="s">
        <v>31</v>
      </c>
      <c r="AJ142" s="6">
        <v>2004</v>
      </c>
      <c r="AK142" s="6" t="s">
        <v>32</v>
      </c>
      <c r="AL142" s="6" t="s">
        <v>33</v>
      </c>
      <c r="AM142" s="6" t="s">
        <v>34</v>
      </c>
      <c r="AN142" s="6" t="s">
        <v>35</v>
      </c>
      <c r="AO142" s="6">
        <v>2005</v>
      </c>
      <c r="AP142" s="6" t="s">
        <v>36</v>
      </c>
      <c r="AQ142" s="6" t="s">
        <v>37</v>
      </c>
      <c r="AR142" s="6" t="s">
        <v>38</v>
      </c>
      <c r="AS142" s="6" t="s">
        <v>39</v>
      </c>
      <c r="AT142" s="6">
        <v>2006</v>
      </c>
      <c r="AU142" s="6" t="s">
        <v>40</v>
      </c>
      <c r="AV142" s="6" t="s">
        <v>41</v>
      </c>
      <c r="AW142" s="6" t="s">
        <v>42</v>
      </c>
      <c r="AX142" s="6" t="s">
        <v>43</v>
      </c>
      <c r="AY142" s="6">
        <v>2007</v>
      </c>
      <c r="AZ142" s="6" t="s">
        <v>44</v>
      </c>
      <c r="BA142" s="6" t="s">
        <v>45</v>
      </c>
      <c r="BB142" s="6" t="s">
        <v>46</v>
      </c>
      <c r="BC142" s="6" t="s">
        <v>47</v>
      </c>
      <c r="BD142" s="6">
        <v>2008</v>
      </c>
      <c r="BE142" s="6" t="s">
        <v>48</v>
      </c>
      <c r="BF142" s="6" t="s">
        <v>49</v>
      </c>
      <c r="BG142" s="6" t="s">
        <v>50</v>
      </c>
      <c r="BH142" s="6" t="s">
        <v>51</v>
      </c>
      <c r="BI142" s="6">
        <v>2009</v>
      </c>
      <c r="BJ142" s="6" t="s">
        <v>52</v>
      </c>
      <c r="BK142" s="6" t="s">
        <v>53</v>
      </c>
      <c r="BL142" s="6" t="s">
        <v>54</v>
      </c>
      <c r="BM142" s="6" t="s">
        <v>55</v>
      </c>
      <c r="BN142" s="6">
        <v>2010</v>
      </c>
      <c r="BO142" s="6" t="s">
        <v>56</v>
      </c>
      <c r="BP142" s="6" t="s">
        <v>57</v>
      </c>
      <c r="BQ142" s="6" t="s">
        <v>58</v>
      </c>
      <c r="BR142" s="6" t="s">
        <v>59</v>
      </c>
      <c r="BS142" s="6">
        <v>2011</v>
      </c>
      <c r="BT142" s="6" t="s">
        <v>60</v>
      </c>
      <c r="BU142" s="6" t="s">
        <v>61</v>
      </c>
      <c r="BV142" s="6" t="s">
        <v>62</v>
      </c>
      <c r="BW142" s="6" t="s">
        <v>63</v>
      </c>
      <c r="BX142" s="6">
        <v>2012</v>
      </c>
      <c r="BY142" s="6" t="s">
        <v>64</v>
      </c>
      <c r="BZ142" s="6" t="s">
        <v>65</v>
      </c>
      <c r="CA142" s="6" t="s">
        <v>66</v>
      </c>
      <c r="CB142" s="6" t="s">
        <v>67</v>
      </c>
      <c r="CC142" s="6">
        <v>2013</v>
      </c>
      <c r="CD142" s="6" t="s">
        <v>68</v>
      </c>
      <c r="CE142" s="6" t="s">
        <v>69</v>
      </c>
      <c r="CF142" s="6" t="s">
        <v>70</v>
      </c>
      <c r="CG142" s="6" t="s">
        <v>71</v>
      </c>
      <c r="CH142" s="6">
        <v>2014</v>
      </c>
      <c r="CI142" s="6" t="s">
        <v>72</v>
      </c>
      <c r="CJ142" s="6" t="s">
        <v>73</v>
      </c>
      <c r="CK142" s="6" t="s">
        <v>74</v>
      </c>
      <c r="CL142" s="6" t="s">
        <v>75</v>
      </c>
      <c r="CM142" s="6">
        <v>2015</v>
      </c>
      <c r="CN142" s="6" t="s">
        <v>76</v>
      </c>
      <c r="CO142" s="6" t="s">
        <v>77</v>
      </c>
      <c r="CP142" s="6" t="s">
        <v>78</v>
      </c>
      <c r="CQ142" s="6" t="s">
        <v>79</v>
      </c>
      <c r="CR142" s="6">
        <v>2016</v>
      </c>
      <c r="CS142" s="6" t="s">
        <v>80</v>
      </c>
      <c r="CT142" s="6" t="s">
        <v>81</v>
      </c>
      <c r="CU142" s="6" t="s">
        <v>82</v>
      </c>
      <c r="CV142" s="6" t="s">
        <v>83</v>
      </c>
      <c r="CW142" s="6">
        <v>2017</v>
      </c>
      <c r="CX142" s="6" t="s">
        <v>84</v>
      </c>
      <c r="CY142" s="6" t="s">
        <v>85</v>
      </c>
      <c r="CZ142" s="6" t="s">
        <v>86</v>
      </c>
      <c r="DA142" s="6" t="s">
        <v>87</v>
      </c>
      <c r="DB142" s="6">
        <v>2018</v>
      </c>
      <c r="DC142" s="6" t="s">
        <v>88</v>
      </c>
      <c r="DD142" s="6" t="s">
        <v>89</v>
      </c>
      <c r="DE142" s="6" t="s">
        <v>90</v>
      </c>
      <c r="DF142" s="6" t="s">
        <v>91</v>
      </c>
      <c r="DG142" s="6">
        <v>2019</v>
      </c>
      <c r="DH142" s="6" t="s">
        <v>92</v>
      </c>
      <c r="DI142" s="6" t="s">
        <v>93</v>
      </c>
      <c r="DJ142" s="6" t="s">
        <v>94</v>
      </c>
      <c r="DK142" s="6" t="s">
        <v>95</v>
      </c>
      <c r="DL142" s="6">
        <v>2020</v>
      </c>
      <c r="DM142" s="6" t="s">
        <v>96</v>
      </c>
      <c r="DN142" s="6" t="s">
        <v>97</v>
      </c>
      <c r="DO142" s="6" t="s">
        <v>98</v>
      </c>
      <c r="DP142" s="6" t="s">
        <v>99</v>
      </c>
      <c r="DQ142" s="6">
        <v>2021</v>
      </c>
      <c r="DR142" s="6" t="s">
        <v>100</v>
      </c>
      <c r="DS142" s="6" t="s">
        <v>101</v>
      </c>
      <c r="DT142" s="6" t="s">
        <v>200</v>
      </c>
      <c r="DU142" s="6" t="s">
        <v>380</v>
      </c>
      <c r="DV142" s="6">
        <v>2022</v>
      </c>
      <c r="DW142" s="6" t="s">
        <v>379</v>
      </c>
      <c r="DX142" s="6" t="s">
        <v>402</v>
      </c>
      <c r="DY142" s="6" t="s">
        <v>414</v>
      </c>
      <c r="DZ142" s="6" t="s">
        <v>419</v>
      </c>
      <c r="EA142" s="6">
        <v>2023</v>
      </c>
      <c r="EB142" s="6" t="s">
        <v>424</v>
      </c>
      <c r="EC142" s="6" t="s">
        <v>429</v>
      </c>
      <c r="ED142" s="6" t="str">
        <f>$ED$1</f>
        <v>3T24</v>
      </c>
      <c r="EE142" s="6" t="str">
        <f>$EE$1</f>
        <v>4T24</v>
      </c>
      <c r="EF142" s="6">
        <f>$EF$1</f>
        <v>2024</v>
      </c>
      <c r="EG142" s="6" t="str">
        <f>EG$1</f>
        <v>1T25</v>
      </c>
      <c r="EH142" s="6" t="str">
        <f>EH$1</f>
        <v>2T25</v>
      </c>
      <c r="EI142" s="6" t="str">
        <f>EI$1</f>
        <v>3T25</v>
      </c>
    </row>
    <row r="143" spans="1:139" ht="15" thickBot="1" x14ac:dyDescent="0.35">
      <c r="A143" s="4" t="s">
        <v>372</v>
      </c>
      <c r="B143" s="7" t="s">
        <v>102</v>
      </c>
      <c r="C143" s="7" t="s">
        <v>103</v>
      </c>
      <c r="D143" s="7" t="s">
        <v>104</v>
      </c>
      <c r="E143" s="7" t="s">
        <v>105</v>
      </c>
      <c r="F143" s="7">
        <v>2018</v>
      </c>
      <c r="G143" s="7" t="s">
        <v>106</v>
      </c>
      <c r="H143" s="7" t="s">
        <v>107</v>
      </c>
      <c r="I143" s="7" t="s">
        <v>108</v>
      </c>
      <c r="J143" s="7" t="s">
        <v>109</v>
      </c>
      <c r="K143" s="7">
        <v>2019</v>
      </c>
      <c r="L143" s="7" t="s">
        <v>110</v>
      </c>
      <c r="M143" s="7" t="s">
        <v>111</v>
      </c>
      <c r="N143" s="7" t="s">
        <v>112</v>
      </c>
      <c r="O143" s="7" t="s">
        <v>113</v>
      </c>
      <c r="P143" s="7">
        <v>2000</v>
      </c>
      <c r="Q143" s="7" t="s">
        <v>114</v>
      </c>
      <c r="R143" s="7" t="s">
        <v>115</v>
      </c>
      <c r="S143" s="7" t="s">
        <v>116</v>
      </c>
      <c r="T143" s="7" t="s">
        <v>117</v>
      </c>
      <c r="U143" s="7">
        <v>2001</v>
      </c>
      <c r="V143" s="7" t="s">
        <v>118</v>
      </c>
      <c r="W143" s="7" t="s">
        <v>119</v>
      </c>
      <c r="X143" s="7" t="s">
        <v>120</v>
      </c>
      <c r="Y143" s="7" t="s">
        <v>121</v>
      </c>
      <c r="Z143" s="7">
        <v>2002</v>
      </c>
      <c r="AA143" s="7" t="s">
        <v>122</v>
      </c>
      <c r="AB143" s="7" t="s">
        <v>123</v>
      </c>
      <c r="AC143" s="7" t="s">
        <v>124</v>
      </c>
      <c r="AD143" s="7" t="s">
        <v>125</v>
      </c>
      <c r="AE143" s="7">
        <v>2003</v>
      </c>
      <c r="AF143" s="7" t="s">
        <v>126</v>
      </c>
      <c r="AG143" s="7" t="s">
        <v>127</v>
      </c>
      <c r="AH143" s="7" t="s">
        <v>128</v>
      </c>
      <c r="AI143" s="7" t="s">
        <v>129</v>
      </c>
      <c r="AJ143" s="7">
        <v>2004</v>
      </c>
      <c r="AK143" s="7" t="s">
        <v>130</v>
      </c>
      <c r="AL143" s="7" t="s">
        <v>131</v>
      </c>
      <c r="AM143" s="7" t="s">
        <v>132</v>
      </c>
      <c r="AN143" s="7" t="s">
        <v>133</v>
      </c>
      <c r="AO143" s="7">
        <v>2005</v>
      </c>
      <c r="AP143" s="7" t="s">
        <v>134</v>
      </c>
      <c r="AQ143" s="7" t="s">
        <v>135</v>
      </c>
      <c r="AR143" s="7" t="s">
        <v>136</v>
      </c>
      <c r="AS143" s="7" t="s">
        <v>137</v>
      </c>
      <c r="AT143" s="7">
        <v>2006</v>
      </c>
      <c r="AU143" s="7" t="s">
        <v>138</v>
      </c>
      <c r="AV143" s="7" t="s">
        <v>139</v>
      </c>
      <c r="AW143" s="7" t="s">
        <v>140</v>
      </c>
      <c r="AX143" s="7" t="s">
        <v>141</v>
      </c>
      <c r="AY143" s="7">
        <v>2007</v>
      </c>
      <c r="AZ143" s="7" t="s">
        <v>142</v>
      </c>
      <c r="BA143" s="7" t="s">
        <v>143</v>
      </c>
      <c r="BB143" s="7" t="s">
        <v>144</v>
      </c>
      <c r="BC143" s="7" t="s">
        <v>145</v>
      </c>
      <c r="BD143" s="7">
        <v>2008</v>
      </c>
      <c r="BE143" s="7" t="s">
        <v>146</v>
      </c>
      <c r="BF143" s="7" t="s">
        <v>147</v>
      </c>
      <c r="BG143" s="7" t="s">
        <v>148</v>
      </c>
      <c r="BH143" s="7" t="s">
        <v>149</v>
      </c>
      <c r="BI143" s="7">
        <v>2009</v>
      </c>
      <c r="BJ143" s="7" t="s">
        <v>150</v>
      </c>
      <c r="BK143" s="7" t="s">
        <v>151</v>
      </c>
      <c r="BL143" s="7" t="s">
        <v>152</v>
      </c>
      <c r="BM143" s="7" t="s">
        <v>153</v>
      </c>
      <c r="BN143" s="7">
        <v>2010</v>
      </c>
      <c r="BO143" s="7" t="s">
        <v>154</v>
      </c>
      <c r="BP143" s="7" t="s">
        <v>155</v>
      </c>
      <c r="BQ143" s="7" t="s">
        <v>156</v>
      </c>
      <c r="BR143" s="7" t="s">
        <v>157</v>
      </c>
      <c r="BS143" s="7">
        <v>2011</v>
      </c>
      <c r="BT143" s="7" t="s">
        <v>158</v>
      </c>
      <c r="BU143" s="7" t="s">
        <v>159</v>
      </c>
      <c r="BV143" s="7" t="s">
        <v>160</v>
      </c>
      <c r="BW143" s="7" t="s">
        <v>161</v>
      </c>
      <c r="BX143" s="7">
        <v>2012</v>
      </c>
      <c r="BY143" s="7" t="s">
        <v>162</v>
      </c>
      <c r="BZ143" s="7" t="s">
        <v>163</v>
      </c>
      <c r="CA143" s="7" t="s">
        <v>164</v>
      </c>
      <c r="CB143" s="7" t="s">
        <v>165</v>
      </c>
      <c r="CC143" s="7">
        <v>2013</v>
      </c>
      <c r="CD143" s="7" t="s">
        <v>166</v>
      </c>
      <c r="CE143" s="7" t="s">
        <v>167</v>
      </c>
      <c r="CF143" s="7" t="s">
        <v>168</v>
      </c>
      <c r="CG143" s="7" t="s">
        <v>169</v>
      </c>
      <c r="CH143" s="7">
        <v>2014</v>
      </c>
      <c r="CI143" s="7" t="s">
        <v>170</v>
      </c>
      <c r="CJ143" s="7" t="s">
        <v>171</v>
      </c>
      <c r="CK143" s="7" t="s">
        <v>172</v>
      </c>
      <c r="CL143" s="7" t="s">
        <v>173</v>
      </c>
      <c r="CM143" s="7">
        <v>2015</v>
      </c>
      <c r="CN143" s="7" t="s">
        <v>174</v>
      </c>
      <c r="CO143" s="7" t="s">
        <v>175</v>
      </c>
      <c r="CP143" s="7" t="s">
        <v>176</v>
      </c>
      <c r="CQ143" s="7" t="s">
        <v>177</v>
      </c>
      <c r="CR143" s="7">
        <v>2016</v>
      </c>
      <c r="CS143" s="7" t="s">
        <v>178</v>
      </c>
      <c r="CT143" s="7" t="s">
        <v>179</v>
      </c>
      <c r="CU143" s="7" t="s">
        <v>180</v>
      </c>
      <c r="CV143" s="7" t="s">
        <v>181</v>
      </c>
      <c r="CW143" s="7">
        <v>2017</v>
      </c>
      <c r="CX143" s="7" t="s">
        <v>182</v>
      </c>
      <c r="CY143" s="7" t="s">
        <v>183</v>
      </c>
      <c r="CZ143" s="7" t="s">
        <v>184</v>
      </c>
      <c r="DA143" s="7" t="s">
        <v>185</v>
      </c>
      <c r="DB143" s="7">
        <v>2018</v>
      </c>
      <c r="DC143" s="7" t="s">
        <v>186</v>
      </c>
      <c r="DD143" s="7" t="s">
        <v>187</v>
      </c>
      <c r="DE143" s="7" t="s">
        <v>188</v>
      </c>
      <c r="DF143" s="7" t="s">
        <v>189</v>
      </c>
      <c r="DG143" s="7">
        <v>2019</v>
      </c>
      <c r="DH143" s="7" t="s">
        <v>190</v>
      </c>
      <c r="DI143" s="7" t="s">
        <v>191</v>
      </c>
      <c r="DJ143" s="7" t="s">
        <v>192</v>
      </c>
      <c r="DK143" s="7" t="s">
        <v>193</v>
      </c>
      <c r="DL143" s="7">
        <v>2020</v>
      </c>
      <c r="DM143" s="7" t="s">
        <v>194</v>
      </c>
      <c r="DN143" s="7" t="s">
        <v>195</v>
      </c>
      <c r="DO143" s="7" t="s">
        <v>196</v>
      </c>
      <c r="DP143" s="7" t="s">
        <v>197</v>
      </c>
      <c r="DQ143" s="7">
        <v>2021</v>
      </c>
      <c r="DR143" s="7" t="s">
        <v>198</v>
      </c>
      <c r="DS143" s="7" t="s">
        <v>199</v>
      </c>
      <c r="DT143" s="7" t="s">
        <v>201</v>
      </c>
      <c r="DU143" s="7" t="s">
        <v>381</v>
      </c>
      <c r="DV143" s="7">
        <v>2022</v>
      </c>
      <c r="DW143" s="7" t="s">
        <v>382</v>
      </c>
      <c r="DX143" s="7" t="s">
        <v>403</v>
      </c>
      <c r="DY143" s="7" t="s">
        <v>415</v>
      </c>
      <c r="DZ143" s="7" t="s">
        <v>420</v>
      </c>
      <c r="EA143" s="7">
        <v>2023</v>
      </c>
      <c r="EB143" s="7" t="s">
        <v>425</v>
      </c>
      <c r="EC143" s="7" t="s">
        <v>430</v>
      </c>
      <c r="ED143" s="7" t="str">
        <f>$ED$2</f>
        <v>3Q24</v>
      </c>
      <c r="EE143" s="7" t="str">
        <f>$EE$2</f>
        <v>4Q24</v>
      </c>
      <c r="EF143" s="7">
        <f>$EF$2</f>
        <v>2024</v>
      </c>
      <c r="EG143" s="7" t="str">
        <f>EG$2</f>
        <v>1Q25</v>
      </c>
      <c r="EH143" s="7" t="str">
        <f>EH$2</f>
        <v>2Q25</v>
      </c>
      <c r="EI143" s="7" t="str">
        <f>EI$2</f>
        <v>3Q25</v>
      </c>
    </row>
    <row r="144" spans="1:139" ht="15" thickTop="1" x14ac:dyDescent="0.3">
      <c r="A144" s="1" t="s">
        <v>2</v>
      </c>
      <c r="B144" s="27">
        <f>COGS!B144+'SG&amp;A'!B144</f>
        <v>0</v>
      </c>
      <c r="C144" s="27">
        <f>COGS!C144+'SG&amp;A'!C144</f>
        <v>0</v>
      </c>
      <c r="D144" s="27">
        <f>COGS!D144+'SG&amp;A'!D144</f>
        <v>0</v>
      </c>
      <c r="E144" s="27">
        <f>COGS!E144+'SG&amp;A'!E144</f>
        <v>0</v>
      </c>
      <c r="F144" s="27">
        <f>COGS!F144+'SG&amp;A'!F144</f>
        <v>0</v>
      </c>
      <c r="G144" s="27">
        <f>COGS!G144+'SG&amp;A'!G144</f>
        <v>0</v>
      </c>
      <c r="H144" s="27">
        <f>COGS!H144+'SG&amp;A'!H144</f>
        <v>0</v>
      </c>
      <c r="I144" s="27">
        <f>COGS!I144+'SG&amp;A'!I144</f>
        <v>0</v>
      </c>
      <c r="J144" s="27">
        <f>COGS!J144+'SG&amp;A'!J144</f>
        <v>0</v>
      </c>
      <c r="K144" s="27">
        <f>COGS!K144+'SG&amp;A'!K144</f>
        <v>0</v>
      </c>
      <c r="L144" s="27">
        <f>COGS!L144+'SG&amp;A'!L144</f>
        <v>0</v>
      </c>
      <c r="M144" s="27">
        <f>COGS!M144+'SG&amp;A'!M144</f>
        <v>0</v>
      </c>
      <c r="N144" s="27">
        <f>COGS!N144+'SG&amp;A'!N144</f>
        <v>0</v>
      </c>
      <c r="O144" s="27">
        <f>COGS!O144+'SG&amp;A'!O144</f>
        <v>0</v>
      </c>
      <c r="P144" s="27">
        <f>COGS!P144+'SG&amp;A'!P144</f>
        <v>0</v>
      </c>
      <c r="Q144" s="27">
        <f>COGS!Q144+'SG&amp;A'!Q144</f>
        <v>0</v>
      </c>
      <c r="R144" s="27">
        <f>COGS!R144+'SG&amp;A'!R144</f>
        <v>0</v>
      </c>
      <c r="S144" s="27">
        <f>COGS!S144+'SG&amp;A'!S144</f>
        <v>0</v>
      </c>
      <c r="T144" s="27">
        <f>COGS!T144+'SG&amp;A'!T144</f>
        <v>0</v>
      </c>
      <c r="U144" s="27">
        <f>COGS!U144+'SG&amp;A'!U144</f>
        <v>0</v>
      </c>
      <c r="V144" s="27">
        <f>COGS!V144+'SG&amp;A'!V144</f>
        <v>0</v>
      </c>
      <c r="W144" s="27">
        <f>COGS!W144+'SG&amp;A'!W144</f>
        <v>0</v>
      </c>
      <c r="X144" s="27">
        <f>COGS!X144+'SG&amp;A'!X144</f>
        <v>0</v>
      </c>
      <c r="Y144" s="27">
        <f>COGS!Y144+'SG&amp;A'!Y144</f>
        <v>0</v>
      </c>
      <c r="Z144" s="27">
        <f>COGS!Z144+'SG&amp;A'!Z144</f>
        <v>0</v>
      </c>
      <c r="AA144" s="27">
        <f>COGS!AA144+'SG&amp;A'!AA144</f>
        <v>0</v>
      </c>
      <c r="AB144" s="27">
        <f>COGS!AB144+'SG&amp;A'!AB144</f>
        <v>0</v>
      </c>
      <c r="AC144" s="27">
        <f>COGS!AC144+'SG&amp;A'!AC144</f>
        <v>0</v>
      </c>
      <c r="AD144" s="27">
        <f>COGS!AD144+'SG&amp;A'!AD144</f>
        <v>0</v>
      </c>
      <c r="AE144" s="27">
        <f>COGS!AE144+'SG&amp;A'!AE144</f>
        <v>0</v>
      </c>
      <c r="AF144" s="27">
        <f>COGS!AF144+'SG&amp;A'!AF144</f>
        <v>0</v>
      </c>
      <c r="AG144" s="27">
        <f>COGS!AG144+'SG&amp;A'!AG144</f>
        <v>0</v>
      </c>
      <c r="AH144" s="27">
        <f>COGS!AH144+'SG&amp;A'!AH144</f>
        <v>0</v>
      </c>
      <c r="AI144" s="27">
        <f>COGS!AI144+'SG&amp;A'!AI144</f>
        <v>0</v>
      </c>
      <c r="AJ144" s="27">
        <f>COGS!AJ144+'SG&amp;A'!AJ144</f>
        <v>0</v>
      </c>
      <c r="AK144" s="27">
        <f>COGS!AK144+'SG&amp;A'!AK144</f>
        <v>0</v>
      </c>
      <c r="AL144" s="27">
        <f>COGS!AL144+'SG&amp;A'!AL144</f>
        <v>0</v>
      </c>
      <c r="AM144" s="27">
        <f>COGS!AM144+'SG&amp;A'!AM144</f>
        <v>0</v>
      </c>
      <c r="AN144" s="27">
        <f>COGS!AN144+'SG&amp;A'!AN144</f>
        <v>0</v>
      </c>
      <c r="AO144" s="27">
        <f>COGS!AO144+'SG&amp;A'!AO144</f>
        <v>0</v>
      </c>
      <c r="AP144" s="27">
        <f>COGS!AP144+'SG&amp;A'!AP144</f>
        <v>0</v>
      </c>
      <c r="AQ144" s="27">
        <f>COGS!AQ144+'SG&amp;A'!AQ144</f>
        <v>0</v>
      </c>
      <c r="AR144" s="27">
        <f>COGS!AR144+'SG&amp;A'!AR144</f>
        <v>0</v>
      </c>
      <c r="AS144" s="27">
        <f>COGS!AS144+'SG&amp;A'!AS144</f>
        <v>0</v>
      </c>
      <c r="AT144" s="27">
        <f>COGS!AT144+'SG&amp;A'!AT144</f>
        <v>0</v>
      </c>
      <c r="AU144" s="27">
        <f>COGS!AU144+'SG&amp;A'!AU144</f>
        <v>0</v>
      </c>
      <c r="AV144" s="27">
        <f>COGS!AV144+'SG&amp;A'!AV144</f>
        <v>0</v>
      </c>
      <c r="AW144" s="27">
        <f>COGS!AW144+'SG&amp;A'!AW144</f>
        <v>0</v>
      </c>
      <c r="AX144" s="27">
        <f>COGS!AX144+'SG&amp;A'!AX144</f>
        <v>0</v>
      </c>
      <c r="AY144" s="27">
        <f>COGS!AY144+'SG&amp;A'!AY144</f>
        <v>0</v>
      </c>
      <c r="AZ144" s="27">
        <f>COGS!AZ144+'SG&amp;A'!AZ144</f>
        <v>0</v>
      </c>
      <c r="BA144" s="27">
        <f>COGS!BA144+'SG&amp;A'!BA144</f>
        <v>0</v>
      </c>
      <c r="BB144" s="27">
        <f>COGS!BB144+'SG&amp;A'!BB144</f>
        <v>0</v>
      </c>
      <c r="BC144" s="27">
        <f>COGS!BC144+'SG&amp;A'!BC144</f>
        <v>0</v>
      </c>
      <c r="BD144" s="27">
        <f>COGS!BD144+'SG&amp;A'!BD144</f>
        <v>0</v>
      </c>
      <c r="BE144" s="27">
        <f>COGS!BE144+'SG&amp;A'!BE144</f>
        <v>0</v>
      </c>
      <c r="BF144" s="27">
        <f>COGS!BF144+'SG&amp;A'!BF144</f>
        <v>0</v>
      </c>
      <c r="BG144" s="27">
        <f>COGS!BG144+'SG&amp;A'!BG144</f>
        <v>0</v>
      </c>
      <c r="BH144" s="27">
        <f>COGS!BH144+'SG&amp;A'!BH144</f>
        <v>0</v>
      </c>
      <c r="BI144" s="27">
        <f>COGS!BI144+'SG&amp;A'!BI144</f>
        <v>0</v>
      </c>
      <c r="BJ144" s="27">
        <f>COGS!BJ144+'SG&amp;A'!BJ144</f>
        <v>0.89767494000000003</v>
      </c>
      <c r="BK144" s="27">
        <f>COGS!BK144+'SG&amp;A'!BK144</f>
        <v>0.90084207000000005</v>
      </c>
      <c r="BL144" s="27">
        <f>COGS!BL144+'SG&amp;A'!BL144</f>
        <v>0.88556603</v>
      </c>
      <c r="BM144" s="27">
        <f>COGS!BM144+'SG&amp;A'!BM144</f>
        <v>0.64974662999999999</v>
      </c>
      <c r="BN144" s="27">
        <f>COGS!BN144+'SG&amp;A'!BN144</f>
        <v>3.3338296700000001</v>
      </c>
      <c r="BO144" s="27">
        <f>COGS!BO144+'SG&amp;A'!BO144</f>
        <v>0.79412631999999994</v>
      </c>
      <c r="BP144" s="27">
        <f>COGS!BP144+'SG&amp;A'!BP144</f>
        <v>1.28974473</v>
      </c>
      <c r="BQ144" s="27">
        <f>COGS!BQ144+'SG&amp;A'!BQ144</f>
        <v>1.2385056799999998</v>
      </c>
      <c r="BR144" s="27">
        <f>COGS!BR144+'SG&amp;A'!BR144</f>
        <v>1.0773966099999996</v>
      </c>
      <c r="BS144" s="27">
        <f>COGS!BS144+'SG&amp;A'!BS144</f>
        <v>4.3997733399999994</v>
      </c>
      <c r="BT144" s="27">
        <f>COGS!BT144+'SG&amp;A'!BT144</f>
        <v>1.02149124</v>
      </c>
      <c r="BU144" s="27">
        <f>COGS!BU144+'SG&amp;A'!BU144</f>
        <v>1.12527705</v>
      </c>
      <c r="BV144" s="27">
        <f>COGS!BV144+'SG&amp;A'!BV144</f>
        <v>1.1266523599999996</v>
      </c>
      <c r="BW144" s="27">
        <f>COGS!BW144+'SG&amp;A'!BW144</f>
        <v>1.1547551899999997</v>
      </c>
      <c r="BX144" s="27">
        <f>COGS!BX144+'SG&amp;A'!BX144</f>
        <v>4.4281758399999998</v>
      </c>
      <c r="BY144" s="27">
        <f>COGS!BY144+'SG&amp;A'!BY144</f>
        <v>1.1791004100000002</v>
      </c>
      <c r="BZ144" s="27">
        <f>COGS!BZ144+'SG&amp;A'!BZ144</f>
        <v>1.2593225899999998</v>
      </c>
      <c r="CA144" s="27">
        <f>COGS!CA144+'SG&amp;A'!CA144</f>
        <v>1.3159658600000004</v>
      </c>
      <c r="CB144" s="27">
        <f>COGS!CB144+'SG&amp;A'!CB144</f>
        <v>1.1185876999999993</v>
      </c>
      <c r="CC144" s="27">
        <f>COGS!CC144+'SG&amp;A'!CC144</f>
        <v>4.8729765599999997</v>
      </c>
      <c r="CD144" s="27">
        <f>COGS!CD144+'SG&amp;A'!CD144</f>
        <v>0.78119325000000006</v>
      </c>
      <c r="CE144" s="27">
        <f>COGS!CE144+'SG&amp;A'!CE144</f>
        <v>1.3767150199999998</v>
      </c>
      <c r="CF144" s="27">
        <f>COGS!CF144+'SG&amp;A'!CF144</f>
        <v>1.3759960100000002</v>
      </c>
      <c r="CG144" s="27">
        <f>COGS!CG144+'SG&amp;A'!CG144</f>
        <v>1.42841971</v>
      </c>
      <c r="CH144" s="27">
        <f>COGS!CH144+'SG&amp;A'!CH144</f>
        <v>4.9623239899999998</v>
      </c>
      <c r="CI144" s="27">
        <f>COGS!CI144+'SG&amp;A'!CI144</f>
        <v>1.5608739300000001</v>
      </c>
      <c r="CJ144" s="27">
        <f>COGS!CJ144+'SG&amp;A'!CJ144</f>
        <v>1.5096566800000002</v>
      </c>
      <c r="CK144" s="27">
        <f>COGS!CK144+'SG&amp;A'!CK144</f>
        <v>1.4443350899999992</v>
      </c>
      <c r="CL144" s="27">
        <f>COGS!CL144+'SG&amp;A'!CL144</f>
        <v>1.54450423</v>
      </c>
      <c r="CM144" s="27">
        <f>COGS!CM144+'SG&amp;A'!CM144</f>
        <v>6.0593699299999999</v>
      </c>
      <c r="CN144" s="27">
        <f>COGS!CN144+'SG&amp;A'!CN144</f>
        <v>1.5641790499999999</v>
      </c>
      <c r="CO144" s="27">
        <f>COGS!CO144+'SG&amp;A'!CO144</f>
        <v>1.5602869100000001</v>
      </c>
      <c r="CP144" s="27">
        <f>COGS!CP144+'SG&amp;A'!CP144</f>
        <v>1.5344927699999995</v>
      </c>
      <c r="CQ144" s="27">
        <f>COGS!CQ144+'SG&amp;A'!CQ144</f>
        <v>1.54304127</v>
      </c>
      <c r="CR144" s="27">
        <f>COGS!CR144+'SG&amp;A'!CR144</f>
        <v>6.202</v>
      </c>
      <c r="CS144" s="27">
        <f>COGS!CS144+'SG&amp;A'!CS144</f>
        <v>1.4699910599999999</v>
      </c>
      <c r="CT144" s="27">
        <f>COGS!CT144+'SG&amp;A'!CT144</f>
        <v>1.5508847900000002</v>
      </c>
      <c r="CU144" s="27">
        <f>COGS!CU144+'SG&amp;A'!CU144</f>
        <v>1.5442311000000004</v>
      </c>
      <c r="CV144" s="27">
        <f>COGS!CV144+'SG&amp;A'!CV144</f>
        <v>1.5360129599999999</v>
      </c>
      <c r="CW144" s="27">
        <f>COGS!CW144+'SG&amp;A'!CW144</f>
        <v>6.1011199100000013</v>
      </c>
      <c r="CX144" s="27">
        <f>COGS!CX144+'SG&amp;A'!CX144</f>
        <v>1.587</v>
      </c>
      <c r="CY144" s="27">
        <f>COGS!CY144+'SG&amp;A'!CY144</f>
        <v>1.6019999999999999</v>
      </c>
      <c r="CZ144" s="27">
        <f>COGS!CZ144+'SG&amp;A'!CZ144</f>
        <v>1.6039999999999999</v>
      </c>
      <c r="DA144" s="27">
        <f>COGS!DA144+'SG&amp;A'!DA144</f>
        <v>1.651</v>
      </c>
      <c r="DB144" s="27">
        <f>COGS!DB144+'SG&amp;A'!DB144</f>
        <v>6.444</v>
      </c>
      <c r="DC144" s="27">
        <f>COGS!DC144+'SG&amp;A'!DC144</f>
        <v>1.468</v>
      </c>
      <c r="DD144" s="27">
        <f>COGS!DD144+'SG&amp;A'!DD144</f>
        <v>1.468</v>
      </c>
      <c r="DE144" s="27">
        <f>COGS!DE144+'SG&amp;A'!DE144</f>
        <v>1.4569999999999999</v>
      </c>
      <c r="DF144" s="27">
        <f>COGS!DF144+'SG&amp;A'!DF144</f>
        <v>1.571</v>
      </c>
      <c r="DG144" s="27">
        <f>COGS!DG144+'SG&amp;A'!DG144</f>
        <v>5.9639999999999995</v>
      </c>
      <c r="DH144" s="27">
        <f>COGS!DH144+'SG&amp;A'!DH144</f>
        <v>1.4470000000000001</v>
      </c>
      <c r="DI144" s="27">
        <f>COGS!DI144+'SG&amp;A'!DI144</f>
        <v>1.4849999999999999</v>
      </c>
      <c r="DJ144" s="27">
        <f>COGS!DJ144+'SG&amp;A'!DJ144</f>
        <v>1.5679999999999998</v>
      </c>
      <c r="DK144" s="27">
        <f>COGS!DK144+'SG&amp;A'!DK144</f>
        <v>1.542</v>
      </c>
      <c r="DL144" s="27">
        <f>COGS!DL144+'SG&amp;A'!DL144</f>
        <v>6.0419999999999998</v>
      </c>
      <c r="DM144" s="27">
        <f>COGS!DM144+'SG&amp;A'!DM144</f>
        <v>1.625</v>
      </c>
      <c r="DN144" s="27">
        <f>COGS!DN144+'SG&amp;A'!DN144</f>
        <v>1.696</v>
      </c>
      <c r="DO144" s="27">
        <f>COGS!DO144+'SG&amp;A'!DO144</f>
        <v>1.669</v>
      </c>
      <c r="DP144" s="27">
        <f>COGS!DP144+'SG&amp;A'!DP144</f>
        <v>1.4930000000000001</v>
      </c>
      <c r="DQ144" s="27">
        <f>COGS!DQ144+'SG&amp;A'!DQ144</f>
        <v>6.4829999999999997</v>
      </c>
      <c r="DR144" s="27">
        <f>COGS!DR144+'SG&amp;A'!DR144</f>
        <v>0.16900000000000001</v>
      </c>
      <c r="DS144" s="27">
        <f>COGS!DS144+'SG&amp;A'!DS144</f>
        <v>0.09</v>
      </c>
      <c r="DT144" s="27">
        <f>COGS!DT144+'SG&amp;A'!DT144</f>
        <v>5.8999999999999997E-2</v>
      </c>
      <c r="DU144" s="27">
        <f>COGS!DU144+'SG&amp;A'!DU144</f>
        <v>-4.8999999999999988E-2</v>
      </c>
      <c r="DV144" s="27">
        <f>COGS!DV144+'SG&amp;A'!DV144</f>
        <v>0.26900000000000002</v>
      </c>
      <c r="DW144" s="27">
        <f>COGS!DW144+'SG&amp;A'!DW144</f>
        <v>5.0000000000000001E-3</v>
      </c>
      <c r="DX144" s="27">
        <f>COGS!DX144+'SG&amp;A'!DX144</f>
        <v>5.5617499999999999E-3</v>
      </c>
      <c r="DY144" s="27">
        <f>COGS!DY144+'SG&amp;A'!DY144</f>
        <v>1.2664240000000002E-2</v>
      </c>
      <c r="DZ144" s="27">
        <f>COGS!DZ144+'SG&amp;A'!DZ144</f>
        <v>1.0196869999999999E-2</v>
      </c>
      <c r="EA144" s="27">
        <f>COGS!EA144+'SG&amp;A'!EA144</f>
        <v>3.3422859999999999E-2</v>
      </c>
      <c r="EB144" s="27">
        <f>COGS!EB144+'SG&amp;A'!EB144</f>
        <v>0</v>
      </c>
      <c r="EC144" s="27">
        <f>COGS!EC144+'SG&amp;A'!EC144</f>
        <v>3.8000000000000002E-4</v>
      </c>
      <c r="ED144" s="27">
        <f>COGS!ED144+'SG&amp;A'!ED144</f>
        <v>0</v>
      </c>
      <c r="EE144" s="27">
        <f>COGS!EE144+'SG&amp;A'!EE144</f>
        <v>0</v>
      </c>
      <c r="EF144" s="27">
        <f>COGS!EF144+'SG&amp;A'!EF144</f>
        <v>3.8000000000000002E-4</v>
      </c>
      <c r="EG144" s="27">
        <f>COGS!EG144+'SG&amp;A'!EG144</f>
        <v>1.9000000000000001E-4</v>
      </c>
      <c r="EH144" s="27">
        <f>COGS!EH144+'SG&amp;A'!EH144</f>
        <v>1.9000000000000001E-4</v>
      </c>
      <c r="EI144" s="27">
        <f>COGS!EI144+'SG&amp;A'!EI144</f>
        <v>0</v>
      </c>
    </row>
    <row r="145" spans="1:139" ht="15" thickBot="1" x14ac:dyDescent="0.35">
      <c r="A145" s="2" t="s">
        <v>454</v>
      </c>
      <c r="B145" s="28">
        <f>COGS!B145+'SG&amp;A'!B145</f>
        <v>0</v>
      </c>
      <c r="C145" s="28">
        <f>COGS!C145+'SG&amp;A'!C145</f>
        <v>0</v>
      </c>
      <c r="D145" s="28">
        <f>COGS!D145+'SG&amp;A'!D145</f>
        <v>0</v>
      </c>
      <c r="E145" s="28">
        <f>COGS!E145+'SG&amp;A'!E145</f>
        <v>0</v>
      </c>
      <c r="F145" s="28">
        <f>COGS!F145+'SG&amp;A'!F145</f>
        <v>0</v>
      </c>
      <c r="G145" s="28">
        <f>COGS!G145+'SG&amp;A'!G145</f>
        <v>0</v>
      </c>
      <c r="H145" s="28">
        <f>COGS!H145+'SG&amp;A'!H145</f>
        <v>0</v>
      </c>
      <c r="I145" s="28">
        <f>COGS!I145+'SG&amp;A'!I145</f>
        <v>0</v>
      </c>
      <c r="J145" s="28">
        <f>COGS!J145+'SG&amp;A'!J145</f>
        <v>0</v>
      </c>
      <c r="K145" s="28">
        <f>COGS!K145+'SG&amp;A'!K145</f>
        <v>0</v>
      </c>
      <c r="L145" s="28">
        <f>COGS!L145+'SG&amp;A'!L145</f>
        <v>0</v>
      </c>
      <c r="M145" s="28">
        <f>COGS!M145+'SG&amp;A'!M145</f>
        <v>0</v>
      </c>
      <c r="N145" s="28">
        <f>COGS!N145+'SG&amp;A'!N145</f>
        <v>0</v>
      </c>
      <c r="O145" s="28">
        <f>COGS!O145+'SG&amp;A'!O145</f>
        <v>0</v>
      </c>
      <c r="P145" s="28">
        <f>COGS!P145+'SG&amp;A'!P145</f>
        <v>0</v>
      </c>
      <c r="Q145" s="28">
        <f>COGS!Q145+'SG&amp;A'!Q145</f>
        <v>0</v>
      </c>
      <c r="R145" s="28">
        <f>COGS!R145+'SG&amp;A'!R145</f>
        <v>0</v>
      </c>
      <c r="S145" s="28">
        <f>COGS!S145+'SG&amp;A'!S145</f>
        <v>0</v>
      </c>
      <c r="T145" s="28">
        <f>COGS!T145+'SG&amp;A'!T145</f>
        <v>0</v>
      </c>
      <c r="U145" s="28">
        <f>COGS!U145+'SG&amp;A'!U145</f>
        <v>0</v>
      </c>
      <c r="V145" s="28">
        <f>COGS!V145+'SG&amp;A'!V145</f>
        <v>0</v>
      </c>
      <c r="W145" s="28">
        <f>COGS!W145+'SG&amp;A'!W145</f>
        <v>0</v>
      </c>
      <c r="X145" s="28">
        <f>COGS!X145+'SG&amp;A'!X145</f>
        <v>0</v>
      </c>
      <c r="Y145" s="28">
        <f>COGS!Y145+'SG&amp;A'!Y145</f>
        <v>0</v>
      </c>
      <c r="Z145" s="28">
        <f>COGS!Z145+'SG&amp;A'!Z145</f>
        <v>0</v>
      </c>
      <c r="AA145" s="28">
        <f>COGS!AA145+'SG&amp;A'!AA145</f>
        <v>0</v>
      </c>
      <c r="AB145" s="28">
        <f>COGS!AB145+'SG&amp;A'!AB145</f>
        <v>0</v>
      </c>
      <c r="AC145" s="28">
        <f>COGS!AC145+'SG&amp;A'!AC145</f>
        <v>0</v>
      </c>
      <c r="AD145" s="28">
        <f>COGS!AD145+'SG&amp;A'!AD145</f>
        <v>0</v>
      </c>
      <c r="AE145" s="28">
        <f>COGS!AE145+'SG&amp;A'!AE145</f>
        <v>0</v>
      </c>
      <c r="AF145" s="28">
        <f>COGS!AF145+'SG&amp;A'!AF145</f>
        <v>0</v>
      </c>
      <c r="AG145" s="28">
        <f>COGS!AG145+'SG&amp;A'!AG145</f>
        <v>0</v>
      </c>
      <c r="AH145" s="28">
        <f>COGS!AH145+'SG&amp;A'!AH145</f>
        <v>0</v>
      </c>
      <c r="AI145" s="28">
        <f>COGS!AI145+'SG&amp;A'!AI145</f>
        <v>0</v>
      </c>
      <c r="AJ145" s="28">
        <f>COGS!AJ145+'SG&amp;A'!AJ145</f>
        <v>0</v>
      </c>
      <c r="AK145" s="28">
        <f>COGS!AK145+'SG&amp;A'!AK145</f>
        <v>0</v>
      </c>
      <c r="AL145" s="28">
        <f>COGS!AL145+'SG&amp;A'!AL145</f>
        <v>0</v>
      </c>
      <c r="AM145" s="28">
        <f>COGS!AM145+'SG&amp;A'!AM145</f>
        <v>0</v>
      </c>
      <c r="AN145" s="28">
        <f>COGS!AN145+'SG&amp;A'!AN145</f>
        <v>0</v>
      </c>
      <c r="AO145" s="28">
        <f>COGS!AO145+'SG&amp;A'!AO145</f>
        <v>0</v>
      </c>
      <c r="AP145" s="28">
        <f>COGS!AP145+'SG&amp;A'!AP145</f>
        <v>0</v>
      </c>
      <c r="AQ145" s="28">
        <f>COGS!AQ145+'SG&amp;A'!AQ145</f>
        <v>0</v>
      </c>
      <c r="AR145" s="28">
        <f>COGS!AR145+'SG&amp;A'!AR145</f>
        <v>0</v>
      </c>
      <c r="AS145" s="28">
        <f>COGS!AS145+'SG&amp;A'!AS145</f>
        <v>0</v>
      </c>
      <c r="AT145" s="28">
        <f>COGS!AT145+'SG&amp;A'!AT145</f>
        <v>0</v>
      </c>
      <c r="AU145" s="28">
        <f>COGS!AU145+'SG&amp;A'!AU145</f>
        <v>0</v>
      </c>
      <c r="AV145" s="28">
        <f>COGS!AV145+'SG&amp;A'!AV145</f>
        <v>0</v>
      </c>
      <c r="AW145" s="28">
        <f>COGS!AW145+'SG&amp;A'!AW145</f>
        <v>0</v>
      </c>
      <c r="AX145" s="28">
        <f>COGS!AX145+'SG&amp;A'!AX145</f>
        <v>0</v>
      </c>
      <c r="AY145" s="28">
        <f>COGS!AY145+'SG&amp;A'!AY145</f>
        <v>0</v>
      </c>
      <c r="AZ145" s="28">
        <f>COGS!AZ145+'SG&amp;A'!AZ145</f>
        <v>0</v>
      </c>
      <c r="BA145" s="28">
        <f>COGS!BA145+'SG&amp;A'!BA145</f>
        <v>0</v>
      </c>
      <c r="BB145" s="28">
        <f>COGS!BB145+'SG&amp;A'!BB145</f>
        <v>0</v>
      </c>
      <c r="BC145" s="28">
        <f>COGS!BC145+'SG&amp;A'!BC145</f>
        <v>0</v>
      </c>
      <c r="BD145" s="28">
        <f>COGS!BD145+'SG&amp;A'!BD145</f>
        <v>0</v>
      </c>
      <c r="BE145" s="28">
        <f>COGS!BE145+'SG&amp;A'!BE145</f>
        <v>0</v>
      </c>
      <c r="BF145" s="28">
        <f>COGS!BF145+'SG&amp;A'!BF145</f>
        <v>0</v>
      </c>
      <c r="BG145" s="28">
        <f>COGS!BG145+'SG&amp;A'!BG145</f>
        <v>0</v>
      </c>
      <c r="BH145" s="28">
        <f>COGS!BH145+'SG&amp;A'!BH145</f>
        <v>0</v>
      </c>
      <c r="BI145" s="28">
        <f>COGS!BI145+'SG&amp;A'!BI145</f>
        <v>0</v>
      </c>
      <c r="BJ145" s="28">
        <f>COGS!BJ145+'SG&amp;A'!BJ145</f>
        <v>0.42000660000000006</v>
      </c>
      <c r="BK145" s="28">
        <f>COGS!BK145+'SG&amp;A'!BK145</f>
        <v>0.46175372999999997</v>
      </c>
      <c r="BL145" s="28">
        <f>COGS!BL145+'SG&amp;A'!BL145</f>
        <v>0.46186682000000007</v>
      </c>
      <c r="BM145" s="28">
        <f>COGS!BM145+'SG&amp;A'!BM145</f>
        <v>0.43066523999999973</v>
      </c>
      <c r="BN145" s="28">
        <f>COGS!BN145+'SG&amp;A'!BN145</f>
        <v>1.7742923899999998</v>
      </c>
      <c r="BO145" s="28">
        <f>COGS!BO145+'SG&amp;A'!BO145</f>
        <v>0.47156679000000001</v>
      </c>
      <c r="BP145" s="28">
        <f>COGS!BP145+'SG&amp;A'!BP145</f>
        <v>1.1042282599999997</v>
      </c>
      <c r="BQ145" s="28">
        <f>COGS!BQ145+'SG&amp;A'!BQ145</f>
        <v>0.81015016000000051</v>
      </c>
      <c r="BR145" s="28">
        <f>COGS!BR145+'SG&amp;A'!BR145</f>
        <v>0.77391102999999939</v>
      </c>
      <c r="BS145" s="28">
        <f>COGS!BS145+'SG&amp;A'!BS145</f>
        <v>3.1598562399999999</v>
      </c>
      <c r="BT145" s="28">
        <f>COGS!BT145+'SG&amp;A'!BT145</f>
        <v>0.81884423999999989</v>
      </c>
      <c r="BU145" s="28">
        <f>COGS!BU145+'SG&amp;A'!BU145</f>
        <v>0.87358107000000029</v>
      </c>
      <c r="BV145" s="28">
        <f>COGS!BV145+'SG&amp;A'!BV145</f>
        <v>0.83357056999999979</v>
      </c>
      <c r="BW145" s="28">
        <f>COGS!BW145+'SG&amp;A'!BW145</f>
        <v>1.1391895000000001</v>
      </c>
      <c r="BX145" s="28">
        <f>COGS!BX145+'SG&amp;A'!BX145</f>
        <v>3.66518538</v>
      </c>
      <c r="BY145" s="28">
        <f>COGS!BY145+'SG&amp;A'!BY145</f>
        <v>0.94975432999999998</v>
      </c>
      <c r="BZ145" s="28">
        <f>COGS!BZ145+'SG&amp;A'!BZ145</f>
        <v>1.12302075</v>
      </c>
      <c r="CA145" s="28">
        <f>COGS!CA145+'SG&amp;A'!CA145</f>
        <v>1.1049857899999995</v>
      </c>
      <c r="CB145" s="28">
        <f>COGS!CB145+'SG&amp;A'!CB145</f>
        <v>1.0218935900000004</v>
      </c>
      <c r="CC145" s="28">
        <f>COGS!CC145+'SG&amp;A'!CC145</f>
        <v>4.1996544599999996</v>
      </c>
      <c r="CD145" s="28">
        <f>COGS!CD145+'SG&amp;A'!CD145</f>
        <v>1.03441278</v>
      </c>
      <c r="CE145" s="28">
        <f>COGS!CE145+'SG&amp;A'!CE145</f>
        <v>1.1188342699999998</v>
      </c>
      <c r="CF145" s="28">
        <f>COGS!CF145+'SG&amp;A'!CF145</f>
        <v>1.0791159099999998</v>
      </c>
      <c r="CG145" s="28">
        <f>COGS!CG145+'SG&amp;A'!CG145</f>
        <v>1.0426067700000006</v>
      </c>
      <c r="CH145" s="28">
        <f>COGS!CH145+'SG&amp;A'!CH145</f>
        <v>4.2749697300000005</v>
      </c>
      <c r="CI145" s="28">
        <f>COGS!CI145+'SG&amp;A'!CI145</f>
        <v>1.10649708</v>
      </c>
      <c r="CJ145" s="28">
        <f>COGS!CJ145+'SG&amp;A'!CJ145</f>
        <v>1.1644963499999998</v>
      </c>
      <c r="CK145" s="28">
        <f>COGS!CK145+'SG&amp;A'!CK145</f>
        <v>1.1710135800000001</v>
      </c>
      <c r="CL145" s="28">
        <f>COGS!CL145+'SG&amp;A'!CL145</f>
        <v>1.0181888599999993</v>
      </c>
      <c r="CM145" s="28">
        <f>COGS!CM145+'SG&amp;A'!CM145</f>
        <v>4.4601958699999997</v>
      </c>
      <c r="CN145" s="28">
        <f>COGS!CN145+'SG&amp;A'!CN145</f>
        <v>1.25150447</v>
      </c>
      <c r="CO145" s="28">
        <f>COGS!CO145+'SG&amp;A'!CO145</f>
        <v>1.3838167700000001</v>
      </c>
      <c r="CP145" s="28">
        <f>COGS!CP145+'SG&amp;A'!CP145</f>
        <v>1.3260472600000002</v>
      </c>
      <c r="CQ145" s="28">
        <f>COGS!CQ145+'SG&amp;A'!CQ145</f>
        <v>1.2176315</v>
      </c>
      <c r="CR145" s="28">
        <f>COGS!CR145+'SG&amp;A'!CR145</f>
        <v>5.1790000000000003</v>
      </c>
      <c r="CS145" s="28">
        <f>COGS!CS145+'SG&amp;A'!CS145</f>
        <v>1.2891199900000001</v>
      </c>
      <c r="CT145" s="28">
        <f>COGS!CT145+'SG&amp;A'!CT145</f>
        <v>1.4576538900000002</v>
      </c>
      <c r="CU145" s="28">
        <f>COGS!CU145+'SG&amp;A'!CU145</f>
        <v>1.4023601299999999</v>
      </c>
      <c r="CV145" s="28">
        <f>COGS!CV145+'SG&amp;A'!CV145</f>
        <v>1.34807973</v>
      </c>
      <c r="CW145" s="28">
        <f>COGS!CW145+'SG&amp;A'!CW145</f>
        <v>5.4972137399999994</v>
      </c>
      <c r="CX145" s="28">
        <f>COGS!CX145+'SG&amp;A'!CX145</f>
        <v>1.325</v>
      </c>
      <c r="CY145" s="28">
        <f>COGS!CY145+'SG&amp;A'!CY145</f>
        <v>1.4379999999999999</v>
      </c>
      <c r="CZ145" s="28">
        <f>COGS!CZ145+'SG&amp;A'!CZ145</f>
        <v>1.395</v>
      </c>
      <c r="DA145" s="28">
        <f>COGS!DA145+'SG&amp;A'!DA145</f>
        <v>1.345</v>
      </c>
      <c r="DB145" s="28">
        <f>COGS!DB145+'SG&amp;A'!DB145</f>
        <v>5.5030000000000001</v>
      </c>
      <c r="DC145" s="28">
        <f>COGS!DC145+'SG&amp;A'!DC145</f>
        <v>1.2250000000000001</v>
      </c>
      <c r="DD145" s="28">
        <f>COGS!DD145+'SG&amp;A'!DD145</f>
        <v>1.4</v>
      </c>
      <c r="DE145" s="28">
        <f>COGS!DE145+'SG&amp;A'!DE145</f>
        <v>1.4119999999999999</v>
      </c>
      <c r="DF145" s="28">
        <f>COGS!DF145+'SG&amp;A'!DF145</f>
        <v>1.383</v>
      </c>
      <c r="DG145" s="28">
        <f>COGS!DG145+'SG&amp;A'!DG145</f>
        <v>5.42</v>
      </c>
      <c r="DH145" s="28">
        <f>COGS!DH145+'SG&amp;A'!DH145</f>
        <v>1.264</v>
      </c>
      <c r="DI145" s="28">
        <f>COGS!DI145+'SG&amp;A'!DI145</f>
        <v>1.4000000000000001</v>
      </c>
      <c r="DJ145" s="28">
        <f>COGS!DJ145+'SG&amp;A'!DJ145</f>
        <v>1.339</v>
      </c>
      <c r="DK145" s="28">
        <f>COGS!DK145+'SG&amp;A'!DK145</f>
        <v>1.28</v>
      </c>
      <c r="DL145" s="28">
        <f>COGS!DL145+'SG&amp;A'!DL145</f>
        <v>5.2830000000000004</v>
      </c>
      <c r="DM145" s="28">
        <f>COGS!DM145+'SG&amp;A'!DM145</f>
        <v>1.0450000000000002</v>
      </c>
      <c r="DN145" s="28">
        <f>COGS!DN145+'SG&amp;A'!DN145</f>
        <v>1.4549999999999998</v>
      </c>
      <c r="DO145" s="28">
        <f>COGS!DO145+'SG&amp;A'!DO145</f>
        <v>1.3450000000000002</v>
      </c>
      <c r="DP145" s="28">
        <f>COGS!DP145+'SG&amp;A'!DP145</f>
        <v>1.331</v>
      </c>
      <c r="DQ145" s="28">
        <f>COGS!DQ145+'SG&amp;A'!DQ145</f>
        <v>5.1760000000000002</v>
      </c>
      <c r="DR145" s="28">
        <f>COGS!DR145+'SG&amp;A'!DR145</f>
        <v>1.399</v>
      </c>
      <c r="DS145" s="28">
        <f>COGS!DS145+'SG&amp;A'!DS145</f>
        <v>1.1800000000000002</v>
      </c>
      <c r="DT145" s="28">
        <f>COGS!DT145+'SG&amp;A'!DT145</f>
        <v>1.3050000000000002</v>
      </c>
      <c r="DU145" s="28">
        <f>COGS!DU145+'SG&amp;A'!DU145</f>
        <v>2.1749999999999998</v>
      </c>
      <c r="DV145" s="28">
        <f>COGS!DV145+'SG&amp;A'!DV145</f>
        <v>6.0590000000000002</v>
      </c>
      <c r="DW145" s="28">
        <f>COGS!DW145+'SG&amp;A'!DW145</f>
        <v>1.6339999999999999</v>
      </c>
      <c r="DX145" s="28">
        <f>COGS!DX145+'SG&amp;A'!DX145</f>
        <v>1.96211186</v>
      </c>
      <c r="DY145" s="28">
        <f>COGS!DY145+'SG&amp;A'!DY145</f>
        <v>2.1878032100000002</v>
      </c>
      <c r="DZ145" s="28">
        <f>COGS!DZ145+'SG&amp;A'!DZ145</f>
        <v>1.8507532700000004</v>
      </c>
      <c r="EA145" s="28">
        <f>COGS!EA145+'SG&amp;A'!EA145</f>
        <v>7.6346683400000011</v>
      </c>
      <c r="EB145" s="28">
        <f>COGS!EB145+'SG&amp;A'!EB145</f>
        <v>1.8969961100000001</v>
      </c>
      <c r="EC145" s="28">
        <f>COGS!EC145+'SG&amp;A'!EC145</f>
        <v>1.9198894199999998</v>
      </c>
      <c r="ED145" s="28">
        <f>COGS!ED145+'SG&amp;A'!ED145</f>
        <v>1.9530000000000001</v>
      </c>
      <c r="EE145" s="28">
        <f>COGS!EE145+'SG&amp;A'!EE145</f>
        <v>2.4997001099999996</v>
      </c>
      <c r="EF145" s="28">
        <f>COGS!EF145+'SG&amp;A'!EF145</f>
        <v>8.269585639999999</v>
      </c>
      <c r="EG145" s="28">
        <f>COGS!EG145+'SG&amp;A'!EG145</f>
        <v>2.1784972100000006</v>
      </c>
      <c r="EH145" s="28">
        <f>COGS!EH145+'SG&amp;A'!EH145</f>
        <v>1.9834106399999998</v>
      </c>
      <c r="EI145" s="28">
        <f>COGS!EI145+'SG&amp;A'!EI145</f>
        <v>2.2474049900000006</v>
      </c>
    </row>
    <row r="146" spans="1:139" ht="15" thickTop="1" x14ac:dyDescent="0.3">
      <c r="A146" s="1" t="s">
        <v>442</v>
      </c>
      <c r="B146" s="27">
        <f>COGS!B146+'SG&amp;A'!B146</f>
        <v>0</v>
      </c>
      <c r="C146" s="27">
        <f>COGS!C146+'SG&amp;A'!C146</f>
        <v>0</v>
      </c>
      <c r="D146" s="27">
        <f>COGS!D146+'SG&amp;A'!D146</f>
        <v>0</v>
      </c>
      <c r="E146" s="27">
        <f>COGS!E146+'SG&amp;A'!E146</f>
        <v>0</v>
      </c>
      <c r="F146" s="27">
        <f>COGS!F146+'SG&amp;A'!F146</f>
        <v>0</v>
      </c>
      <c r="G146" s="27">
        <f>COGS!G146+'SG&amp;A'!G146</f>
        <v>0</v>
      </c>
      <c r="H146" s="27">
        <f>COGS!H146+'SG&amp;A'!H146</f>
        <v>0</v>
      </c>
      <c r="I146" s="27">
        <f>COGS!I146+'SG&amp;A'!I146</f>
        <v>0</v>
      </c>
      <c r="J146" s="27">
        <f>COGS!J146+'SG&amp;A'!J146</f>
        <v>0</v>
      </c>
      <c r="K146" s="27">
        <f>COGS!K146+'SG&amp;A'!K146</f>
        <v>0</v>
      </c>
      <c r="L146" s="27">
        <f>COGS!L146+'SG&amp;A'!L146</f>
        <v>0</v>
      </c>
      <c r="M146" s="27">
        <f>COGS!M146+'SG&amp;A'!M146</f>
        <v>0</v>
      </c>
      <c r="N146" s="27">
        <f>COGS!N146+'SG&amp;A'!N146</f>
        <v>0</v>
      </c>
      <c r="O146" s="27">
        <f>COGS!O146+'SG&amp;A'!O146</f>
        <v>0</v>
      </c>
      <c r="P146" s="27">
        <f>COGS!P146+'SG&amp;A'!P146</f>
        <v>0</v>
      </c>
      <c r="Q146" s="27">
        <f>COGS!Q146+'SG&amp;A'!Q146</f>
        <v>0</v>
      </c>
      <c r="R146" s="27">
        <f>COGS!R146+'SG&amp;A'!R146</f>
        <v>0</v>
      </c>
      <c r="S146" s="27">
        <f>COGS!S146+'SG&amp;A'!S146</f>
        <v>0</v>
      </c>
      <c r="T146" s="27">
        <f>COGS!T146+'SG&amp;A'!T146</f>
        <v>0</v>
      </c>
      <c r="U146" s="27">
        <f>COGS!U146+'SG&amp;A'!U146</f>
        <v>0</v>
      </c>
      <c r="V146" s="27">
        <f>COGS!V146+'SG&amp;A'!V146</f>
        <v>0</v>
      </c>
      <c r="W146" s="27">
        <f>COGS!W146+'SG&amp;A'!W146</f>
        <v>0</v>
      </c>
      <c r="X146" s="27">
        <f>COGS!X146+'SG&amp;A'!X146</f>
        <v>0</v>
      </c>
      <c r="Y146" s="27">
        <f>COGS!Y146+'SG&amp;A'!Y146</f>
        <v>0</v>
      </c>
      <c r="Z146" s="27">
        <f>COGS!Z146+'SG&amp;A'!Z146</f>
        <v>0</v>
      </c>
      <c r="AA146" s="27">
        <f>COGS!AA146+'SG&amp;A'!AA146</f>
        <v>0</v>
      </c>
      <c r="AB146" s="27">
        <f>COGS!AB146+'SG&amp;A'!AB146</f>
        <v>0</v>
      </c>
      <c r="AC146" s="27">
        <f>COGS!AC146+'SG&amp;A'!AC146</f>
        <v>0</v>
      </c>
      <c r="AD146" s="27">
        <f>COGS!AD146+'SG&amp;A'!AD146</f>
        <v>0</v>
      </c>
      <c r="AE146" s="27">
        <f>COGS!AE146+'SG&amp;A'!AE146</f>
        <v>0</v>
      </c>
      <c r="AF146" s="27">
        <f>COGS!AF146+'SG&amp;A'!AF146</f>
        <v>0</v>
      </c>
      <c r="AG146" s="27">
        <f>COGS!AG146+'SG&amp;A'!AG146</f>
        <v>0</v>
      </c>
      <c r="AH146" s="27">
        <f>COGS!AH146+'SG&amp;A'!AH146</f>
        <v>0</v>
      </c>
      <c r="AI146" s="27">
        <f>COGS!AI146+'SG&amp;A'!AI146</f>
        <v>0</v>
      </c>
      <c r="AJ146" s="27">
        <f>COGS!AJ146+'SG&amp;A'!AJ146</f>
        <v>0</v>
      </c>
      <c r="AK146" s="27">
        <f>COGS!AK146+'SG&amp;A'!AK146</f>
        <v>0</v>
      </c>
      <c r="AL146" s="27">
        <f>COGS!AL146+'SG&amp;A'!AL146</f>
        <v>0</v>
      </c>
      <c r="AM146" s="27">
        <f>COGS!AM146+'SG&amp;A'!AM146</f>
        <v>0</v>
      </c>
      <c r="AN146" s="27">
        <f>COGS!AN146+'SG&amp;A'!AN146</f>
        <v>0</v>
      </c>
      <c r="AO146" s="27">
        <f>COGS!AO146+'SG&amp;A'!AO146</f>
        <v>0</v>
      </c>
      <c r="AP146" s="27">
        <f>COGS!AP146+'SG&amp;A'!AP146</f>
        <v>0</v>
      </c>
      <c r="AQ146" s="27">
        <f>COGS!AQ146+'SG&amp;A'!AQ146</f>
        <v>0</v>
      </c>
      <c r="AR146" s="27">
        <f>COGS!AR146+'SG&amp;A'!AR146</f>
        <v>0</v>
      </c>
      <c r="AS146" s="27">
        <f>COGS!AS146+'SG&amp;A'!AS146</f>
        <v>0</v>
      </c>
      <c r="AT146" s="27">
        <f>COGS!AT146+'SG&amp;A'!AT146</f>
        <v>0</v>
      </c>
      <c r="AU146" s="27">
        <f>COGS!AU146+'SG&amp;A'!AU146</f>
        <v>0</v>
      </c>
      <c r="AV146" s="27">
        <f>COGS!AV146+'SG&amp;A'!AV146</f>
        <v>0</v>
      </c>
      <c r="AW146" s="27">
        <f>COGS!AW146+'SG&amp;A'!AW146</f>
        <v>0</v>
      </c>
      <c r="AX146" s="27">
        <f>COGS!AX146+'SG&amp;A'!AX146</f>
        <v>0</v>
      </c>
      <c r="AY146" s="27">
        <f>COGS!AY146+'SG&amp;A'!AY146</f>
        <v>0</v>
      </c>
      <c r="AZ146" s="27">
        <f>COGS!AZ146+'SG&amp;A'!AZ146</f>
        <v>0</v>
      </c>
      <c r="BA146" s="27">
        <f>COGS!BA146+'SG&amp;A'!BA146</f>
        <v>0</v>
      </c>
      <c r="BB146" s="27">
        <f>COGS!BB146+'SG&amp;A'!BB146</f>
        <v>0</v>
      </c>
      <c r="BC146" s="27">
        <f>COGS!BC146+'SG&amp;A'!BC146</f>
        <v>0</v>
      </c>
      <c r="BD146" s="27">
        <f>COGS!BD146+'SG&amp;A'!BD146</f>
        <v>0</v>
      </c>
      <c r="BE146" s="27">
        <f>COGS!BE146+'SG&amp;A'!BE146</f>
        <v>0</v>
      </c>
      <c r="BF146" s="27">
        <f>COGS!BF146+'SG&amp;A'!BF146</f>
        <v>0</v>
      </c>
      <c r="BG146" s="27">
        <f>COGS!BG146+'SG&amp;A'!BG146</f>
        <v>0</v>
      </c>
      <c r="BH146" s="27">
        <f>COGS!BH146+'SG&amp;A'!BH146</f>
        <v>0</v>
      </c>
      <c r="BI146" s="27">
        <f>COGS!BI146+'SG&amp;A'!BI146</f>
        <v>0</v>
      </c>
      <c r="BJ146" s="27">
        <f>COGS!BJ146+'SG&amp;A'!BJ146</f>
        <v>5.9371165999999995</v>
      </c>
      <c r="BK146" s="27">
        <f>COGS!BK146+'SG&amp;A'!BK146</f>
        <v>5.766383359999999</v>
      </c>
      <c r="BL146" s="27">
        <f>COGS!BL146+'SG&amp;A'!BL146</f>
        <v>9.8560898800000025</v>
      </c>
      <c r="BM146" s="27">
        <f>COGS!BM146+'SG&amp;A'!BM146</f>
        <v>9.2297020500000002</v>
      </c>
      <c r="BN146" s="27">
        <f>COGS!BN146+'SG&amp;A'!BN146</f>
        <v>30.789291890000001</v>
      </c>
      <c r="BO146" s="27">
        <f>COGS!BO146+'SG&amp;A'!BO146</f>
        <v>9.3522456999999992</v>
      </c>
      <c r="BP146" s="27">
        <f>COGS!BP146+'SG&amp;A'!BP146</f>
        <v>10.77146404</v>
      </c>
      <c r="BQ146" s="27">
        <f>COGS!BQ146+'SG&amp;A'!BQ146</f>
        <v>11.410926870000004</v>
      </c>
      <c r="BR146" s="27">
        <f>COGS!BR146+'SG&amp;A'!BR146</f>
        <v>11.090011389999997</v>
      </c>
      <c r="BS146" s="27">
        <f>COGS!BS146+'SG&amp;A'!BS146</f>
        <v>42.624648000000001</v>
      </c>
      <c r="BT146" s="27">
        <f>COGS!BT146+'SG&amp;A'!BT146</f>
        <v>8.0865623199999987</v>
      </c>
      <c r="BU146" s="27">
        <f>COGS!BU146+'SG&amp;A'!BU146</f>
        <v>6.9772321799999997</v>
      </c>
      <c r="BV146" s="27">
        <f>COGS!BV146+'SG&amp;A'!BV146</f>
        <v>8.3354700199999954</v>
      </c>
      <c r="BW146" s="27">
        <f>COGS!BW146+'SG&amp;A'!BW146</f>
        <v>10.049370420000004</v>
      </c>
      <c r="BX146" s="27">
        <f>COGS!BX146+'SG&amp;A'!BX146</f>
        <v>33.448634939999998</v>
      </c>
      <c r="BY146" s="27">
        <f>COGS!BY146+'SG&amp;A'!BY146</f>
        <v>8.1360998099999993</v>
      </c>
      <c r="BZ146" s="27">
        <f>COGS!BZ146+'SG&amp;A'!BZ146</f>
        <v>7.7720009500000007</v>
      </c>
      <c r="CA146" s="27">
        <f>COGS!CA146+'SG&amp;A'!CA146</f>
        <v>5.7030992499999957</v>
      </c>
      <c r="CB146" s="27">
        <f>COGS!CB146+'SG&amp;A'!CB146</f>
        <v>7.0268638800000041</v>
      </c>
      <c r="CC146" s="27">
        <f>COGS!CC146+'SG&amp;A'!CC146</f>
        <v>28.638063890000002</v>
      </c>
      <c r="CD146" s="27">
        <f>COGS!CD146+'SG&amp;A'!CD146</f>
        <v>5.7156490999999994</v>
      </c>
      <c r="CE146" s="27">
        <f>COGS!CE146+'SG&amp;A'!CE146</f>
        <v>4.3089546899999993</v>
      </c>
      <c r="CF146" s="27">
        <f>COGS!CF146+'SG&amp;A'!CF146</f>
        <v>6.5234223399999998</v>
      </c>
      <c r="CG146" s="27">
        <f>COGS!CG146+'SG&amp;A'!CG146</f>
        <v>5.9786040200000015</v>
      </c>
      <c r="CH146" s="27">
        <f>COGS!CH146+'SG&amp;A'!CH146</f>
        <v>22.526630149999999</v>
      </c>
      <c r="CI146" s="27">
        <f>COGS!CI146+'SG&amp;A'!CI146</f>
        <v>5.6630638500000003</v>
      </c>
      <c r="CJ146" s="27">
        <f>COGS!CJ146+'SG&amp;A'!CJ146</f>
        <v>5.5565120700000001</v>
      </c>
      <c r="CK146" s="27">
        <f>COGS!CK146+'SG&amp;A'!CK146</f>
        <v>5.7168066600000023</v>
      </c>
      <c r="CL146" s="27">
        <f>COGS!CL146+'SG&amp;A'!CL146</f>
        <v>5.9486627899999984</v>
      </c>
      <c r="CM146" s="27">
        <f>COGS!CM146+'SG&amp;A'!CM146</f>
        <v>22.88504537</v>
      </c>
      <c r="CN146" s="27">
        <f>COGS!CN146+'SG&amp;A'!CN146</f>
        <v>5.7078296899999996</v>
      </c>
      <c r="CO146" s="27">
        <f>COGS!CO146+'SG&amp;A'!CO146</f>
        <v>5.185001520000001</v>
      </c>
      <c r="CP146" s="27">
        <f>COGS!CP146+'SG&amp;A'!CP146</f>
        <v>5.2766365799999999</v>
      </c>
      <c r="CQ146" s="27">
        <f>COGS!CQ146+'SG&amp;A'!CQ146</f>
        <v>5.7125322099999991</v>
      </c>
      <c r="CR146" s="27">
        <f>COGS!CR146+'SG&amp;A'!CR146</f>
        <v>21.882000000000001</v>
      </c>
      <c r="CS146" s="27">
        <f>COGS!CS146+'SG&amp;A'!CS146</f>
        <v>5.8871526300000001</v>
      </c>
      <c r="CT146" s="27">
        <f>COGS!CT146+'SG&amp;A'!CT146</f>
        <v>5.4579308799999993</v>
      </c>
      <c r="CU146" s="27">
        <f>COGS!CU146+'SG&amp;A'!CU146</f>
        <v>5.7913584900000004</v>
      </c>
      <c r="CV146" s="27">
        <f>COGS!CV146+'SG&amp;A'!CV146</f>
        <v>5.9437073799999984</v>
      </c>
      <c r="CW146" s="27">
        <f>COGS!CW146+'SG&amp;A'!CW146</f>
        <v>23.080149380000002</v>
      </c>
      <c r="CX146" s="27">
        <f>COGS!CX146+'SG&amp;A'!CX146</f>
        <v>6.048</v>
      </c>
      <c r="CY146" s="27">
        <f>COGS!CY146+'SG&amp;A'!CY146</f>
        <v>5.3109999999999999</v>
      </c>
      <c r="CZ146" s="27">
        <f>COGS!CZ146+'SG&amp;A'!CZ146</f>
        <v>5.6079999999999997</v>
      </c>
      <c r="DA146" s="27">
        <f>COGS!DA146+'SG&amp;A'!DA146</f>
        <v>5.8580000000000005</v>
      </c>
      <c r="DB146" s="27">
        <f>COGS!DB146+'SG&amp;A'!DB146</f>
        <v>22.825000000000003</v>
      </c>
      <c r="DC146" s="27">
        <f>COGS!DC146+'SG&amp;A'!DC146</f>
        <v>5.1080000000000005</v>
      </c>
      <c r="DD146" s="27">
        <f>COGS!DD146+'SG&amp;A'!DD146</f>
        <v>4.5209999999999999</v>
      </c>
      <c r="DE146" s="27">
        <f>COGS!DE146+'SG&amp;A'!DE146</f>
        <v>5.4950000000000001</v>
      </c>
      <c r="DF146" s="27">
        <f>COGS!DF146+'SG&amp;A'!DF146</f>
        <v>5.8920000000000003</v>
      </c>
      <c r="DG146" s="27">
        <f>COGS!DG146+'SG&amp;A'!DG146</f>
        <v>21.016000000000002</v>
      </c>
      <c r="DH146" s="27">
        <f>COGS!DH146+'SG&amp;A'!DH146</f>
        <v>5.1280000000000001</v>
      </c>
      <c r="DI146" s="27">
        <f>COGS!DI146+'SG&amp;A'!DI146</f>
        <v>4.1479999999999997</v>
      </c>
      <c r="DJ146" s="27">
        <f>COGS!DJ146+'SG&amp;A'!DJ146</f>
        <v>5.0369999999999999</v>
      </c>
      <c r="DK146" s="27">
        <f>COGS!DK146+'SG&amp;A'!DK146</f>
        <v>5.4160000000000004</v>
      </c>
      <c r="DL146" s="27">
        <f>COGS!DL146+'SG&amp;A'!DL146</f>
        <v>19.728999999999999</v>
      </c>
      <c r="DM146" s="27">
        <f>COGS!DM146+'SG&amp;A'!DM146</f>
        <v>5.2840000000000007</v>
      </c>
      <c r="DN146" s="27">
        <f>COGS!DN146+'SG&amp;A'!DN146</f>
        <v>5.1440000000000001</v>
      </c>
      <c r="DO146" s="27">
        <f>COGS!DO146+'SG&amp;A'!DO146</f>
        <v>5.6709999999999994</v>
      </c>
      <c r="DP146" s="27">
        <f>COGS!DP146+'SG&amp;A'!DP146</f>
        <v>7.1109999999999998</v>
      </c>
      <c r="DQ146" s="27">
        <f>COGS!DQ146+'SG&amp;A'!DQ146</f>
        <v>23.21</v>
      </c>
      <c r="DR146" s="27">
        <f>COGS!DR146+'SG&amp;A'!DR146</f>
        <v>6.9660000000000002</v>
      </c>
      <c r="DS146" s="27">
        <f>COGS!DS146+'SG&amp;A'!DS146</f>
        <v>4.7679999999999998</v>
      </c>
      <c r="DT146" s="27">
        <f>COGS!DT146+'SG&amp;A'!DT146</f>
        <v>6.5310000000000006</v>
      </c>
      <c r="DU146" s="27">
        <f>COGS!DU146+'SG&amp;A'!DU146</f>
        <v>6.6509999999999998</v>
      </c>
      <c r="DV146" s="27">
        <f>COGS!DV146+'SG&amp;A'!DV146</f>
        <v>24.915999999999997</v>
      </c>
      <c r="DW146" s="27">
        <f>COGS!DW146+'SG&amp;A'!DW146</f>
        <v>7.1949999999999994</v>
      </c>
      <c r="DX146" s="27">
        <f>COGS!DX146+'SG&amp;A'!DX146</f>
        <v>7.0194962199999997</v>
      </c>
      <c r="DY146" s="27">
        <f>COGS!DY146+'SG&amp;A'!DY146</f>
        <v>8.041082470000001</v>
      </c>
      <c r="DZ146" s="27">
        <f>COGS!DZ146+'SG&amp;A'!DZ146</f>
        <v>6.4467688799999987</v>
      </c>
      <c r="EA146" s="27">
        <f>COGS!EA146+'SG&amp;A'!EA146</f>
        <v>28.702347570000001</v>
      </c>
      <c r="EB146" s="27">
        <f>COGS!EB146+'SG&amp;A'!EB146</f>
        <v>7.9531926499999992</v>
      </c>
      <c r="EC146" s="27">
        <f>COGS!EC146+'SG&amp;A'!EC146</f>
        <v>7.4802154599999993</v>
      </c>
      <c r="ED146" s="27">
        <f>COGS!ED146+'SG&amp;A'!ED146</f>
        <v>8.1070000000000011</v>
      </c>
      <c r="EE146" s="27">
        <f>COGS!EE146+'SG&amp;A'!EE146</f>
        <v>7.4759360299999988</v>
      </c>
      <c r="EF146" s="27">
        <f>COGS!EF146+'SG&amp;A'!EF146</f>
        <v>31.016344140000001</v>
      </c>
      <c r="EG146" s="27">
        <f>COGS!EG146+'SG&amp;A'!EG146</f>
        <v>8.4222166899999991</v>
      </c>
      <c r="EH146" s="27">
        <f>COGS!EH146+'SG&amp;A'!EH146</f>
        <v>8.0082318400000005</v>
      </c>
      <c r="EI146" s="27">
        <f>COGS!EI146+'SG&amp;A'!EI146</f>
        <v>8.2798930599999991</v>
      </c>
    </row>
    <row r="147" spans="1:139" ht="15" thickBot="1" x14ac:dyDescent="0.35">
      <c r="A147" s="2" t="s">
        <v>3</v>
      </c>
      <c r="B147" s="28">
        <f>COGS!B147+'SG&amp;A'!B147</f>
        <v>0</v>
      </c>
      <c r="C147" s="28">
        <f>COGS!C147+'SG&amp;A'!C147</f>
        <v>0</v>
      </c>
      <c r="D147" s="28">
        <f>COGS!D147+'SG&amp;A'!D147</f>
        <v>0</v>
      </c>
      <c r="E147" s="28">
        <f>COGS!E147+'SG&amp;A'!E147</f>
        <v>0</v>
      </c>
      <c r="F147" s="28">
        <f>COGS!F147+'SG&amp;A'!F147</f>
        <v>0</v>
      </c>
      <c r="G147" s="28">
        <f>COGS!G147+'SG&amp;A'!G147</f>
        <v>0</v>
      </c>
      <c r="H147" s="28">
        <f>COGS!H147+'SG&amp;A'!H147</f>
        <v>0</v>
      </c>
      <c r="I147" s="28">
        <f>COGS!I147+'SG&amp;A'!I147</f>
        <v>0</v>
      </c>
      <c r="J147" s="28">
        <f>COGS!J147+'SG&amp;A'!J147</f>
        <v>0</v>
      </c>
      <c r="K147" s="28">
        <f>COGS!K147+'SG&amp;A'!K147</f>
        <v>0</v>
      </c>
      <c r="L147" s="28">
        <f>COGS!L147+'SG&amp;A'!L147</f>
        <v>0</v>
      </c>
      <c r="M147" s="28">
        <f>COGS!M147+'SG&amp;A'!M147</f>
        <v>0</v>
      </c>
      <c r="N147" s="28">
        <f>COGS!N147+'SG&amp;A'!N147</f>
        <v>0</v>
      </c>
      <c r="O147" s="28">
        <f>COGS!O147+'SG&amp;A'!O147</f>
        <v>0</v>
      </c>
      <c r="P147" s="28">
        <f>COGS!P147+'SG&amp;A'!P147</f>
        <v>0</v>
      </c>
      <c r="Q147" s="28">
        <f>COGS!Q147+'SG&amp;A'!Q147</f>
        <v>0</v>
      </c>
      <c r="R147" s="28">
        <f>COGS!R147+'SG&amp;A'!R147</f>
        <v>0</v>
      </c>
      <c r="S147" s="28">
        <f>COGS!S147+'SG&amp;A'!S147</f>
        <v>0</v>
      </c>
      <c r="T147" s="28">
        <f>COGS!T147+'SG&amp;A'!T147</f>
        <v>0</v>
      </c>
      <c r="U147" s="28">
        <f>COGS!U147+'SG&amp;A'!U147</f>
        <v>0</v>
      </c>
      <c r="V147" s="28">
        <f>COGS!V147+'SG&amp;A'!V147</f>
        <v>0</v>
      </c>
      <c r="W147" s="28">
        <f>COGS!W147+'SG&amp;A'!W147</f>
        <v>0</v>
      </c>
      <c r="X147" s="28">
        <f>COGS!X147+'SG&amp;A'!X147</f>
        <v>0</v>
      </c>
      <c r="Y147" s="28">
        <f>COGS!Y147+'SG&amp;A'!Y147</f>
        <v>0</v>
      </c>
      <c r="Z147" s="28">
        <f>COGS!Z147+'SG&amp;A'!Z147</f>
        <v>0</v>
      </c>
      <c r="AA147" s="28">
        <f>COGS!AA147+'SG&amp;A'!AA147</f>
        <v>0</v>
      </c>
      <c r="AB147" s="28">
        <f>COGS!AB147+'SG&amp;A'!AB147</f>
        <v>0</v>
      </c>
      <c r="AC147" s="28">
        <f>COGS!AC147+'SG&amp;A'!AC147</f>
        <v>0</v>
      </c>
      <c r="AD147" s="28">
        <f>COGS!AD147+'SG&amp;A'!AD147</f>
        <v>0</v>
      </c>
      <c r="AE147" s="28">
        <f>COGS!AE147+'SG&amp;A'!AE147</f>
        <v>0</v>
      </c>
      <c r="AF147" s="28">
        <f>COGS!AF147+'SG&amp;A'!AF147</f>
        <v>0</v>
      </c>
      <c r="AG147" s="28">
        <f>COGS!AG147+'SG&amp;A'!AG147</f>
        <v>0</v>
      </c>
      <c r="AH147" s="28">
        <f>COGS!AH147+'SG&amp;A'!AH147</f>
        <v>0</v>
      </c>
      <c r="AI147" s="28">
        <f>COGS!AI147+'SG&amp;A'!AI147</f>
        <v>0</v>
      </c>
      <c r="AJ147" s="28">
        <f>COGS!AJ147+'SG&amp;A'!AJ147</f>
        <v>0</v>
      </c>
      <c r="AK147" s="28">
        <f>COGS!AK147+'SG&amp;A'!AK147</f>
        <v>0</v>
      </c>
      <c r="AL147" s="28">
        <f>COGS!AL147+'SG&amp;A'!AL147</f>
        <v>0</v>
      </c>
      <c r="AM147" s="28">
        <f>COGS!AM147+'SG&amp;A'!AM147</f>
        <v>0</v>
      </c>
      <c r="AN147" s="28">
        <f>COGS!AN147+'SG&amp;A'!AN147</f>
        <v>0</v>
      </c>
      <c r="AO147" s="28">
        <f>COGS!AO147+'SG&amp;A'!AO147</f>
        <v>0</v>
      </c>
      <c r="AP147" s="28">
        <f>COGS!AP147+'SG&amp;A'!AP147</f>
        <v>0</v>
      </c>
      <c r="AQ147" s="28">
        <f>COGS!AQ147+'SG&amp;A'!AQ147</f>
        <v>0</v>
      </c>
      <c r="AR147" s="28">
        <f>COGS!AR147+'SG&amp;A'!AR147</f>
        <v>0</v>
      </c>
      <c r="AS147" s="28">
        <f>COGS!AS147+'SG&amp;A'!AS147</f>
        <v>0</v>
      </c>
      <c r="AT147" s="28">
        <f>COGS!AT147+'SG&amp;A'!AT147</f>
        <v>0</v>
      </c>
      <c r="AU147" s="28">
        <f>COGS!AU147+'SG&amp;A'!AU147</f>
        <v>0</v>
      </c>
      <c r="AV147" s="28">
        <f>COGS!AV147+'SG&amp;A'!AV147</f>
        <v>0</v>
      </c>
      <c r="AW147" s="28">
        <f>COGS!AW147+'SG&amp;A'!AW147</f>
        <v>0</v>
      </c>
      <c r="AX147" s="28">
        <f>COGS!AX147+'SG&amp;A'!AX147</f>
        <v>0</v>
      </c>
      <c r="AY147" s="28">
        <f>COGS!AY147+'SG&amp;A'!AY147</f>
        <v>0</v>
      </c>
      <c r="AZ147" s="28">
        <f>COGS!AZ147+'SG&amp;A'!AZ147</f>
        <v>0</v>
      </c>
      <c r="BA147" s="28">
        <f>COGS!BA147+'SG&amp;A'!BA147</f>
        <v>0</v>
      </c>
      <c r="BB147" s="28">
        <f>COGS!BB147+'SG&amp;A'!BB147</f>
        <v>0</v>
      </c>
      <c r="BC147" s="28">
        <f>COGS!BC147+'SG&amp;A'!BC147</f>
        <v>0</v>
      </c>
      <c r="BD147" s="28">
        <f>COGS!BD147+'SG&amp;A'!BD147</f>
        <v>0</v>
      </c>
      <c r="BE147" s="28">
        <f>COGS!BE147+'SG&amp;A'!BE147</f>
        <v>0</v>
      </c>
      <c r="BF147" s="28">
        <f>COGS!BF147+'SG&amp;A'!BF147</f>
        <v>0</v>
      </c>
      <c r="BG147" s="28">
        <f>COGS!BG147+'SG&amp;A'!BG147</f>
        <v>0</v>
      </c>
      <c r="BH147" s="28">
        <f>COGS!BH147+'SG&amp;A'!BH147</f>
        <v>0</v>
      </c>
      <c r="BI147" s="28">
        <f>COGS!BI147+'SG&amp;A'!BI147</f>
        <v>0</v>
      </c>
      <c r="BJ147" s="28">
        <f>COGS!BJ147+'SG&amp;A'!BJ147</f>
        <v>0.85054914000000004</v>
      </c>
      <c r="BK147" s="28">
        <f>COGS!BK147+'SG&amp;A'!BK147</f>
        <v>0.85191243000000005</v>
      </c>
      <c r="BL147" s="28">
        <f>COGS!BL147+'SG&amp;A'!BL147</f>
        <v>0.8575683199999995</v>
      </c>
      <c r="BM147" s="28">
        <f>COGS!BM147+'SG&amp;A'!BM147</f>
        <v>0.87193984999999996</v>
      </c>
      <c r="BN147" s="28">
        <f>COGS!BN147+'SG&amp;A'!BN147</f>
        <v>3.4319697399999995</v>
      </c>
      <c r="BO147" s="28">
        <f>COGS!BO147+'SG&amp;A'!BO147</f>
        <v>0.85256604000000002</v>
      </c>
      <c r="BP147" s="28">
        <f>COGS!BP147+'SG&amp;A'!BP147</f>
        <v>1.8715252000000002</v>
      </c>
      <c r="BQ147" s="28">
        <f>COGS!BQ147+'SG&amp;A'!BQ147</f>
        <v>1.2534432</v>
      </c>
      <c r="BR147" s="28">
        <f>COGS!BR147+'SG&amp;A'!BR147</f>
        <v>1.2389340300000002</v>
      </c>
      <c r="BS147" s="28">
        <f>COGS!BS147+'SG&amp;A'!BS147</f>
        <v>5.2164684700000006</v>
      </c>
      <c r="BT147" s="28">
        <f>COGS!BT147+'SG&amp;A'!BT147</f>
        <v>1.3070666900000001</v>
      </c>
      <c r="BU147" s="28">
        <f>COGS!BU147+'SG&amp;A'!BU147</f>
        <v>1.3814073999999998</v>
      </c>
      <c r="BV147" s="28">
        <f>COGS!BV147+'SG&amp;A'!BV147</f>
        <v>1.3748561800000001</v>
      </c>
      <c r="BW147" s="28">
        <f>COGS!BW147+'SG&amp;A'!BW147</f>
        <v>1.4204338300000008</v>
      </c>
      <c r="BX147" s="28">
        <f>COGS!BX147+'SG&amp;A'!BX147</f>
        <v>5.4837641000000001</v>
      </c>
      <c r="BY147" s="28">
        <f>COGS!BY147+'SG&amp;A'!BY147</f>
        <v>1.40626538</v>
      </c>
      <c r="BZ147" s="28">
        <f>COGS!BZ147+'SG&amp;A'!BZ147</f>
        <v>1.5779920499999998</v>
      </c>
      <c r="CA147" s="28">
        <f>COGS!CA147+'SG&amp;A'!CA147</f>
        <v>1.7778340299999995</v>
      </c>
      <c r="CB147" s="28">
        <f>COGS!CB147+'SG&amp;A'!CB147</f>
        <v>1.620751470000001</v>
      </c>
      <c r="CC147" s="28">
        <f>COGS!CC147+'SG&amp;A'!CC147</f>
        <v>6.3828429299999998</v>
      </c>
      <c r="CD147" s="28">
        <f>COGS!CD147+'SG&amp;A'!CD147</f>
        <v>1.9738938000000001</v>
      </c>
      <c r="CE147" s="28">
        <f>COGS!CE147+'SG&amp;A'!CE147</f>
        <v>1.8523833800000002</v>
      </c>
      <c r="CF147" s="28">
        <f>COGS!CF147+'SG&amp;A'!CF147</f>
        <v>1.8220796899999996</v>
      </c>
      <c r="CG147" s="28">
        <f>COGS!CG147+'SG&amp;A'!CG147</f>
        <v>1.8230678799999998</v>
      </c>
      <c r="CH147" s="28">
        <f>COGS!CH147+'SG&amp;A'!CH147</f>
        <v>7.4714247499999988</v>
      </c>
      <c r="CI147" s="28">
        <f>COGS!CI147+'SG&amp;A'!CI147</f>
        <v>1.7936473800000001</v>
      </c>
      <c r="CJ147" s="28">
        <f>COGS!CJ147+'SG&amp;A'!CJ147</f>
        <v>1.7229152899999998</v>
      </c>
      <c r="CK147" s="28">
        <f>COGS!CK147+'SG&amp;A'!CK147</f>
        <v>1.9234915099999998</v>
      </c>
      <c r="CL147" s="28">
        <f>COGS!CL147+'SG&amp;A'!CL147</f>
        <v>2.1802525300000002</v>
      </c>
      <c r="CM147" s="28">
        <f>COGS!CM147+'SG&amp;A'!CM147</f>
        <v>7.6203067100000004</v>
      </c>
      <c r="CN147" s="28">
        <f>COGS!CN147+'SG&amp;A'!CN147</f>
        <v>2.0892496999999999</v>
      </c>
      <c r="CO147" s="28">
        <f>COGS!CO147+'SG&amp;A'!CO147</f>
        <v>2.0288737699999997</v>
      </c>
      <c r="CP147" s="28">
        <f>COGS!CP147+'SG&amp;A'!CP147</f>
        <v>2.0205682000000005</v>
      </c>
      <c r="CQ147" s="28">
        <f>COGS!CQ147+'SG&amp;A'!CQ147</f>
        <v>2.1403083300000003</v>
      </c>
      <c r="CR147" s="28">
        <f>COGS!CR147+'SG&amp;A'!CR147</f>
        <v>8.2789999999999999</v>
      </c>
      <c r="CS147" s="28">
        <f>COGS!CS147+'SG&amp;A'!CS147</f>
        <v>2.1720501200000002</v>
      </c>
      <c r="CT147" s="28">
        <f>COGS!CT147+'SG&amp;A'!CT147</f>
        <v>2.16919482</v>
      </c>
      <c r="CU147" s="28">
        <f>COGS!CU147+'SG&amp;A'!CU147</f>
        <v>2.1560069299999998</v>
      </c>
      <c r="CV147" s="28">
        <f>COGS!CV147+'SG&amp;A'!CV147</f>
        <v>2.1157705200000003</v>
      </c>
      <c r="CW147" s="28">
        <f>COGS!CW147+'SG&amp;A'!CW147</f>
        <v>8.6130223899999994</v>
      </c>
      <c r="CX147" s="28">
        <f>COGS!CX147+'SG&amp;A'!CX147</f>
        <v>2.1360000000000001</v>
      </c>
      <c r="CY147" s="28">
        <f>COGS!CY147+'SG&amp;A'!CY147</f>
        <v>2.1670000000000003</v>
      </c>
      <c r="CZ147" s="28">
        <f>COGS!CZ147+'SG&amp;A'!CZ147</f>
        <v>2.1879999999999997</v>
      </c>
      <c r="DA147" s="28">
        <f>COGS!DA147+'SG&amp;A'!DA147</f>
        <v>2.2440000000000002</v>
      </c>
      <c r="DB147" s="28">
        <f>COGS!DB147+'SG&amp;A'!DB147</f>
        <v>8.7349999999999994</v>
      </c>
      <c r="DC147" s="28">
        <f>COGS!DC147+'SG&amp;A'!DC147</f>
        <v>2.2589999999999999</v>
      </c>
      <c r="DD147" s="28">
        <f>COGS!DD147+'SG&amp;A'!DD147</f>
        <v>2.298</v>
      </c>
      <c r="DE147" s="28">
        <f>COGS!DE147+'SG&amp;A'!DE147</f>
        <v>2.3559999999999999</v>
      </c>
      <c r="DF147" s="28">
        <f>COGS!DF147+'SG&amp;A'!DF147</f>
        <v>2.323</v>
      </c>
      <c r="DG147" s="28">
        <f>COGS!DG147+'SG&amp;A'!DG147</f>
        <v>9.2360000000000007</v>
      </c>
      <c r="DH147" s="28">
        <f>COGS!DH147+'SG&amp;A'!DH147</f>
        <v>1.877</v>
      </c>
      <c r="DI147" s="28">
        <f>COGS!DI147+'SG&amp;A'!DI147</f>
        <v>1.879</v>
      </c>
      <c r="DJ147" s="28">
        <f>COGS!DJ147+'SG&amp;A'!DJ147</f>
        <v>2.0190000000000001</v>
      </c>
      <c r="DK147" s="28">
        <f>COGS!DK147+'SG&amp;A'!DK147</f>
        <v>2.4090000000000003</v>
      </c>
      <c r="DL147" s="28">
        <f>COGS!DL147+'SG&amp;A'!DL147</f>
        <v>8.1840000000000011</v>
      </c>
      <c r="DM147" s="28">
        <f>COGS!DM147+'SG&amp;A'!DM147</f>
        <v>2.5840000000000001</v>
      </c>
      <c r="DN147" s="28">
        <f>COGS!DN147+'SG&amp;A'!DN147</f>
        <v>2.7029999999999998</v>
      </c>
      <c r="DO147" s="28">
        <f>COGS!DO147+'SG&amp;A'!DO147</f>
        <v>2.5510000000000002</v>
      </c>
      <c r="DP147" s="28">
        <f>COGS!DP147+'SG&amp;A'!DP147</f>
        <v>2.367</v>
      </c>
      <c r="DQ147" s="28">
        <f>COGS!DQ147+'SG&amp;A'!DQ147</f>
        <v>10.204999999999998</v>
      </c>
      <c r="DR147" s="28">
        <f>COGS!DR147+'SG&amp;A'!DR147</f>
        <v>0.57899999999999996</v>
      </c>
      <c r="DS147" s="28">
        <f>COGS!DS147+'SG&amp;A'!DS147</f>
        <v>0.49</v>
      </c>
      <c r="DT147" s="28">
        <f>COGS!DT147+'SG&amp;A'!DT147</f>
        <v>0.34900000000000003</v>
      </c>
      <c r="DU147" s="28">
        <f>COGS!DU147+'SG&amp;A'!DU147</f>
        <v>-5.400000000000002E-2</v>
      </c>
      <c r="DV147" s="28">
        <f>COGS!DV147+'SG&amp;A'!DV147</f>
        <v>1.3640000000000001</v>
      </c>
      <c r="DW147" s="28">
        <f>COGS!DW147+'SG&amp;A'!DW147</f>
        <v>4.4999999999999998E-2</v>
      </c>
      <c r="DX147" s="28">
        <f>COGS!DX147+'SG&amp;A'!DX147</f>
        <v>4.8065139999999999E-2</v>
      </c>
      <c r="DY147" s="28">
        <f>COGS!DY147+'SG&amp;A'!DY147</f>
        <v>8.3632769999999995E-2</v>
      </c>
      <c r="DZ147" s="28">
        <f>COGS!DZ147+'SG&amp;A'!DZ147</f>
        <v>0.12335676000000001</v>
      </c>
      <c r="EA147" s="28">
        <f>COGS!EA147+'SG&amp;A'!EA147</f>
        <v>0.30005466999999997</v>
      </c>
      <c r="EB147" s="28">
        <f>COGS!EB147+'SG&amp;A'!EB147</f>
        <v>1.1424999999999999E-2</v>
      </c>
      <c r="EC147" s="28">
        <f>COGS!EC147+'SG&amp;A'!EC147</f>
        <v>1.1235E-2</v>
      </c>
      <c r="ED147" s="28">
        <f>COGS!ED147+'SG&amp;A'!ED147</f>
        <v>1.2E-2</v>
      </c>
      <c r="EE147" s="28">
        <f>COGS!EE147+'SG&amp;A'!EE147</f>
        <v>9.6775000000000003E-3</v>
      </c>
      <c r="EF147" s="28">
        <f>COGS!EF147+'SG&amp;A'!EF147</f>
        <v>4.4337499999999995E-2</v>
      </c>
      <c r="EG147" s="28">
        <f>COGS!EG147+'SG&amp;A'!EG147</f>
        <v>2.5937950000000001E-2</v>
      </c>
      <c r="EH147" s="28">
        <f>COGS!EH147+'SG&amp;A'!EH147</f>
        <v>0</v>
      </c>
      <c r="EI147" s="28">
        <f>COGS!EI147+'SG&amp;A'!EI147</f>
        <v>0.6733796700000001</v>
      </c>
    </row>
    <row r="148" spans="1:139" ht="15" thickTop="1" x14ac:dyDescent="0.3">
      <c r="A148" s="1" t="s">
        <v>443</v>
      </c>
      <c r="B148" s="27">
        <f>COGS!B148+'SG&amp;A'!B148</f>
        <v>0</v>
      </c>
      <c r="C148" s="27">
        <f>COGS!C148+'SG&amp;A'!C148</f>
        <v>0</v>
      </c>
      <c r="D148" s="27">
        <f>COGS!D148+'SG&amp;A'!D148</f>
        <v>0</v>
      </c>
      <c r="E148" s="27">
        <f>COGS!E148+'SG&amp;A'!E148</f>
        <v>0</v>
      </c>
      <c r="F148" s="27">
        <f>COGS!F148+'SG&amp;A'!F148</f>
        <v>0</v>
      </c>
      <c r="G148" s="27">
        <f>COGS!G148+'SG&amp;A'!G148</f>
        <v>0</v>
      </c>
      <c r="H148" s="27">
        <f>COGS!H148+'SG&amp;A'!H148</f>
        <v>0</v>
      </c>
      <c r="I148" s="27">
        <f>COGS!I148+'SG&amp;A'!I148</f>
        <v>0</v>
      </c>
      <c r="J148" s="27">
        <f>COGS!J148+'SG&amp;A'!J148</f>
        <v>0</v>
      </c>
      <c r="K148" s="27">
        <f>COGS!K148+'SG&amp;A'!K148</f>
        <v>0</v>
      </c>
      <c r="L148" s="27">
        <f>COGS!L148+'SG&amp;A'!L148</f>
        <v>0</v>
      </c>
      <c r="M148" s="27">
        <f>COGS!M148+'SG&amp;A'!M148</f>
        <v>0</v>
      </c>
      <c r="N148" s="27">
        <f>COGS!N148+'SG&amp;A'!N148</f>
        <v>0</v>
      </c>
      <c r="O148" s="27">
        <f>COGS!O148+'SG&amp;A'!O148</f>
        <v>0</v>
      </c>
      <c r="P148" s="27">
        <f>COGS!P148+'SG&amp;A'!P148</f>
        <v>0</v>
      </c>
      <c r="Q148" s="27">
        <f>COGS!Q148+'SG&amp;A'!Q148</f>
        <v>0</v>
      </c>
      <c r="R148" s="27">
        <f>COGS!R148+'SG&amp;A'!R148</f>
        <v>0</v>
      </c>
      <c r="S148" s="27">
        <f>COGS!S148+'SG&amp;A'!S148</f>
        <v>0</v>
      </c>
      <c r="T148" s="27">
        <f>COGS!T148+'SG&amp;A'!T148</f>
        <v>0</v>
      </c>
      <c r="U148" s="27">
        <f>COGS!U148+'SG&amp;A'!U148</f>
        <v>0</v>
      </c>
      <c r="V148" s="27">
        <f>COGS!V148+'SG&amp;A'!V148</f>
        <v>0</v>
      </c>
      <c r="W148" s="27">
        <f>COGS!W148+'SG&amp;A'!W148</f>
        <v>0</v>
      </c>
      <c r="X148" s="27">
        <f>COGS!X148+'SG&amp;A'!X148</f>
        <v>0</v>
      </c>
      <c r="Y148" s="27">
        <f>COGS!Y148+'SG&amp;A'!Y148</f>
        <v>0</v>
      </c>
      <c r="Z148" s="27">
        <f>COGS!Z148+'SG&amp;A'!Z148</f>
        <v>0</v>
      </c>
      <c r="AA148" s="27">
        <f>COGS!AA148+'SG&amp;A'!AA148</f>
        <v>0</v>
      </c>
      <c r="AB148" s="27">
        <f>COGS!AB148+'SG&amp;A'!AB148</f>
        <v>0</v>
      </c>
      <c r="AC148" s="27">
        <f>COGS!AC148+'SG&amp;A'!AC148</f>
        <v>0</v>
      </c>
      <c r="AD148" s="27">
        <f>COGS!AD148+'SG&amp;A'!AD148</f>
        <v>0</v>
      </c>
      <c r="AE148" s="27">
        <f>COGS!AE148+'SG&amp;A'!AE148</f>
        <v>0</v>
      </c>
      <c r="AF148" s="27">
        <f>COGS!AF148+'SG&amp;A'!AF148</f>
        <v>0</v>
      </c>
      <c r="AG148" s="27">
        <f>COGS!AG148+'SG&amp;A'!AG148</f>
        <v>0</v>
      </c>
      <c r="AH148" s="27">
        <f>COGS!AH148+'SG&amp;A'!AH148</f>
        <v>0</v>
      </c>
      <c r="AI148" s="27">
        <f>COGS!AI148+'SG&amp;A'!AI148</f>
        <v>0</v>
      </c>
      <c r="AJ148" s="27">
        <f>COGS!AJ148+'SG&amp;A'!AJ148</f>
        <v>0</v>
      </c>
      <c r="AK148" s="27">
        <f>COGS!AK148+'SG&amp;A'!AK148</f>
        <v>0</v>
      </c>
      <c r="AL148" s="27">
        <f>COGS!AL148+'SG&amp;A'!AL148</f>
        <v>0</v>
      </c>
      <c r="AM148" s="27">
        <f>COGS!AM148+'SG&amp;A'!AM148</f>
        <v>0</v>
      </c>
      <c r="AN148" s="27">
        <f>COGS!AN148+'SG&amp;A'!AN148</f>
        <v>0</v>
      </c>
      <c r="AO148" s="27">
        <f>COGS!AO148+'SG&amp;A'!AO148</f>
        <v>0</v>
      </c>
      <c r="AP148" s="27">
        <f>COGS!AP148+'SG&amp;A'!AP148</f>
        <v>0</v>
      </c>
      <c r="AQ148" s="27">
        <f>COGS!AQ148+'SG&amp;A'!AQ148</f>
        <v>0</v>
      </c>
      <c r="AR148" s="27">
        <f>COGS!AR148+'SG&amp;A'!AR148</f>
        <v>0</v>
      </c>
      <c r="AS148" s="27">
        <f>COGS!AS148+'SG&amp;A'!AS148</f>
        <v>0</v>
      </c>
      <c r="AT148" s="27">
        <f>COGS!AT148+'SG&amp;A'!AT148</f>
        <v>0</v>
      </c>
      <c r="AU148" s="27">
        <f>COGS!AU148+'SG&amp;A'!AU148</f>
        <v>0</v>
      </c>
      <c r="AV148" s="27">
        <f>COGS!AV148+'SG&amp;A'!AV148</f>
        <v>0</v>
      </c>
      <c r="AW148" s="27">
        <f>COGS!AW148+'SG&amp;A'!AW148</f>
        <v>0</v>
      </c>
      <c r="AX148" s="27">
        <f>COGS!AX148+'SG&amp;A'!AX148</f>
        <v>0</v>
      </c>
      <c r="AY148" s="27">
        <f>COGS!AY148+'SG&amp;A'!AY148</f>
        <v>0</v>
      </c>
      <c r="AZ148" s="27">
        <f>COGS!AZ148+'SG&amp;A'!AZ148</f>
        <v>0</v>
      </c>
      <c r="BA148" s="27">
        <f>COGS!BA148+'SG&amp;A'!BA148</f>
        <v>0</v>
      </c>
      <c r="BB148" s="27">
        <f>COGS!BB148+'SG&amp;A'!BB148</f>
        <v>0</v>
      </c>
      <c r="BC148" s="27">
        <f>COGS!BC148+'SG&amp;A'!BC148</f>
        <v>0</v>
      </c>
      <c r="BD148" s="27">
        <f>COGS!BD148+'SG&amp;A'!BD148</f>
        <v>0</v>
      </c>
      <c r="BE148" s="27">
        <f>COGS!BE148+'SG&amp;A'!BE148</f>
        <v>0</v>
      </c>
      <c r="BF148" s="27">
        <f>COGS!BF148+'SG&amp;A'!BF148</f>
        <v>0</v>
      </c>
      <c r="BG148" s="27">
        <f>COGS!BG148+'SG&amp;A'!BG148</f>
        <v>0</v>
      </c>
      <c r="BH148" s="27">
        <f>COGS!BH148+'SG&amp;A'!BH148</f>
        <v>0</v>
      </c>
      <c r="BI148" s="27">
        <f>COGS!BI148+'SG&amp;A'!BI148</f>
        <v>0</v>
      </c>
      <c r="BJ148" s="27">
        <f>COGS!BJ148+'SG&amp;A'!BJ148</f>
        <v>2.35030911</v>
      </c>
      <c r="BK148" s="27">
        <f>COGS!BK148+'SG&amp;A'!BK148</f>
        <v>2.4161536500000005</v>
      </c>
      <c r="BL148" s="27">
        <f>COGS!BL148+'SG&amp;A'!BL148</f>
        <v>2.3318769499999994</v>
      </c>
      <c r="BM148" s="27">
        <f>COGS!BM148+'SG&amp;A'!BM148</f>
        <v>2.4595982399999996</v>
      </c>
      <c r="BN148" s="27">
        <f>COGS!BN148+'SG&amp;A'!BN148</f>
        <v>9.5579379499999995</v>
      </c>
      <c r="BO148" s="27">
        <f>COGS!BO148+'SG&amp;A'!BO148</f>
        <v>2.0067925999999998</v>
      </c>
      <c r="BP148" s="27">
        <f>COGS!BP148+'SG&amp;A'!BP148</f>
        <v>3.03420918</v>
      </c>
      <c r="BQ148" s="27">
        <f>COGS!BQ148+'SG&amp;A'!BQ148</f>
        <v>2.7442148199999994</v>
      </c>
      <c r="BR148" s="27">
        <f>COGS!BR148+'SG&amp;A'!BR148</f>
        <v>2.8807418900000017</v>
      </c>
      <c r="BS148" s="27">
        <f>COGS!BS148+'SG&amp;A'!BS148</f>
        <v>10.665958490000001</v>
      </c>
      <c r="BT148" s="27">
        <f>COGS!BT148+'SG&amp;A'!BT148</f>
        <v>2.8857741399999997</v>
      </c>
      <c r="BU148" s="27">
        <f>COGS!BU148+'SG&amp;A'!BU148</f>
        <v>2.7992865000000005</v>
      </c>
      <c r="BV148" s="27">
        <f>COGS!BV148+'SG&amp;A'!BV148</f>
        <v>3.0319393300000019</v>
      </c>
      <c r="BW148" s="27">
        <f>COGS!BW148+'SG&amp;A'!BW148</f>
        <v>3.0865482399999995</v>
      </c>
      <c r="BX148" s="27">
        <f>COGS!BX148+'SG&amp;A'!BX148</f>
        <v>11.803548210000001</v>
      </c>
      <c r="BY148" s="27">
        <f>COGS!BY148+'SG&amp;A'!BY148</f>
        <v>2.98691401</v>
      </c>
      <c r="BZ148" s="27">
        <f>COGS!BZ148+'SG&amp;A'!BZ148</f>
        <v>2.8307164</v>
      </c>
      <c r="CA148" s="27">
        <f>COGS!CA148+'SG&amp;A'!CA148</f>
        <v>2.2230786999999994</v>
      </c>
      <c r="CB148" s="27">
        <f>COGS!CB148+'SG&amp;A'!CB148</f>
        <v>2.5710770899999997</v>
      </c>
      <c r="CC148" s="27">
        <f>COGS!CC148+'SG&amp;A'!CC148</f>
        <v>10.611786199999999</v>
      </c>
      <c r="CD148" s="27">
        <f>COGS!CD148+'SG&amp;A'!CD148</f>
        <v>2.19201837</v>
      </c>
      <c r="CE148" s="27">
        <f>COGS!CE148+'SG&amp;A'!CE148</f>
        <v>2.0906745600000001</v>
      </c>
      <c r="CF148" s="27">
        <f>COGS!CF148+'SG&amp;A'!CF148</f>
        <v>2.1824587000000002</v>
      </c>
      <c r="CG148" s="27">
        <f>COGS!CG148+'SG&amp;A'!CG148</f>
        <v>1.8970631300000007</v>
      </c>
      <c r="CH148" s="27">
        <f>COGS!CH148+'SG&amp;A'!CH148</f>
        <v>8.3622147600000005</v>
      </c>
      <c r="CI148" s="27">
        <f>COGS!CI148+'SG&amp;A'!CI148</f>
        <v>1.8907690499999998</v>
      </c>
      <c r="CJ148" s="27">
        <f>COGS!CJ148+'SG&amp;A'!CJ148</f>
        <v>2.03006412</v>
      </c>
      <c r="CK148" s="27">
        <f>COGS!CK148+'SG&amp;A'!CK148</f>
        <v>1.8013744899999997</v>
      </c>
      <c r="CL148" s="27">
        <f>COGS!CL148+'SG&amp;A'!CL148</f>
        <v>1.9245691700000003</v>
      </c>
      <c r="CM148" s="27">
        <f>COGS!CM148+'SG&amp;A'!CM148</f>
        <v>7.6467768300000003</v>
      </c>
      <c r="CN148" s="27">
        <f>COGS!CN148+'SG&amp;A'!CN148</f>
        <v>2.0133984300000001</v>
      </c>
      <c r="CO148" s="27">
        <f>COGS!CO148+'SG&amp;A'!CO148</f>
        <v>1.91646538</v>
      </c>
      <c r="CP148" s="27">
        <f>COGS!CP148+'SG&amp;A'!CP148</f>
        <v>1.8155665000000003</v>
      </c>
      <c r="CQ148" s="27">
        <f>COGS!CQ148+'SG&amp;A'!CQ148</f>
        <v>1.8785696899999991</v>
      </c>
      <c r="CR148" s="27">
        <f>COGS!CR148+'SG&amp;A'!CR148</f>
        <v>7.6239999999999997</v>
      </c>
      <c r="CS148" s="27">
        <f>COGS!CS148+'SG&amp;A'!CS148</f>
        <v>1.9166790499999999</v>
      </c>
      <c r="CT148" s="27">
        <f>COGS!CT148+'SG&amp;A'!CT148</f>
        <v>1.8366181599999998</v>
      </c>
      <c r="CU148" s="27">
        <f>COGS!CU148+'SG&amp;A'!CU148</f>
        <v>1.9467469700000002</v>
      </c>
      <c r="CV148" s="27">
        <f>COGS!CV148+'SG&amp;A'!CV148</f>
        <v>2.0149089299999998</v>
      </c>
      <c r="CW148" s="27">
        <f>COGS!CW148+'SG&amp;A'!CW148</f>
        <v>7.7149531099999997</v>
      </c>
      <c r="CX148" s="27">
        <f>COGS!CX148+'SG&amp;A'!CX148</f>
        <v>2.008</v>
      </c>
      <c r="CY148" s="27">
        <f>COGS!CY148+'SG&amp;A'!CY148</f>
        <v>1.8809999999999998</v>
      </c>
      <c r="CZ148" s="27">
        <f>COGS!CZ148+'SG&amp;A'!CZ148</f>
        <v>2.04</v>
      </c>
      <c r="DA148" s="27">
        <f>COGS!DA148+'SG&amp;A'!DA148</f>
        <v>2.1560000000000001</v>
      </c>
      <c r="DB148" s="27">
        <f>COGS!DB148+'SG&amp;A'!DB148</f>
        <v>8.0849999999999991</v>
      </c>
      <c r="DC148" s="27">
        <f>COGS!DC148+'SG&amp;A'!DC148</f>
        <v>1.9630000000000001</v>
      </c>
      <c r="DD148" s="27">
        <f>COGS!DD148+'SG&amp;A'!DD148</f>
        <v>1.929</v>
      </c>
      <c r="DE148" s="27">
        <f>COGS!DE148+'SG&amp;A'!DE148</f>
        <v>1.992</v>
      </c>
      <c r="DF148" s="27">
        <f>COGS!DF148+'SG&amp;A'!DF148</f>
        <v>2.0910000000000002</v>
      </c>
      <c r="DG148" s="27">
        <f>COGS!DG148+'SG&amp;A'!DG148</f>
        <v>7.9749999999999996</v>
      </c>
      <c r="DH148" s="27">
        <f>COGS!DH148+'SG&amp;A'!DH148</f>
        <v>1.641</v>
      </c>
      <c r="DI148" s="27">
        <f>COGS!DI148+'SG&amp;A'!DI148</f>
        <v>1.26</v>
      </c>
      <c r="DJ148" s="27">
        <f>COGS!DJ148+'SG&amp;A'!DJ148</f>
        <v>1.498</v>
      </c>
      <c r="DK148" s="27">
        <f>COGS!DK148+'SG&amp;A'!DK148</f>
        <v>1.6839999999999999</v>
      </c>
      <c r="DL148" s="27">
        <f>COGS!DL148+'SG&amp;A'!DL148</f>
        <v>6.0830000000000002</v>
      </c>
      <c r="DM148" s="27">
        <f>COGS!DM148+'SG&amp;A'!DM148</f>
        <v>1.748</v>
      </c>
      <c r="DN148" s="27">
        <f>COGS!DN148+'SG&amp;A'!DN148</f>
        <v>1.8640000000000001</v>
      </c>
      <c r="DO148" s="27">
        <f>COGS!DO148+'SG&amp;A'!DO148</f>
        <v>1.2669999999999999</v>
      </c>
      <c r="DP148" s="27">
        <f>COGS!DP148+'SG&amp;A'!DP148</f>
        <v>1.891</v>
      </c>
      <c r="DQ148" s="27">
        <f>COGS!DQ148+'SG&amp;A'!DQ148</f>
        <v>6.77</v>
      </c>
      <c r="DR148" s="27">
        <f>COGS!DR148+'SG&amp;A'!DR148</f>
        <v>1.8839999999999999</v>
      </c>
      <c r="DS148" s="27">
        <f>COGS!DS148+'SG&amp;A'!DS148</f>
        <v>1.804</v>
      </c>
      <c r="DT148" s="27">
        <f>COGS!DT148+'SG&amp;A'!DT148</f>
        <v>2.0500000000000003</v>
      </c>
      <c r="DU148" s="27">
        <f>COGS!DU148+'SG&amp;A'!DU148</f>
        <v>2.1240000000000001</v>
      </c>
      <c r="DV148" s="27">
        <f>COGS!DV148+'SG&amp;A'!DV148</f>
        <v>7.8620000000000001</v>
      </c>
      <c r="DW148" s="27">
        <f>COGS!DW148+'SG&amp;A'!DW148</f>
        <v>2.427</v>
      </c>
      <c r="DX148" s="27">
        <f>COGS!DX148+'SG&amp;A'!DX148</f>
        <v>2.3007930999999999</v>
      </c>
      <c r="DY148" s="27">
        <f>COGS!DY148+'SG&amp;A'!DY148</f>
        <v>2.9796041899999994</v>
      </c>
      <c r="DZ148" s="27">
        <f>COGS!DZ148+'SG&amp;A'!DZ148</f>
        <v>2.0796692700000001</v>
      </c>
      <c r="EA148" s="27">
        <f>COGS!EA148+'SG&amp;A'!EA148</f>
        <v>9.7870665599999995</v>
      </c>
      <c r="EB148" s="27">
        <f>COGS!EB148+'SG&amp;A'!EB148</f>
        <v>2.4833738799999998</v>
      </c>
      <c r="EC148" s="27">
        <f>COGS!EC148+'SG&amp;A'!EC148</f>
        <v>2.3960217100000003</v>
      </c>
      <c r="ED148" s="27">
        <f>COGS!ED148+'SG&amp;A'!ED148</f>
        <v>2.87</v>
      </c>
      <c r="EE148" s="27">
        <f>COGS!EE148+'SG&amp;A'!EE148</f>
        <v>2.8554360800000005</v>
      </c>
      <c r="EF148" s="27">
        <f>COGS!EF148+'SG&amp;A'!EF148</f>
        <v>10.604831670000001</v>
      </c>
      <c r="EG148" s="27">
        <f>COGS!EG148+'SG&amp;A'!EG148</f>
        <v>2.8461335000000001</v>
      </c>
      <c r="EH148" s="27">
        <f>COGS!EH148+'SG&amp;A'!EH148</f>
        <v>2.7945034899999999</v>
      </c>
      <c r="EI148" s="27">
        <f>COGS!EI148+'SG&amp;A'!EI148</f>
        <v>3.4366104899999996</v>
      </c>
    </row>
    <row r="149" spans="1:139" ht="15" thickBot="1" x14ac:dyDescent="0.35">
      <c r="A149" s="2" t="s">
        <v>481</v>
      </c>
      <c r="B149" s="28">
        <f>COGS!B149+'SG&amp;A'!B149</f>
        <v>0</v>
      </c>
      <c r="C149" s="28">
        <f>COGS!C149+'SG&amp;A'!C149</f>
        <v>0</v>
      </c>
      <c r="D149" s="28">
        <f>COGS!D149+'SG&amp;A'!D149</f>
        <v>0</v>
      </c>
      <c r="E149" s="28">
        <f>COGS!E149+'SG&amp;A'!E149</f>
        <v>0</v>
      </c>
      <c r="F149" s="28">
        <f>COGS!F149+'SG&amp;A'!F149</f>
        <v>0</v>
      </c>
      <c r="G149" s="28">
        <f>COGS!G149+'SG&amp;A'!G149</f>
        <v>0</v>
      </c>
      <c r="H149" s="28">
        <f>COGS!H149+'SG&amp;A'!H149</f>
        <v>0</v>
      </c>
      <c r="I149" s="28">
        <f>COGS!I149+'SG&amp;A'!I149</f>
        <v>0</v>
      </c>
      <c r="J149" s="28">
        <f>COGS!J149+'SG&amp;A'!J149</f>
        <v>0</v>
      </c>
      <c r="K149" s="28">
        <f>COGS!K149+'SG&amp;A'!K149</f>
        <v>0</v>
      </c>
      <c r="L149" s="28">
        <f>COGS!L149+'SG&amp;A'!L149</f>
        <v>0</v>
      </c>
      <c r="M149" s="28">
        <f>COGS!M149+'SG&amp;A'!M149</f>
        <v>0</v>
      </c>
      <c r="N149" s="28">
        <f>COGS!N149+'SG&amp;A'!N149</f>
        <v>0</v>
      </c>
      <c r="O149" s="28">
        <f>COGS!O149+'SG&amp;A'!O149</f>
        <v>0</v>
      </c>
      <c r="P149" s="28">
        <f>COGS!P149+'SG&amp;A'!P149</f>
        <v>0</v>
      </c>
      <c r="Q149" s="28">
        <f>COGS!Q149+'SG&amp;A'!Q149</f>
        <v>0</v>
      </c>
      <c r="R149" s="28">
        <f>COGS!R149+'SG&amp;A'!R149</f>
        <v>0</v>
      </c>
      <c r="S149" s="28">
        <f>COGS!S149+'SG&amp;A'!S149</f>
        <v>0</v>
      </c>
      <c r="T149" s="28">
        <f>COGS!T149+'SG&amp;A'!T149</f>
        <v>0</v>
      </c>
      <c r="U149" s="28">
        <f>COGS!U149+'SG&amp;A'!U149</f>
        <v>0</v>
      </c>
      <c r="V149" s="28">
        <f>COGS!V149+'SG&amp;A'!V149</f>
        <v>0</v>
      </c>
      <c r="W149" s="28">
        <f>COGS!W149+'SG&amp;A'!W149</f>
        <v>0</v>
      </c>
      <c r="X149" s="28">
        <f>COGS!X149+'SG&amp;A'!X149</f>
        <v>0</v>
      </c>
      <c r="Y149" s="28">
        <f>COGS!Y149+'SG&amp;A'!Y149</f>
        <v>0</v>
      </c>
      <c r="Z149" s="28">
        <f>COGS!Z149+'SG&amp;A'!Z149</f>
        <v>0</v>
      </c>
      <c r="AA149" s="28">
        <f>COGS!AA149+'SG&amp;A'!AA149</f>
        <v>0</v>
      </c>
      <c r="AB149" s="28">
        <f>COGS!AB149+'SG&amp;A'!AB149</f>
        <v>0</v>
      </c>
      <c r="AC149" s="28">
        <f>COGS!AC149+'SG&amp;A'!AC149</f>
        <v>0</v>
      </c>
      <c r="AD149" s="28">
        <f>COGS!AD149+'SG&amp;A'!AD149</f>
        <v>0</v>
      </c>
      <c r="AE149" s="28">
        <f>COGS!AE149+'SG&amp;A'!AE149</f>
        <v>0</v>
      </c>
      <c r="AF149" s="28">
        <f>COGS!AF149+'SG&amp;A'!AF149</f>
        <v>0</v>
      </c>
      <c r="AG149" s="28">
        <f>COGS!AG149+'SG&amp;A'!AG149</f>
        <v>0</v>
      </c>
      <c r="AH149" s="28">
        <f>COGS!AH149+'SG&amp;A'!AH149</f>
        <v>0</v>
      </c>
      <c r="AI149" s="28">
        <f>COGS!AI149+'SG&amp;A'!AI149</f>
        <v>0</v>
      </c>
      <c r="AJ149" s="28">
        <f>COGS!AJ149+'SG&amp;A'!AJ149</f>
        <v>0</v>
      </c>
      <c r="AK149" s="28">
        <f>COGS!AK149+'SG&amp;A'!AK149</f>
        <v>0</v>
      </c>
      <c r="AL149" s="28">
        <f>COGS!AL149+'SG&amp;A'!AL149</f>
        <v>0</v>
      </c>
      <c r="AM149" s="28">
        <f>COGS!AM149+'SG&amp;A'!AM149</f>
        <v>0</v>
      </c>
      <c r="AN149" s="28">
        <f>COGS!AN149+'SG&amp;A'!AN149</f>
        <v>0</v>
      </c>
      <c r="AO149" s="28">
        <f>COGS!AO149+'SG&amp;A'!AO149</f>
        <v>0</v>
      </c>
      <c r="AP149" s="28">
        <f>COGS!AP149+'SG&amp;A'!AP149</f>
        <v>0</v>
      </c>
      <c r="AQ149" s="28">
        <f>COGS!AQ149+'SG&amp;A'!AQ149</f>
        <v>0</v>
      </c>
      <c r="AR149" s="28">
        <f>COGS!AR149+'SG&amp;A'!AR149</f>
        <v>0</v>
      </c>
      <c r="AS149" s="28">
        <f>COGS!AS149+'SG&amp;A'!AS149</f>
        <v>0</v>
      </c>
      <c r="AT149" s="28">
        <f>COGS!AT149+'SG&amp;A'!AT149</f>
        <v>0</v>
      </c>
      <c r="AU149" s="28">
        <f>COGS!AU149+'SG&amp;A'!AU149</f>
        <v>0</v>
      </c>
      <c r="AV149" s="28">
        <f>COGS!AV149+'SG&amp;A'!AV149</f>
        <v>0</v>
      </c>
      <c r="AW149" s="28">
        <f>COGS!AW149+'SG&amp;A'!AW149</f>
        <v>0</v>
      </c>
      <c r="AX149" s="28">
        <f>COGS!AX149+'SG&amp;A'!AX149</f>
        <v>0</v>
      </c>
      <c r="AY149" s="28">
        <f>COGS!AY149+'SG&amp;A'!AY149</f>
        <v>0</v>
      </c>
      <c r="AZ149" s="28">
        <f>COGS!AZ149+'SG&amp;A'!AZ149</f>
        <v>0</v>
      </c>
      <c r="BA149" s="28">
        <f>COGS!BA149+'SG&amp;A'!BA149</f>
        <v>0</v>
      </c>
      <c r="BB149" s="28">
        <f>COGS!BB149+'SG&amp;A'!BB149</f>
        <v>0</v>
      </c>
      <c r="BC149" s="28">
        <f>COGS!BC149+'SG&amp;A'!BC149</f>
        <v>0</v>
      </c>
      <c r="BD149" s="28">
        <f>COGS!BD149+'SG&amp;A'!BD149</f>
        <v>0</v>
      </c>
      <c r="BE149" s="28">
        <f>COGS!BE149+'SG&amp;A'!BE149</f>
        <v>0</v>
      </c>
      <c r="BF149" s="28">
        <f>COGS!BF149+'SG&amp;A'!BF149</f>
        <v>0</v>
      </c>
      <c r="BG149" s="28">
        <f>COGS!BG149+'SG&amp;A'!BG149</f>
        <v>0</v>
      </c>
      <c r="BH149" s="28">
        <f>COGS!BH149+'SG&amp;A'!BH149</f>
        <v>0</v>
      </c>
      <c r="BI149" s="28">
        <f>COGS!BI149+'SG&amp;A'!BI149</f>
        <v>0</v>
      </c>
      <c r="BJ149" s="28">
        <f>COGS!BJ149+'SG&amp;A'!BJ149</f>
        <v>0</v>
      </c>
      <c r="BK149" s="28">
        <f>COGS!BK149+'SG&amp;A'!BK149</f>
        <v>0</v>
      </c>
      <c r="BL149" s="28">
        <f>COGS!BL149+'SG&amp;A'!BL149</f>
        <v>0</v>
      </c>
      <c r="BM149" s="28">
        <f>COGS!BM149+'SG&amp;A'!BM149</f>
        <v>0</v>
      </c>
      <c r="BN149" s="28">
        <f>COGS!BN149+'SG&amp;A'!BN149</f>
        <v>0</v>
      </c>
      <c r="BO149" s="28">
        <f>COGS!BO149+'SG&amp;A'!BO149</f>
        <v>0</v>
      </c>
      <c r="BP149" s="28">
        <f>COGS!BP149+'SG&amp;A'!BP149</f>
        <v>0</v>
      </c>
      <c r="BQ149" s="28">
        <f>COGS!BQ149+'SG&amp;A'!BQ149</f>
        <v>0</v>
      </c>
      <c r="BR149" s="28">
        <f>COGS!BR149+'SG&amp;A'!BR149</f>
        <v>0</v>
      </c>
      <c r="BS149" s="28">
        <f>COGS!BS149+'SG&amp;A'!BS149</f>
        <v>0</v>
      </c>
      <c r="BT149" s="28">
        <f>COGS!BT149+'SG&amp;A'!BT149</f>
        <v>0</v>
      </c>
      <c r="BU149" s="28">
        <f>COGS!BU149+'SG&amp;A'!BU149</f>
        <v>5.0999999999999995E-3</v>
      </c>
      <c r="BV149" s="28">
        <f>COGS!BV149+'SG&amp;A'!BV149</f>
        <v>0.57884470999999993</v>
      </c>
      <c r="BW149" s="28">
        <f>COGS!BW149+'SG&amp;A'!BW149</f>
        <v>0.81024962</v>
      </c>
      <c r="BX149" s="28">
        <f>COGS!BX149+'SG&amp;A'!BX149</f>
        <v>1.3941943299999999</v>
      </c>
      <c r="BY149" s="28">
        <f>COGS!BY149+'SG&amp;A'!BY149</f>
        <v>0.86721081999999994</v>
      </c>
      <c r="BZ149" s="28">
        <f>COGS!BZ149+'SG&amp;A'!BZ149</f>
        <v>1.3556936600000002</v>
      </c>
      <c r="CA149" s="28">
        <f>COGS!CA149+'SG&amp;A'!CA149</f>
        <v>1.9900506299999996</v>
      </c>
      <c r="CB149" s="28">
        <f>COGS!CB149+'SG&amp;A'!CB149</f>
        <v>2.4867810100000005</v>
      </c>
      <c r="CC149" s="28">
        <f>COGS!CC149+'SG&amp;A'!CC149</f>
        <v>6.6997361200000007</v>
      </c>
      <c r="CD149" s="28">
        <f>COGS!CD149+'SG&amp;A'!CD149</f>
        <v>2.2418401700000001</v>
      </c>
      <c r="CE149" s="28">
        <f>COGS!CE149+'SG&amp;A'!CE149</f>
        <v>2.3361149800000001</v>
      </c>
      <c r="CF149" s="28">
        <f>COGS!CF149+'SG&amp;A'!CF149</f>
        <v>2.4687480299999995</v>
      </c>
      <c r="CG149" s="28">
        <f>COGS!CG149+'SG&amp;A'!CG149</f>
        <v>2.8447779999999994</v>
      </c>
      <c r="CH149" s="28">
        <f>COGS!CH149+'SG&amp;A'!CH149</f>
        <v>9.8914811799999978</v>
      </c>
      <c r="CI149" s="28">
        <f>COGS!CI149+'SG&amp;A'!CI149</f>
        <v>2.6982819600000001</v>
      </c>
      <c r="CJ149" s="28">
        <f>COGS!CJ149+'SG&amp;A'!CJ149</f>
        <v>2.5247473799999991</v>
      </c>
      <c r="CK149" s="28">
        <f>COGS!CK149+'SG&amp;A'!CK149</f>
        <v>2.67224561</v>
      </c>
      <c r="CL149" s="28">
        <f>COGS!CL149+'SG&amp;A'!CL149</f>
        <v>4.363964430000002</v>
      </c>
      <c r="CM149" s="28">
        <f>COGS!CM149+'SG&amp;A'!CM149</f>
        <v>12.25923938</v>
      </c>
      <c r="CN149" s="28">
        <f>COGS!CN149+'SG&amp;A'!CN149</f>
        <v>2.5458278299999999</v>
      </c>
      <c r="CO149" s="28">
        <f>COGS!CO149+'SG&amp;A'!CO149</f>
        <v>2.9855676300000002</v>
      </c>
      <c r="CP149" s="28">
        <f>COGS!CP149+'SG&amp;A'!CP149</f>
        <v>2.9869591999999994</v>
      </c>
      <c r="CQ149" s="28">
        <f>COGS!CQ149+'SG&amp;A'!CQ149</f>
        <v>2.8196453400000006</v>
      </c>
      <c r="CR149" s="28">
        <f>COGS!CR149+'SG&amp;A'!CR149</f>
        <v>11.338000000000001</v>
      </c>
      <c r="CS149" s="28">
        <f>COGS!CS149+'SG&amp;A'!CS149</f>
        <v>2.8985234000000002</v>
      </c>
      <c r="CT149" s="28">
        <f>COGS!CT149+'SG&amp;A'!CT149</f>
        <v>2.8866206600000002</v>
      </c>
      <c r="CU149" s="28">
        <f>COGS!CU149+'SG&amp;A'!CU149</f>
        <v>3.0693838299999996</v>
      </c>
      <c r="CV149" s="28">
        <f>COGS!CV149+'SG&amp;A'!CV149</f>
        <v>2.9193213400000002</v>
      </c>
      <c r="CW149" s="28">
        <f>COGS!CW149+'SG&amp;A'!CW149</f>
        <v>11.77384923</v>
      </c>
      <c r="CX149" s="28">
        <f>COGS!CX149+'SG&amp;A'!CX149</f>
        <v>2.903</v>
      </c>
      <c r="CY149" s="28">
        <f>COGS!CY149+'SG&amp;A'!CY149</f>
        <v>2.8149999999999999</v>
      </c>
      <c r="CZ149" s="28">
        <f>COGS!CZ149+'SG&amp;A'!CZ149</f>
        <v>2.714</v>
      </c>
      <c r="DA149" s="28">
        <f>COGS!DA149+'SG&amp;A'!DA149</f>
        <v>2.7610000000000001</v>
      </c>
      <c r="DB149" s="28">
        <f>COGS!DB149+'SG&amp;A'!DB149</f>
        <v>11.193</v>
      </c>
      <c r="DC149" s="28">
        <f>COGS!DC149+'SG&amp;A'!DC149</f>
        <v>2.6560000000000001</v>
      </c>
      <c r="DD149" s="28">
        <f>COGS!DD149+'SG&amp;A'!DD149</f>
        <v>2.7520000000000002</v>
      </c>
      <c r="DE149" s="28">
        <f>COGS!DE149+'SG&amp;A'!DE149</f>
        <v>2.8260000000000001</v>
      </c>
      <c r="DF149" s="28">
        <f>COGS!DF149+'SG&amp;A'!DF149</f>
        <v>2.8759999999999999</v>
      </c>
      <c r="DG149" s="28">
        <f>COGS!DG149+'SG&amp;A'!DG149</f>
        <v>11.110000000000001</v>
      </c>
      <c r="DH149" s="28">
        <f>COGS!DH149+'SG&amp;A'!DH149</f>
        <v>2.4279999999999999</v>
      </c>
      <c r="DI149" s="28">
        <f>COGS!DI149+'SG&amp;A'!DI149</f>
        <v>2.319</v>
      </c>
      <c r="DJ149" s="28">
        <f>COGS!DJ149+'SG&amp;A'!DJ149</f>
        <v>2.8719999999999999</v>
      </c>
      <c r="DK149" s="28">
        <f>COGS!DK149+'SG&amp;A'!DK149</f>
        <v>2.5710000000000002</v>
      </c>
      <c r="DL149" s="28">
        <f>COGS!DL149+'SG&amp;A'!DL149</f>
        <v>10.19</v>
      </c>
      <c r="DM149" s="28">
        <f>COGS!DM149+'SG&amp;A'!DM149</f>
        <v>2.6459999999999999</v>
      </c>
      <c r="DN149" s="28">
        <f>COGS!DN149+'SG&amp;A'!DN149</f>
        <v>2.6830000000000003</v>
      </c>
      <c r="DO149" s="28">
        <f>COGS!DO149+'SG&amp;A'!DO149</f>
        <v>2.7280000000000002</v>
      </c>
      <c r="DP149" s="28">
        <f>COGS!DP149+'SG&amp;A'!DP149</f>
        <v>2.6890000000000001</v>
      </c>
      <c r="DQ149" s="28">
        <f>COGS!DQ149+'SG&amp;A'!DQ149</f>
        <v>10.746000000000002</v>
      </c>
      <c r="DR149" s="28">
        <f>COGS!DR149+'SG&amp;A'!DR149</f>
        <v>2.9009999999999998</v>
      </c>
      <c r="DS149" s="28">
        <f>COGS!DS149+'SG&amp;A'!DS149</f>
        <v>2.9239999999999999</v>
      </c>
      <c r="DT149" s="28">
        <f>COGS!DT149+'SG&amp;A'!DT149</f>
        <v>3.2560000000000002</v>
      </c>
      <c r="DU149" s="28">
        <f>COGS!DU149+'SG&amp;A'!DU149</f>
        <v>3.2449999999999997</v>
      </c>
      <c r="DV149" s="28">
        <f>COGS!DV149+'SG&amp;A'!DV149</f>
        <v>12.326000000000001</v>
      </c>
      <c r="DW149" s="28">
        <f>COGS!DW149+'SG&amp;A'!DW149</f>
        <v>3.5649999999999999</v>
      </c>
      <c r="DX149" s="28">
        <f>COGS!DX149+'SG&amp;A'!DX149</f>
        <v>3.3721845300000002</v>
      </c>
      <c r="DY149" s="28">
        <f>COGS!DY149+'SG&amp;A'!DY149</f>
        <v>4.0261875200000006</v>
      </c>
      <c r="DZ149" s="28">
        <f>COGS!DZ149+'SG&amp;A'!DZ149</f>
        <v>2.9563959900000003</v>
      </c>
      <c r="EA149" s="28">
        <f>COGS!EA149+'SG&amp;A'!EA149</f>
        <v>13.919768040000001</v>
      </c>
      <c r="EB149" s="28">
        <f>COGS!EB149+'SG&amp;A'!EB149</f>
        <v>3.7459511700000001</v>
      </c>
      <c r="EC149" s="28">
        <f>COGS!EC149+'SG&amp;A'!EC149</f>
        <v>3.4500531999999997</v>
      </c>
      <c r="ED149" s="28">
        <f>COGS!ED149+'SG&amp;A'!ED149</f>
        <v>4.1150000000000002</v>
      </c>
      <c r="EE149" s="28">
        <f>COGS!EE149+'SG&amp;A'!EE149</f>
        <v>3.0344805599999987</v>
      </c>
      <c r="EF149" s="28">
        <f>COGS!EF149+'SG&amp;A'!EF149</f>
        <v>14.345484929999998</v>
      </c>
      <c r="EG149" s="28">
        <f>COGS!EG149+'SG&amp;A'!EG149</f>
        <v>4.3574243399999997</v>
      </c>
      <c r="EH149" s="28">
        <f>COGS!EH149+'SG&amp;A'!EH149</f>
        <v>3.7304189700000001</v>
      </c>
      <c r="EI149" s="28">
        <f>COGS!EI149+'SG&amp;A'!EI149</f>
        <v>4.7529524900000002</v>
      </c>
    </row>
    <row r="150" spans="1:139" ht="15" thickTop="1" x14ac:dyDescent="0.3">
      <c r="A150" s="1" t="s">
        <v>445</v>
      </c>
      <c r="B150" s="27">
        <f>COGS!B150+'SG&amp;A'!B150</f>
        <v>0</v>
      </c>
      <c r="C150" s="27">
        <f>COGS!C150+'SG&amp;A'!C150</f>
        <v>0</v>
      </c>
      <c r="D150" s="27">
        <f>COGS!D150+'SG&amp;A'!D150</f>
        <v>0</v>
      </c>
      <c r="E150" s="27">
        <f>COGS!E150+'SG&amp;A'!E150</f>
        <v>0</v>
      </c>
      <c r="F150" s="27">
        <f>COGS!F150+'SG&amp;A'!F150</f>
        <v>0</v>
      </c>
      <c r="G150" s="27">
        <f>COGS!G150+'SG&amp;A'!G150</f>
        <v>0</v>
      </c>
      <c r="H150" s="27">
        <f>COGS!H150+'SG&amp;A'!H150</f>
        <v>0</v>
      </c>
      <c r="I150" s="27">
        <f>COGS!I150+'SG&amp;A'!I150</f>
        <v>0</v>
      </c>
      <c r="J150" s="27">
        <f>COGS!J150+'SG&amp;A'!J150</f>
        <v>0</v>
      </c>
      <c r="K150" s="27">
        <f>COGS!K150+'SG&amp;A'!K150</f>
        <v>0</v>
      </c>
      <c r="L150" s="27">
        <f>COGS!L150+'SG&amp;A'!L150</f>
        <v>0</v>
      </c>
      <c r="M150" s="27">
        <f>COGS!M150+'SG&amp;A'!M150</f>
        <v>0</v>
      </c>
      <c r="N150" s="27">
        <f>COGS!N150+'SG&amp;A'!N150</f>
        <v>0</v>
      </c>
      <c r="O150" s="27">
        <f>COGS!O150+'SG&amp;A'!O150</f>
        <v>0</v>
      </c>
      <c r="P150" s="27">
        <f>COGS!P150+'SG&amp;A'!P150</f>
        <v>0</v>
      </c>
      <c r="Q150" s="27">
        <f>COGS!Q150+'SG&amp;A'!Q150</f>
        <v>0</v>
      </c>
      <c r="R150" s="27">
        <f>COGS!R150+'SG&amp;A'!R150</f>
        <v>0</v>
      </c>
      <c r="S150" s="27">
        <f>COGS!S150+'SG&amp;A'!S150</f>
        <v>0</v>
      </c>
      <c r="T150" s="27">
        <f>COGS!T150+'SG&amp;A'!T150</f>
        <v>0</v>
      </c>
      <c r="U150" s="27">
        <f>COGS!U150+'SG&amp;A'!U150</f>
        <v>0</v>
      </c>
      <c r="V150" s="27">
        <f>COGS!V150+'SG&amp;A'!V150</f>
        <v>0</v>
      </c>
      <c r="W150" s="27">
        <f>COGS!W150+'SG&amp;A'!W150</f>
        <v>0</v>
      </c>
      <c r="X150" s="27">
        <f>COGS!X150+'SG&amp;A'!X150</f>
        <v>0</v>
      </c>
      <c r="Y150" s="27">
        <f>COGS!Y150+'SG&amp;A'!Y150</f>
        <v>0</v>
      </c>
      <c r="Z150" s="27">
        <f>COGS!Z150+'SG&amp;A'!Z150</f>
        <v>0</v>
      </c>
      <c r="AA150" s="27">
        <f>COGS!AA150+'SG&amp;A'!AA150</f>
        <v>0</v>
      </c>
      <c r="AB150" s="27">
        <f>COGS!AB150+'SG&amp;A'!AB150</f>
        <v>0</v>
      </c>
      <c r="AC150" s="27">
        <f>COGS!AC150+'SG&amp;A'!AC150</f>
        <v>0</v>
      </c>
      <c r="AD150" s="27">
        <f>COGS!AD150+'SG&amp;A'!AD150</f>
        <v>0</v>
      </c>
      <c r="AE150" s="27">
        <f>COGS!AE150+'SG&amp;A'!AE150</f>
        <v>0</v>
      </c>
      <c r="AF150" s="27">
        <f>COGS!AF150+'SG&amp;A'!AF150</f>
        <v>0</v>
      </c>
      <c r="AG150" s="27">
        <f>COGS!AG150+'SG&amp;A'!AG150</f>
        <v>0</v>
      </c>
      <c r="AH150" s="27">
        <f>COGS!AH150+'SG&amp;A'!AH150</f>
        <v>0</v>
      </c>
      <c r="AI150" s="27">
        <f>COGS!AI150+'SG&amp;A'!AI150</f>
        <v>0</v>
      </c>
      <c r="AJ150" s="27">
        <f>COGS!AJ150+'SG&amp;A'!AJ150</f>
        <v>0</v>
      </c>
      <c r="AK150" s="27">
        <f>COGS!AK150+'SG&amp;A'!AK150</f>
        <v>0</v>
      </c>
      <c r="AL150" s="27">
        <f>COGS!AL150+'SG&amp;A'!AL150</f>
        <v>0</v>
      </c>
      <c r="AM150" s="27">
        <f>COGS!AM150+'SG&amp;A'!AM150</f>
        <v>0</v>
      </c>
      <c r="AN150" s="27">
        <f>COGS!AN150+'SG&amp;A'!AN150</f>
        <v>0</v>
      </c>
      <c r="AO150" s="27">
        <f>COGS!AO150+'SG&amp;A'!AO150</f>
        <v>0</v>
      </c>
      <c r="AP150" s="27">
        <f>COGS!AP150+'SG&amp;A'!AP150</f>
        <v>0</v>
      </c>
      <c r="AQ150" s="27">
        <f>COGS!AQ150+'SG&amp;A'!AQ150</f>
        <v>0</v>
      </c>
      <c r="AR150" s="27">
        <f>COGS!AR150+'SG&amp;A'!AR150</f>
        <v>0</v>
      </c>
      <c r="AS150" s="27">
        <f>COGS!AS150+'SG&amp;A'!AS150</f>
        <v>0</v>
      </c>
      <c r="AT150" s="27">
        <f>COGS!AT150+'SG&amp;A'!AT150</f>
        <v>0</v>
      </c>
      <c r="AU150" s="27">
        <f>COGS!AU150+'SG&amp;A'!AU150</f>
        <v>0</v>
      </c>
      <c r="AV150" s="27">
        <f>COGS!AV150+'SG&amp;A'!AV150</f>
        <v>0</v>
      </c>
      <c r="AW150" s="27">
        <f>COGS!AW150+'SG&amp;A'!AW150</f>
        <v>0</v>
      </c>
      <c r="AX150" s="27">
        <f>COGS!AX150+'SG&amp;A'!AX150</f>
        <v>0</v>
      </c>
      <c r="AY150" s="27">
        <f>COGS!AY150+'SG&amp;A'!AY150</f>
        <v>0</v>
      </c>
      <c r="AZ150" s="27">
        <f>COGS!AZ150+'SG&amp;A'!AZ150</f>
        <v>0</v>
      </c>
      <c r="BA150" s="27">
        <f>COGS!BA150+'SG&amp;A'!BA150</f>
        <v>0</v>
      </c>
      <c r="BB150" s="27">
        <f>COGS!BB150+'SG&amp;A'!BB150</f>
        <v>0</v>
      </c>
      <c r="BC150" s="27">
        <f>COGS!BC150+'SG&amp;A'!BC150</f>
        <v>0</v>
      </c>
      <c r="BD150" s="27">
        <f>COGS!BD150+'SG&amp;A'!BD150</f>
        <v>0</v>
      </c>
      <c r="BE150" s="27">
        <f>COGS!BE150+'SG&amp;A'!BE150</f>
        <v>0</v>
      </c>
      <c r="BF150" s="27">
        <f>COGS!BF150+'SG&amp;A'!BF150</f>
        <v>0</v>
      </c>
      <c r="BG150" s="27">
        <f>COGS!BG150+'SG&amp;A'!BG150</f>
        <v>0</v>
      </c>
      <c r="BH150" s="27">
        <f>COGS!BH150+'SG&amp;A'!BH150</f>
        <v>0</v>
      </c>
      <c r="BI150" s="27">
        <f>COGS!BI150+'SG&amp;A'!BI150</f>
        <v>0</v>
      </c>
      <c r="BJ150" s="27">
        <f>COGS!BJ150+'SG&amp;A'!BJ150</f>
        <v>0</v>
      </c>
      <c r="BK150" s="27">
        <f>COGS!BK150+'SG&amp;A'!BK150</f>
        <v>0</v>
      </c>
      <c r="BL150" s="27">
        <f>COGS!BL150+'SG&amp;A'!BL150</f>
        <v>0</v>
      </c>
      <c r="BM150" s="27">
        <f>COGS!BM150+'SG&amp;A'!BM150</f>
        <v>0</v>
      </c>
      <c r="BN150" s="27">
        <f>COGS!BN150+'SG&amp;A'!BN150</f>
        <v>0</v>
      </c>
      <c r="BO150" s="27">
        <f>COGS!BO150+'SG&amp;A'!BO150</f>
        <v>0</v>
      </c>
      <c r="BP150" s="27">
        <f>COGS!BP150+'SG&amp;A'!BP150</f>
        <v>0</v>
      </c>
      <c r="BQ150" s="27">
        <f>COGS!BQ150+'SG&amp;A'!BQ150</f>
        <v>0</v>
      </c>
      <c r="BR150" s="27">
        <f>COGS!BR150+'SG&amp;A'!BR150</f>
        <v>0</v>
      </c>
      <c r="BS150" s="27">
        <f>COGS!BS150+'SG&amp;A'!BS150</f>
        <v>0</v>
      </c>
      <c r="BT150" s="27">
        <f>COGS!BT150+'SG&amp;A'!BT150</f>
        <v>0</v>
      </c>
      <c r="BU150" s="27">
        <f>COGS!BU150+'SG&amp;A'!BU150</f>
        <v>0</v>
      </c>
      <c r="BV150" s="27">
        <f>COGS!BV150+'SG&amp;A'!BV150</f>
        <v>0</v>
      </c>
      <c r="BW150" s="27">
        <f>COGS!BW150+'SG&amp;A'!BW150</f>
        <v>0</v>
      </c>
      <c r="BX150" s="27">
        <f>COGS!BX150+'SG&amp;A'!BX150</f>
        <v>0</v>
      </c>
      <c r="BY150" s="27">
        <f>COGS!BY150+'SG&amp;A'!BY150</f>
        <v>0</v>
      </c>
      <c r="BZ150" s="27">
        <f>COGS!BZ150+'SG&amp;A'!BZ150</f>
        <v>0</v>
      </c>
      <c r="CA150" s="27">
        <f>COGS!CA150+'SG&amp;A'!CA150</f>
        <v>0</v>
      </c>
      <c r="CB150" s="27">
        <f>COGS!CB150+'SG&amp;A'!CB150</f>
        <v>0</v>
      </c>
      <c r="CC150" s="27">
        <f>COGS!CC150+'SG&amp;A'!CC150</f>
        <v>0</v>
      </c>
      <c r="CD150" s="27">
        <f>COGS!CD150+'SG&amp;A'!CD150</f>
        <v>0</v>
      </c>
      <c r="CE150" s="27">
        <f>COGS!CE150+'SG&amp;A'!CE150</f>
        <v>0</v>
      </c>
      <c r="CF150" s="27">
        <f>COGS!CF150+'SG&amp;A'!CF150</f>
        <v>0</v>
      </c>
      <c r="CG150" s="27">
        <f>COGS!CG150+'SG&amp;A'!CG150</f>
        <v>0</v>
      </c>
      <c r="CH150" s="27">
        <f>COGS!CH150+'SG&amp;A'!CH150</f>
        <v>0</v>
      </c>
      <c r="CI150" s="27">
        <f>COGS!CI150+'SG&amp;A'!CI150</f>
        <v>0</v>
      </c>
      <c r="CJ150" s="27">
        <f>COGS!CJ150+'SG&amp;A'!CJ150</f>
        <v>0.62982399999999994</v>
      </c>
      <c r="CK150" s="27">
        <f>COGS!CK150+'SG&amp;A'!CK150</f>
        <v>1.1830542700000002</v>
      </c>
      <c r="CL150" s="27">
        <f>COGS!CL150+'SG&amp;A'!CL150</f>
        <v>2.15877439</v>
      </c>
      <c r="CM150" s="27">
        <f>COGS!CM150+'SG&amp;A'!CM150</f>
        <v>3.9716526600000002</v>
      </c>
      <c r="CN150" s="27">
        <f>COGS!CN150+'SG&amp;A'!CN150</f>
        <v>1.6289369499999999</v>
      </c>
      <c r="CO150" s="27">
        <f>COGS!CO150+'SG&amp;A'!CO150</f>
        <v>1.4703281600000004</v>
      </c>
      <c r="CP150" s="27">
        <f>COGS!CP150+'SG&amp;A'!CP150</f>
        <v>1.8976783799999983</v>
      </c>
      <c r="CQ150" s="27">
        <f>COGS!CQ150+'SG&amp;A'!CQ150</f>
        <v>1.6830565100000019</v>
      </c>
      <c r="CR150" s="27">
        <f>COGS!CR150+'SG&amp;A'!CR150</f>
        <v>6.6800000000000006</v>
      </c>
      <c r="CS150" s="27">
        <f>COGS!CS150+'SG&amp;A'!CS150</f>
        <v>1.4245133299999999</v>
      </c>
      <c r="CT150" s="27">
        <f>COGS!CT150+'SG&amp;A'!CT150</f>
        <v>1.4229675400000001</v>
      </c>
      <c r="CU150" s="27">
        <f>COGS!CU150+'SG&amp;A'!CU150</f>
        <v>1.4080691700000001</v>
      </c>
      <c r="CV150" s="27">
        <f>COGS!CV150+'SG&amp;A'!CV150</f>
        <v>1.4238933900000001</v>
      </c>
      <c r="CW150" s="27">
        <f>COGS!CW150+'SG&amp;A'!CW150</f>
        <v>5.6794434300000001</v>
      </c>
      <c r="CX150" s="27">
        <f>COGS!CX150+'SG&amp;A'!CX150</f>
        <v>1.4339999999999999</v>
      </c>
      <c r="CY150" s="27">
        <f>COGS!CY150+'SG&amp;A'!CY150</f>
        <v>1.4159999999999999</v>
      </c>
      <c r="CZ150" s="27">
        <f>COGS!CZ150+'SG&amp;A'!CZ150</f>
        <v>1.4179999999999999</v>
      </c>
      <c r="DA150" s="27">
        <f>COGS!DA150+'SG&amp;A'!DA150</f>
        <v>1.899</v>
      </c>
      <c r="DB150" s="27">
        <f>COGS!DB150+'SG&amp;A'!DB150</f>
        <v>6.1669999999999998</v>
      </c>
      <c r="DC150" s="27">
        <f>COGS!DC150+'SG&amp;A'!DC150</f>
        <v>1.429</v>
      </c>
      <c r="DD150" s="27">
        <f>COGS!DD150+'SG&amp;A'!DD150</f>
        <v>1.462</v>
      </c>
      <c r="DE150" s="27">
        <f>COGS!DE150+'SG&amp;A'!DE150</f>
        <v>1.504</v>
      </c>
      <c r="DF150" s="27">
        <f>COGS!DF150+'SG&amp;A'!DF150</f>
        <v>1.5450000000000002</v>
      </c>
      <c r="DG150" s="27">
        <f>COGS!DG150+'SG&amp;A'!DG150</f>
        <v>5.94</v>
      </c>
      <c r="DH150" s="27">
        <f>COGS!DH150+'SG&amp;A'!DH150</f>
        <v>1.401</v>
      </c>
      <c r="DI150" s="27">
        <f>COGS!DI150+'SG&amp;A'!DI150</f>
        <v>1.448</v>
      </c>
      <c r="DJ150" s="27">
        <f>COGS!DJ150+'SG&amp;A'!DJ150</f>
        <v>1.5739999999999998</v>
      </c>
      <c r="DK150" s="27">
        <f>COGS!DK150+'SG&amp;A'!DK150</f>
        <v>1.5509999999999999</v>
      </c>
      <c r="DL150" s="27">
        <f>COGS!DL150+'SG&amp;A'!DL150</f>
        <v>5.9740000000000002</v>
      </c>
      <c r="DM150" s="27">
        <f>COGS!DM150+'SG&amp;A'!DM150</f>
        <v>1.462</v>
      </c>
      <c r="DN150" s="27">
        <f>COGS!DN150+'SG&amp;A'!DN150</f>
        <v>1.6419999999999999</v>
      </c>
      <c r="DO150" s="27">
        <f>COGS!DO150+'SG&amp;A'!DO150</f>
        <v>1.4550000000000001</v>
      </c>
      <c r="DP150" s="27">
        <f>COGS!DP150+'SG&amp;A'!DP150</f>
        <v>1.603</v>
      </c>
      <c r="DQ150" s="27">
        <f>COGS!DQ150+'SG&amp;A'!DQ150</f>
        <v>6.161999999999999</v>
      </c>
      <c r="DR150" s="27">
        <f>COGS!DR150+'SG&amp;A'!DR150</f>
        <v>1.462</v>
      </c>
      <c r="DS150" s="27">
        <f>COGS!DS150+'SG&amp;A'!DS150</f>
        <v>1.5309999999999999</v>
      </c>
      <c r="DT150" s="27">
        <f>COGS!DT150+'SG&amp;A'!DT150</f>
        <v>1.462</v>
      </c>
      <c r="DU150" s="27">
        <f>COGS!DU150+'SG&amp;A'!DU150</f>
        <v>1.823</v>
      </c>
      <c r="DV150" s="27">
        <f>COGS!DV150+'SG&amp;A'!DV150</f>
        <v>6.2779999999999996</v>
      </c>
      <c r="DW150" s="27">
        <f>COGS!DW150+'SG&amp;A'!DW150</f>
        <v>1.6569999999999998</v>
      </c>
      <c r="DX150" s="27">
        <f>COGS!DX150+'SG&amp;A'!DX150</f>
        <v>2.38305056</v>
      </c>
      <c r="DY150" s="27">
        <f>COGS!DY150+'SG&amp;A'!DY150</f>
        <v>2.2348242800000002</v>
      </c>
      <c r="DZ150" s="27">
        <f>COGS!DZ150+'SG&amp;A'!DZ150</f>
        <v>2.0775950999999995</v>
      </c>
      <c r="EA150" s="27">
        <f>COGS!EA150+'SG&amp;A'!EA150</f>
        <v>8.3524699399999989</v>
      </c>
      <c r="EB150" s="27">
        <f>COGS!EB150+'SG&amp;A'!EB150</f>
        <v>1.9546858700000003</v>
      </c>
      <c r="EC150" s="27">
        <f>COGS!EC150+'SG&amp;A'!EC150</f>
        <v>1.8474091700000002</v>
      </c>
      <c r="ED150" s="27">
        <f>COGS!ED150+'SG&amp;A'!ED150</f>
        <v>1.952</v>
      </c>
      <c r="EE150" s="27">
        <f>COGS!EE150+'SG&amp;A'!EE150</f>
        <v>2.6574840800000001</v>
      </c>
      <c r="EF150" s="27">
        <f>COGS!EF150+'SG&amp;A'!EF150</f>
        <v>8.4115791200000007</v>
      </c>
      <c r="EG150" s="27">
        <f>COGS!EG150+'SG&amp;A'!EG150</f>
        <v>2.0700402499999995</v>
      </c>
      <c r="EH150" s="27">
        <f>COGS!EH150+'SG&amp;A'!EH150</f>
        <v>2.26846646</v>
      </c>
      <c r="EI150" s="27">
        <f>COGS!EI150+'SG&amp;A'!EI150</f>
        <v>2.1050141599999996</v>
      </c>
    </row>
    <row r="151" spans="1:139" ht="15" thickBot="1" x14ac:dyDescent="0.35">
      <c r="A151" s="2" t="s">
        <v>444</v>
      </c>
      <c r="B151" s="28">
        <f>COGS!B151+'SG&amp;A'!B151</f>
        <v>0</v>
      </c>
      <c r="C151" s="28">
        <f>COGS!C151+'SG&amp;A'!C151</f>
        <v>0</v>
      </c>
      <c r="D151" s="28">
        <f>COGS!D151+'SG&amp;A'!D151</f>
        <v>0</v>
      </c>
      <c r="E151" s="28">
        <f>COGS!E151+'SG&amp;A'!E151</f>
        <v>0</v>
      </c>
      <c r="F151" s="28">
        <f>COGS!F151+'SG&amp;A'!F151</f>
        <v>0</v>
      </c>
      <c r="G151" s="28">
        <f>COGS!G151+'SG&amp;A'!G151</f>
        <v>0</v>
      </c>
      <c r="H151" s="28">
        <f>COGS!H151+'SG&amp;A'!H151</f>
        <v>0</v>
      </c>
      <c r="I151" s="28">
        <f>COGS!I151+'SG&amp;A'!I151</f>
        <v>0</v>
      </c>
      <c r="J151" s="28">
        <f>COGS!J151+'SG&amp;A'!J151</f>
        <v>0</v>
      </c>
      <c r="K151" s="28">
        <f>COGS!K151+'SG&amp;A'!K151</f>
        <v>0</v>
      </c>
      <c r="L151" s="28">
        <f>COGS!L151+'SG&amp;A'!L151</f>
        <v>0</v>
      </c>
      <c r="M151" s="28">
        <f>COGS!M151+'SG&amp;A'!M151</f>
        <v>0</v>
      </c>
      <c r="N151" s="28">
        <f>COGS!N151+'SG&amp;A'!N151</f>
        <v>0</v>
      </c>
      <c r="O151" s="28">
        <f>COGS!O151+'SG&amp;A'!O151</f>
        <v>0</v>
      </c>
      <c r="P151" s="28">
        <f>COGS!P151+'SG&amp;A'!P151</f>
        <v>0</v>
      </c>
      <c r="Q151" s="28">
        <f>COGS!Q151+'SG&amp;A'!Q151</f>
        <v>0</v>
      </c>
      <c r="R151" s="28">
        <f>COGS!R151+'SG&amp;A'!R151</f>
        <v>0</v>
      </c>
      <c r="S151" s="28">
        <f>COGS!S151+'SG&amp;A'!S151</f>
        <v>0</v>
      </c>
      <c r="T151" s="28">
        <f>COGS!T151+'SG&amp;A'!T151</f>
        <v>0</v>
      </c>
      <c r="U151" s="28">
        <f>COGS!U151+'SG&amp;A'!U151</f>
        <v>0</v>
      </c>
      <c r="V151" s="28">
        <f>COGS!V151+'SG&amp;A'!V151</f>
        <v>0</v>
      </c>
      <c r="W151" s="28">
        <f>COGS!W151+'SG&amp;A'!W151</f>
        <v>0</v>
      </c>
      <c r="X151" s="28">
        <f>COGS!X151+'SG&amp;A'!X151</f>
        <v>0</v>
      </c>
      <c r="Y151" s="28">
        <f>COGS!Y151+'SG&amp;A'!Y151</f>
        <v>0</v>
      </c>
      <c r="Z151" s="28">
        <f>COGS!Z151+'SG&amp;A'!Z151</f>
        <v>0</v>
      </c>
      <c r="AA151" s="28">
        <f>COGS!AA151+'SG&amp;A'!AA151</f>
        <v>0</v>
      </c>
      <c r="AB151" s="28">
        <f>COGS!AB151+'SG&amp;A'!AB151</f>
        <v>0</v>
      </c>
      <c r="AC151" s="28">
        <f>COGS!AC151+'SG&amp;A'!AC151</f>
        <v>0</v>
      </c>
      <c r="AD151" s="28">
        <f>COGS!AD151+'SG&amp;A'!AD151</f>
        <v>0</v>
      </c>
      <c r="AE151" s="28">
        <f>COGS!AE151+'SG&amp;A'!AE151</f>
        <v>0</v>
      </c>
      <c r="AF151" s="28">
        <f>COGS!AF151+'SG&amp;A'!AF151</f>
        <v>0</v>
      </c>
      <c r="AG151" s="28">
        <f>COGS!AG151+'SG&amp;A'!AG151</f>
        <v>0</v>
      </c>
      <c r="AH151" s="28">
        <f>COGS!AH151+'SG&amp;A'!AH151</f>
        <v>0</v>
      </c>
      <c r="AI151" s="28">
        <f>COGS!AI151+'SG&amp;A'!AI151</f>
        <v>0</v>
      </c>
      <c r="AJ151" s="28">
        <f>COGS!AJ151+'SG&amp;A'!AJ151</f>
        <v>0</v>
      </c>
      <c r="AK151" s="28">
        <f>COGS!AK151+'SG&amp;A'!AK151</f>
        <v>0</v>
      </c>
      <c r="AL151" s="28">
        <f>COGS!AL151+'SG&amp;A'!AL151</f>
        <v>0</v>
      </c>
      <c r="AM151" s="28">
        <f>COGS!AM151+'SG&amp;A'!AM151</f>
        <v>0</v>
      </c>
      <c r="AN151" s="28">
        <f>COGS!AN151+'SG&amp;A'!AN151</f>
        <v>0</v>
      </c>
      <c r="AO151" s="28">
        <f>COGS!AO151+'SG&amp;A'!AO151</f>
        <v>0</v>
      </c>
      <c r="AP151" s="28">
        <f>COGS!AP151+'SG&amp;A'!AP151</f>
        <v>0</v>
      </c>
      <c r="AQ151" s="28">
        <f>COGS!AQ151+'SG&amp;A'!AQ151</f>
        <v>0</v>
      </c>
      <c r="AR151" s="28">
        <f>COGS!AR151+'SG&amp;A'!AR151</f>
        <v>0</v>
      </c>
      <c r="AS151" s="28">
        <f>COGS!AS151+'SG&amp;A'!AS151</f>
        <v>0</v>
      </c>
      <c r="AT151" s="28">
        <f>COGS!AT151+'SG&amp;A'!AT151</f>
        <v>0</v>
      </c>
      <c r="AU151" s="28">
        <f>COGS!AU151+'SG&amp;A'!AU151</f>
        <v>0</v>
      </c>
      <c r="AV151" s="28">
        <f>COGS!AV151+'SG&amp;A'!AV151</f>
        <v>0</v>
      </c>
      <c r="AW151" s="28">
        <f>COGS!AW151+'SG&amp;A'!AW151</f>
        <v>0</v>
      </c>
      <c r="AX151" s="28">
        <f>COGS!AX151+'SG&amp;A'!AX151</f>
        <v>0</v>
      </c>
      <c r="AY151" s="28">
        <f>COGS!AY151+'SG&amp;A'!AY151</f>
        <v>0</v>
      </c>
      <c r="AZ151" s="28">
        <f>COGS!AZ151+'SG&amp;A'!AZ151</f>
        <v>0</v>
      </c>
      <c r="BA151" s="28">
        <f>COGS!BA151+'SG&amp;A'!BA151</f>
        <v>0</v>
      </c>
      <c r="BB151" s="28">
        <f>COGS!BB151+'SG&amp;A'!BB151</f>
        <v>0</v>
      </c>
      <c r="BC151" s="28">
        <f>COGS!BC151+'SG&amp;A'!BC151</f>
        <v>0</v>
      </c>
      <c r="BD151" s="28">
        <f>COGS!BD151+'SG&amp;A'!BD151</f>
        <v>0</v>
      </c>
      <c r="BE151" s="28">
        <f>COGS!BE151+'SG&amp;A'!BE151</f>
        <v>0</v>
      </c>
      <c r="BF151" s="28">
        <f>COGS!BF151+'SG&amp;A'!BF151</f>
        <v>0</v>
      </c>
      <c r="BG151" s="28">
        <f>COGS!BG151+'SG&amp;A'!BG151</f>
        <v>0</v>
      </c>
      <c r="BH151" s="28">
        <f>COGS!BH151+'SG&amp;A'!BH151</f>
        <v>0</v>
      </c>
      <c r="BI151" s="28">
        <f>COGS!BI151+'SG&amp;A'!BI151</f>
        <v>0</v>
      </c>
      <c r="BJ151" s="28">
        <f>COGS!BJ151+'SG&amp;A'!BJ151</f>
        <v>0</v>
      </c>
      <c r="BK151" s="28">
        <f>COGS!BK151+'SG&amp;A'!BK151</f>
        <v>0</v>
      </c>
      <c r="BL151" s="28">
        <f>COGS!BL151+'SG&amp;A'!BL151</f>
        <v>0</v>
      </c>
      <c r="BM151" s="28">
        <f>COGS!BM151+'SG&amp;A'!BM151</f>
        <v>0</v>
      </c>
      <c r="BN151" s="28">
        <f>COGS!BN151+'SG&amp;A'!BN151</f>
        <v>0</v>
      </c>
      <c r="BO151" s="28">
        <f>COGS!BO151+'SG&amp;A'!BO151</f>
        <v>0</v>
      </c>
      <c r="BP151" s="28">
        <f>COGS!BP151+'SG&amp;A'!BP151</f>
        <v>0</v>
      </c>
      <c r="BQ151" s="28">
        <f>COGS!BQ151+'SG&amp;A'!BQ151</f>
        <v>0</v>
      </c>
      <c r="BR151" s="28">
        <f>COGS!BR151+'SG&amp;A'!BR151</f>
        <v>0</v>
      </c>
      <c r="BS151" s="28">
        <f>COGS!BS151+'SG&amp;A'!BS151</f>
        <v>0</v>
      </c>
      <c r="BT151" s="28">
        <f>COGS!BT151+'SG&amp;A'!BT151</f>
        <v>0</v>
      </c>
      <c r="BU151" s="28">
        <f>COGS!BU151+'SG&amp;A'!BU151</f>
        <v>0</v>
      </c>
      <c r="BV151" s="28">
        <f>COGS!BV151+'SG&amp;A'!BV151</f>
        <v>0</v>
      </c>
      <c r="BW151" s="28">
        <f>COGS!BW151+'SG&amp;A'!BW151</f>
        <v>0</v>
      </c>
      <c r="BX151" s="28">
        <f>COGS!BX151+'SG&amp;A'!BX151</f>
        <v>0</v>
      </c>
      <c r="BY151" s="28">
        <f>COGS!BY151+'SG&amp;A'!BY151</f>
        <v>0</v>
      </c>
      <c r="BZ151" s="28">
        <f>COGS!BZ151+'SG&amp;A'!BZ151</f>
        <v>0</v>
      </c>
      <c r="CA151" s="28">
        <f>COGS!CA151+'SG&amp;A'!CA151</f>
        <v>0</v>
      </c>
      <c r="CB151" s="28">
        <f>COGS!CB151+'SG&amp;A'!CB151</f>
        <v>0</v>
      </c>
      <c r="CC151" s="28">
        <f>COGS!CC151+'SG&amp;A'!CC151</f>
        <v>0</v>
      </c>
      <c r="CD151" s="28">
        <f>COGS!CD151+'SG&amp;A'!CD151</f>
        <v>0</v>
      </c>
      <c r="CE151" s="28">
        <f>COGS!CE151+'SG&amp;A'!CE151</f>
        <v>0</v>
      </c>
      <c r="CF151" s="28">
        <f>COGS!CF151+'SG&amp;A'!CF151</f>
        <v>0</v>
      </c>
      <c r="CG151" s="28">
        <f>COGS!CG151+'SG&amp;A'!CG151</f>
        <v>0</v>
      </c>
      <c r="CH151" s="28">
        <f>COGS!CH151+'SG&amp;A'!CH151</f>
        <v>0</v>
      </c>
      <c r="CI151" s="28">
        <f>COGS!CI151+'SG&amp;A'!CI151</f>
        <v>0</v>
      </c>
      <c r="CJ151" s="28">
        <f>COGS!CJ151+'SG&amp;A'!CJ151</f>
        <v>0</v>
      </c>
      <c r="CK151" s="28">
        <f>COGS!CK151+'SG&amp;A'!CK151</f>
        <v>0</v>
      </c>
      <c r="CL151" s="28">
        <f>COGS!CL151+'SG&amp;A'!CL151</f>
        <v>0</v>
      </c>
      <c r="CM151" s="28">
        <f>COGS!CM151+'SG&amp;A'!CM151</f>
        <v>0</v>
      </c>
      <c r="CN151" s="28">
        <f>COGS!CN151+'SG&amp;A'!CN151</f>
        <v>0</v>
      </c>
      <c r="CO151" s="28">
        <f>COGS!CO151+'SG&amp;A'!CO151</f>
        <v>0</v>
      </c>
      <c r="CP151" s="28">
        <f>COGS!CP151+'SG&amp;A'!CP151</f>
        <v>0</v>
      </c>
      <c r="CQ151" s="28">
        <f>COGS!CQ151+'SG&amp;A'!CQ151</f>
        <v>0</v>
      </c>
      <c r="CR151" s="28">
        <f>COGS!CR151+'SG&amp;A'!CR151</f>
        <v>0</v>
      </c>
      <c r="CS151" s="28">
        <f>COGS!CS151+'SG&amp;A'!CS151</f>
        <v>0</v>
      </c>
      <c r="CT151" s="28">
        <f>COGS!CT151+'SG&amp;A'!CT151</f>
        <v>0</v>
      </c>
      <c r="CU151" s="28">
        <f>COGS!CU151+'SG&amp;A'!CU151</f>
        <v>0</v>
      </c>
      <c r="CV151" s="28">
        <f>COGS!CV151+'SG&amp;A'!CV151</f>
        <v>0</v>
      </c>
      <c r="CW151" s="28">
        <f>COGS!CW151+'SG&amp;A'!CW151</f>
        <v>0</v>
      </c>
      <c r="CX151" s="28">
        <f>COGS!CX151+'SG&amp;A'!CX151</f>
        <v>0</v>
      </c>
      <c r="CY151" s="28">
        <f>COGS!CY151+'SG&amp;A'!CY151</f>
        <v>0</v>
      </c>
      <c r="CZ151" s="28">
        <f>COGS!CZ151+'SG&amp;A'!CZ151</f>
        <v>0</v>
      </c>
      <c r="DA151" s="28">
        <f>COGS!DA151+'SG&amp;A'!DA151</f>
        <v>0</v>
      </c>
      <c r="DB151" s="28">
        <f>COGS!DB151+'SG&amp;A'!DB151</f>
        <v>0</v>
      </c>
      <c r="DC151" s="28">
        <f>COGS!DC151+'SG&amp;A'!DC151</f>
        <v>0</v>
      </c>
      <c r="DD151" s="28">
        <f>COGS!DD151+'SG&amp;A'!DD151</f>
        <v>0.622</v>
      </c>
      <c r="DE151" s="28">
        <f>COGS!DE151+'SG&amp;A'!DE151</f>
        <v>1.9390000000000001</v>
      </c>
      <c r="DF151" s="28">
        <f>COGS!DF151+'SG&amp;A'!DF151</f>
        <v>3.3380000000000001</v>
      </c>
      <c r="DG151" s="28">
        <f>COGS!DG151+'SG&amp;A'!DG151</f>
        <v>5.899</v>
      </c>
      <c r="DH151" s="28">
        <f>COGS!DH151+'SG&amp;A'!DH151</f>
        <v>3.7709999999999999</v>
      </c>
      <c r="DI151" s="28">
        <f>COGS!DI151+'SG&amp;A'!DI151</f>
        <v>2.0679999999999996</v>
      </c>
      <c r="DJ151" s="28">
        <f>COGS!DJ151+'SG&amp;A'!DJ151</f>
        <v>2.105</v>
      </c>
      <c r="DK151" s="28">
        <f>COGS!DK151+'SG&amp;A'!DK151</f>
        <v>0.54100000000000004</v>
      </c>
      <c r="DL151" s="28">
        <f>COGS!DL151+'SG&amp;A'!DL151</f>
        <v>8.4849999999999994</v>
      </c>
      <c r="DM151" s="28">
        <f>COGS!DM151+'SG&amp;A'!DM151</f>
        <v>1.877</v>
      </c>
      <c r="DN151" s="28">
        <f>COGS!DN151+'SG&amp;A'!DN151</f>
        <v>1.972</v>
      </c>
      <c r="DO151" s="28">
        <f>COGS!DO151+'SG&amp;A'!DO151</f>
        <v>2.04</v>
      </c>
      <c r="DP151" s="28">
        <f>COGS!DP151+'SG&amp;A'!DP151</f>
        <v>1.528</v>
      </c>
      <c r="DQ151" s="28">
        <f>COGS!DQ151+'SG&amp;A'!DQ151</f>
        <v>7.4170000000000007</v>
      </c>
      <c r="DR151" s="28">
        <f>COGS!DR151+'SG&amp;A'!DR151</f>
        <v>2.181</v>
      </c>
      <c r="DS151" s="28">
        <f>COGS!DS151+'SG&amp;A'!DS151</f>
        <v>2.1480000000000001</v>
      </c>
      <c r="DT151" s="28">
        <f>COGS!DT151+'SG&amp;A'!DT151</f>
        <v>2.2809999999999997</v>
      </c>
      <c r="DU151" s="28">
        <f>COGS!DU151+'SG&amp;A'!DU151</f>
        <v>2.46</v>
      </c>
      <c r="DV151" s="28">
        <f>COGS!DV151+'SG&amp;A'!DV151</f>
        <v>9.07</v>
      </c>
      <c r="DW151" s="28">
        <f>COGS!DW151+'SG&amp;A'!DW151</f>
        <v>2.4019999999999997</v>
      </c>
      <c r="DX151" s="28">
        <f>COGS!DX151+'SG&amp;A'!DX151</f>
        <v>2.20787077</v>
      </c>
      <c r="DY151" s="28">
        <f>COGS!DY151+'SG&amp;A'!DY151</f>
        <v>2.3952823599999999</v>
      </c>
      <c r="DZ151" s="28">
        <f>COGS!DZ151+'SG&amp;A'!DZ151</f>
        <v>2.2442045300000011</v>
      </c>
      <c r="EA151" s="28">
        <f>COGS!EA151+'SG&amp;A'!EA151</f>
        <v>9.2493576599999994</v>
      </c>
      <c r="EB151" s="28">
        <f>COGS!EB151+'SG&amp;A'!EB151</f>
        <v>2.4279879100000001</v>
      </c>
      <c r="EC151" s="28">
        <f>COGS!EC151+'SG&amp;A'!EC151</f>
        <v>2.4045490500000004</v>
      </c>
      <c r="ED151" s="28">
        <f>COGS!ED151+'SG&amp;A'!ED151</f>
        <v>2.573</v>
      </c>
      <c r="EE151" s="28">
        <f>COGS!EE151+'SG&amp;A'!EE151</f>
        <v>2.5041255699999998</v>
      </c>
      <c r="EF151" s="28">
        <f>COGS!EF151+'SG&amp;A'!EF151</f>
        <v>9.9096625300000003</v>
      </c>
      <c r="EG151" s="28">
        <f>COGS!EG151+'SG&amp;A'!EG151</f>
        <v>2.73324531</v>
      </c>
      <c r="EH151" s="28">
        <f>COGS!EH151+'SG&amp;A'!EH151</f>
        <v>2.8537622699999998</v>
      </c>
      <c r="EI151" s="28">
        <f>COGS!EI151+'SG&amp;A'!EI151</f>
        <v>3.78765537</v>
      </c>
    </row>
    <row r="152" spans="1:139" ht="15" thickTop="1" x14ac:dyDescent="0.3">
      <c r="A152" s="1" t="s">
        <v>456</v>
      </c>
      <c r="B152" s="27">
        <f>COGS!B152+'SG&amp;A'!B152</f>
        <v>0</v>
      </c>
      <c r="C152" s="27">
        <f>COGS!C152+'SG&amp;A'!C152</f>
        <v>0</v>
      </c>
      <c r="D152" s="27">
        <f>COGS!D152+'SG&amp;A'!D152</f>
        <v>0</v>
      </c>
      <c r="E152" s="27">
        <f>COGS!E152+'SG&amp;A'!E152</f>
        <v>0</v>
      </c>
      <c r="F152" s="27">
        <f>COGS!F152+'SG&amp;A'!F152</f>
        <v>0</v>
      </c>
      <c r="G152" s="27">
        <f>COGS!G152+'SG&amp;A'!G152</f>
        <v>0</v>
      </c>
      <c r="H152" s="27">
        <f>COGS!H152+'SG&amp;A'!H152</f>
        <v>0</v>
      </c>
      <c r="I152" s="27">
        <f>COGS!I152+'SG&amp;A'!I152</f>
        <v>0</v>
      </c>
      <c r="J152" s="27">
        <f>COGS!J152+'SG&amp;A'!J152</f>
        <v>0</v>
      </c>
      <c r="K152" s="27">
        <f>COGS!K152+'SG&amp;A'!K152</f>
        <v>0</v>
      </c>
      <c r="L152" s="27">
        <f>COGS!L152+'SG&amp;A'!L152</f>
        <v>0</v>
      </c>
      <c r="M152" s="27">
        <f>COGS!M152+'SG&amp;A'!M152</f>
        <v>0</v>
      </c>
      <c r="N152" s="27">
        <f>COGS!N152+'SG&amp;A'!N152</f>
        <v>0</v>
      </c>
      <c r="O152" s="27">
        <f>COGS!O152+'SG&amp;A'!O152</f>
        <v>0</v>
      </c>
      <c r="P152" s="27">
        <f>COGS!P152+'SG&amp;A'!P152</f>
        <v>0</v>
      </c>
      <c r="Q152" s="27">
        <f>COGS!Q152+'SG&amp;A'!Q152</f>
        <v>0</v>
      </c>
      <c r="R152" s="27">
        <f>COGS!R152+'SG&amp;A'!R152</f>
        <v>0</v>
      </c>
      <c r="S152" s="27">
        <f>COGS!S152+'SG&amp;A'!S152</f>
        <v>0</v>
      </c>
      <c r="T152" s="27">
        <f>COGS!T152+'SG&amp;A'!T152</f>
        <v>0</v>
      </c>
      <c r="U152" s="27">
        <f>COGS!U152+'SG&amp;A'!U152</f>
        <v>0</v>
      </c>
      <c r="V152" s="27">
        <f>COGS!V152+'SG&amp;A'!V152</f>
        <v>0</v>
      </c>
      <c r="W152" s="27">
        <f>COGS!W152+'SG&amp;A'!W152</f>
        <v>0</v>
      </c>
      <c r="X152" s="27">
        <f>COGS!X152+'SG&amp;A'!X152</f>
        <v>0</v>
      </c>
      <c r="Y152" s="27">
        <f>COGS!Y152+'SG&amp;A'!Y152</f>
        <v>0</v>
      </c>
      <c r="Z152" s="27">
        <f>COGS!Z152+'SG&amp;A'!Z152</f>
        <v>0</v>
      </c>
      <c r="AA152" s="27">
        <f>COGS!AA152+'SG&amp;A'!AA152</f>
        <v>0</v>
      </c>
      <c r="AB152" s="27">
        <f>COGS!AB152+'SG&amp;A'!AB152</f>
        <v>0</v>
      </c>
      <c r="AC152" s="27">
        <f>COGS!AC152+'SG&amp;A'!AC152</f>
        <v>0</v>
      </c>
      <c r="AD152" s="27">
        <f>COGS!AD152+'SG&amp;A'!AD152</f>
        <v>0</v>
      </c>
      <c r="AE152" s="27">
        <f>COGS!AE152+'SG&amp;A'!AE152</f>
        <v>0</v>
      </c>
      <c r="AF152" s="27">
        <f>COGS!AF152+'SG&amp;A'!AF152</f>
        <v>0</v>
      </c>
      <c r="AG152" s="27">
        <f>COGS!AG152+'SG&amp;A'!AG152</f>
        <v>0</v>
      </c>
      <c r="AH152" s="27">
        <f>COGS!AH152+'SG&amp;A'!AH152</f>
        <v>0</v>
      </c>
      <c r="AI152" s="27">
        <f>COGS!AI152+'SG&amp;A'!AI152</f>
        <v>0</v>
      </c>
      <c r="AJ152" s="27">
        <f>COGS!AJ152+'SG&amp;A'!AJ152</f>
        <v>0</v>
      </c>
      <c r="AK152" s="27">
        <f>COGS!AK152+'SG&amp;A'!AK152</f>
        <v>0</v>
      </c>
      <c r="AL152" s="27">
        <f>COGS!AL152+'SG&amp;A'!AL152</f>
        <v>0</v>
      </c>
      <c r="AM152" s="27">
        <f>COGS!AM152+'SG&amp;A'!AM152</f>
        <v>0</v>
      </c>
      <c r="AN152" s="27">
        <f>COGS!AN152+'SG&amp;A'!AN152</f>
        <v>0</v>
      </c>
      <c r="AO152" s="27">
        <f>COGS!AO152+'SG&amp;A'!AO152</f>
        <v>0</v>
      </c>
      <c r="AP152" s="27">
        <f>COGS!AP152+'SG&amp;A'!AP152</f>
        <v>0</v>
      </c>
      <c r="AQ152" s="27">
        <f>COGS!AQ152+'SG&amp;A'!AQ152</f>
        <v>0</v>
      </c>
      <c r="AR152" s="27">
        <f>COGS!AR152+'SG&amp;A'!AR152</f>
        <v>0</v>
      </c>
      <c r="AS152" s="27">
        <f>COGS!AS152+'SG&amp;A'!AS152</f>
        <v>0</v>
      </c>
      <c r="AT152" s="27">
        <f>COGS!AT152+'SG&amp;A'!AT152</f>
        <v>0</v>
      </c>
      <c r="AU152" s="27">
        <f>COGS!AU152+'SG&amp;A'!AU152</f>
        <v>0</v>
      </c>
      <c r="AV152" s="27">
        <f>COGS!AV152+'SG&amp;A'!AV152</f>
        <v>0</v>
      </c>
      <c r="AW152" s="27">
        <f>COGS!AW152+'SG&amp;A'!AW152</f>
        <v>0</v>
      </c>
      <c r="AX152" s="27">
        <f>COGS!AX152+'SG&amp;A'!AX152</f>
        <v>0</v>
      </c>
      <c r="AY152" s="27">
        <f>COGS!AY152+'SG&amp;A'!AY152</f>
        <v>0</v>
      </c>
      <c r="AZ152" s="27">
        <f>COGS!AZ152+'SG&amp;A'!AZ152</f>
        <v>0</v>
      </c>
      <c r="BA152" s="27">
        <f>COGS!BA152+'SG&amp;A'!BA152</f>
        <v>0</v>
      </c>
      <c r="BB152" s="27">
        <f>COGS!BB152+'SG&amp;A'!BB152</f>
        <v>0</v>
      </c>
      <c r="BC152" s="27">
        <f>COGS!BC152+'SG&amp;A'!BC152</f>
        <v>0</v>
      </c>
      <c r="BD152" s="27">
        <f>COGS!BD152+'SG&amp;A'!BD152</f>
        <v>0</v>
      </c>
      <c r="BE152" s="27">
        <f>COGS!BE152+'SG&amp;A'!BE152</f>
        <v>0</v>
      </c>
      <c r="BF152" s="27">
        <f>COGS!BF152+'SG&amp;A'!BF152</f>
        <v>0</v>
      </c>
      <c r="BG152" s="27">
        <f>COGS!BG152+'SG&amp;A'!BG152</f>
        <v>0</v>
      </c>
      <c r="BH152" s="27">
        <f>COGS!BH152+'SG&amp;A'!BH152</f>
        <v>0</v>
      </c>
      <c r="BI152" s="27">
        <f>COGS!BI152+'SG&amp;A'!BI152</f>
        <v>0</v>
      </c>
      <c r="BJ152" s="27">
        <f>COGS!BJ152+'SG&amp;A'!BJ152</f>
        <v>0</v>
      </c>
      <c r="BK152" s="27">
        <f>COGS!BK152+'SG&amp;A'!BK152</f>
        <v>0</v>
      </c>
      <c r="BL152" s="27">
        <f>COGS!BL152+'SG&amp;A'!BL152</f>
        <v>0</v>
      </c>
      <c r="BM152" s="27">
        <f>COGS!BM152+'SG&amp;A'!BM152</f>
        <v>0</v>
      </c>
      <c r="BN152" s="27">
        <f>COGS!BN152+'SG&amp;A'!BN152</f>
        <v>0</v>
      </c>
      <c r="BO152" s="27">
        <f>COGS!BO152+'SG&amp;A'!BO152</f>
        <v>0</v>
      </c>
      <c r="BP152" s="27">
        <f>COGS!BP152+'SG&amp;A'!BP152</f>
        <v>0</v>
      </c>
      <c r="BQ152" s="27">
        <f>COGS!BQ152+'SG&amp;A'!BQ152</f>
        <v>0</v>
      </c>
      <c r="BR152" s="27">
        <f>COGS!BR152+'SG&amp;A'!BR152</f>
        <v>0</v>
      </c>
      <c r="BS152" s="27">
        <f>COGS!BS152+'SG&amp;A'!BS152</f>
        <v>0</v>
      </c>
      <c r="BT152" s="27">
        <f>COGS!BT152+'SG&amp;A'!BT152</f>
        <v>0</v>
      </c>
      <c r="BU152" s="27">
        <f>COGS!BU152+'SG&amp;A'!BU152</f>
        <v>0</v>
      </c>
      <c r="BV152" s="27">
        <f>COGS!BV152+'SG&amp;A'!BV152</f>
        <v>0</v>
      </c>
      <c r="BW152" s="27">
        <f>COGS!BW152+'SG&amp;A'!BW152</f>
        <v>0</v>
      </c>
      <c r="BX152" s="27">
        <f>COGS!BX152+'SG&amp;A'!BX152</f>
        <v>0</v>
      </c>
      <c r="BY152" s="27">
        <f>COGS!BY152+'SG&amp;A'!BY152</f>
        <v>0</v>
      </c>
      <c r="BZ152" s="27">
        <f>COGS!BZ152+'SG&amp;A'!BZ152</f>
        <v>0</v>
      </c>
      <c r="CA152" s="27">
        <f>COGS!CA152+'SG&amp;A'!CA152</f>
        <v>0</v>
      </c>
      <c r="CB152" s="27">
        <f>COGS!CB152+'SG&amp;A'!CB152</f>
        <v>0</v>
      </c>
      <c r="CC152" s="27">
        <f>COGS!CC152+'SG&amp;A'!CC152</f>
        <v>0</v>
      </c>
      <c r="CD152" s="27">
        <f>COGS!CD152+'SG&amp;A'!CD152</f>
        <v>0</v>
      </c>
      <c r="CE152" s="27">
        <f>COGS!CE152+'SG&amp;A'!CE152</f>
        <v>0</v>
      </c>
      <c r="CF152" s="27">
        <f>COGS!CF152+'SG&amp;A'!CF152</f>
        <v>0</v>
      </c>
      <c r="CG152" s="27">
        <f>COGS!CG152+'SG&amp;A'!CG152</f>
        <v>0</v>
      </c>
      <c r="CH152" s="27">
        <f>COGS!CH152+'SG&amp;A'!CH152</f>
        <v>0</v>
      </c>
      <c r="CI152" s="27">
        <f>COGS!CI152+'SG&amp;A'!CI152</f>
        <v>0</v>
      </c>
      <c r="CJ152" s="27">
        <f>COGS!CJ152+'SG&amp;A'!CJ152</f>
        <v>0</v>
      </c>
      <c r="CK152" s="27">
        <f>COGS!CK152+'SG&amp;A'!CK152</f>
        <v>0</v>
      </c>
      <c r="CL152" s="27">
        <f>COGS!CL152+'SG&amp;A'!CL152</f>
        <v>0</v>
      </c>
      <c r="CM152" s="27">
        <f>COGS!CM152+'SG&amp;A'!CM152</f>
        <v>0</v>
      </c>
      <c r="CN152" s="27">
        <f>COGS!CN152+'SG&amp;A'!CN152</f>
        <v>0</v>
      </c>
      <c r="CO152" s="27">
        <f>COGS!CO152+'SG&amp;A'!CO152</f>
        <v>0</v>
      </c>
      <c r="CP152" s="27">
        <f>COGS!CP152+'SG&amp;A'!CP152</f>
        <v>0</v>
      </c>
      <c r="CQ152" s="27">
        <f>COGS!CQ152+'SG&amp;A'!CQ152</f>
        <v>0</v>
      </c>
      <c r="CR152" s="27">
        <f>COGS!CR152+'SG&amp;A'!CR152</f>
        <v>0</v>
      </c>
      <c r="CS152" s="27">
        <f>COGS!CS152+'SG&amp;A'!CS152</f>
        <v>0</v>
      </c>
      <c r="CT152" s="27">
        <f>COGS!CT152+'SG&amp;A'!CT152</f>
        <v>0</v>
      </c>
      <c r="CU152" s="27">
        <f>COGS!CU152+'SG&amp;A'!CU152</f>
        <v>0</v>
      </c>
      <c r="CV152" s="27">
        <f>COGS!CV152+'SG&amp;A'!CV152</f>
        <v>0</v>
      </c>
      <c r="CW152" s="27">
        <f>COGS!CW152+'SG&amp;A'!CW152</f>
        <v>0</v>
      </c>
      <c r="CX152" s="27">
        <f>COGS!CX152+'SG&amp;A'!CX152</f>
        <v>0</v>
      </c>
      <c r="CY152" s="27">
        <f>COGS!CY152+'SG&amp;A'!CY152</f>
        <v>1.4999999999999999E-2</v>
      </c>
      <c r="CZ152" s="27">
        <f>COGS!CZ152+'SG&amp;A'!CZ152</f>
        <v>0.41799999999999998</v>
      </c>
      <c r="DA152" s="27">
        <f>COGS!DA152+'SG&amp;A'!DA152</f>
        <v>1.5369999999999999</v>
      </c>
      <c r="DB152" s="27">
        <f>COGS!DB152+'SG&amp;A'!DB152</f>
        <v>1.97</v>
      </c>
      <c r="DC152" s="27">
        <f>COGS!DC152+'SG&amp;A'!DC152</f>
        <v>2.2850000000000001</v>
      </c>
      <c r="DD152" s="27">
        <f>COGS!DD152+'SG&amp;A'!DD152</f>
        <v>2.0609999999999999</v>
      </c>
      <c r="DE152" s="27">
        <f>COGS!DE152+'SG&amp;A'!DE152</f>
        <v>2.0009999999999999</v>
      </c>
      <c r="DF152" s="27">
        <f>COGS!DF152+'SG&amp;A'!DF152</f>
        <v>1.581</v>
      </c>
      <c r="DG152" s="27">
        <f>COGS!DG152+'SG&amp;A'!DG152</f>
        <v>7.9279999999999999</v>
      </c>
      <c r="DH152" s="27">
        <f>COGS!DH152+'SG&amp;A'!DH152</f>
        <v>0.97599999999999998</v>
      </c>
      <c r="DI152" s="27">
        <f>COGS!DI152+'SG&amp;A'!DI152</f>
        <v>-0.22900000000000001</v>
      </c>
      <c r="DJ152" s="27">
        <f>COGS!DJ152+'SG&amp;A'!DJ152</f>
        <v>1.069</v>
      </c>
      <c r="DK152" s="27">
        <f>COGS!DK152+'SG&amp;A'!DK152</f>
        <v>1.484</v>
      </c>
      <c r="DL152" s="27">
        <f>COGS!DL152+'SG&amp;A'!DL152</f>
        <v>3.3000000000000003</v>
      </c>
      <c r="DM152" s="27">
        <f>COGS!DM152+'SG&amp;A'!DM152</f>
        <v>1.113</v>
      </c>
      <c r="DN152" s="27">
        <f>COGS!DN152+'SG&amp;A'!DN152</f>
        <v>0.96899999999999986</v>
      </c>
      <c r="DO152" s="27">
        <f>COGS!DO152+'SG&amp;A'!DO152</f>
        <v>1.0169999999999999</v>
      </c>
      <c r="DP152" s="27">
        <f>COGS!DP152+'SG&amp;A'!DP152</f>
        <v>0.98699999999999999</v>
      </c>
      <c r="DQ152" s="27">
        <f>COGS!DQ152+'SG&amp;A'!DQ152</f>
        <v>4.0860000000000003</v>
      </c>
      <c r="DR152" s="27">
        <f>COGS!DR152+'SG&amp;A'!DR152</f>
        <v>1.137</v>
      </c>
      <c r="DS152" s="27">
        <f>COGS!DS152+'SG&amp;A'!DS152</f>
        <v>0.95299999999999996</v>
      </c>
      <c r="DT152" s="27">
        <f>COGS!DT152+'SG&amp;A'!DT152</f>
        <v>1.2449999999999999</v>
      </c>
      <c r="DU152" s="27">
        <f>COGS!DU152+'SG&amp;A'!DU152</f>
        <v>1.32</v>
      </c>
      <c r="DV152" s="27">
        <f>COGS!DV152+'SG&amp;A'!DV152</f>
        <v>4.6550000000000002</v>
      </c>
      <c r="DW152" s="27">
        <f>COGS!DW152+'SG&amp;A'!DW152</f>
        <v>1.468</v>
      </c>
      <c r="DX152" s="27">
        <f>COGS!DX152+'SG&amp;A'!DX152</f>
        <v>1.16428314</v>
      </c>
      <c r="DY152" s="27">
        <f>COGS!DY152+'SG&amp;A'!DY152</f>
        <v>1.2960555</v>
      </c>
      <c r="DZ152" s="27">
        <f>COGS!DZ152+'SG&amp;A'!DZ152</f>
        <v>1.3010029399999998</v>
      </c>
      <c r="EA152" s="27">
        <f>COGS!EA152+'SG&amp;A'!EA152</f>
        <v>5.2293415800000007</v>
      </c>
      <c r="EB152" s="27">
        <f>COGS!EB152+'SG&amp;A'!EB152</f>
        <v>1.22582894</v>
      </c>
      <c r="EC152" s="27">
        <f>COGS!EC152+'SG&amp;A'!EC152</f>
        <v>1.2971193699999999</v>
      </c>
      <c r="ED152" s="27">
        <f>COGS!ED152+'SG&amp;A'!ED152</f>
        <v>1.2669999999999999</v>
      </c>
      <c r="EE152" s="27">
        <f>COGS!EE152+'SG&amp;A'!EE152</f>
        <v>1.1937530799999998</v>
      </c>
      <c r="EF152" s="27">
        <f>COGS!EF152+'SG&amp;A'!EF152</f>
        <v>4.9837013899999993</v>
      </c>
      <c r="EG152" s="27">
        <f>COGS!EG152+'SG&amp;A'!EG152</f>
        <v>1.27978423</v>
      </c>
      <c r="EH152" s="27">
        <f>COGS!EH152+'SG&amp;A'!EH152</f>
        <v>1.55900208</v>
      </c>
      <c r="EI152" s="27">
        <f>COGS!EI152+'SG&amp;A'!EI152</f>
        <v>1.15038336</v>
      </c>
    </row>
    <row r="153" spans="1:139" ht="15" thickBot="1" x14ac:dyDescent="0.35">
      <c r="A153" s="2" t="s">
        <v>446</v>
      </c>
      <c r="B153" s="28">
        <f>COGS!B153+'SG&amp;A'!B153</f>
        <v>0</v>
      </c>
      <c r="C153" s="28">
        <f>COGS!C153+'SG&amp;A'!C153</f>
        <v>0</v>
      </c>
      <c r="D153" s="28">
        <f>COGS!D153+'SG&amp;A'!D153</f>
        <v>0</v>
      </c>
      <c r="E153" s="28">
        <f>COGS!E153+'SG&amp;A'!E153</f>
        <v>0</v>
      </c>
      <c r="F153" s="28">
        <f>COGS!F153+'SG&amp;A'!F153</f>
        <v>0</v>
      </c>
      <c r="G153" s="28">
        <f>COGS!G153+'SG&amp;A'!G153</f>
        <v>0</v>
      </c>
      <c r="H153" s="28">
        <f>COGS!H153+'SG&amp;A'!H153</f>
        <v>0</v>
      </c>
      <c r="I153" s="28">
        <f>COGS!I153+'SG&amp;A'!I153</f>
        <v>0</v>
      </c>
      <c r="J153" s="28">
        <f>COGS!J153+'SG&amp;A'!J153</f>
        <v>0</v>
      </c>
      <c r="K153" s="28">
        <f>COGS!K153+'SG&amp;A'!K153</f>
        <v>0</v>
      </c>
      <c r="L153" s="28">
        <f>COGS!L153+'SG&amp;A'!L153</f>
        <v>0</v>
      </c>
      <c r="M153" s="28">
        <f>COGS!M153+'SG&amp;A'!M153</f>
        <v>0</v>
      </c>
      <c r="N153" s="28">
        <f>COGS!N153+'SG&amp;A'!N153</f>
        <v>0</v>
      </c>
      <c r="O153" s="28">
        <f>COGS!O153+'SG&amp;A'!O153</f>
        <v>0</v>
      </c>
      <c r="P153" s="28">
        <f>COGS!P153+'SG&amp;A'!P153</f>
        <v>0</v>
      </c>
      <c r="Q153" s="28">
        <f>COGS!Q153+'SG&amp;A'!Q153</f>
        <v>0</v>
      </c>
      <c r="R153" s="28">
        <f>COGS!R153+'SG&amp;A'!R153</f>
        <v>0</v>
      </c>
      <c r="S153" s="28">
        <f>COGS!S153+'SG&amp;A'!S153</f>
        <v>0</v>
      </c>
      <c r="T153" s="28">
        <f>COGS!T153+'SG&amp;A'!T153</f>
        <v>0</v>
      </c>
      <c r="U153" s="28">
        <f>COGS!U153+'SG&amp;A'!U153</f>
        <v>0</v>
      </c>
      <c r="V153" s="28">
        <f>COGS!V153+'SG&amp;A'!V153</f>
        <v>0</v>
      </c>
      <c r="W153" s="28">
        <f>COGS!W153+'SG&amp;A'!W153</f>
        <v>0</v>
      </c>
      <c r="X153" s="28">
        <f>COGS!X153+'SG&amp;A'!X153</f>
        <v>0</v>
      </c>
      <c r="Y153" s="28">
        <f>COGS!Y153+'SG&amp;A'!Y153</f>
        <v>0</v>
      </c>
      <c r="Z153" s="28">
        <f>COGS!Z153+'SG&amp;A'!Z153</f>
        <v>0</v>
      </c>
      <c r="AA153" s="28">
        <f>COGS!AA153+'SG&amp;A'!AA153</f>
        <v>0</v>
      </c>
      <c r="AB153" s="28">
        <f>COGS!AB153+'SG&amp;A'!AB153</f>
        <v>0</v>
      </c>
      <c r="AC153" s="28">
        <f>COGS!AC153+'SG&amp;A'!AC153</f>
        <v>0</v>
      </c>
      <c r="AD153" s="28">
        <f>COGS!AD153+'SG&amp;A'!AD153</f>
        <v>0</v>
      </c>
      <c r="AE153" s="28">
        <f>COGS!AE153+'SG&amp;A'!AE153</f>
        <v>0</v>
      </c>
      <c r="AF153" s="28">
        <f>COGS!AF153+'SG&amp;A'!AF153</f>
        <v>0</v>
      </c>
      <c r="AG153" s="28">
        <f>COGS!AG153+'SG&amp;A'!AG153</f>
        <v>0</v>
      </c>
      <c r="AH153" s="28">
        <f>COGS!AH153+'SG&amp;A'!AH153</f>
        <v>0</v>
      </c>
      <c r="AI153" s="28">
        <f>COGS!AI153+'SG&amp;A'!AI153</f>
        <v>0</v>
      </c>
      <c r="AJ153" s="28">
        <f>COGS!AJ153+'SG&amp;A'!AJ153</f>
        <v>0</v>
      </c>
      <c r="AK153" s="28">
        <f>COGS!AK153+'SG&amp;A'!AK153</f>
        <v>0</v>
      </c>
      <c r="AL153" s="28">
        <f>COGS!AL153+'SG&amp;A'!AL153</f>
        <v>0</v>
      </c>
      <c r="AM153" s="28">
        <f>COGS!AM153+'SG&amp;A'!AM153</f>
        <v>0</v>
      </c>
      <c r="AN153" s="28">
        <f>COGS!AN153+'SG&amp;A'!AN153</f>
        <v>0</v>
      </c>
      <c r="AO153" s="28">
        <f>COGS!AO153+'SG&amp;A'!AO153</f>
        <v>0</v>
      </c>
      <c r="AP153" s="28">
        <f>COGS!AP153+'SG&amp;A'!AP153</f>
        <v>0</v>
      </c>
      <c r="AQ153" s="28">
        <f>COGS!AQ153+'SG&amp;A'!AQ153</f>
        <v>0</v>
      </c>
      <c r="AR153" s="28">
        <f>COGS!AR153+'SG&amp;A'!AR153</f>
        <v>0</v>
      </c>
      <c r="AS153" s="28">
        <f>COGS!AS153+'SG&amp;A'!AS153</f>
        <v>0</v>
      </c>
      <c r="AT153" s="28">
        <f>COGS!AT153+'SG&amp;A'!AT153</f>
        <v>0</v>
      </c>
      <c r="AU153" s="28">
        <f>COGS!AU153+'SG&amp;A'!AU153</f>
        <v>0</v>
      </c>
      <c r="AV153" s="28">
        <f>COGS!AV153+'SG&amp;A'!AV153</f>
        <v>0</v>
      </c>
      <c r="AW153" s="28">
        <f>COGS!AW153+'SG&amp;A'!AW153</f>
        <v>0</v>
      </c>
      <c r="AX153" s="28">
        <f>COGS!AX153+'SG&amp;A'!AX153</f>
        <v>0</v>
      </c>
      <c r="AY153" s="28">
        <f>COGS!AY153+'SG&amp;A'!AY153</f>
        <v>0</v>
      </c>
      <c r="AZ153" s="28">
        <f>COGS!AZ153+'SG&amp;A'!AZ153</f>
        <v>0</v>
      </c>
      <c r="BA153" s="28">
        <f>COGS!BA153+'SG&amp;A'!BA153</f>
        <v>0</v>
      </c>
      <c r="BB153" s="28">
        <f>COGS!BB153+'SG&amp;A'!BB153</f>
        <v>0</v>
      </c>
      <c r="BC153" s="28">
        <f>COGS!BC153+'SG&amp;A'!BC153</f>
        <v>0</v>
      </c>
      <c r="BD153" s="28">
        <f>COGS!BD153+'SG&amp;A'!BD153</f>
        <v>0</v>
      </c>
      <c r="BE153" s="28">
        <f>COGS!BE153+'SG&amp;A'!BE153</f>
        <v>0</v>
      </c>
      <c r="BF153" s="28">
        <f>COGS!BF153+'SG&amp;A'!BF153</f>
        <v>0</v>
      </c>
      <c r="BG153" s="28">
        <f>COGS!BG153+'SG&amp;A'!BG153</f>
        <v>0</v>
      </c>
      <c r="BH153" s="28">
        <f>COGS!BH153+'SG&amp;A'!BH153</f>
        <v>0</v>
      </c>
      <c r="BI153" s="28">
        <f>COGS!BI153+'SG&amp;A'!BI153</f>
        <v>0</v>
      </c>
      <c r="BJ153" s="28">
        <f>COGS!BJ153+'SG&amp;A'!BJ153</f>
        <v>0</v>
      </c>
      <c r="BK153" s="28">
        <f>COGS!BK153+'SG&amp;A'!BK153</f>
        <v>0</v>
      </c>
      <c r="BL153" s="28">
        <f>COGS!BL153+'SG&amp;A'!BL153</f>
        <v>0</v>
      </c>
      <c r="BM153" s="28">
        <f>COGS!BM153+'SG&amp;A'!BM153</f>
        <v>0</v>
      </c>
      <c r="BN153" s="28">
        <f>COGS!BN153+'SG&amp;A'!BN153</f>
        <v>0</v>
      </c>
      <c r="BO153" s="28">
        <f>COGS!BO153+'SG&amp;A'!BO153</f>
        <v>0</v>
      </c>
      <c r="BP153" s="28">
        <f>COGS!BP153+'SG&amp;A'!BP153</f>
        <v>0</v>
      </c>
      <c r="BQ153" s="28">
        <f>COGS!BQ153+'SG&amp;A'!BQ153</f>
        <v>0</v>
      </c>
      <c r="BR153" s="28">
        <f>COGS!BR153+'SG&amp;A'!BR153</f>
        <v>0</v>
      </c>
      <c r="BS153" s="28">
        <f>COGS!BS153+'SG&amp;A'!BS153</f>
        <v>0</v>
      </c>
      <c r="BT153" s="28">
        <f>COGS!BT153+'SG&amp;A'!BT153</f>
        <v>0</v>
      </c>
      <c r="BU153" s="28">
        <f>COGS!BU153+'SG&amp;A'!BU153</f>
        <v>0</v>
      </c>
      <c r="BV153" s="28">
        <f>COGS!BV153+'SG&amp;A'!BV153</f>
        <v>0</v>
      </c>
      <c r="BW153" s="28">
        <f>COGS!BW153+'SG&amp;A'!BW153</f>
        <v>0</v>
      </c>
      <c r="BX153" s="28">
        <f>COGS!BX153+'SG&amp;A'!BX153</f>
        <v>0</v>
      </c>
      <c r="BY153" s="28">
        <f>COGS!BY153+'SG&amp;A'!BY153</f>
        <v>0</v>
      </c>
      <c r="BZ153" s="28">
        <f>COGS!BZ153+'SG&amp;A'!BZ153</f>
        <v>0</v>
      </c>
      <c r="CA153" s="28">
        <f>COGS!CA153+'SG&amp;A'!CA153</f>
        <v>0</v>
      </c>
      <c r="CB153" s="28">
        <f>COGS!CB153+'SG&amp;A'!CB153</f>
        <v>0</v>
      </c>
      <c r="CC153" s="28">
        <f>COGS!CC153+'SG&amp;A'!CC153</f>
        <v>0</v>
      </c>
      <c r="CD153" s="28">
        <f>COGS!CD153+'SG&amp;A'!CD153</f>
        <v>0</v>
      </c>
      <c r="CE153" s="28">
        <f>COGS!CE153+'SG&amp;A'!CE153</f>
        <v>0</v>
      </c>
      <c r="CF153" s="28">
        <f>COGS!CF153+'SG&amp;A'!CF153</f>
        <v>0</v>
      </c>
      <c r="CG153" s="28">
        <f>COGS!CG153+'SG&amp;A'!CG153</f>
        <v>0</v>
      </c>
      <c r="CH153" s="28">
        <f>COGS!CH153+'SG&amp;A'!CH153</f>
        <v>0</v>
      </c>
      <c r="CI153" s="28">
        <f>COGS!CI153+'SG&amp;A'!CI153</f>
        <v>0</v>
      </c>
      <c r="CJ153" s="28">
        <f>COGS!CJ153+'SG&amp;A'!CJ153</f>
        <v>0</v>
      </c>
      <c r="CK153" s="28">
        <f>COGS!CK153+'SG&amp;A'!CK153</f>
        <v>0</v>
      </c>
      <c r="CL153" s="28">
        <f>COGS!CL153+'SG&amp;A'!CL153</f>
        <v>0</v>
      </c>
      <c r="CM153" s="28">
        <f>COGS!CM153+'SG&amp;A'!CM153</f>
        <v>0</v>
      </c>
      <c r="CN153" s="28">
        <f>COGS!CN153+'SG&amp;A'!CN153</f>
        <v>0</v>
      </c>
      <c r="CO153" s="28">
        <f>COGS!CO153+'SG&amp;A'!CO153</f>
        <v>0</v>
      </c>
      <c r="CP153" s="28">
        <f>COGS!CP153+'SG&amp;A'!CP153</f>
        <v>0</v>
      </c>
      <c r="CQ153" s="28">
        <f>COGS!CQ153+'SG&amp;A'!CQ153</f>
        <v>0</v>
      </c>
      <c r="CR153" s="28">
        <f>COGS!CR153+'SG&amp;A'!CR153</f>
        <v>0</v>
      </c>
      <c r="CS153" s="28">
        <f>COGS!CS153+'SG&amp;A'!CS153</f>
        <v>0</v>
      </c>
      <c r="CT153" s="28">
        <f>COGS!CT153+'SG&amp;A'!CT153</f>
        <v>0</v>
      </c>
      <c r="CU153" s="28">
        <f>COGS!CU153+'SG&amp;A'!CU153</f>
        <v>0</v>
      </c>
      <c r="CV153" s="28">
        <f>COGS!CV153+'SG&amp;A'!CV153</f>
        <v>0</v>
      </c>
      <c r="CW153" s="28">
        <f>COGS!CW153+'SG&amp;A'!CW153</f>
        <v>0</v>
      </c>
      <c r="CX153" s="28">
        <f>COGS!CX153+'SG&amp;A'!CX153</f>
        <v>0</v>
      </c>
      <c r="CY153" s="28">
        <f>COGS!CY153+'SG&amp;A'!CY153</f>
        <v>0</v>
      </c>
      <c r="CZ153" s="28">
        <f>COGS!CZ153+'SG&amp;A'!CZ153</f>
        <v>0</v>
      </c>
      <c r="DA153" s="28">
        <f>COGS!DA153+'SG&amp;A'!DA153</f>
        <v>0</v>
      </c>
      <c r="DB153" s="28">
        <f>COGS!DB153+'SG&amp;A'!DB153</f>
        <v>0</v>
      </c>
      <c r="DC153" s="28">
        <f>COGS!DC153+'SG&amp;A'!DC153</f>
        <v>0</v>
      </c>
      <c r="DD153" s="28">
        <f>COGS!DD153+'SG&amp;A'!DD153</f>
        <v>0</v>
      </c>
      <c r="DE153" s="28">
        <f>COGS!DE153+'SG&amp;A'!DE153</f>
        <v>0</v>
      </c>
      <c r="DF153" s="28">
        <f>COGS!DF153+'SG&amp;A'!DF153</f>
        <v>0</v>
      </c>
      <c r="DG153" s="28">
        <f>COGS!DG153+'SG&amp;A'!DG153</f>
        <v>0</v>
      </c>
      <c r="DH153" s="28">
        <f>COGS!DH153+'SG&amp;A'!DH153</f>
        <v>0.499</v>
      </c>
      <c r="DI153" s="28">
        <f>COGS!DI153+'SG&amp;A'!DI153</f>
        <v>1.232</v>
      </c>
      <c r="DJ153" s="28">
        <f>COGS!DJ153+'SG&amp;A'!DJ153</f>
        <v>2.6779999999999999</v>
      </c>
      <c r="DK153" s="28">
        <f>COGS!DK153+'SG&amp;A'!DK153</f>
        <v>2.3239999999999998</v>
      </c>
      <c r="DL153" s="28">
        <f>COGS!DL153+'SG&amp;A'!DL153</f>
        <v>6.7329999999999997</v>
      </c>
      <c r="DM153" s="28">
        <f>COGS!DM153+'SG&amp;A'!DM153</f>
        <v>1.6559999999999999</v>
      </c>
      <c r="DN153" s="28">
        <f>COGS!DN153+'SG&amp;A'!DN153</f>
        <v>1.8720000000000001</v>
      </c>
      <c r="DO153" s="28">
        <f>COGS!DO153+'SG&amp;A'!DO153</f>
        <v>0.56399999999999995</v>
      </c>
      <c r="DP153" s="28">
        <f>COGS!DP153+'SG&amp;A'!DP153</f>
        <v>2.8079999999999998</v>
      </c>
      <c r="DQ153" s="28">
        <f>COGS!DQ153+'SG&amp;A'!DQ153</f>
        <v>6.9</v>
      </c>
      <c r="DR153" s="28">
        <f>COGS!DR153+'SG&amp;A'!DR153</f>
        <v>1.6960000000000002</v>
      </c>
      <c r="DS153" s="28">
        <f>COGS!DS153+'SG&amp;A'!DS153</f>
        <v>1.742</v>
      </c>
      <c r="DT153" s="28">
        <f>COGS!DT153+'SG&amp;A'!DT153</f>
        <v>1.7429999999999999</v>
      </c>
      <c r="DU153" s="28">
        <f>COGS!DU153+'SG&amp;A'!DU153</f>
        <v>1.655</v>
      </c>
      <c r="DV153" s="28">
        <f>COGS!DV153+'SG&amp;A'!DV153</f>
        <v>6.8360000000000003</v>
      </c>
      <c r="DW153" s="28">
        <f>COGS!DW153+'SG&amp;A'!DW153</f>
        <v>1.401</v>
      </c>
      <c r="DX153" s="28">
        <f>COGS!DX153+'SG&amp;A'!DX153</f>
        <v>1.47750607</v>
      </c>
      <c r="DY153" s="28">
        <f>COGS!DY153+'SG&amp;A'!DY153</f>
        <v>1.3919599300000001</v>
      </c>
      <c r="DZ153" s="28">
        <f>COGS!DZ153+'SG&amp;A'!DZ153</f>
        <v>2.2621355299999992</v>
      </c>
      <c r="EA153" s="28">
        <f>COGS!EA153+'SG&amp;A'!EA153</f>
        <v>6.53260153</v>
      </c>
      <c r="EB153" s="28">
        <f>COGS!EB153+'SG&amp;A'!EB153</f>
        <v>1.5872008099999999</v>
      </c>
      <c r="EC153" s="28">
        <f>COGS!EC153+'SG&amp;A'!EC153</f>
        <v>1.51665188</v>
      </c>
      <c r="ED153" s="28">
        <f>COGS!ED153+'SG&amp;A'!ED153</f>
        <v>1.7409999999999999</v>
      </c>
      <c r="EE153" s="28">
        <f>COGS!EE153+'SG&amp;A'!EE153</f>
        <v>1.49948254</v>
      </c>
      <c r="EF153" s="28">
        <f>COGS!EF153+'SG&amp;A'!EF153</f>
        <v>6.3443352300000004</v>
      </c>
      <c r="EG153" s="28">
        <f>COGS!EG153+'SG&amp;A'!EG153</f>
        <v>1.8877216300000002</v>
      </c>
      <c r="EH153" s="28">
        <f>COGS!EH153+'SG&amp;A'!EH153</f>
        <v>1.76135409</v>
      </c>
      <c r="EI153" s="28">
        <f>COGS!EI153+'SG&amp;A'!EI153</f>
        <v>1.9441560999999996</v>
      </c>
    </row>
    <row r="154" spans="1:139" ht="15" thickTop="1" x14ac:dyDescent="0.3">
      <c r="A154" s="1" t="s">
        <v>447</v>
      </c>
      <c r="B154" s="27">
        <f>COGS!B154+'SG&amp;A'!B154</f>
        <v>0</v>
      </c>
      <c r="C154" s="27">
        <f>COGS!C154+'SG&amp;A'!C154</f>
        <v>0</v>
      </c>
      <c r="D154" s="27">
        <f>COGS!D154+'SG&amp;A'!D154</f>
        <v>0</v>
      </c>
      <c r="E154" s="27">
        <f>COGS!E154+'SG&amp;A'!E154</f>
        <v>0</v>
      </c>
      <c r="F154" s="27">
        <f>COGS!F154+'SG&amp;A'!F154</f>
        <v>0</v>
      </c>
      <c r="G154" s="27">
        <f>COGS!G154+'SG&amp;A'!G154</f>
        <v>0</v>
      </c>
      <c r="H154" s="27">
        <f>COGS!H154+'SG&amp;A'!H154</f>
        <v>0</v>
      </c>
      <c r="I154" s="27">
        <f>COGS!I154+'SG&amp;A'!I154</f>
        <v>0</v>
      </c>
      <c r="J154" s="27">
        <f>COGS!J154+'SG&amp;A'!J154</f>
        <v>0</v>
      </c>
      <c r="K154" s="27">
        <f>COGS!K154+'SG&amp;A'!K154</f>
        <v>0</v>
      </c>
      <c r="L154" s="27">
        <f>COGS!L154+'SG&amp;A'!L154</f>
        <v>0</v>
      </c>
      <c r="M154" s="27">
        <f>COGS!M154+'SG&amp;A'!M154</f>
        <v>0</v>
      </c>
      <c r="N154" s="27">
        <f>COGS!N154+'SG&amp;A'!N154</f>
        <v>0</v>
      </c>
      <c r="O154" s="27">
        <f>COGS!O154+'SG&amp;A'!O154</f>
        <v>0</v>
      </c>
      <c r="P154" s="27">
        <f>COGS!P154+'SG&amp;A'!P154</f>
        <v>0</v>
      </c>
      <c r="Q154" s="27">
        <f>COGS!Q154+'SG&amp;A'!Q154</f>
        <v>0</v>
      </c>
      <c r="R154" s="27">
        <f>COGS!R154+'SG&amp;A'!R154</f>
        <v>0</v>
      </c>
      <c r="S154" s="27">
        <f>COGS!S154+'SG&amp;A'!S154</f>
        <v>0</v>
      </c>
      <c r="T154" s="27">
        <f>COGS!T154+'SG&amp;A'!T154</f>
        <v>0</v>
      </c>
      <c r="U154" s="27">
        <f>COGS!U154+'SG&amp;A'!U154</f>
        <v>0</v>
      </c>
      <c r="V154" s="27">
        <f>COGS!V154+'SG&amp;A'!V154</f>
        <v>0</v>
      </c>
      <c r="W154" s="27">
        <f>COGS!W154+'SG&amp;A'!W154</f>
        <v>0</v>
      </c>
      <c r="X154" s="27">
        <f>COGS!X154+'SG&amp;A'!X154</f>
        <v>0</v>
      </c>
      <c r="Y154" s="27">
        <f>COGS!Y154+'SG&amp;A'!Y154</f>
        <v>0</v>
      </c>
      <c r="Z154" s="27">
        <f>COGS!Z154+'SG&amp;A'!Z154</f>
        <v>0</v>
      </c>
      <c r="AA154" s="27">
        <f>COGS!AA154+'SG&amp;A'!AA154</f>
        <v>0</v>
      </c>
      <c r="AB154" s="27">
        <f>COGS!AB154+'SG&amp;A'!AB154</f>
        <v>0</v>
      </c>
      <c r="AC154" s="27">
        <f>COGS!AC154+'SG&amp;A'!AC154</f>
        <v>0</v>
      </c>
      <c r="AD154" s="27">
        <f>COGS!AD154+'SG&amp;A'!AD154</f>
        <v>0</v>
      </c>
      <c r="AE154" s="27">
        <f>COGS!AE154+'SG&amp;A'!AE154</f>
        <v>0</v>
      </c>
      <c r="AF154" s="27">
        <f>COGS!AF154+'SG&amp;A'!AF154</f>
        <v>0</v>
      </c>
      <c r="AG154" s="27">
        <f>COGS!AG154+'SG&amp;A'!AG154</f>
        <v>0</v>
      </c>
      <c r="AH154" s="27">
        <f>COGS!AH154+'SG&amp;A'!AH154</f>
        <v>0</v>
      </c>
      <c r="AI154" s="27">
        <f>COGS!AI154+'SG&amp;A'!AI154</f>
        <v>0</v>
      </c>
      <c r="AJ154" s="27">
        <f>COGS!AJ154+'SG&amp;A'!AJ154</f>
        <v>0</v>
      </c>
      <c r="AK154" s="27">
        <f>COGS!AK154+'SG&amp;A'!AK154</f>
        <v>0</v>
      </c>
      <c r="AL154" s="27">
        <f>COGS!AL154+'SG&amp;A'!AL154</f>
        <v>0</v>
      </c>
      <c r="AM154" s="27">
        <f>COGS!AM154+'SG&amp;A'!AM154</f>
        <v>0</v>
      </c>
      <c r="AN154" s="27">
        <f>COGS!AN154+'SG&amp;A'!AN154</f>
        <v>0</v>
      </c>
      <c r="AO154" s="27">
        <f>COGS!AO154+'SG&amp;A'!AO154</f>
        <v>0</v>
      </c>
      <c r="AP154" s="27">
        <f>COGS!AP154+'SG&amp;A'!AP154</f>
        <v>0</v>
      </c>
      <c r="AQ154" s="27">
        <f>COGS!AQ154+'SG&amp;A'!AQ154</f>
        <v>0</v>
      </c>
      <c r="AR154" s="27">
        <f>COGS!AR154+'SG&amp;A'!AR154</f>
        <v>0</v>
      </c>
      <c r="AS154" s="27">
        <f>COGS!AS154+'SG&amp;A'!AS154</f>
        <v>0</v>
      </c>
      <c r="AT154" s="27">
        <f>COGS!AT154+'SG&amp;A'!AT154</f>
        <v>0</v>
      </c>
      <c r="AU154" s="27">
        <f>COGS!AU154+'SG&amp;A'!AU154</f>
        <v>0</v>
      </c>
      <c r="AV154" s="27">
        <f>COGS!AV154+'SG&amp;A'!AV154</f>
        <v>0</v>
      </c>
      <c r="AW154" s="27">
        <f>COGS!AW154+'SG&amp;A'!AW154</f>
        <v>0</v>
      </c>
      <c r="AX154" s="27">
        <f>COGS!AX154+'SG&amp;A'!AX154</f>
        <v>0</v>
      </c>
      <c r="AY154" s="27">
        <f>COGS!AY154+'SG&amp;A'!AY154</f>
        <v>0</v>
      </c>
      <c r="AZ154" s="27">
        <f>COGS!AZ154+'SG&amp;A'!AZ154</f>
        <v>0</v>
      </c>
      <c r="BA154" s="27">
        <f>COGS!BA154+'SG&amp;A'!BA154</f>
        <v>0</v>
      </c>
      <c r="BB154" s="27">
        <f>COGS!BB154+'SG&amp;A'!BB154</f>
        <v>0</v>
      </c>
      <c r="BC154" s="27">
        <f>COGS!BC154+'SG&amp;A'!BC154</f>
        <v>0</v>
      </c>
      <c r="BD154" s="27">
        <f>COGS!BD154+'SG&amp;A'!BD154</f>
        <v>0</v>
      </c>
      <c r="BE154" s="27">
        <f>COGS!BE154+'SG&amp;A'!BE154</f>
        <v>0</v>
      </c>
      <c r="BF154" s="27">
        <f>COGS!BF154+'SG&amp;A'!BF154</f>
        <v>0</v>
      </c>
      <c r="BG154" s="27">
        <f>COGS!BG154+'SG&amp;A'!BG154</f>
        <v>0</v>
      </c>
      <c r="BH154" s="27">
        <f>COGS!BH154+'SG&amp;A'!BH154</f>
        <v>0</v>
      </c>
      <c r="BI154" s="27">
        <f>COGS!BI154+'SG&amp;A'!BI154</f>
        <v>0</v>
      </c>
      <c r="BJ154" s="27">
        <f>COGS!BJ154+'SG&amp;A'!BJ154</f>
        <v>0</v>
      </c>
      <c r="BK154" s="27">
        <f>COGS!BK154+'SG&amp;A'!BK154</f>
        <v>0</v>
      </c>
      <c r="BL154" s="27">
        <f>COGS!BL154+'SG&amp;A'!BL154</f>
        <v>0</v>
      </c>
      <c r="BM154" s="27">
        <f>COGS!BM154+'SG&amp;A'!BM154</f>
        <v>0</v>
      </c>
      <c r="BN154" s="27">
        <f>COGS!BN154+'SG&amp;A'!BN154</f>
        <v>0</v>
      </c>
      <c r="BO154" s="27">
        <f>COGS!BO154+'SG&amp;A'!BO154</f>
        <v>0</v>
      </c>
      <c r="BP154" s="27">
        <f>COGS!BP154+'SG&amp;A'!BP154</f>
        <v>0</v>
      </c>
      <c r="BQ154" s="27">
        <f>COGS!BQ154+'SG&amp;A'!BQ154</f>
        <v>0</v>
      </c>
      <c r="BR154" s="27">
        <f>COGS!BR154+'SG&amp;A'!BR154</f>
        <v>0</v>
      </c>
      <c r="BS154" s="27">
        <f>COGS!BS154+'SG&amp;A'!BS154</f>
        <v>0</v>
      </c>
      <c r="BT154" s="27">
        <f>COGS!BT154+'SG&amp;A'!BT154</f>
        <v>0</v>
      </c>
      <c r="BU154" s="27">
        <f>COGS!BU154+'SG&amp;A'!BU154</f>
        <v>0</v>
      </c>
      <c r="BV154" s="27">
        <f>COGS!BV154+'SG&amp;A'!BV154</f>
        <v>0</v>
      </c>
      <c r="BW154" s="27">
        <f>COGS!BW154+'SG&amp;A'!BW154</f>
        <v>0</v>
      </c>
      <c r="BX154" s="27">
        <f>COGS!BX154+'SG&amp;A'!BX154</f>
        <v>0</v>
      </c>
      <c r="BY154" s="27">
        <f>COGS!BY154+'SG&amp;A'!BY154</f>
        <v>0</v>
      </c>
      <c r="BZ154" s="27">
        <f>COGS!BZ154+'SG&amp;A'!BZ154</f>
        <v>0</v>
      </c>
      <c r="CA154" s="27">
        <f>COGS!CA154+'SG&amp;A'!CA154</f>
        <v>0</v>
      </c>
      <c r="CB154" s="27">
        <f>COGS!CB154+'SG&amp;A'!CB154</f>
        <v>0</v>
      </c>
      <c r="CC154" s="27">
        <f>COGS!CC154+'SG&amp;A'!CC154</f>
        <v>0</v>
      </c>
      <c r="CD154" s="27">
        <f>COGS!CD154+'SG&amp;A'!CD154</f>
        <v>0</v>
      </c>
      <c r="CE154" s="27">
        <f>COGS!CE154+'SG&amp;A'!CE154</f>
        <v>0</v>
      </c>
      <c r="CF154" s="27">
        <f>COGS!CF154+'SG&amp;A'!CF154</f>
        <v>0</v>
      </c>
      <c r="CG154" s="27">
        <f>COGS!CG154+'SG&amp;A'!CG154</f>
        <v>0</v>
      </c>
      <c r="CH154" s="27">
        <f>COGS!CH154+'SG&amp;A'!CH154</f>
        <v>0</v>
      </c>
      <c r="CI154" s="27">
        <f>COGS!CI154+'SG&amp;A'!CI154</f>
        <v>0</v>
      </c>
      <c r="CJ154" s="27">
        <f>COGS!CJ154+'SG&amp;A'!CJ154</f>
        <v>0</v>
      </c>
      <c r="CK154" s="27">
        <f>COGS!CK154+'SG&amp;A'!CK154</f>
        <v>0</v>
      </c>
      <c r="CL154" s="27">
        <f>COGS!CL154+'SG&amp;A'!CL154</f>
        <v>0</v>
      </c>
      <c r="CM154" s="27">
        <f>COGS!CM154+'SG&amp;A'!CM154</f>
        <v>0</v>
      </c>
      <c r="CN154" s="27">
        <f>COGS!CN154+'SG&amp;A'!CN154</f>
        <v>0</v>
      </c>
      <c r="CO154" s="27">
        <f>COGS!CO154+'SG&amp;A'!CO154</f>
        <v>0</v>
      </c>
      <c r="CP154" s="27">
        <f>COGS!CP154+'SG&amp;A'!CP154</f>
        <v>0</v>
      </c>
      <c r="CQ154" s="27">
        <f>COGS!CQ154+'SG&amp;A'!CQ154</f>
        <v>0</v>
      </c>
      <c r="CR154" s="27">
        <f>COGS!CR154+'SG&amp;A'!CR154</f>
        <v>0</v>
      </c>
      <c r="CS154" s="27">
        <f>COGS!CS154+'SG&amp;A'!CS154</f>
        <v>0</v>
      </c>
      <c r="CT154" s="27">
        <f>COGS!CT154+'SG&amp;A'!CT154</f>
        <v>0</v>
      </c>
      <c r="CU154" s="27">
        <f>COGS!CU154+'SG&amp;A'!CU154</f>
        <v>0</v>
      </c>
      <c r="CV154" s="27">
        <f>COGS!CV154+'SG&amp;A'!CV154</f>
        <v>0</v>
      </c>
      <c r="CW154" s="27">
        <f>COGS!CW154+'SG&amp;A'!CW154</f>
        <v>0</v>
      </c>
      <c r="CX154" s="27">
        <f>COGS!CX154+'SG&amp;A'!CX154</f>
        <v>0</v>
      </c>
      <c r="CY154" s="27">
        <f>COGS!CY154+'SG&amp;A'!CY154</f>
        <v>0</v>
      </c>
      <c r="CZ154" s="27">
        <f>COGS!CZ154+'SG&amp;A'!CZ154</f>
        <v>0</v>
      </c>
      <c r="DA154" s="27">
        <f>COGS!DA154+'SG&amp;A'!DA154</f>
        <v>0</v>
      </c>
      <c r="DB154" s="27">
        <f>COGS!DB154+'SG&amp;A'!DB154</f>
        <v>0</v>
      </c>
      <c r="DC154" s="27">
        <f>COGS!DC154+'SG&amp;A'!DC154</f>
        <v>0</v>
      </c>
      <c r="DD154" s="27">
        <f>COGS!DD154+'SG&amp;A'!DD154</f>
        <v>0</v>
      </c>
      <c r="DE154" s="27">
        <f>COGS!DE154+'SG&amp;A'!DE154</f>
        <v>0</v>
      </c>
      <c r="DF154" s="27">
        <f>COGS!DF154+'SG&amp;A'!DF154</f>
        <v>0</v>
      </c>
      <c r="DG154" s="27">
        <f>COGS!DG154+'SG&amp;A'!DG154</f>
        <v>0</v>
      </c>
      <c r="DH154" s="27">
        <f>COGS!DH154+'SG&amp;A'!DH154</f>
        <v>0</v>
      </c>
      <c r="DI154" s="27">
        <f>COGS!DI154+'SG&amp;A'!DI154</f>
        <v>0</v>
      </c>
      <c r="DJ154" s="27">
        <f>COGS!DJ154+'SG&amp;A'!DJ154</f>
        <v>0</v>
      </c>
      <c r="DK154" s="27">
        <f>COGS!DK154+'SG&amp;A'!DK154</f>
        <v>0</v>
      </c>
      <c r="DL154" s="27">
        <f>COGS!DL154+'SG&amp;A'!DL154</f>
        <v>0</v>
      </c>
      <c r="DM154" s="27">
        <f>COGS!DM154+'SG&amp;A'!DM154</f>
        <v>0</v>
      </c>
      <c r="DN154" s="27">
        <f>COGS!DN154+'SG&amp;A'!DN154</f>
        <v>0</v>
      </c>
      <c r="DO154" s="27">
        <f>COGS!DO154+'SG&amp;A'!DO154</f>
        <v>0.187</v>
      </c>
      <c r="DP154" s="27">
        <f>COGS!DP154+'SG&amp;A'!DP154</f>
        <v>3.2890000000000001</v>
      </c>
      <c r="DQ154" s="27">
        <f>COGS!DQ154+'SG&amp;A'!DQ154</f>
        <v>3.476</v>
      </c>
      <c r="DR154" s="27">
        <f>COGS!DR154+'SG&amp;A'!DR154</f>
        <v>3.6480000000000001</v>
      </c>
      <c r="DS154" s="27">
        <f>COGS!DS154+'SG&amp;A'!DS154</f>
        <v>3.6149999999999998</v>
      </c>
      <c r="DT154" s="27">
        <f>COGS!DT154+'SG&amp;A'!DT154</f>
        <v>3.7570000000000001</v>
      </c>
      <c r="DU154" s="27">
        <f>COGS!DU154+'SG&amp;A'!DU154</f>
        <v>4.476</v>
      </c>
      <c r="DV154" s="27">
        <f>COGS!DV154+'SG&amp;A'!DV154</f>
        <v>15.495999999999999</v>
      </c>
      <c r="DW154" s="27">
        <f>COGS!DW154+'SG&amp;A'!DW154</f>
        <v>3.7190000000000003</v>
      </c>
      <c r="DX154" s="27">
        <f>COGS!DX154+'SG&amp;A'!DX154</f>
        <v>4.3746204400000002</v>
      </c>
      <c r="DY154" s="27">
        <f>COGS!DY154+'SG&amp;A'!DY154</f>
        <v>3.7391936000000001</v>
      </c>
      <c r="DZ154" s="27">
        <f>COGS!DZ154+'SG&amp;A'!DZ154</f>
        <v>2.6207523900000003</v>
      </c>
      <c r="EA154" s="27">
        <f>COGS!EA154+'SG&amp;A'!EA154</f>
        <v>14.453566430000002</v>
      </c>
      <c r="EB154" s="27">
        <f>COGS!EB154+'SG&amp;A'!EB154</f>
        <v>3.7746083599999998</v>
      </c>
      <c r="EC154" s="27">
        <f>COGS!EC154+'SG&amp;A'!EC154</f>
        <v>4.3300237699999995</v>
      </c>
      <c r="ED154" s="27">
        <f>COGS!ED154+'SG&amp;A'!ED154</f>
        <v>4.0729999999999995</v>
      </c>
      <c r="EE154" s="27">
        <f>COGS!EE154+'SG&amp;A'!EE154</f>
        <v>4.5769780500000001</v>
      </c>
      <c r="EF154" s="27">
        <f>COGS!EF154+'SG&amp;A'!EF154</f>
        <v>16.75461018</v>
      </c>
      <c r="EG154" s="27">
        <f>COGS!EG154+'SG&amp;A'!EG154</f>
        <v>4.0920476799999994</v>
      </c>
      <c r="EH154" s="27">
        <f>COGS!EH154+'SG&amp;A'!EH154</f>
        <v>4.9713546799999992</v>
      </c>
      <c r="EI154" s="27">
        <f>COGS!EI154+'SG&amp;A'!EI154</f>
        <v>3.7574120799999999</v>
      </c>
    </row>
    <row r="155" spans="1:139" ht="15" thickBot="1" x14ac:dyDescent="0.35">
      <c r="A155" s="2" t="s">
        <v>448</v>
      </c>
      <c r="B155" s="28">
        <f>COGS!B155+'SG&amp;A'!B155</f>
        <v>0</v>
      </c>
      <c r="C155" s="28">
        <f>COGS!C155+'SG&amp;A'!C155</f>
        <v>0</v>
      </c>
      <c r="D155" s="28">
        <f>COGS!D155+'SG&amp;A'!D155</f>
        <v>0</v>
      </c>
      <c r="E155" s="28">
        <f>COGS!E155+'SG&amp;A'!E155</f>
        <v>0</v>
      </c>
      <c r="F155" s="28">
        <f>COGS!F155+'SG&amp;A'!F155</f>
        <v>0</v>
      </c>
      <c r="G155" s="28">
        <f>COGS!G155+'SG&amp;A'!G155</f>
        <v>0</v>
      </c>
      <c r="H155" s="28">
        <f>COGS!H155+'SG&amp;A'!H155</f>
        <v>0</v>
      </c>
      <c r="I155" s="28">
        <f>COGS!I155+'SG&amp;A'!I155</f>
        <v>0</v>
      </c>
      <c r="J155" s="28">
        <f>COGS!J155+'SG&amp;A'!J155</f>
        <v>0</v>
      </c>
      <c r="K155" s="28">
        <f>COGS!K155+'SG&amp;A'!K155</f>
        <v>0</v>
      </c>
      <c r="L155" s="28">
        <f>COGS!L155+'SG&amp;A'!L155</f>
        <v>0</v>
      </c>
      <c r="M155" s="28">
        <f>COGS!M155+'SG&amp;A'!M155</f>
        <v>0</v>
      </c>
      <c r="N155" s="28">
        <f>COGS!N155+'SG&amp;A'!N155</f>
        <v>0</v>
      </c>
      <c r="O155" s="28">
        <f>COGS!O155+'SG&amp;A'!O155</f>
        <v>0</v>
      </c>
      <c r="P155" s="28">
        <f>COGS!P155+'SG&amp;A'!P155</f>
        <v>0</v>
      </c>
      <c r="Q155" s="28">
        <f>COGS!Q155+'SG&amp;A'!Q155</f>
        <v>0</v>
      </c>
      <c r="R155" s="28">
        <f>COGS!R155+'SG&amp;A'!R155</f>
        <v>0</v>
      </c>
      <c r="S155" s="28">
        <f>COGS!S155+'SG&amp;A'!S155</f>
        <v>0</v>
      </c>
      <c r="T155" s="28">
        <f>COGS!T155+'SG&amp;A'!T155</f>
        <v>0</v>
      </c>
      <c r="U155" s="28">
        <f>COGS!U155+'SG&amp;A'!U155</f>
        <v>0</v>
      </c>
      <c r="V155" s="28">
        <f>COGS!V155+'SG&amp;A'!V155</f>
        <v>0</v>
      </c>
      <c r="W155" s="28">
        <f>COGS!W155+'SG&amp;A'!W155</f>
        <v>0</v>
      </c>
      <c r="X155" s="28">
        <f>COGS!X155+'SG&amp;A'!X155</f>
        <v>0</v>
      </c>
      <c r="Y155" s="28">
        <f>COGS!Y155+'SG&amp;A'!Y155</f>
        <v>0</v>
      </c>
      <c r="Z155" s="28">
        <f>COGS!Z155+'SG&amp;A'!Z155</f>
        <v>0</v>
      </c>
      <c r="AA155" s="28">
        <f>COGS!AA155+'SG&amp;A'!AA155</f>
        <v>0</v>
      </c>
      <c r="AB155" s="28">
        <f>COGS!AB155+'SG&amp;A'!AB155</f>
        <v>0</v>
      </c>
      <c r="AC155" s="28">
        <f>COGS!AC155+'SG&amp;A'!AC155</f>
        <v>0</v>
      </c>
      <c r="AD155" s="28">
        <f>COGS!AD155+'SG&amp;A'!AD155</f>
        <v>0</v>
      </c>
      <c r="AE155" s="28">
        <f>COGS!AE155+'SG&amp;A'!AE155</f>
        <v>0</v>
      </c>
      <c r="AF155" s="28">
        <f>COGS!AF155+'SG&amp;A'!AF155</f>
        <v>0</v>
      </c>
      <c r="AG155" s="28">
        <f>COGS!AG155+'SG&amp;A'!AG155</f>
        <v>0</v>
      </c>
      <c r="AH155" s="28">
        <f>COGS!AH155+'SG&amp;A'!AH155</f>
        <v>0</v>
      </c>
      <c r="AI155" s="28">
        <f>COGS!AI155+'SG&amp;A'!AI155</f>
        <v>0</v>
      </c>
      <c r="AJ155" s="28">
        <f>COGS!AJ155+'SG&amp;A'!AJ155</f>
        <v>0</v>
      </c>
      <c r="AK155" s="28">
        <f>COGS!AK155+'SG&amp;A'!AK155</f>
        <v>0</v>
      </c>
      <c r="AL155" s="28">
        <f>COGS!AL155+'SG&amp;A'!AL155</f>
        <v>0</v>
      </c>
      <c r="AM155" s="28">
        <f>COGS!AM155+'SG&amp;A'!AM155</f>
        <v>0</v>
      </c>
      <c r="AN155" s="28">
        <f>COGS!AN155+'SG&amp;A'!AN155</f>
        <v>0</v>
      </c>
      <c r="AO155" s="28">
        <f>COGS!AO155+'SG&amp;A'!AO155</f>
        <v>0</v>
      </c>
      <c r="AP155" s="28">
        <f>COGS!AP155+'SG&amp;A'!AP155</f>
        <v>0</v>
      </c>
      <c r="AQ155" s="28">
        <f>COGS!AQ155+'SG&amp;A'!AQ155</f>
        <v>0</v>
      </c>
      <c r="AR155" s="28">
        <f>COGS!AR155+'SG&amp;A'!AR155</f>
        <v>0</v>
      </c>
      <c r="AS155" s="28">
        <f>COGS!AS155+'SG&amp;A'!AS155</f>
        <v>0</v>
      </c>
      <c r="AT155" s="28">
        <f>COGS!AT155+'SG&amp;A'!AT155</f>
        <v>0</v>
      </c>
      <c r="AU155" s="28">
        <f>COGS!AU155+'SG&amp;A'!AU155</f>
        <v>0</v>
      </c>
      <c r="AV155" s="28">
        <f>COGS!AV155+'SG&amp;A'!AV155</f>
        <v>0</v>
      </c>
      <c r="AW155" s="28">
        <f>COGS!AW155+'SG&amp;A'!AW155</f>
        <v>0</v>
      </c>
      <c r="AX155" s="28">
        <f>COGS!AX155+'SG&amp;A'!AX155</f>
        <v>0</v>
      </c>
      <c r="AY155" s="28">
        <f>COGS!AY155+'SG&amp;A'!AY155</f>
        <v>0</v>
      </c>
      <c r="AZ155" s="28">
        <f>COGS!AZ155+'SG&amp;A'!AZ155</f>
        <v>0</v>
      </c>
      <c r="BA155" s="28">
        <f>COGS!BA155+'SG&amp;A'!BA155</f>
        <v>0</v>
      </c>
      <c r="BB155" s="28">
        <f>COGS!BB155+'SG&amp;A'!BB155</f>
        <v>0</v>
      </c>
      <c r="BC155" s="28">
        <f>COGS!BC155+'SG&amp;A'!BC155</f>
        <v>0</v>
      </c>
      <c r="BD155" s="28">
        <f>COGS!BD155+'SG&amp;A'!BD155</f>
        <v>0</v>
      </c>
      <c r="BE155" s="28">
        <f>COGS!BE155+'SG&amp;A'!BE155</f>
        <v>0</v>
      </c>
      <c r="BF155" s="28">
        <f>COGS!BF155+'SG&amp;A'!BF155</f>
        <v>0</v>
      </c>
      <c r="BG155" s="28">
        <f>COGS!BG155+'SG&amp;A'!BG155</f>
        <v>0</v>
      </c>
      <c r="BH155" s="28">
        <f>COGS!BH155+'SG&amp;A'!BH155</f>
        <v>0</v>
      </c>
      <c r="BI155" s="28">
        <f>COGS!BI155+'SG&amp;A'!BI155</f>
        <v>0</v>
      </c>
      <c r="BJ155" s="28">
        <f>COGS!BJ155+'SG&amp;A'!BJ155</f>
        <v>0</v>
      </c>
      <c r="BK155" s="28">
        <f>COGS!BK155+'SG&amp;A'!BK155</f>
        <v>0</v>
      </c>
      <c r="BL155" s="28">
        <f>COGS!BL155+'SG&amp;A'!BL155</f>
        <v>0</v>
      </c>
      <c r="BM155" s="28">
        <f>COGS!BM155+'SG&amp;A'!BM155</f>
        <v>0</v>
      </c>
      <c r="BN155" s="28">
        <f>COGS!BN155+'SG&amp;A'!BN155</f>
        <v>0</v>
      </c>
      <c r="BO155" s="28">
        <f>COGS!BO155+'SG&amp;A'!BO155</f>
        <v>0</v>
      </c>
      <c r="BP155" s="28">
        <f>COGS!BP155+'SG&amp;A'!BP155</f>
        <v>0</v>
      </c>
      <c r="BQ155" s="28">
        <f>COGS!BQ155+'SG&amp;A'!BQ155</f>
        <v>0</v>
      </c>
      <c r="BR155" s="28">
        <f>COGS!BR155+'SG&amp;A'!BR155</f>
        <v>0</v>
      </c>
      <c r="BS155" s="28">
        <f>COGS!BS155+'SG&amp;A'!BS155</f>
        <v>0</v>
      </c>
      <c r="BT155" s="28">
        <f>COGS!BT155+'SG&amp;A'!BT155</f>
        <v>0</v>
      </c>
      <c r="BU155" s="28">
        <f>COGS!BU155+'SG&amp;A'!BU155</f>
        <v>0</v>
      </c>
      <c r="BV155" s="28">
        <f>COGS!BV155+'SG&amp;A'!BV155</f>
        <v>0</v>
      </c>
      <c r="BW155" s="28">
        <f>COGS!BW155+'SG&amp;A'!BW155</f>
        <v>0</v>
      </c>
      <c r="BX155" s="28">
        <f>COGS!BX155+'SG&amp;A'!BX155</f>
        <v>0</v>
      </c>
      <c r="BY155" s="28">
        <f>COGS!BY155+'SG&amp;A'!BY155</f>
        <v>0</v>
      </c>
      <c r="BZ155" s="28">
        <f>COGS!BZ155+'SG&amp;A'!BZ155</f>
        <v>0</v>
      </c>
      <c r="CA155" s="28">
        <f>COGS!CA155+'SG&amp;A'!CA155</f>
        <v>0</v>
      </c>
      <c r="CB155" s="28">
        <f>COGS!CB155+'SG&amp;A'!CB155</f>
        <v>0</v>
      </c>
      <c r="CC155" s="28">
        <f>COGS!CC155+'SG&amp;A'!CC155</f>
        <v>0</v>
      </c>
      <c r="CD155" s="28">
        <f>COGS!CD155+'SG&amp;A'!CD155</f>
        <v>0</v>
      </c>
      <c r="CE155" s="28">
        <f>COGS!CE155+'SG&amp;A'!CE155</f>
        <v>0</v>
      </c>
      <c r="CF155" s="28">
        <f>COGS!CF155+'SG&amp;A'!CF155</f>
        <v>0</v>
      </c>
      <c r="CG155" s="28">
        <f>COGS!CG155+'SG&amp;A'!CG155</f>
        <v>0</v>
      </c>
      <c r="CH155" s="28">
        <f>COGS!CH155+'SG&amp;A'!CH155</f>
        <v>0</v>
      </c>
      <c r="CI155" s="28">
        <f>COGS!CI155+'SG&amp;A'!CI155</f>
        <v>0</v>
      </c>
      <c r="CJ155" s="28">
        <f>COGS!CJ155+'SG&amp;A'!CJ155</f>
        <v>0</v>
      </c>
      <c r="CK155" s="28">
        <f>COGS!CK155+'SG&amp;A'!CK155</f>
        <v>0</v>
      </c>
      <c r="CL155" s="28">
        <f>COGS!CL155+'SG&amp;A'!CL155</f>
        <v>0</v>
      </c>
      <c r="CM155" s="28">
        <f>COGS!CM155+'SG&amp;A'!CM155</f>
        <v>0</v>
      </c>
      <c r="CN155" s="28">
        <f>COGS!CN155+'SG&amp;A'!CN155</f>
        <v>0</v>
      </c>
      <c r="CO155" s="28">
        <f>COGS!CO155+'SG&amp;A'!CO155</f>
        <v>0</v>
      </c>
      <c r="CP155" s="28">
        <f>COGS!CP155+'SG&amp;A'!CP155</f>
        <v>0</v>
      </c>
      <c r="CQ155" s="28">
        <f>COGS!CQ155+'SG&amp;A'!CQ155</f>
        <v>0</v>
      </c>
      <c r="CR155" s="28">
        <f>COGS!CR155+'SG&amp;A'!CR155</f>
        <v>0</v>
      </c>
      <c r="CS155" s="28">
        <f>COGS!CS155+'SG&amp;A'!CS155</f>
        <v>0</v>
      </c>
      <c r="CT155" s="28">
        <f>COGS!CT155+'SG&amp;A'!CT155</f>
        <v>0</v>
      </c>
      <c r="CU155" s="28">
        <f>COGS!CU155+'SG&amp;A'!CU155</f>
        <v>0</v>
      </c>
      <c r="CV155" s="28">
        <f>COGS!CV155+'SG&amp;A'!CV155</f>
        <v>0</v>
      </c>
      <c r="CW155" s="28">
        <f>COGS!CW155+'SG&amp;A'!CW155</f>
        <v>0</v>
      </c>
      <c r="CX155" s="28">
        <f>COGS!CX155+'SG&amp;A'!CX155</f>
        <v>0</v>
      </c>
      <c r="CY155" s="28">
        <f>COGS!CY155+'SG&amp;A'!CY155</f>
        <v>0</v>
      </c>
      <c r="CZ155" s="28">
        <f>COGS!CZ155+'SG&amp;A'!CZ155</f>
        <v>0</v>
      </c>
      <c r="DA155" s="28">
        <f>COGS!DA155+'SG&amp;A'!DA155</f>
        <v>0</v>
      </c>
      <c r="DB155" s="28">
        <f>COGS!DB155+'SG&amp;A'!DB155</f>
        <v>0</v>
      </c>
      <c r="DC155" s="28">
        <f>COGS!DC155+'SG&amp;A'!DC155</f>
        <v>0</v>
      </c>
      <c r="DD155" s="28">
        <f>COGS!DD155+'SG&amp;A'!DD155</f>
        <v>0</v>
      </c>
      <c r="DE155" s="28">
        <f>COGS!DE155+'SG&amp;A'!DE155</f>
        <v>0</v>
      </c>
      <c r="DF155" s="28">
        <f>COGS!DF155+'SG&amp;A'!DF155</f>
        <v>0</v>
      </c>
      <c r="DG155" s="28">
        <f>COGS!DG155+'SG&amp;A'!DG155</f>
        <v>0</v>
      </c>
      <c r="DH155" s="28">
        <f>COGS!DH155+'SG&amp;A'!DH155</f>
        <v>0</v>
      </c>
      <c r="DI155" s="28">
        <f>COGS!DI155+'SG&amp;A'!DI155</f>
        <v>0</v>
      </c>
      <c r="DJ155" s="28">
        <f>COGS!DJ155+'SG&amp;A'!DJ155</f>
        <v>0</v>
      </c>
      <c r="DK155" s="28">
        <f>COGS!DK155+'SG&amp;A'!DK155</f>
        <v>0</v>
      </c>
      <c r="DL155" s="28">
        <f>COGS!DL155+'SG&amp;A'!DL155</f>
        <v>0</v>
      </c>
      <c r="DM155" s="28">
        <f>COGS!DM155+'SG&amp;A'!DM155</f>
        <v>0</v>
      </c>
      <c r="DN155" s="28">
        <f>COGS!DN155+'SG&amp;A'!DN155</f>
        <v>0</v>
      </c>
      <c r="DO155" s="28">
        <f>COGS!DO155+'SG&amp;A'!DO155</f>
        <v>0</v>
      </c>
      <c r="DP155" s="28">
        <f>COGS!DP155+'SG&amp;A'!DP155</f>
        <v>0</v>
      </c>
      <c r="DQ155" s="28">
        <f>COGS!DQ155+'SG&amp;A'!DQ155</f>
        <v>0</v>
      </c>
      <c r="DR155" s="28">
        <f>COGS!DR155+'SG&amp;A'!DR155</f>
        <v>0</v>
      </c>
      <c r="DS155" s="28">
        <f>COGS!DS155+'SG&amp;A'!DS155</f>
        <v>0</v>
      </c>
      <c r="DT155" s="28">
        <f>COGS!DT155+'SG&amp;A'!DT155</f>
        <v>0.25</v>
      </c>
      <c r="DU155" s="28">
        <f>COGS!DU155+'SG&amp;A'!DU155</f>
        <v>6.2679999999999998</v>
      </c>
      <c r="DV155" s="28">
        <f>COGS!DV155+'SG&amp;A'!DV155</f>
        <v>6.5180000000000007</v>
      </c>
      <c r="DW155" s="28">
        <f>COGS!DW155+'SG&amp;A'!DW155</f>
        <v>6.3809999999999993</v>
      </c>
      <c r="DX155" s="28">
        <f>COGS!DX155+'SG&amp;A'!DX155</f>
        <v>6.61950415</v>
      </c>
      <c r="DY155" s="28">
        <f>COGS!DY155+'SG&amp;A'!DY155</f>
        <v>6.7083971099999991</v>
      </c>
      <c r="DZ155" s="28">
        <f>COGS!DZ155+'SG&amp;A'!DZ155</f>
        <v>6.4242930300000021</v>
      </c>
      <c r="EA155" s="28">
        <f>COGS!EA155+'SG&amp;A'!EA155</f>
        <v>26.133194290000002</v>
      </c>
      <c r="EB155" s="28">
        <f>COGS!EB155+'SG&amp;A'!EB155</f>
        <v>7.0500409700000004</v>
      </c>
      <c r="EC155" s="28">
        <f>COGS!EC155+'SG&amp;A'!EC155</f>
        <v>4.9498419300000007</v>
      </c>
      <c r="ED155" s="28">
        <f>COGS!ED155+'SG&amp;A'!ED155</f>
        <v>5.9949999999999992</v>
      </c>
      <c r="EE155" s="28">
        <f>COGS!EE155+'SG&amp;A'!EE155</f>
        <v>6.3336179899999978</v>
      </c>
      <c r="EF155" s="28">
        <f>COGS!EF155+'SG&amp;A'!EF155</f>
        <v>24.328500890000001</v>
      </c>
      <c r="EG155" s="28">
        <f>COGS!EG155+'SG&amp;A'!EG155</f>
        <v>6.3105952500000004</v>
      </c>
      <c r="EH155" s="28">
        <f>COGS!EH155+'SG&amp;A'!EH155</f>
        <v>6.1974729699999997</v>
      </c>
      <c r="EI155" s="28">
        <f>COGS!EI155+'SG&amp;A'!EI155</f>
        <v>6.4819505199999998</v>
      </c>
    </row>
    <row r="156" spans="1:139" ht="15" thickTop="1" x14ac:dyDescent="0.3">
      <c r="A156" s="1" t="s">
        <v>449</v>
      </c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>
        <f>COGS!BJ156+'SG&amp;A'!BJ156</f>
        <v>0</v>
      </c>
      <c r="BK156" s="27">
        <f>COGS!BK156+'SG&amp;A'!BK156</f>
        <v>0</v>
      </c>
      <c r="BL156" s="27">
        <f>COGS!BL156+'SG&amp;A'!BL156</f>
        <v>0</v>
      </c>
      <c r="BM156" s="27">
        <f>COGS!BM156+'SG&amp;A'!BM156</f>
        <v>0</v>
      </c>
      <c r="BN156" s="27">
        <f>COGS!BN156+'SG&amp;A'!BN156</f>
        <v>0</v>
      </c>
      <c r="BO156" s="27">
        <f>COGS!BO156+'SG&amp;A'!BO156</f>
        <v>0</v>
      </c>
      <c r="BP156" s="27">
        <f>COGS!BP156+'SG&amp;A'!BP156</f>
        <v>0</v>
      </c>
      <c r="BQ156" s="27">
        <f>COGS!BQ156+'SG&amp;A'!BQ156</f>
        <v>0</v>
      </c>
      <c r="BR156" s="27">
        <f>COGS!BR156+'SG&amp;A'!BR156</f>
        <v>0</v>
      </c>
      <c r="BS156" s="27">
        <f>COGS!BS156+'SG&amp;A'!BS156</f>
        <v>0</v>
      </c>
      <c r="BT156" s="27">
        <f>COGS!BT156+'SG&amp;A'!BT156</f>
        <v>0</v>
      </c>
      <c r="BU156" s="27">
        <f>COGS!BU156+'SG&amp;A'!BU156</f>
        <v>0</v>
      </c>
      <c r="BV156" s="27">
        <f>COGS!BV156+'SG&amp;A'!BV156</f>
        <v>0</v>
      </c>
      <c r="BW156" s="27">
        <f>COGS!BW156+'SG&amp;A'!BW156</f>
        <v>0</v>
      </c>
      <c r="BX156" s="27">
        <f>COGS!BX156+'SG&amp;A'!BX156</f>
        <v>0</v>
      </c>
      <c r="BY156" s="27">
        <f>COGS!BY156+'SG&amp;A'!BY156</f>
        <v>0</v>
      </c>
      <c r="BZ156" s="27">
        <f>COGS!BZ156+'SG&amp;A'!BZ156</f>
        <v>0</v>
      </c>
      <c r="CA156" s="27">
        <f>COGS!CA156+'SG&amp;A'!CA156</f>
        <v>0</v>
      </c>
      <c r="CB156" s="27">
        <f>COGS!CB156+'SG&amp;A'!CB156</f>
        <v>0</v>
      </c>
      <c r="CC156" s="27">
        <f>COGS!CC156+'SG&amp;A'!CC156</f>
        <v>0</v>
      </c>
      <c r="CD156" s="27">
        <f>COGS!CD156+'SG&amp;A'!CD156</f>
        <v>0</v>
      </c>
      <c r="CE156" s="27">
        <f>COGS!CE156+'SG&amp;A'!CE156</f>
        <v>0</v>
      </c>
      <c r="CF156" s="27">
        <f>COGS!CF156+'SG&amp;A'!CF156</f>
        <v>0</v>
      </c>
      <c r="CG156" s="27">
        <f>COGS!CG156+'SG&amp;A'!CG156</f>
        <v>0</v>
      </c>
      <c r="CH156" s="27">
        <f>COGS!CH156+'SG&amp;A'!CH156</f>
        <v>0</v>
      </c>
      <c r="CI156" s="27">
        <f>COGS!CI156+'SG&amp;A'!CI156</f>
        <v>0</v>
      </c>
      <c r="CJ156" s="27">
        <f>COGS!CJ156+'SG&amp;A'!CJ156</f>
        <v>0</v>
      </c>
      <c r="CK156" s="27">
        <f>COGS!CK156+'SG&amp;A'!CK156</f>
        <v>0</v>
      </c>
      <c r="CL156" s="27">
        <f>COGS!CL156+'SG&amp;A'!CL156</f>
        <v>0</v>
      </c>
      <c r="CM156" s="27">
        <f>COGS!CM156+'SG&amp;A'!CM156</f>
        <v>0</v>
      </c>
      <c r="CN156" s="27">
        <f>COGS!CN156+'SG&amp;A'!CN156</f>
        <v>0</v>
      </c>
      <c r="CO156" s="27">
        <f>COGS!CO156+'SG&amp;A'!CO156</f>
        <v>0</v>
      </c>
      <c r="CP156" s="27">
        <f>COGS!CP156+'SG&amp;A'!CP156</f>
        <v>0</v>
      </c>
      <c r="CQ156" s="27">
        <f>COGS!CQ156+'SG&amp;A'!CQ156</f>
        <v>0</v>
      </c>
      <c r="CR156" s="27">
        <f>COGS!CR156+'SG&amp;A'!CR156</f>
        <v>0</v>
      </c>
      <c r="CS156" s="27">
        <f>COGS!CS156+'SG&amp;A'!CS156</f>
        <v>0</v>
      </c>
      <c r="CT156" s="27">
        <f>COGS!CT156+'SG&amp;A'!CT156</f>
        <v>0</v>
      </c>
      <c r="CU156" s="27">
        <f>COGS!CU156+'SG&amp;A'!CU156</f>
        <v>0</v>
      </c>
      <c r="CV156" s="27">
        <f>COGS!CV156+'SG&amp;A'!CV156</f>
        <v>0</v>
      </c>
      <c r="CW156" s="27">
        <f>COGS!CW156+'SG&amp;A'!CW156</f>
        <v>0</v>
      </c>
      <c r="CX156" s="27">
        <f>COGS!CX156+'SG&amp;A'!CX156</f>
        <v>0</v>
      </c>
      <c r="CY156" s="27">
        <f>COGS!CY156+'SG&amp;A'!CY156</f>
        <v>0</v>
      </c>
      <c r="CZ156" s="27">
        <f>COGS!CZ156+'SG&amp;A'!CZ156</f>
        <v>0</v>
      </c>
      <c r="DA156" s="27">
        <f>COGS!DA156+'SG&amp;A'!DA156</f>
        <v>0</v>
      </c>
      <c r="DB156" s="27">
        <f>COGS!DB156+'SG&amp;A'!DB156</f>
        <v>0</v>
      </c>
      <c r="DC156" s="27">
        <f>COGS!DC156+'SG&amp;A'!DC156</f>
        <v>0</v>
      </c>
      <c r="DD156" s="27">
        <f>COGS!DD156+'SG&amp;A'!DD156</f>
        <v>0</v>
      </c>
      <c r="DE156" s="27">
        <f>COGS!DE156+'SG&amp;A'!DE156</f>
        <v>0</v>
      </c>
      <c r="DF156" s="27">
        <f>COGS!DF156+'SG&amp;A'!DF156</f>
        <v>0</v>
      </c>
      <c r="DG156" s="27">
        <f>COGS!DG156+'SG&amp;A'!DG156</f>
        <v>0</v>
      </c>
      <c r="DH156" s="27">
        <f>COGS!DH156+'SG&amp;A'!DH156</f>
        <v>0</v>
      </c>
      <c r="DI156" s="27">
        <f>COGS!DI156+'SG&amp;A'!DI156</f>
        <v>0</v>
      </c>
      <c r="DJ156" s="27">
        <f>COGS!DJ156+'SG&amp;A'!DJ156</f>
        <v>0</v>
      </c>
      <c r="DK156" s="27">
        <f>COGS!DK156+'SG&amp;A'!DK156</f>
        <v>0</v>
      </c>
      <c r="DL156" s="27">
        <f>COGS!DL156+'SG&amp;A'!DL156</f>
        <v>0</v>
      </c>
      <c r="DM156" s="27">
        <f>COGS!DM156+'SG&amp;A'!DM156</f>
        <v>0</v>
      </c>
      <c r="DN156" s="27">
        <f>COGS!DN156+'SG&amp;A'!DN156</f>
        <v>0</v>
      </c>
      <c r="DO156" s="27">
        <f>COGS!DO156+'SG&amp;A'!DO156</f>
        <v>0</v>
      </c>
      <c r="DP156" s="27">
        <f>COGS!DP156+'SG&amp;A'!DP156</f>
        <v>0</v>
      </c>
      <c r="DQ156" s="27">
        <f>COGS!DQ156+'SG&amp;A'!DQ156</f>
        <v>0</v>
      </c>
      <c r="DR156" s="27">
        <f>COGS!DR156+'SG&amp;A'!DR156</f>
        <v>0</v>
      </c>
      <c r="DS156" s="27">
        <f>COGS!DS156+'SG&amp;A'!DS156</f>
        <v>0</v>
      </c>
      <c r="DT156" s="27">
        <f>COGS!DT156+'SG&amp;A'!DT156</f>
        <v>0</v>
      </c>
      <c r="DU156" s="27">
        <f>COGS!DU156+'SG&amp;A'!DU156</f>
        <v>0</v>
      </c>
      <c r="DV156" s="27">
        <f>COGS!DV156+'SG&amp;A'!DV156</f>
        <v>0</v>
      </c>
      <c r="DW156" s="27">
        <f>COGS!DW156+'SG&amp;A'!DW156</f>
        <v>0</v>
      </c>
      <c r="DX156" s="27">
        <f>COGS!DX156+'SG&amp;A'!DX156</f>
        <v>4.4389143999999998</v>
      </c>
      <c r="DY156" s="27">
        <f>COGS!DY156+'SG&amp;A'!DY156</f>
        <v>7.3726673600000003</v>
      </c>
      <c r="DZ156" s="27">
        <f>COGS!DZ156+'SG&amp;A'!DZ156</f>
        <v>7.8063318899999992</v>
      </c>
      <c r="EA156" s="27">
        <f>COGS!EA156+'SG&amp;A'!EA156</f>
        <v>19.617913650000002</v>
      </c>
      <c r="EB156" s="27">
        <f>COGS!EB156+'SG&amp;A'!EB156</f>
        <v>5.1631733500000001</v>
      </c>
      <c r="EC156" s="27">
        <f>COGS!EC156+'SG&amp;A'!EC156</f>
        <v>1.95069633</v>
      </c>
      <c r="ED156" s="27">
        <f>COGS!ED156+'SG&amp;A'!ED156</f>
        <v>1.85</v>
      </c>
      <c r="EE156" s="27">
        <f>COGS!EE156+'SG&amp;A'!EE156</f>
        <v>2.4660585399999997</v>
      </c>
      <c r="EF156" s="27">
        <f>COGS!EF156+'SG&amp;A'!EF156</f>
        <v>11.429928220000001</v>
      </c>
      <c r="EG156" s="27">
        <f>COGS!EG156+'SG&amp;A'!EG156</f>
        <v>1.65786867</v>
      </c>
      <c r="EH156" s="27">
        <f>COGS!EH156+'SG&amp;A'!EH156</f>
        <v>2.2390580099999995</v>
      </c>
      <c r="EI156" s="27">
        <f>COGS!EI156+'SG&amp;A'!EI156</f>
        <v>1.7653157099999999</v>
      </c>
    </row>
    <row r="157" spans="1:139" ht="15" thickBot="1" x14ac:dyDescent="0.35">
      <c r="A157" s="2" t="s">
        <v>460</v>
      </c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>
        <f>COGS!EE157+'SG&amp;A'!EE157</f>
        <v>0</v>
      </c>
      <c r="EF157" s="28">
        <f>COGS!EF157+'SG&amp;A'!EF157</f>
        <v>0</v>
      </c>
      <c r="EG157" s="28">
        <f>COGS!EG157+'SG&amp;A'!EG157</f>
        <v>0</v>
      </c>
      <c r="EH157" s="28">
        <f>COGS!EH157+'SG&amp;A'!EH157</f>
        <v>1.07803347</v>
      </c>
      <c r="EI157" s="28">
        <f>COGS!EI157+'SG&amp;A'!EI157</f>
        <v>2.46026379</v>
      </c>
    </row>
    <row r="158" spans="1:139" ht="15" thickTop="1" x14ac:dyDescent="0.3">
      <c r="A158" s="1" t="s">
        <v>304</v>
      </c>
      <c r="B158" s="27">
        <f>COGS!B158+'SG&amp;A'!B158</f>
        <v>0</v>
      </c>
      <c r="C158" s="27">
        <f>COGS!C158+'SG&amp;A'!C158</f>
        <v>0</v>
      </c>
      <c r="D158" s="27">
        <f>COGS!D158+'SG&amp;A'!D158</f>
        <v>0</v>
      </c>
      <c r="E158" s="27">
        <f>COGS!E158+'SG&amp;A'!E158</f>
        <v>0</v>
      </c>
      <c r="F158" s="27">
        <f>COGS!F158+'SG&amp;A'!F158</f>
        <v>0</v>
      </c>
      <c r="G158" s="27">
        <f>COGS!G158+'SG&amp;A'!G158</f>
        <v>0</v>
      </c>
      <c r="H158" s="27">
        <f>COGS!H158+'SG&amp;A'!H158</f>
        <v>0</v>
      </c>
      <c r="I158" s="27">
        <f>COGS!I158+'SG&amp;A'!I158</f>
        <v>0</v>
      </c>
      <c r="J158" s="27">
        <f>COGS!J158+'SG&amp;A'!J158</f>
        <v>0</v>
      </c>
      <c r="K158" s="27">
        <f>COGS!K158+'SG&amp;A'!K158</f>
        <v>0</v>
      </c>
      <c r="L158" s="27">
        <f>COGS!L158+'SG&amp;A'!L158</f>
        <v>0</v>
      </c>
      <c r="M158" s="27">
        <f>COGS!M158+'SG&amp;A'!M158</f>
        <v>0</v>
      </c>
      <c r="N158" s="27">
        <f>COGS!N158+'SG&amp;A'!N158</f>
        <v>0</v>
      </c>
      <c r="O158" s="27">
        <f>COGS!O158+'SG&amp;A'!O158</f>
        <v>0</v>
      </c>
      <c r="P158" s="27">
        <f>COGS!P158+'SG&amp;A'!P158</f>
        <v>0</v>
      </c>
      <c r="Q158" s="27">
        <f>COGS!Q158+'SG&amp;A'!Q158</f>
        <v>0</v>
      </c>
      <c r="R158" s="27">
        <f>COGS!R158+'SG&amp;A'!R158</f>
        <v>0</v>
      </c>
      <c r="S158" s="27">
        <f>COGS!S158+'SG&amp;A'!S158</f>
        <v>0</v>
      </c>
      <c r="T158" s="27">
        <f>COGS!T158+'SG&amp;A'!T158</f>
        <v>0</v>
      </c>
      <c r="U158" s="27">
        <f>COGS!U158+'SG&amp;A'!U158</f>
        <v>0</v>
      </c>
      <c r="V158" s="27">
        <f>COGS!V158+'SG&amp;A'!V158</f>
        <v>0</v>
      </c>
      <c r="W158" s="27">
        <f>COGS!W158+'SG&amp;A'!W158</f>
        <v>0</v>
      </c>
      <c r="X158" s="27">
        <f>COGS!X158+'SG&amp;A'!X158</f>
        <v>0</v>
      </c>
      <c r="Y158" s="27">
        <f>COGS!Y158+'SG&amp;A'!Y158</f>
        <v>0</v>
      </c>
      <c r="Z158" s="27">
        <f>COGS!Z158+'SG&amp;A'!Z158</f>
        <v>0</v>
      </c>
      <c r="AA158" s="27">
        <f>COGS!AA158+'SG&amp;A'!AA158</f>
        <v>0</v>
      </c>
      <c r="AB158" s="27">
        <f>COGS!AB158+'SG&amp;A'!AB158</f>
        <v>0</v>
      </c>
      <c r="AC158" s="27">
        <f>COGS!AC158+'SG&amp;A'!AC158</f>
        <v>0</v>
      </c>
      <c r="AD158" s="27">
        <f>COGS!AD158+'SG&amp;A'!AD158</f>
        <v>0</v>
      </c>
      <c r="AE158" s="27">
        <f>COGS!AE158+'SG&amp;A'!AE158</f>
        <v>0</v>
      </c>
      <c r="AF158" s="27">
        <f>COGS!AF158+'SG&amp;A'!AF158</f>
        <v>0</v>
      </c>
      <c r="AG158" s="27">
        <f>COGS!AG158+'SG&amp;A'!AG158</f>
        <v>0</v>
      </c>
      <c r="AH158" s="27">
        <f>COGS!AH158+'SG&amp;A'!AH158</f>
        <v>0</v>
      </c>
      <c r="AI158" s="27">
        <f>COGS!AI158+'SG&amp;A'!AI158</f>
        <v>0</v>
      </c>
      <c r="AJ158" s="27">
        <f>COGS!AJ158+'SG&amp;A'!AJ158</f>
        <v>0</v>
      </c>
      <c r="AK158" s="27">
        <f>COGS!AK158+'SG&amp;A'!AK158</f>
        <v>0</v>
      </c>
      <c r="AL158" s="27">
        <f>COGS!AL158+'SG&amp;A'!AL158</f>
        <v>0</v>
      </c>
      <c r="AM158" s="27">
        <f>COGS!AM158+'SG&amp;A'!AM158</f>
        <v>0</v>
      </c>
      <c r="AN158" s="27">
        <f>COGS!AN158+'SG&amp;A'!AN158</f>
        <v>0</v>
      </c>
      <c r="AO158" s="27">
        <f>COGS!AO158+'SG&amp;A'!AO158</f>
        <v>0</v>
      </c>
      <c r="AP158" s="27">
        <f>COGS!AP158+'SG&amp;A'!AP158</f>
        <v>0</v>
      </c>
      <c r="AQ158" s="27">
        <f>COGS!AQ158+'SG&amp;A'!AQ158</f>
        <v>0</v>
      </c>
      <c r="AR158" s="27">
        <f>COGS!AR158+'SG&amp;A'!AR158</f>
        <v>0</v>
      </c>
      <c r="AS158" s="27">
        <f>COGS!AS158+'SG&amp;A'!AS158</f>
        <v>0</v>
      </c>
      <c r="AT158" s="27">
        <f>COGS!AT158+'SG&amp;A'!AT158</f>
        <v>0</v>
      </c>
      <c r="AU158" s="27">
        <f>COGS!AU158+'SG&amp;A'!AU158</f>
        <v>0</v>
      </c>
      <c r="AV158" s="27">
        <f>COGS!AV158+'SG&amp;A'!AV158</f>
        <v>0</v>
      </c>
      <c r="AW158" s="27">
        <f>COGS!AW158+'SG&amp;A'!AW158</f>
        <v>0</v>
      </c>
      <c r="AX158" s="27">
        <f>COGS!AX158+'SG&amp;A'!AX158</f>
        <v>0</v>
      </c>
      <c r="AY158" s="27">
        <f>COGS!AY158+'SG&amp;A'!AY158</f>
        <v>0</v>
      </c>
      <c r="AZ158" s="27">
        <f>COGS!AZ158+'SG&amp;A'!AZ158</f>
        <v>0</v>
      </c>
      <c r="BA158" s="27">
        <f>COGS!BA158+'SG&amp;A'!BA158</f>
        <v>0</v>
      </c>
      <c r="BB158" s="27">
        <f>COGS!BB158+'SG&amp;A'!BB158</f>
        <v>0</v>
      </c>
      <c r="BC158" s="27">
        <f>COGS!BC158+'SG&amp;A'!BC158</f>
        <v>0</v>
      </c>
      <c r="BD158" s="27">
        <f>COGS!BD158+'SG&amp;A'!BD158</f>
        <v>0</v>
      </c>
      <c r="BE158" s="27">
        <f>COGS!BE158+'SG&amp;A'!BE158</f>
        <v>0</v>
      </c>
      <c r="BF158" s="27">
        <f>COGS!BF158+'SG&amp;A'!BF158</f>
        <v>0</v>
      </c>
      <c r="BG158" s="27">
        <f>COGS!BG158+'SG&amp;A'!BG158</f>
        <v>0</v>
      </c>
      <c r="BH158" s="27">
        <f>COGS!BH158+'SG&amp;A'!BH158</f>
        <v>0</v>
      </c>
      <c r="BI158" s="27">
        <f>COGS!BI158+'SG&amp;A'!BI158</f>
        <v>0</v>
      </c>
      <c r="BJ158" s="27">
        <f>COGS!BJ158+'SG&amp;A'!BJ158</f>
        <v>0</v>
      </c>
      <c r="BK158" s="27">
        <f>COGS!BK158+'SG&amp;A'!BK158</f>
        <v>0</v>
      </c>
      <c r="BL158" s="27">
        <f>COGS!BL158+'SG&amp;A'!BL158</f>
        <v>0</v>
      </c>
      <c r="BM158" s="27">
        <f>COGS!BM158+'SG&amp;A'!BM158</f>
        <v>0</v>
      </c>
      <c r="BN158" s="27">
        <f>COGS!BN158+'SG&amp;A'!BN158</f>
        <v>0</v>
      </c>
      <c r="BO158" s="27">
        <f>COGS!BO158+'SG&amp;A'!BO158</f>
        <v>0</v>
      </c>
      <c r="BP158" s="27">
        <f>COGS!BP158+'SG&amp;A'!BP158</f>
        <v>0</v>
      </c>
      <c r="BQ158" s="27">
        <f>COGS!BQ158+'SG&amp;A'!BQ158</f>
        <v>0</v>
      </c>
      <c r="BR158" s="27">
        <f>COGS!BR158+'SG&amp;A'!BR158</f>
        <v>0</v>
      </c>
      <c r="BS158" s="27">
        <f>COGS!BS158+'SG&amp;A'!BS158</f>
        <v>0</v>
      </c>
      <c r="BT158" s="27">
        <f>COGS!BT158+'SG&amp;A'!BT158</f>
        <v>0</v>
      </c>
      <c r="BU158" s="27">
        <f>COGS!BU158+'SG&amp;A'!BU158</f>
        <v>1.2428150200000001</v>
      </c>
      <c r="BV158" s="27">
        <f>COGS!BV158+'SG&amp;A'!BV158</f>
        <v>3.5381102500000008</v>
      </c>
      <c r="BW158" s="27">
        <f>COGS!BW158+'SG&amp;A'!BW158</f>
        <v>3.4438397599999986</v>
      </c>
      <c r="BX158" s="27">
        <f>COGS!BX158+'SG&amp;A'!BX158</f>
        <v>8.2247650300000004</v>
      </c>
      <c r="BY158" s="27">
        <f>COGS!BY158+'SG&amp;A'!BY158</f>
        <v>3.7801376600000003</v>
      </c>
      <c r="BZ158" s="27">
        <f>COGS!BZ158+'SG&amp;A'!BZ158</f>
        <v>16.73193809</v>
      </c>
      <c r="CA158" s="27">
        <f>COGS!CA158+'SG&amp;A'!CA158</f>
        <v>11.700028409999994</v>
      </c>
      <c r="CB158" s="27">
        <f>COGS!CB158+'SG&amp;A'!CB158</f>
        <v>9.816040140000009</v>
      </c>
      <c r="CC158" s="27">
        <f>COGS!CC158+'SG&amp;A'!CC158</f>
        <v>42.028144300000008</v>
      </c>
      <c r="CD158" s="27">
        <f>COGS!CD158+'SG&amp;A'!CD158</f>
        <v>10.405936759999999</v>
      </c>
      <c r="CE158" s="27">
        <f>COGS!CE158+'SG&amp;A'!CE158</f>
        <v>9.9358498399999977</v>
      </c>
      <c r="CF158" s="27">
        <f>COGS!CF158+'SG&amp;A'!CF158</f>
        <v>10.404858820000003</v>
      </c>
      <c r="CG158" s="27">
        <f>COGS!CG158+'SG&amp;A'!CG158</f>
        <v>10.95280159</v>
      </c>
      <c r="CH158" s="27">
        <f>COGS!CH158+'SG&amp;A'!CH158</f>
        <v>41.69944701</v>
      </c>
      <c r="CI158" s="27">
        <f>COGS!CI158+'SG&amp;A'!CI158</f>
        <v>9.6921379200000004</v>
      </c>
      <c r="CJ158" s="27">
        <f>COGS!CJ158+'SG&amp;A'!CJ158</f>
        <v>9.3294242400000016</v>
      </c>
      <c r="CK158" s="27">
        <f>COGS!CK158+'SG&amp;A'!CK158</f>
        <v>10.058844240000003</v>
      </c>
      <c r="CL158" s="27">
        <f>COGS!CL158+'SG&amp;A'!CL158</f>
        <v>8.2256171299999963</v>
      </c>
      <c r="CM158" s="27">
        <f>COGS!CM158+'SG&amp;A'!CM158</f>
        <v>37.306023530000004</v>
      </c>
      <c r="CN158" s="27">
        <f>COGS!CN158+'SG&amp;A'!CN158</f>
        <v>6.9767640699999998</v>
      </c>
      <c r="CO158" s="27">
        <f>COGS!CO158+'SG&amp;A'!CO158</f>
        <v>7.1247371099999999</v>
      </c>
      <c r="CP158" s="27">
        <f>COGS!CP158+'SG&amp;A'!CP158</f>
        <v>7.7779841799999989</v>
      </c>
      <c r="CQ158" s="27">
        <f>COGS!CQ158+'SG&amp;A'!CQ158</f>
        <v>6.8985146400000019</v>
      </c>
      <c r="CR158" s="27">
        <f>COGS!CR158+'SG&amp;A'!CR158</f>
        <v>28.777999999999999</v>
      </c>
      <c r="CS158" s="27">
        <f>COGS!CS158+'SG&amp;A'!CS158</f>
        <v>6.3574114600000007</v>
      </c>
      <c r="CT158" s="27">
        <f>COGS!CT158+'SG&amp;A'!CT158</f>
        <v>5.8385885399999999</v>
      </c>
      <c r="CU158" s="27">
        <f>COGS!CU158+'SG&amp;A'!CU158</f>
        <v>5.8269999999999991</v>
      </c>
      <c r="CV158" s="27">
        <f>COGS!CV158+'SG&amp;A'!CV158</f>
        <v>6.0700000000000012</v>
      </c>
      <c r="CW158" s="27">
        <f>COGS!CW158+'SG&amp;A'!CW158</f>
        <v>24.093</v>
      </c>
      <c r="CX158" s="27">
        <f>COGS!CX158+'SG&amp;A'!CX158</f>
        <v>5.9630000000000001</v>
      </c>
      <c r="CY158" s="27">
        <f>COGS!CY158+'SG&amp;A'!CY158</f>
        <v>9.1879999999999988</v>
      </c>
      <c r="CZ158" s="27">
        <f>COGS!CZ158+'SG&amp;A'!CZ158</f>
        <v>6.2060000000000004</v>
      </c>
      <c r="DA158" s="27">
        <f>COGS!DA158+'SG&amp;A'!DA158</f>
        <v>7.3919999999999995</v>
      </c>
      <c r="DB158" s="27">
        <f>COGS!DB158+'SG&amp;A'!DB158</f>
        <v>28.749000000000002</v>
      </c>
      <c r="DC158" s="27">
        <f>COGS!DC158+'SG&amp;A'!DC158</f>
        <v>6.1070000000000002</v>
      </c>
      <c r="DD158" s="27">
        <f>COGS!DD158+'SG&amp;A'!DD158</f>
        <v>6.5919999999999996</v>
      </c>
      <c r="DE158" s="27">
        <f>COGS!DE158+'SG&amp;A'!DE158</f>
        <v>6.16</v>
      </c>
      <c r="DF158" s="27">
        <f>COGS!DF158+'SG&amp;A'!DF158</f>
        <v>5.7489999999999997</v>
      </c>
      <c r="DG158" s="27">
        <f>COGS!DG158+'SG&amp;A'!DG158</f>
        <v>24.608000000000001</v>
      </c>
      <c r="DH158" s="27">
        <f>COGS!DH158+'SG&amp;A'!DH158</f>
        <v>5.41</v>
      </c>
      <c r="DI158" s="27">
        <f>COGS!DI158+'SG&amp;A'!DI158</f>
        <v>5.452</v>
      </c>
      <c r="DJ158" s="27">
        <f>COGS!DJ158+'SG&amp;A'!DJ158</f>
        <v>5.8280000000000003</v>
      </c>
      <c r="DK158" s="27">
        <f>COGS!DK158+'SG&amp;A'!DK158</f>
        <v>6.8369999999999997</v>
      </c>
      <c r="DL158" s="27">
        <f>COGS!DL158+'SG&amp;A'!DL158</f>
        <v>23.527000000000001</v>
      </c>
      <c r="DM158" s="27">
        <f>COGS!DM158+'SG&amp;A'!DM158</f>
        <v>7.1850000000000005</v>
      </c>
      <c r="DN158" s="27">
        <f>COGS!DN158+'SG&amp;A'!DN158</f>
        <v>6.8479999999999999</v>
      </c>
      <c r="DO158" s="27">
        <f>COGS!DO158+'SG&amp;A'!DO158</f>
        <v>8.02</v>
      </c>
      <c r="DP158" s="27">
        <f>COGS!DP158+'SG&amp;A'!DP158</f>
        <v>8.86</v>
      </c>
      <c r="DQ158" s="27">
        <f>COGS!DQ158+'SG&amp;A'!DQ158</f>
        <v>30.913</v>
      </c>
      <c r="DR158" s="27">
        <f>COGS!DR158+'SG&amp;A'!DR158</f>
        <v>9.3580000000000005</v>
      </c>
      <c r="DS158" s="27">
        <f>COGS!DS158+'SG&amp;A'!DS158</f>
        <v>9.4779999999999998</v>
      </c>
      <c r="DT158" s="27">
        <f>COGS!DT158+'SG&amp;A'!DT158</f>
        <v>11.628</v>
      </c>
      <c r="DU158" s="27">
        <f>COGS!DU158+'SG&amp;A'!DU158</f>
        <v>10.822000000000001</v>
      </c>
      <c r="DV158" s="27">
        <f>COGS!DV158+'SG&amp;A'!DV158</f>
        <v>41.285999999999994</v>
      </c>
      <c r="DW158" s="27">
        <f>COGS!DW158+'SG&amp;A'!DW158</f>
        <v>10.331</v>
      </c>
      <c r="DX158" s="27">
        <f>COGS!DX158+'SG&amp;A'!DX158</f>
        <v>10.850546870000001</v>
      </c>
      <c r="DY158" s="27">
        <f>COGS!DY158+'SG&amp;A'!DY158</f>
        <v>11.125878649999999</v>
      </c>
      <c r="DZ158" s="27">
        <f>COGS!DZ158+'SG&amp;A'!DZ158</f>
        <v>10.501483030000001</v>
      </c>
      <c r="EA158" s="27">
        <f>COGS!EA158+'SG&amp;A'!EA158</f>
        <v>42.808908549999998</v>
      </c>
      <c r="EB158" s="27">
        <f>COGS!EB158+'SG&amp;A'!EB158</f>
        <v>10.537602700000001</v>
      </c>
      <c r="EC158" s="27">
        <f>COGS!EC158+'SG&amp;A'!EC158</f>
        <v>11.105704349999998</v>
      </c>
      <c r="ED158" s="27">
        <f>COGS!ED158+'SG&amp;A'!ED158</f>
        <v>11.964</v>
      </c>
      <c r="EE158" s="27">
        <f>COGS!EE158+'SG&amp;A'!EE158</f>
        <v>14.728476529999998</v>
      </c>
      <c r="EF158" s="27">
        <f>COGS!EF158+'SG&amp;A'!EF158</f>
        <v>48.335783579999998</v>
      </c>
      <c r="EG158" s="27">
        <f>COGS!EG158+'SG&amp;A'!EG158</f>
        <v>16.40755922</v>
      </c>
      <c r="EH158" s="27">
        <f>COGS!EH158+'SG&amp;A'!EH158</f>
        <v>14.592411200000001</v>
      </c>
      <c r="EI158" s="27">
        <f>COGS!EI158+'SG&amp;A'!EI158</f>
        <v>14.382769189999998</v>
      </c>
    </row>
    <row r="159" spans="1:139" ht="15" thickBot="1" x14ac:dyDescent="0.35">
      <c r="A159" s="2" t="s">
        <v>305</v>
      </c>
      <c r="B159" s="28">
        <f>COGS!B159+'SG&amp;A'!B159</f>
        <v>0</v>
      </c>
      <c r="C159" s="28">
        <f>COGS!C159+'SG&amp;A'!C159</f>
        <v>0</v>
      </c>
      <c r="D159" s="28">
        <f>COGS!D159+'SG&amp;A'!D159</f>
        <v>0</v>
      </c>
      <c r="E159" s="28">
        <f>COGS!E159+'SG&amp;A'!E159</f>
        <v>0</v>
      </c>
      <c r="F159" s="28">
        <f>COGS!F159+'SG&amp;A'!F159</f>
        <v>0</v>
      </c>
      <c r="G159" s="28">
        <f>COGS!G159+'SG&amp;A'!G159</f>
        <v>0</v>
      </c>
      <c r="H159" s="28">
        <f>COGS!H159+'SG&amp;A'!H159</f>
        <v>0</v>
      </c>
      <c r="I159" s="28">
        <f>COGS!I159+'SG&amp;A'!I159</f>
        <v>0</v>
      </c>
      <c r="J159" s="28">
        <f>COGS!J159+'SG&amp;A'!J159</f>
        <v>0</v>
      </c>
      <c r="K159" s="28">
        <f>COGS!K159+'SG&amp;A'!K159</f>
        <v>0</v>
      </c>
      <c r="L159" s="28">
        <f>COGS!L159+'SG&amp;A'!L159</f>
        <v>0</v>
      </c>
      <c r="M159" s="28">
        <f>COGS!M159+'SG&amp;A'!M159</f>
        <v>0</v>
      </c>
      <c r="N159" s="28">
        <f>COGS!N159+'SG&amp;A'!N159</f>
        <v>0</v>
      </c>
      <c r="O159" s="28">
        <f>COGS!O159+'SG&amp;A'!O159</f>
        <v>0</v>
      </c>
      <c r="P159" s="28">
        <f>COGS!P159+'SG&amp;A'!P159</f>
        <v>0</v>
      </c>
      <c r="Q159" s="28">
        <f>COGS!Q159+'SG&amp;A'!Q159</f>
        <v>0</v>
      </c>
      <c r="R159" s="28">
        <f>COGS!R159+'SG&amp;A'!R159</f>
        <v>0</v>
      </c>
      <c r="S159" s="28">
        <f>COGS!S159+'SG&amp;A'!S159</f>
        <v>0</v>
      </c>
      <c r="T159" s="28">
        <f>COGS!T159+'SG&amp;A'!T159</f>
        <v>0</v>
      </c>
      <c r="U159" s="28">
        <f>COGS!U159+'SG&amp;A'!U159</f>
        <v>0</v>
      </c>
      <c r="V159" s="28">
        <f>COGS!V159+'SG&amp;A'!V159</f>
        <v>0</v>
      </c>
      <c r="W159" s="28">
        <f>COGS!W159+'SG&amp;A'!W159</f>
        <v>0</v>
      </c>
      <c r="X159" s="28">
        <f>COGS!X159+'SG&amp;A'!X159</f>
        <v>0</v>
      </c>
      <c r="Y159" s="28">
        <f>COGS!Y159+'SG&amp;A'!Y159</f>
        <v>0</v>
      </c>
      <c r="Z159" s="28">
        <f>COGS!Z159+'SG&amp;A'!Z159</f>
        <v>0</v>
      </c>
      <c r="AA159" s="28">
        <f>COGS!AA159+'SG&amp;A'!AA159</f>
        <v>0</v>
      </c>
      <c r="AB159" s="28">
        <f>COGS!AB159+'SG&amp;A'!AB159</f>
        <v>0</v>
      </c>
      <c r="AC159" s="28">
        <f>COGS!AC159+'SG&amp;A'!AC159</f>
        <v>0</v>
      </c>
      <c r="AD159" s="28">
        <f>COGS!AD159+'SG&amp;A'!AD159</f>
        <v>0</v>
      </c>
      <c r="AE159" s="28">
        <f>COGS!AE159+'SG&amp;A'!AE159</f>
        <v>0</v>
      </c>
      <c r="AF159" s="28">
        <f>COGS!AF159+'SG&amp;A'!AF159</f>
        <v>0</v>
      </c>
      <c r="AG159" s="28">
        <f>COGS!AG159+'SG&amp;A'!AG159</f>
        <v>0</v>
      </c>
      <c r="AH159" s="28">
        <f>COGS!AH159+'SG&amp;A'!AH159</f>
        <v>0</v>
      </c>
      <c r="AI159" s="28">
        <f>COGS!AI159+'SG&amp;A'!AI159</f>
        <v>0</v>
      </c>
      <c r="AJ159" s="28">
        <f>COGS!AJ159+'SG&amp;A'!AJ159</f>
        <v>0</v>
      </c>
      <c r="AK159" s="28">
        <f>COGS!AK159+'SG&amp;A'!AK159</f>
        <v>0</v>
      </c>
      <c r="AL159" s="28">
        <f>COGS!AL159+'SG&amp;A'!AL159</f>
        <v>0</v>
      </c>
      <c r="AM159" s="28">
        <f>COGS!AM159+'SG&amp;A'!AM159</f>
        <v>0</v>
      </c>
      <c r="AN159" s="28">
        <f>COGS!AN159+'SG&amp;A'!AN159</f>
        <v>0</v>
      </c>
      <c r="AO159" s="28">
        <f>COGS!AO159+'SG&amp;A'!AO159</f>
        <v>0</v>
      </c>
      <c r="AP159" s="28">
        <f>COGS!AP159+'SG&amp;A'!AP159</f>
        <v>0</v>
      </c>
      <c r="AQ159" s="28">
        <f>COGS!AQ159+'SG&amp;A'!AQ159</f>
        <v>0</v>
      </c>
      <c r="AR159" s="28">
        <f>COGS!AR159+'SG&amp;A'!AR159</f>
        <v>0</v>
      </c>
      <c r="AS159" s="28">
        <f>COGS!AS159+'SG&amp;A'!AS159</f>
        <v>0</v>
      </c>
      <c r="AT159" s="28">
        <f>COGS!AT159+'SG&amp;A'!AT159</f>
        <v>0</v>
      </c>
      <c r="AU159" s="28">
        <f>COGS!AU159+'SG&amp;A'!AU159</f>
        <v>0</v>
      </c>
      <c r="AV159" s="28">
        <f>COGS!AV159+'SG&amp;A'!AV159</f>
        <v>0</v>
      </c>
      <c r="AW159" s="28">
        <f>COGS!AW159+'SG&amp;A'!AW159</f>
        <v>0</v>
      </c>
      <c r="AX159" s="28">
        <f>COGS!AX159+'SG&amp;A'!AX159</f>
        <v>0</v>
      </c>
      <c r="AY159" s="28">
        <f>COGS!AY159+'SG&amp;A'!AY159</f>
        <v>0</v>
      </c>
      <c r="AZ159" s="28">
        <f>COGS!AZ159+'SG&amp;A'!AZ159</f>
        <v>0</v>
      </c>
      <c r="BA159" s="28">
        <f>COGS!BA159+'SG&amp;A'!BA159</f>
        <v>0</v>
      </c>
      <c r="BB159" s="28">
        <f>COGS!BB159+'SG&amp;A'!BB159</f>
        <v>0</v>
      </c>
      <c r="BC159" s="28">
        <f>COGS!BC159+'SG&amp;A'!BC159</f>
        <v>0</v>
      </c>
      <c r="BD159" s="28">
        <f>COGS!BD159+'SG&amp;A'!BD159</f>
        <v>0</v>
      </c>
      <c r="BE159" s="28">
        <f>COGS!BE159+'SG&amp;A'!BE159</f>
        <v>0</v>
      </c>
      <c r="BF159" s="28">
        <f>COGS!BF159+'SG&amp;A'!BF159</f>
        <v>0</v>
      </c>
      <c r="BG159" s="28">
        <f>COGS!BG159+'SG&amp;A'!BG159</f>
        <v>0</v>
      </c>
      <c r="BH159" s="28">
        <f>COGS!BH159+'SG&amp;A'!BH159</f>
        <v>0</v>
      </c>
      <c r="BI159" s="28">
        <f>COGS!BI159+'SG&amp;A'!BI159</f>
        <v>0</v>
      </c>
      <c r="BJ159" s="28">
        <f>COGS!BJ159+'SG&amp;A'!BJ159</f>
        <v>0</v>
      </c>
      <c r="BK159" s="28">
        <f>COGS!BK159+'SG&amp;A'!BK159</f>
        <v>0</v>
      </c>
      <c r="BL159" s="28">
        <f>COGS!BL159+'SG&amp;A'!BL159</f>
        <v>0</v>
      </c>
      <c r="BM159" s="28">
        <f>COGS!BM159+'SG&amp;A'!BM159</f>
        <v>0</v>
      </c>
      <c r="BN159" s="28">
        <f>COGS!BN159+'SG&amp;A'!BN159</f>
        <v>0</v>
      </c>
      <c r="BO159" s="28">
        <f>COGS!BO159+'SG&amp;A'!BO159</f>
        <v>0</v>
      </c>
      <c r="BP159" s="28">
        <f>COGS!BP159+'SG&amp;A'!BP159</f>
        <v>0</v>
      </c>
      <c r="BQ159" s="28">
        <f>COGS!BQ159+'SG&amp;A'!BQ159</f>
        <v>0</v>
      </c>
      <c r="BR159" s="28">
        <f>COGS!BR159+'SG&amp;A'!BR159</f>
        <v>0</v>
      </c>
      <c r="BS159" s="28">
        <f>COGS!BS159+'SG&amp;A'!BS159</f>
        <v>0</v>
      </c>
      <c r="BT159" s="28">
        <f>COGS!BT159+'SG&amp;A'!BT159</f>
        <v>0</v>
      </c>
      <c r="BU159" s="28">
        <f>COGS!BU159+'SG&amp;A'!BU159</f>
        <v>0</v>
      </c>
      <c r="BV159" s="28">
        <f>COGS!BV159+'SG&amp;A'!BV159</f>
        <v>0</v>
      </c>
      <c r="BW159" s="28">
        <f>COGS!BW159+'SG&amp;A'!BW159</f>
        <v>0</v>
      </c>
      <c r="BX159" s="28">
        <f>COGS!BX159+'SG&amp;A'!BX159</f>
        <v>0</v>
      </c>
      <c r="BY159" s="28">
        <f>COGS!BY159+'SG&amp;A'!BY159</f>
        <v>0</v>
      </c>
      <c r="BZ159" s="28">
        <f>COGS!BZ159+'SG&amp;A'!BZ159</f>
        <v>0</v>
      </c>
      <c r="CA159" s="28">
        <f>COGS!CA159+'SG&amp;A'!CA159</f>
        <v>0</v>
      </c>
      <c r="CB159" s="28">
        <f>COGS!CB159+'SG&amp;A'!CB159</f>
        <v>0</v>
      </c>
      <c r="CC159" s="28">
        <f>COGS!CC159+'SG&amp;A'!CC159</f>
        <v>0</v>
      </c>
      <c r="CD159" s="28">
        <f>COGS!CD159+'SG&amp;A'!CD159</f>
        <v>0</v>
      </c>
      <c r="CE159" s="28">
        <f>COGS!CE159+'SG&amp;A'!CE159</f>
        <v>0</v>
      </c>
      <c r="CF159" s="28">
        <f>COGS!CF159+'SG&amp;A'!CF159</f>
        <v>0</v>
      </c>
      <c r="CG159" s="28">
        <f>COGS!CG159+'SG&amp;A'!CG159</f>
        <v>0</v>
      </c>
      <c r="CH159" s="28">
        <f>COGS!CH159+'SG&amp;A'!CH159</f>
        <v>0</v>
      </c>
      <c r="CI159" s="28">
        <f>COGS!CI159+'SG&amp;A'!CI159</f>
        <v>0</v>
      </c>
      <c r="CJ159" s="28">
        <f>COGS!CJ159+'SG&amp;A'!CJ159</f>
        <v>0</v>
      </c>
      <c r="CK159" s="28">
        <f>COGS!CK159+'SG&amp;A'!CK159</f>
        <v>0</v>
      </c>
      <c r="CL159" s="28">
        <f>COGS!CL159+'SG&amp;A'!CL159</f>
        <v>0</v>
      </c>
      <c r="CM159" s="28">
        <f>COGS!CM159+'SG&amp;A'!CM159</f>
        <v>0</v>
      </c>
      <c r="CN159" s="28">
        <f>COGS!CN159+'SG&amp;A'!CN159</f>
        <v>0</v>
      </c>
      <c r="CO159" s="28">
        <f>COGS!CO159+'SG&amp;A'!CO159</f>
        <v>0</v>
      </c>
      <c r="CP159" s="28">
        <f>COGS!CP159+'SG&amp;A'!CP159</f>
        <v>0</v>
      </c>
      <c r="CQ159" s="28">
        <f>COGS!CQ159+'SG&amp;A'!CQ159</f>
        <v>0</v>
      </c>
      <c r="CR159" s="28">
        <f>COGS!CR159+'SG&amp;A'!CR159</f>
        <v>0</v>
      </c>
      <c r="CS159" s="28">
        <f>COGS!CS159+'SG&amp;A'!CS159</f>
        <v>0</v>
      </c>
      <c r="CT159" s="28">
        <f>COGS!CT159+'SG&amp;A'!CT159</f>
        <v>0</v>
      </c>
      <c r="CU159" s="28">
        <f>COGS!CU159+'SG&amp;A'!CU159</f>
        <v>0</v>
      </c>
      <c r="CV159" s="28">
        <f>COGS!CV159+'SG&amp;A'!CV159</f>
        <v>0</v>
      </c>
      <c r="CW159" s="28">
        <f>COGS!CW159+'SG&amp;A'!CW159</f>
        <v>0</v>
      </c>
      <c r="CX159" s="28">
        <f>COGS!CX159+'SG&amp;A'!CX159</f>
        <v>0</v>
      </c>
      <c r="CY159" s="28">
        <f>COGS!CY159+'SG&amp;A'!CY159</f>
        <v>0</v>
      </c>
      <c r="CZ159" s="28">
        <f>COGS!CZ159+'SG&amp;A'!CZ159</f>
        <v>0</v>
      </c>
      <c r="DA159" s="28">
        <f>COGS!DA159+'SG&amp;A'!DA159</f>
        <v>0</v>
      </c>
      <c r="DB159" s="28">
        <f>COGS!DB159+'SG&amp;A'!DB159</f>
        <v>0</v>
      </c>
      <c r="DC159" s="28">
        <f>COGS!DC159+'SG&amp;A'!DC159</f>
        <v>0.42500000000000004</v>
      </c>
      <c r="DD159" s="28">
        <f>COGS!DD159+'SG&amp;A'!DD159</f>
        <v>0.33600000000000002</v>
      </c>
      <c r="DE159" s="28">
        <f>COGS!DE159+'SG&amp;A'!DE159</f>
        <v>0.38200000000000001</v>
      </c>
      <c r="DF159" s="28">
        <f>COGS!DF159+'SG&amp;A'!DF159</f>
        <v>0.17500000000000002</v>
      </c>
      <c r="DG159" s="28">
        <f>COGS!DG159+'SG&amp;A'!DG159</f>
        <v>1.3179999999999998</v>
      </c>
      <c r="DH159" s="28">
        <f>COGS!DH159+'SG&amp;A'!DH159</f>
        <v>0.23</v>
      </c>
      <c r="DI159" s="28">
        <f>COGS!DI159+'SG&amp;A'!DI159</f>
        <v>0.183</v>
      </c>
      <c r="DJ159" s="28">
        <f>COGS!DJ159+'SG&amp;A'!DJ159</f>
        <v>0.26800000000000002</v>
      </c>
      <c r="DK159" s="28">
        <f>COGS!DK159+'SG&amp;A'!DK159</f>
        <v>0.224</v>
      </c>
      <c r="DL159" s="28">
        <f>COGS!DL159+'SG&amp;A'!DL159</f>
        <v>0.90500000000000003</v>
      </c>
      <c r="DM159" s="28">
        <f>COGS!DM159+'SG&amp;A'!DM159</f>
        <v>0.311</v>
      </c>
      <c r="DN159" s="28">
        <f>COGS!DN159+'SG&amp;A'!DN159</f>
        <v>0.28499999999999998</v>
      </c>
      <c r="DO159" s="28">
        <f>COGS!DO159+'SG&amp;A'!DO159</f>
        <v>0.26100000000000001</v>
      </c>
      <c r="DP159" s="28">
        <f>COGS!DP159+'SG&amp;A'!DP159</f>
        <v>0.251</v>
      </c>
      <c r="DQ159" s="28">
        <f>COGS!DQ159+'SG&amp;A'!DQ159</f>
        <v>1.1080000000000001</v>
      </c>
      <c r="DR159" s="28">
        <f>COGS!DR159+'SG&amp;A'!DR159</f>
        <v>0.24399999999999999</v>
      </c>
      <c r="DS159" s="28">
        <f>COGS!DS159+'SG&amp;A'!DS159</f>
        <v>0.39200000000000002</v>
      </c>
      <c r="DT159" s="28">
        <f>COGS!DT159+'SG&amp;A'!DT159</f>
        <v>0.27600000000000002</v>
      </c>
      <c r="DU159" s="28">
        <f>COGS!DU159+'SG&amp;A'!DU159</f>
        <v>0.249</v>
      </c>
      <c r="DV159" s="28">
        <f>COGS!DV159+'SG&amp;A'!DV159</f>
        <v>1.161</v>
      </c>
      <c r="DW159" s="28">
        <f>COGS!DW159+'SG&amp;A'!DW159</f>
        <v>0.29499999999999998</v>
      </c>
      <c r="DX159" s="28">
        <f>COGS!DX159+'SG&amp;A'!DX159</f>
        <v>0.26422089999999998</v>
      </c>
      <c r="DY159" s="28">
        <f>COGS!DY159+'SG&amp;A'!DY159</f>
        <v>0.30361119999999991</v>
      </c>
      <c r="DZ159" s="28">
        <f>COGS!DZ159+'SG&amp;A'!DZ159</f>
        <v>0.27695586</v>
      </c>
      <c r="EA159" s="28">
        <f>COGS!EA159+'SG&amp;A'!EA159</f>
        <v>1.13978796</v>
      </c>
      <c r="EB159" s="28">
        <f>COGS!EB159+'SG&amp;A'!EB159</f>
        <v>0.25481767999999999</v>
      </c>
      <c r="EC159" s="28">
        <f>COGS!EC159+'SG&amp;A'!EC159</f>
        <v>0.35136770000000006</v>
      </c>
      <c r="ED159" s="28">
        <f>COGS!ED159+'SG&amp;A'!ED159</f>
        <v>0.43499999999999994</v>
      </c>
      <c r="EE159" s="28">
        <f>COGS!EE159+'SG&amp;A'!EE159</f>
        <v>0.34003004999999997</v>
      </c>
      <c r="EF159" s="28">
        <f>COGS!EF159+'SG&amp;A'!EF159</f>
        <v>1.3812154300000001</v>
      </c>
      <c r="EG159" s="28">
        <f>COGS!EG159+'SG&amp;A'!EG159</f>
        <v>0.29115464000000002</v>
      </c>
      <c r="EH159" s="28">
        <f>COGS!EH159+'SG&amp;A'!EH159</f>
        <v>0.29993547999999998</v>
      </c>
      <c r="EI159" s="28">
        <f>COGS!EI159+'SG&amp;A'!EI159</f>
        <v>0.27060544999999997</v>
      </c>
    </row>
    <row r="160" spans="1:139" ht="15" thickTop="1" x14ac:dyDescent="0.3">
      <c r="A160" s="1" t="s">
        <v>306</v>
      </c>
      <c r="B160" s="27">
        <f>COGS!B160+'SG&amp;A'!B160</f>
        <v>0</v>
      </c>
      <c r="C160" s="27">
        <f>COGS!C160+'SG&amp;A'!C160</f>
        <v>0</v>
      </c>
      <c r="D160" s="27">
        <f>COGS!D160+'SG&amp;A'!D160</f>
        <v>0</v>
      </c>
      <c r="E160" s="27">
        <f>COGS!E160+'SG&amp;A'!E160</f>
        <v>0</v>
      </c>
      <c r="F160" s="27">
        <f>COGS!F160+'SG&amp;A'!F160</f>
        <v>0</v>
      </c>
      <c r="G160" s="27">
        <f>COGS!G160+'SG&amp;A'!G160</f>
        <v>0</v>
      </c>
      <c r="H160" s="27">
        <f>COGS!H160+'SG&amp;A'!H160</f>
        <v>0</v>
      </c>
      <c r="I160" s="27">
        <f>COGS!I160+'SG&amp;A'!I160</f>
        <v>0</v>
      </c>
      <c r="J160" s="27">
        <f>COGS!J160+'SG&amp;A'!J160</f>
        <v>0</v>
      </c>
      <c r="K160" s="27">
        <f>COGS!K160+'SG&amp;A'!K160</f>
        <v>0</v>
      </c>
      <c r="L160" s="27">
        <f>COGS!L160+'SG&amp;A'!L160</f>
        <v>0</v>
      </c>
      <c r="M160" s="27">
        <f>COGS!M160+'SG&amp;A'!M160</f>
        <v>0</v>
      </c>
      <c r="N160" s="27">
        <f>COGS!N160+'SG&amp;A'!N160</f>
        <v>0</v>
      </c>
      <c r="O160" s="27">
        <f>COGS!O160+'SG&amp;A'!O160</f>
        <v>0</v>
      </c>
      <c r="P160" s="27">
        <f>COGS!P160+'SG&amp;A'!P160</f>
        <v>0</v>
      </c>
      <c r="Q160" s="27">
        <f>COGS!Q160+'SG&amp;A'!Q160</f>
        <v>0</v>
      </c>
      <c r="R160" s="27">
        <f>COGS!R160+'SG&amp;A'!R160</f>
        <v>0</v>
      </c>
      <c r="S160" s="27">
        <f>COGS!S160+'SG&amp;A'!S160</f>
        <v>0</v>
      </c>
      <c r="T160" s="27">
        <f>COGS!T160+'SG&amp;A'!T160</f>
        <v>0</v>
      </c>
      <c r="U160" s="27">
        <f>COGS!U160+'SG&amp;A'!U160</f>
        <v>0</v>
      </c>
      <c r="V160" s="27">
        <f>COGS!V160+'SG&amp;A'!V160</f>
        <v>0</v>
      </c>
      <c r="W160" s="27">
        <f>COGS!W160+'SG&amp;A'!W160</f>
        <v>0</v>
      </c>
      <c r="X160" s="27">
        <f>COGS!X160+'SG&amp;A'!X160</f>
        <v>0</v>
      </c>
      <c r="Y160" s="27">
        <f>COGS!Y160+'SG&amp;A'!Y160</f>
        <v>0</v>
      </c>
      <c r="Z160" s="27">
        <f>COGS!Z160+'SG&amp;A'!Z160</f>
        <v>0</v>
      </c>
      <c r="AA160" s="27">
        <f>COGS!AA160+'SG&amp;A'!AA160</f>
        <v>0</v>
      </c>
      <c r="AB160" s="27">
        <f>COGS!AB160+'SG&amp;A'!AB160</f>
        <v>0</v>
      </c>
      <c r="AC160" s="27">
        <f>COGS!AC160+'SG&amp;A'!AC160</f>
        <v>0</v>
      </c>
      <c r="AD160" s="27">
        <f>COGS!AD160+'SG&amp;A'!AD160</f>
        <v>0</v>
      </c>
      <c r="AE160" s="27">
        <f>COGS!AE160+'SG&amp;A'!AE160</f>
        <v>0</v>
      </c>
      <c r="AF160" s="27">
        <f>COGS!AF160+'SG&amp;A'!AF160</f>
        <v>0</v>
      </c>
      <c r="AG160" s="27">
        <f>COGS!AG160+'SG&amp;A'!AG160</f>
        <v>0</v>
      </c>
      <c r="AH160" s="27">
        <f>COGS!AH160+'SG&amp;A'!AH160</f>
        <v>0</v>
      </c>
      <c r="AI160" s="27">
        <f>COGS!AI160+'SG&amp;A'!AI160</f>
        <v>0</v>
      </c>
      <c r="AJ160" s="27">
        <f>COGS!AJ160+'SG&amp;A'!AJ160</f>
        <v>0</v>
      </c>
      <c r="AK160" s="27">
        <f>COGS!AK160+'SG&amp;A'!AK160</f>
        <v>0</v>
      </c>
      <c r="AL160" s="27">
        <f>COGS!AL160+'SG&amp;A'!AL160</f>
        <v>0</v>
      </c>
      <c r="AM160" s="27">
        <f>COGS!AM160+'SG&amp;A'!AM160</f>
        <v>0</v>
      </c>
      <c r="AN160" s="27">
        <f>COGS!AN160+'SG&amp;A'!AN160</f>
        <v>0</v>
      </c>
      <c r="AO160" s="27">
        <f>COGS!AO160+'SG&amp;A'!AO160</f>
        <v>0</v>
      </c>
      <c r="AP160" s="27">
        <f>COGS!AP160+'SG&amp;A'!AP160</f>
        <v>0</v>
      </c>
      <c r="AQ160" s="27">
        <f>COGS!AQ160+'SG&amp;A'!AQ160</f>
        <v>0</v>
      </c>
      <c r="AR160" s="27">
        <f>COGS!AR160+'SG&amp;A'!AR160</f>
        <v>0</v>
      </c>
      <c r="AS160" s="27">
        <f>COGS!AS160+'SG&amp;A'!AS160</f>
        <v>0</v>
      </c>
      <c r="AT160" s="27">
        <f>COGS!AT160+'SG&amp;A'!AT160</f>
        <v>0</v>
      </c>
      <c r="AU160" s="27">
        <f>COGS!AU160+'SG&amp;A'!AU160</f>
        <v>0</v>
      </c>
      <c r="AV160" s="27">
        <f>COGS!AV160+'SG&amp;A'!AV160</f>
        <v>0</v>
      </c>
      <c r="AW160" s="27">
        <f>COGS!AW160+'SG&amp;A'!AW160</f>
        <v>0</v>
      </c>
      <c r="AX160" s="27">
        <f>COGS!AX160+'SG&amp;A'!AX160</f>
        <v>0</v>
      </c>
      <c r="AY160" s="27">
        <f>COGS!AY160+'SG&amp;A'!AY160</f>
        <v>0</v>
      </c>
      <c r="AZ160" s="27">
        <f>COGS!AZ160+'SG&amp;A'!AZ160</f>
        <v>0</v>
      </c>
      <c r="BA160" s="27">
        <f>COGS!BA160+'SG&amp;A'!BA160</f>
        <v>0</v>
      </c>
      <c r="BB160" s="27">
        <f>COGS!BB160+'SG&amp;A'!BB160</f>
        <v>0</v>
      </c>
      <c r="BC160" s="27">
        <f>COGS!BC160+'SG&amp;A'!BC160</f>
        <v>0</v>
      </c>
      <c r="BD160" s="27">
        <f>COGS!BD160+'SG&amp;A'!BD160</f>
        <v>0</v>
      </c>
      <c r="BE160" s="27">
        <f>COGS!BE160+'SG&amp;A'!BE160</f>
        <v>0</v>
      </c>
      <c r="BF160" s="27">
        <f>COGS!BF160+'SG&amp;A'!BF160</f>
        <v>0</v>
      </c>
      <c r="BG160" s="27">
        <f>COGS!BG160+'SG&amp;A'!BG160</f>
        <v>0</v>
      </c>
      <c r="BH160" s="27">
        <f>COGS!BH160+'SG&amp;A'!BH160</f>
        <v>0</v>
      </c>
      <c r="BI160" s="27">
        <f>COGS!BI160+'SG&amp;A'!BI160</f>
        <v>0</v>
      </c>
      <c r="BJ160" s="27">
        <f>COGS!BJ160+'SG&amp;A'!BJ160</f>
        <v>0</v>
      </c>
      <c r="BK160" s="27">
        <f>COGS!BK160+'SG&amp;A'!BK160</f>
        <v>1.4703000000000001E-4</v>
      </c>
      <c r="BL160" s="27">
        <f>COGS!BL160+'SG&amp;A'!BL160</f>
        <v>-1.4703000000000001E-4</v>
      </c>
      <c r="BM160" s="27">
        <f>COGS!BM160+'SG&amp;A'!BM160</f>
        <v>0</v>
      </c>
      <c r="BN160" s="27">
        <f>COGS!BN160+'SG&amp;A'!BN160</f>
        <v>0</v>
      </c>
      <c r="BO160" s="27">
        <f>COGS!BO160+'SG&amp;A'!BO160</f>
        <v>0</v>
      </c>
      <c r="BP160" s="27">
        <f>COGS!BP160+'SG&amp;A'!BP160</f>
        <v>0.78605477000000001</v>
      </c>
      <c r="BQ160" s="27">
        <f>COGS!BQ160+'SG&amp;A'!BQ160</f>
        <v>0.46019834000000004</v>
      </c>
      <c r="BR160" s="27">
        <f>COGS!BR160+'SG&amp;A'!BR160</f>
        <v>0.46313611999999993</v>
      </c>
      <c r="BS160" s="27">
        <f>COGS!BS160+'SG&amp;A'!BS160</f>
        <v>1.70938923</v>
      </c>
      <c r="BT160" s="27">
        <f>COGS!BT160+'SG&amp;A'!BT160</f>
        <v>0.46236970999999999</v>
      </c>
      <c r="BU160" s="27">
        <f>COGS!BU160+'SG&amp;A'!BU160</f>
        <v>0.39218197000000005</v>
      </c>
      <c r="BV160" s="27">
        <f>COGS!BV160+'SG&amp;A'!BV160</f>
        <v>0.62599571999999992</v>
      </c>
      <c r="BW160" s="27">
        <f>COGS!BW160+'SG&amp;A'!BW160</f>
        <v>0.41512433000000021</v>
      </c>
      <c r="BX160" s="27">
        <f>COGS!BX160+'SG&amp;A'!BX160</f>
        <v>1.8956717300000001</v>
      </c>
      <c r="BY160" s="27">
        <f>COGS!BY160+'SG&amp;A'!BY160</f>
        <v>0.61928767000000007</v>
      </c>
      <c r="BZ160" s="27">
        <f>COGS!BZ160+'SG&amp;A'!BZ160</f>
        <v>0.51188977999999974</v>
      </c>
      <c r="CA160" s="27">
        <f>COGS!CA160+'SG&amp;A'!CA160</f>
        <v>0.51936155000000017</v>
      </c>
      <c r="CB160" s="27">
        <f>COGS!CB160+'SG&amp;A'!CB160</f>
        <v>0.6458749399999999</v>
      </c>
      <c r="CC160" s="27">
        <f>COGS!CC160+'SG&amp;A'!CC160</f>
        <v>2.2964139399999999</v>
      </c>
      <c r="CD160" s="27">
        <f>COGS!CD160+'SG&amp;A'!CD160</f>
        <v>0.58315998000000002</v>
      </c>
      <c r="CE160" s="27">
        <f>COGS!CE160+'SG&amp;A'!CE160</f>
        <v>0.76736068999999985</v>
      </c>
      <c r="CF160" s="27">
        <f>COGS!CF160+'SG&amp;A'!CF160</f>
        <v>0.70534894999999986</v>
      </c>
      <c r="CG160" s="27">
        <f>COGS!CG160+'SG&amp;A'!CG160</f>
        <v>0.86194685000000026</v>
      </c>
      <c r="CH160" s="27">
        <f>COGS!CH160+'SG&amp;A'!CH160</f>
        <v>2.91781647</v>
      </c>
      <c r="CI160" s="27">
        <f>COGS!CI160+'SG&amp;A'!CI160</f>
        <v>0.72685918000000005</v>
      </c>
      <c r="CJ160" s="27">
        <f>COGS!CJ160+'SG&amp;A'!CJ160</f>
        <v>0.70925346999999994</v>
      </c>
      <c r="CK160" s="27">
        <f>COGS!CK160+'SG&amp;A'!CK160</f>
        <v>0.78081509000000004</v>
      </c>
      <c r="CL160" s="27">
        <f>COGS!CL160+'SG&amp;A'!CL160</f>
        <v>0.88718845000000002</v>
      </c>
      <c r="CM160" s="27">
        <f>COGS!CM160+'SG&amp;A'!CM160</f>
        <v>3.1041161900000001</v>
      </c>
      <c r="CN160" s="27">
        <f>COGS!CN160+'SG&amp;A'!CN160</f>
        <v>0.74715898999999997</v>
      </c>
      <c r="CO160" s="27">
        <f>COGS!CO160+'SG&amp;A'!CO160</f>
        <v>0.72309858000000005</v>
      </c>
      <c r="CP160" s="27">
        <f>COGS!CP160+'SG&amp;A'!CP160</f>
        <v>3.18063019</v>
      </c>
      <c r="CQ160" s="27">
        <f>COGS!CQ160+'SG&amp;A'!CQ160</f>
        <v>3.4451122400000003</v>
      </c>
      <c r="CR160" s="27">
        <f>COGS!CR160+'SG&amp;A'!CR160</f>
        <v>8.0960000000000001</v>
      </c>
      <c r="CS160" s="27">
        <f>COGS!CS160+'SG&amp;A'!CS160</f>
        <v>3.2589722700000001</v>
      </c>
      <c r="CT160" s="27">
        <f>COGS!CT160+'SG&amp;A'!CT160</f>
        <v>3.0800959100000003</v>
      </c>
      <c r="CU160" s="27">
        <f>COGS!CU160+'SG&amp;A'!CU160</f>
        <v>3.0922074299999993</v>
      </c>
      <c r="CV160" s="27">
        <f>COGS!CV160+'SG&amp;A'!CV160</f>
        <v>3.2896209200000013</v>
      </c>
      <c r="CW160" s="27">
        <f>COGS!CW160+'SG&amp;A'!CW160</f>
        <v>12.720896530000001</v>
      </c>
      <c r="CX160" s="27">
        <f>COGS!CX160+'SG&amp;A'!CX160</f>
        <v>3.113</v>
      </c>
      <c r="CY160" s="27">
        <f>COGS!CY160+'SG&amp;A'!CY160</f>
        <v>3.3170000000000002</v>
      </c>
      <c r="CZ160" s="27">
        <f>COGS!CZ160+'SG&amp;A'!CZ160</f>
        <v>2.2370000000000001</v>
      </c>
      <c r="DA160" s="27">
        <f>COGS!DA160+'SG&amp;A'!DA160</f>
        <v>2.8370000000000002</v>
      </c>
      <c r="DB160" s="27">
        <f>COGS!DB160+'SG&amp;A'!DB160</f>
        <v>11.504000000000001</v>
      </c>
      <c r="DC160" s="27">
        <f>COGS!DC160+'SG&amp;A'!DC160</f>
        <v>0.97799999999999998</v>
      </c>
      <c r="DD160" s="27">
        <f>COGS!DD160+'SG&amp;A'!DD160</f>
        <v>1.0710000000000002</v>
      </c>
      <c r="DE160" s="27">
        <f>COGS!DE160+'SG&amp;A'!DE160</f>
        <v>1.1889999999999998</v>
      </c>
      <c r="DF160" s="27">
        <f>COGS!DF160+'SG&amp;A'!DF160</f>
        <v>1.4060000000000001</v>
      </c>
      <c r="DG160" s="27">
        <f>COGS!DG160+'SG&amp;A'!DG160</f>
        <v>4.6440000000000001</v>
      </c>
      <c r="DH160" s="27">
        <f>COGS!DH160+'SG&amp;A'!DH160</f>
        <v>0.53200000000000003</v>
      </c>
      <c r="DI160" s="27">
        <f>COGS!DI160+'SG&amp;A'!DI160</f>
        <v>0.6</v>
      </c>
      <c r="DJ160" s="27">
        <f>COGS!DJ160+'SG&amp;A'!DJ160</f>
        <v>0.95300000000000007</v>
      </c>
      <c r="DK160" s="27">
        <f>COGS!DK160+'SG&amp;A'!DK160</f>
        <v>1.0900000000000001</v>
      </c>
      <c r="DL160" s="27">
        <f>COGS!DL160+'SG&amp;A'!DL160</f>
        <v>3.1750000000000003</v>
      </c>
      <c r="DM160" s="27">
        <f>COGS!DM160+'SG&amp;A'!DM160</f>
        <v>0.747</v>
      </c>
      <c r="DN160" s="27">
        <f>COGS!DN160+'SG&amp;A'!DN160</f>
        <v>0.63700000000000001</v>
      </c>
      <c r="DO160" s="27">
        <f>COGS!DO160+'SG&amp;A'!DO160</f>
        <v>0.55300000000000005</v>
      </c>
      <c r="DP160" s="27">
        <f>COGS!DP160+'SG&amp;A'!DP160</f>
        <v>0.53299999999999992</v>
      </c>
      <c r="DQ160" s="27">
        <f>COGS!DQ160+'SG&amp;A'!DQ160</f>
        <v>2.4699999999999998</v>
      </c>
      <c r="DR160" s="27">
        <f>COGS!DR160+'SG&amp;A'!DR160</f>
        <v>0.44799999999999995</v>
      </c>
      <c r="DS160" s="27">
        <f>COGS!DS160+'SG&amp;A'!DS160</f>
        <v>0.51900000000000002</v>
      </c>
      <c r="DT160" s="27">
        <f>COGS!DT160+'SG&amp;A'!DT160</f>
        <v>0.73299999999999998</v>
      </c>
      <c r="DU160" s="27">
        <f>COGS!DU160+'SG&amp;A'!DU160</f>
        <v>-5.2999999999999992E-2</v>
      </c>
      <c r="DV160" s="27">
        <f>COGS!DV160+'SG&amp;A'!DV160</f>
        <v>1.647</v>
      </c>
      <c r="DW160" s="27">
        <f>COGS!DW160+'SG&amp;A'!DW160</f>
        <v>3.4140000000000001</v>
      </c>
      <c r="DX160" s="27">
        <f>COGS!DX160+'SG&amp;A'!DX160</f>
        <v>1.0097082500000001</v>
      </c>
      <c r="DY160" s="27">
        <f>COGS!DY160+'SG&amp;A'!DY160</f>
        <v>0.89002945999999983</v>
      </c>
      <c r="DZ160" s="27">
        <f>COGS!DZ160+'SG&amp;A'!DZ160</f>
        <v>0.94666004000000026</v>
      </c>
      <c r="EA160" s="27">
        <f>COGS!EA160+'SG&amp;A'!EA160</f>
        <v>6.2603977500000001</v>
      </c>
      <c r="EB160" s="27">
        <f>COGS!EB160+'SG&amp;A'!EB160</f>
        <v>0.89782596000000003</v>
      </c>
      <c r="EC160" s="27">
        <f>COGS!EC160+'SG&amp;A'!EC160</f>
        <v>0.78530519999999993</v>
      </c>
      <c r="ED160" s="27">
        <f>COGS!ED160+'SG&amp;A'!ED160</f>
        <v>1.2489999999999999</v>
      </c>
      <c r="EE160" s="27">
        <f>COGS!EE160+'SG&amp;A'!EE160</f>
        <v>1.2167941499999999</v>
      </c>
      <c r="EF160" s="27">
        <f>COGS!EF160+'SG&amp;A'!EF160</f>
        <v>4.1489253100000001</v>
      </c>
      <c r="EG160" s="27">
        <f>COGS!EG160+'SG&amp;A'!EG160</f>
        <v>0.86021323999999999</v>
      </c>
      <c r="EH160" s="27">
        <f>COGS!EH160+'SG&amp;A'!EH160</f>
        <v>1.1764277599999999</v>
      </c>
      <c r="EI160" s="27">
        <f>COGS!EI160+'SG&amp;A'!EI160</f>
        <v>0.42182239999999993</v>
      </c>
    </row>
    <row r="161" spans="1:139" ht="15" thickBot="1" x14ac:dyDescent="0.35">
      <c r="A161" s="2" t="s">
        <v>323</v>
      </c>
      <c r="B161" s="28">
        <f>COGS!B161+'SG&amp;A'!B161</f>
        <v>0</v>
      </c>
      <c r="C161" s="28">
        <f>COGS!C161+'SG&amp;A'!C161</f>
        <v>0</v>
      </c>
      <c r="D161" s="28">
        <f>COGS!D161+'SG&amp;A'!D161</f>
        <v>0</v>
      </c>
      <c r="E161" s="28">
        <f>COGS!E161+'SG&amp;A'!E161</f>
        <v>0</v>
      </c>
      <c r="F161" s="28">
        <f>COGS!F161+'SG&amp;A'!F161</f>
        <v>0</v>
      </c>
      <c r="G161" s="28">
        <f>COGS!G161+'SG&amp;A'!G161</f>
        <v>0</v>
      </c>
      <c r="H161" s="28">
        <f>COGS!H161+'SG&amp;A'!H161</f>
        <v>0</v>
      </c>
      <c r="I161" s="28">
        <f>COGS!I161+'SG&amp;A'!I161</f>
        <v>0</v>
      </c>
      <c r="J161" s="28">
        <f>COGS!J161+'SG&amp;A'!J161</f>
        <v>0</v>
      </c>
      <c r="K161" s="28">
        <f>COGS!K161+'SG&amp;A'!K161</f>
        <v>0</v>
      </c>
      <c r="L161" s="28">
        <f>COGS!L161+'SG&amp;A'!L161</f>
        <v>0</v>
      </c>
      <c r="M161" s="28">
        <f>COGS!M161+'SG&amp;A'!M161</f>
        <v>0</v>
      </c>
      <c r="N161" s="28">
        <f>COGS!N161+'SG&amp;A'!N161</f>
        <v>0</v>
      </c>
      <c r="O161" s="28">
        <f>COGS!O161+'SG&amp;A'!O161</f>
        <v>0</v>
      </c>
      <c r="P161" s="28">
        <f>COGS!P161+'SG&amp;A'!P161</f>
        <v>0</v>
      </c>
      <c r="Q161" s="28">
        <f>COGS!Q161+'SG&amp;A'!Q161</f>
        <v>0</v>
      </c>
      <c r="R161" s="28">
        <f>COGS!R161+'SG&amp;A'!R161</f>
        <v>0</v>
      </c>
      <c r="S161" s="28">
        <f>COGS!S161+'SG&amp;A'!S161</f>
        <v>0</v>
      </c>
      <c r="T161" s="28">
        <f>COGS!T161+'SG&amp;A'!T161</f>
        <v>0</v>
      </c>
      <c r="U161" s="28">
        <f>COGS!U161+'SG&amp;A'!U161</f>
        <v>0</v>
      </c>
      <c r="V161" s="28">
        <f>COGS!V161+'SG&amp;A'!V161</f>
        <v>0</v>
      </c>
      <c r="W161" s="28">
        <f>COGS!W161+'SG&amp;A'!W161</f>
        <v>0</v>
      </c>
      <c r="X161" s="28">
        <f>COGS!X161+'SG&amp;A'!X161</f>
        <v>0</v>
      </c>
      <c r="Y161" s="28">
        <f>COGS!Y161+'SG&amp;A'!Y161</f>
        <v>0</v>
      </c>
      <c r="Z161" s="28">
        <f>COGS!Z161+'SG&amp;A'!Z161</f>
        <v>0</v>
      </c>
      <c r="AA161" s="28">
        <f>COGS!AA161+'SG&amp;A'!AA161</f>
        <v>0</v>
      </c>
      <c r="AB161" s="28">
        <f>COGS!AB161+'SG&amp;A'!AB161</f>
        <v>0</v>
      </c>
      <c r="AC161" s="28">
        <f>COGS!AC161+'SG&amp;A'!AC161</f>
        <v>0</v>
      </c>
      <c r="AD161" s="28">
        <f>COGS!AD161+'SG&amp;A'!AD161</f>
        <v>0</v>
      </c>
      <c r="AE161" s="28">
        <f>COGS!AE161+'SG&amp;A'!AE161</f>
        <v>0</v>
      </c>
      <c r="AF161" s="28">
        <f>COGS!AF161+'SG&amp;A'!AF161</f>
        <v>0</v>
      </c>
      <c r="AG161" s="28">
        <f>COGS!AG161+'SG&amp;A'!AG161</f>
        <v>0</v>
      </c>
      <c r="AH161" s="28">
        <f>COGS!AH161+'SG&amp;A'!AH161</f>
        <v>0</v>
      </c>
      <c r="AI161" s="28">
        <f>COGS!AI161+'SG&amp;A'!AI161</f>
        <v>0</v>
      </c>
      <c r="AJ161" s="28">
        <f>COGS!AJ161+'SG&amp;A'!AJ161</f>
        <v>0</v>
      </c>
      <c r="AK161" s="28">
        <f>COGS!AK161+'SG&amp;A'!AK161</f>
        <v>0</v>
      </c>
      <c r="AL161" s="28">
        <f>COGS!AL161+'SG&amp;A'!AL161</f>
        <v>0</v>
      </c>
      <c r="AM161" s="28">
        <f>COGS!AM161+'SG&amp;A'!AM161</f>
        <v>0</v>
      </c>
      <c r="AN161" s="28">
        <f>COGS!AN161+'SG&amp;A'!AN161</f>
        <v>0</v>
      </c>
      <c r="AO161" s="28">
        <f>COGS!AO161+'SG&amp;A'!AO161</f>
        <v>0</v>
      </c>
      <c r="AP161" s="28">
        <f>COGS!AP161+'SG&amp;A'!AP161</f>
        <v>0</v>
      </c>
      <c r="AQ161" s="28">
        <f>COGS!AQ161+'SG&amp;A'!AQ161</f>
        <v>0</v>
      </c>
      <c r="AR161" s="28">
        <f>COGS!AR161+'SG&amp;A'!AR161</f>
        <v>0</v>
      </c>
      <c r="AS161" s="28">
        <f>COGS!AS161+'SG&amp;A'!AS161</f>
        <v>0</v>
      </c>
      <c r="AT161" s="28">
        <f>COGS!AT161+'SG&amp;A'!AT161</f>
        <v>0</v>
      </c>
      <c r="AU161" s="28">
        <f>COGS!AU161+'SG&amp;A'!AU161</f>
        <v>0</v>
      </c>
      <c r="AV161" s="28">
        <f>COGS!AV161+'SG&amp;A'!AV161</f>
        <v>0</v>
      </c>
      <c r="AW161" s="28">
        <f>COGS!AW161+'SG&amp;A'!AW161</f>
        <v>0</v>
      </c>
      <c r="AX161" s="28">
        <f>COGS!AX161+'SG&amp;A'!AX161</f>
        <v>0</v>
      </c>
      <c r="AY161" s="28">
        <f>COGS!AY161+'SG&amp;A'!AY161</f>
        <v>0</v>
      </c>
      <c r="AZ161" s="28">
        <f>COGS!AZ161+'SG&amp;A'!AZ161</f>
        <v>0</v>
      </c>
      <c r="BA161" s="28">
        <f>COGS!BA161+'SG&amp;A'!BA161</f>
        <v>0</v>
      </c>
      <c r="BB161" s="28">
        <f>COGS!BB161+'SG&amp;A'!BB161</f>
        <v>0</v>
      </c>
      <c r="BC161" s="28">
        <f>COGS!BC161+'SG&amp;A'!BC161</f>
        <v>0</v>
      </c>
      <c r="BD161" s="28">
        <f>COGS!BD161+'SG&amp;A'!BD161</f>
        <v>0</v>
      </c>
      <c r="BE161" s="28">
        <f>COGS!BE161+'SG&amp;A'!BE161</f>
        <v>0</v>
      </c>
      <c r="BF161" s="28">
        <f>COGS!BF161+'SG&amp;A'!BF161</f>
        <v>0</v>
      </c>
      <c r="BG161" s="28">
        <f>COGS!BG161+'SG&amp;A'!BG161</f>
        <v>0</v>
      </c>
      <c r="BH161" s="28">
        <f>COGS!BH161+'SG&amp;A'!BH161</f>
        <v>0</v>
      </c>
      <c r="BI161" s="28">
        <f>COGS!BI161+'SG&amp;A'!BI161</f>
        <v>0</v>
      </c>
      <c r="BJ161" s="28">
        <f>COGS!BJ161+'SG&amp;A'!BJ161</f>
        <v>0</v>
      </c>
      <c r="BK161" s="28">
        <f>COGS!BK161+'SG&amp;A'!BK161</f>
        <v>0</v>
      </c>
      <c r="BL161" s="28">
        <f>COGS!BL161+'SG&amp;A'!BL161</f>
        <v>0</v>
      </c>
      <c r="BM161" s="28">
        <f>COGS!BM161+'SG&amp;A'!BM161</f>
        <v>0</v>
      </c>
      <c r="BN161" s="28">
        <f>COGS!BN161+'SG&amp;A'!BN161</f>
        <v>0</v>
      </c>
      <c r="BO161" s="28">
        <f>COGS!BO161+'SG&amp;A'!BO161</f>
        <v>0</v>
      </c>
      <c r="BP161" s="28">
        <f>COGS!BP161+'SG&amp;A'!BP161</f>
        <v>0</v>
      </c>
      <c r="BQ161" s="28">
        <f>COGS!BQ161+'SG&amp;A'!BQ161</f>
        <v>0</v>
      </c>
      <c r="BR161" s="28">
        <f>COGS!BR161+'SG&amp;A'!BR161</f>
        <v>0</v>
      </c>
      <c r="BS161" s="28">
        <f>COGS!BS161+'SG&amp;A'!BS161</f>
        <v>0</v>
      </c>
      <c r="BT161" s="28">
        <f>COGS!BT161+'SG&amp;A'!BT161</f>
        <v>0</v>
      </c>
      <c r="BU161" s="28">
        <f>COGS!BU161+'SG&amp;A'!BU161</f>
        <v>0</v>
      </c>
      <c r="BV161" s="28">
        <f>COGS!BV161+'SG&amp;A'!BV161</f>
        <v>0</v>
      </c>
      <c r="BW161" s="28">
        <f>COGS!BW161+'SG&amp;A'!BW161</f>
        <v>0</v>
      </c>
      <c r="BX161" s="28">
        <f>COGS!BX161+'SG&amp;A'!BX161</f>
        <v>0</v>
      </c>
      <c r="BY161" s="28">
        <f>COGS!BY161+'SG&amp;A'!BY161</f>
        <v>0</v>
      </c>
      <c r="BZ161" s="28">
        <f>COGS!BZ161+'SG&amp;A'!BZ161</f>
        <v>0</v>
      </c>
      <c r="CA161" s="28">
        <f>COGS!CA161+'SG&amp;A'!CA161</f>
        <v>0</v>
      </c>
      <c r="CB161" s="28">
        <f>COGS!CB161+'SG&amp;A'!CB161</f>
        <v>0</v>
      </c>
      <c r="CC161" s="28">
        <f>COGS!CC161+'SG&amp;A'!CC161</f>
        <v>0</v>
      </c>
      <c r="CD161" s="28">
        <f>COGS!CD161+'SG&amp;A'!CD161</f>
        <v>0</v>
      </c>
      <c r="CE161" s="28">
        <f>COGS!CE161+'SG&amp;A'!CE161</f>
        <v>0</v>
      </c>
      <c r="CF161" s="28">
        <f>COGS!CF161+'SG&amp;A'!CF161</f>
        <v>0</v>
      </c>
      <c r="CG161" s="28">
        <f>COGS!CG161+'SG&amp;A'!CG161</f>
        <v>0</v>
      </c>
      <c r="CH161" s="28">
        <f>COGS!CH161+'SG&amp;A'!CH161</f>
        <v>0</v>
      </c>
      <c r="CI161" s="28">
        <f>COGS!CI161+'SG&amp;A'!CI161</f>
        <v>0</v>
      </c>
      <c r="CJ161" s="28">
        <f>COGS!CJ161+'SG&amp;A'!CJ161</f>
        <v>0</v>
      </c>
      <c r="CK161" s="28">
        <f>COGS!CK161+'SG&amp;A'!CK161</f>
        <v>0</v>
      </c>
      <c r="CL161" s="28">
        <f>COGS!CL161+'SG&amp;A'!CL161</f>
        <v>0</v>
      </c>
      <c r="CM161" s="28">
        <f>COGS!CM161+'SG&amp;A'!CM161</f>
        <v>0</v>
      </c>
      <c r="CN161" s="28">
        <f>COGS!CN161+'SG&amp;A'!CN161</f>
        <v>0</v>
      </c>
      <c r="CO161" s="28">
        <f>COGS!CO161+'SG&amp;A'!CO161</f>
        <v>0</v>
      </c>
      <c r="CP161" s="28">
        <f>COGS!CP161+'SG&amp;A'!CP161</f>
        <v>0</v>
      </c>
      <c r="CQ161" s="28">
        <f>COGS!CQ161+'SG&amp;A'!CQ161</f>
        <v>0</v>
      </c>
      <c r="CR161" s="28">
        <f>COGS!CR161+'SG&amp;A'!CR161</f>
        <v>0</v>
      </c>
      <c r="CS161" s="28">
        <f>COGS!CS161+'SG&amp;A'!CS161</f>
        <v>0</v>
      </c>
      <c r="CT161" s="28">
        <f>COGS!CT161+'SG&amp;A'!CT161</f>
        <v>0</v>
      </c>
      <c r="CU161" s="28">
        <f>COGS!CU161+'SG&amp;A'!CU161</f>
        <v>0</v>
      </c>
      <c r="CV161" s="28">
        <f>COGS!CV161+'SG&amp;A'!CV161</f>
        <v>0</v>
      </c>
      <c r="CW161" s="28">
        <f>COGS!CW161+'SG&amp;A'!CW161</f>
        <v>0</v>
      </c>
      <c r="CX161" s="28">
        <f>COGS!CX161+'SG&amp;A'!CX161</f>
        <v>0</v>
      </c>
      <c r="CY161" s="28">
        <f>COGS!CY161+'SG&amp;A'!CY161</f>
        <v>0</v>
      </c>
      <c r="CZ161" s="28">
        <f>COGS!CZ161+'SG&amp;A'!CZ161</f>
        <v>0</v>
      </c>
      <c r="DA161" s="28">
        <f>COGS!DA161+'SG&amp;A'!DA161</f>
        <v>0</v>
      </c>
      <c r="DB161" s="28">
        <f>COGS!DB161+'SG&amp;A'!DB161</f>
        <v>0</v>
      </c>
      <c r="DC161" s="28">
        <f>COGS!DC161+'SG&amp;A'!DC161</f>
        <v>0</v>
      </c>
      <c r="DD161" s="28">
        <f>COGS!DD161+'SG&amp;A'!DD161</f>
        <v>0</v>
      </c>
      <c r="DE161" s="28">
        <f>COGS!DE161+'SG&amp;A'!DE161</f>
        <v>0</v>
      </c>
      <c r="DF161" s="28">
        <f>COGS!DF161+'SG&amp;A'!DF161</f>
        <v>0</v>
      </c>
      <c r="DG161" s="28">
        <f>COGS!DG161+'SG&amp;A'!DG161</f>
        <v>0</v>
      </c>
      <c r="DH161" s="28">
        <f>COGS!DH161+'SG&amp;A'!DH161</f>
        <v>0</v>
      </c>
      <c r="DI161" s="28">
        <f>COGS!DI161+'SG&amp;A'!DI161</f>
        <v>0</v>
      </c>
      <c r="DJ161" s="28">
        <f>COGS!DJ161+'SG&amp;A'!DJ161</f>
        <v>0</v>
      </c>
      <c r="DK161" s="28">
        <f>COGS!DK161+'SG&amp;A'!DK161</f>
        <v>0</v>
      </c>
      <c r="DL161" s="28">
        <f>COGS!DL161+'SG&amp;A'!DL161</f>
        <v>0</v>
      </c>
      <c r="DM161" s="28">
        <f>COGS!DM161+'SG&amp;A'!DM161</f>
        <v>0</v>
      </c>
      <c r="DN161" s="28">
        <f>COGS!DN161+'SG&amp;A'!DN161</f>
        <v>0</v>
      </c>
      <c r="DO161" s="28">
        <f>COGS!DO161+'SG&amp;A'!DO161</f>
        <v>0</v>
      </c>
      <c r="DP161" s="28">
        <f>COGS!DP161+'SG&amp;A'!DP161</f>
        <v>0</v>
      </c>
      <c r="DQ161" s="28">
        <f>COGS!DQ161+'SG&amp;A'!DQ161</f>
        <v>0</v>
      </c>
      <c r="DR161" s="28">
        <f>COGS!DR161+'SG&amp;A'!DR161</f>
        <v>0</v>
      </c>
      <c r="DS161" s="28">
        <f>COGS!DS161+'SG&amp;A'!DS161</f>
        <v>0</v>
      </c>
      <c r="DT161" s="28">
        <f>COGS!DT161+'SG&amp;A'!DT161</f>
        <v>0</v>
      </c>
      <c r="DU161" s="28">
        <f>COGS!DU161+'SG&amp;A'!DU161</f>
        <v>0</v>
      </c>
      <c r="DV161" s="28">
        <f>COGS!DV161+'SG&amp;A'!DV161</f>
        <v>0</v>
      </c>
      <c r="DW161" s="28">
        <f>COGS!DW161+'SG&amp;A'!DW161</f>
        <v>0</v>
      </c>
      <c r="DX161" s="28">
        <f>COGS!DX161+'SG&amp;A'!DX161</f>
        <v>0</v>
      </c>
      <c r="DY161" s="28">
        <f>COGS!DY161+'SG&amp;A'!DY161</f>
        <v>0</v>
      </c>
      <c r="DZ161" s="28">
        <f>COGS!DZ161+'SG&amp;A'!DZ161</f>
        <v>0</v>
      </c>
      <c r="EA161" s="28">
        <f>COGS!EA161+'SG&amp;A'!EA161</f>
        <v>0</v>
      </c>
      <c r="EB161" s="28">
        <f>COGS!EB161+'SG&amp;A'!EB161</f>
        <v>0</v>
      </c>
      <c r="EC161" s="28">
        <f>COGS!EC161+'SG&amp;A'!EC161</f>
        <v>0</v>
      </c>
      <c r="ED161" s="28">
        <f>COGS!ED161+'SG&amp;A'!ED161</f>
        <v>0</v>
      </c>
      <c r="EE161" s="28">
        <f>COGS!EE161+'SG&amp;A'!EE161</f>
        <v>0</v>
      </c>
      <c r="EF161" s="28">
        <f>COGS!EF161+'SG&amp;A'!EF161</f>
        <v>0</v>
      </c>
      <c r="EG161" s="28">
        <f>COGS!EG161+'SG&amp;A'!EG161</f>
        <v>0</v>
      </c>
      <c r="EH161" s="28">
        <f>COGS!EH161+'SG&amp;A'!EH161</f>
        <v>0</v>
      </c>
      <c r="EI161" s="28">
        <f>COGS!EI161+'SG&amp;A'!EI161</f>
        <v>0</v>
      </c>
    </row>
    <row r="162" spans="1:139" ht="15" thickTop="1" x14ac:dyDescent="0.3">
      <c r="A162" s="1" t="s">
        <v>322</v>
      </c>
      <c r="B162" s="27">
        <f>COGS!B162+'SG&amp;A'!B162</f>
        <v>0</v>
      </c>
      <c r="C162" s="27">
        <f>COGS!C162+'SG&amp;A'!C162</f>
        <v>0</v>
      </c>
      <c r="D162" s="27">
        <f>COGS!D162+'SG&amp;A'!D162</f>
        <v>0</v>
      </c>
      <c r="E162" s="27">
        <f>COGS!E162+'SG&amp;A'!E162</f>
        <v>0</v>
      </c>
      <c r="F162" s="27">
        <f>COGS!F162+'SG&amp;A'!F162</f>
        <v>0</v>
      </c>
      <c r="G162" s="27">
        <f>COGS!G162+'SG&amp;A'!G162</f>
        <v>0</v>
      </c>
      <c r="H162" s="27">
        <f>COGS!H162+'SG&amp;A'!H162</f>
        <v>0</v>
      </c>
      <c r="I162" s="27">
        <f>COGS!I162+'SG&amp;A'!I162</f>
        <v>0</v>
      </c>
      <c r="J162" s="27">
        <f>COGS!J162+'SG&amp;A'!J162</f>
        <v>0</v>
      </c>
      <c r="K162" s="27">
        <f>COGS!K162+'SG&amp;A'!K162</f>
        <v>0</v>
      </c>
      <c r="L162" s="27">
        <f>COGS!L162+'SG&amp;A'!L162</f>
        <v>0</v>
      </c>
      <c r="M162" s="27">
        <f>COGS!M162+'SG&amp;A'!M162</f>
        <v>0</v>
      </c>
      <c r="N162" s="27">
        <f>COGS!N162+'SG&amp;A'!N162</f>
        <v>0</v>
      </c>
      <c r="O162" s="27">
        <f>COGS!O162+'SG&amp;A'!O162</f>
        <v>0</v>
      </c>
      <c r="P162" s="27">
        <f>COGS!P162+'SG&amp;A'!P162</f>
        <v>0</v>
      </c>
      <c r="Q162" s="27">
        <f>COGS!Q162+'SG&amp;A'!Q162</f>
        <v>0</v>
      </c>
      <c r="R162" s="27">
        <f>COGS!R162+'SG&amp;A'!R162</f>
        <v>0</v>
      </c>
      <c r="S162" s="27">
        <f>COGS!S162+'SG&amp;A'!S162</f>
        <v>0</v>
      </c>
      <c r="T162" s="27">
        <f>COGS!T162+'SG&amp;A'!T162</f>
        <v>0</v>
      </c>
      <c r="U162" s="27">
        <f>COGS!U162+'SG&amp;A'!U162</f>
        <v>0</v>
      </c>
      <c r="V162" s="27">
        <f>COGS!V162+'SG&amp;A'!V162</f>
        <v>0</v>
      </c>
      <c r="W162" s="27">
        <f>COGS!W162+'SG&amp;A'!W162</f>
        <v>0</v>
      </c>
      <c r="X162" s="27">
        <f>COGS!X162+'SG&amp;A'!X162</f>
        <v>0</v>
      </c>
      <c r="Y162" s="27">
        <f>COGS!Y162+'SG&amp;A'!Y162</f>
        <v>0</v>
      </c>
      <c r="Z162" s="27">
        <f>COGS!Z162+'SG&amp;A'!Z162</f>
        <v>0</v>
      </c>
      <c r="AA162" s="27">
        <f>COGS!AA162+'SG&amp;A'!AA162</f>
        <v>0</v>
      </c>
      <c r="AB162" s="27">
        <f>COGS!AB162+'SG&amp;A'!AB162</f>
        <v>0</v>
      </c>
      <c r="AC162" s="27">
        <f>COGS!AC162+'SG&amp;A'!AC162</f>
        <v>0</v>
      </c>
      <c r="AD162" s="27">
        <f>COGS!AD162+'SG&amp;A'!AD162</f>
        <v>0</v>
      </c>
      <c r="AE162" s="27">
        <f>COGS!AE162+'SG&amp;A'!AE162</f>
        <v>0</v>
      </c>
      <c r="AF162" s="27">
        <f>COGS!AF162+'SG&amp;A'!AF162</f>
        <v>0</v>
      </c>
      <c r="AG162" s="27">
        <f>COGS!AG162+'SG&amp;A'!AG162</f>
        <v>0</v>
      </c>
      <c r="AH162" s="27">
        <f>COGS!AH162+'SG&amp;A'!AH162</f>
        <v>0</v>
      </c>
      <c r="AI162" s="27">
        <f>COGS!AI162+'SG&amp;A'!AI162</f>
        <v>0</v>
      </c>
      <c r="AJ162" s="27">
        <f>COGS!AJ162+'SG&amp;A'!AJ162</f>
        <v>0</v>
      </c>
      <c r="AK162" s="27">
        <f>COGS!AK162+'SG&amp;A'!AK162</f>
        <v>0</v>
      </c>
      <c r="AL162" s="27">
        <f>COGS!AL162+'SG&amp;A'!AL162</f>
        <v>0</v>
      </c>
      <c r="AM162" s="27">
        <f>COGS!AM162+'SG&amp;A'!AM162</f>
        <v>0</v>
      </c>
      <c r="AN162" s="27">
        <f>COGS!AN162+'SG&amp;A'!AN162</f>
        <v>0</v>
      </c>
      <c r="AO162" s="27">
        <f>COGS!AO162+'SG&amp;A'!AO162</f>
        <v>0</v>
      </c>
      <c r="AP162" s="27">
        <f>COGS!AP162+'SG&amp;A'!AP162</f>
        <v>0</v>
      </c>
      <c r="AQ162" s="27">
        <f>COGS!AQ162+'SG&amp;A'!AQ162</f>
        <v>0</v>
      </c>
      <c r="AR162" s="27">
        <f>COGS!AR162+'SG&amp;A'!AR162</f>
        <v>0</v>
      </c>
      <c r="AS162" s="27">
        <f>COGS!AS162+'SG&amp;A'!AS162</f>
        <v>0</v>
      </c>
      <c r="AT162" s="27">
        <f>COGS!AT162+'SG&amp;A'!AT162</f>
        <v>0</v>
      </c>
      <c r="AU162" s="27">
        <f>COGS!AU162+'SG&amp;A'!AU162</f>
        <v>0</v>
      </c>
      <c r="AV162" s="27">
        <f>COGS!AV162+'SG&amp;A'!AV162</f>
        <v>0</v>
      </c>
      <c r="AW162" s="27">
        <f>COGS!AW162+'SG&amp;A'!AW162</f>
        <v>0</v>
      </c>
      <c r="AX162" s="27">
        <f>COGS!AX162+'SG&amp;A'!AX162</f>
        <v>0</v>
      </c>
      <c r="AY162" s="27">
        <f>COGS!AY162+'SG&amp;A'!AY162</f>
        <v>0</v>
      </c>
      <c r="AZ162" s="27">
        <f>COGS!AZ162+'SG&amp;A'!AZ162</f>
        <v>0</v>
      </c>
      <c r="BA162" s="27">
        <f>COGS!BA162+'SG&amp;A'!BA162</f>
        <v>0</v>
      </c>
      <c r="BB162" s="27">
        <f>COGS!BB162+'SG&amp;A'!BB162</f>
        <v>0</v>
      </c>
      <c r="BC162" s="27">
        <f>COGS!BC162+'SG&amp;A'!BC162</f>
        <v>0</v>
      </c>
      <c r="BD162" s="27">
        <f>COGS!BD162+'SG&amp;A'!BD162</f>
        <v>0</v>
      </c>
      <c r="BE162" s="27">
        <f>COGS!BE162+'SG&amp;A'!BE162</f>
        <v>0</v>
      </c>
      <c r="BF162" s="27">
        <f>COGS!BF162+'SG&amp;A'!BF162</f>
        <v>0</v>
      </c>
      <c r="BG162" s="27">
        <f>COGS!BG162+'SG&amp;A'!BG162</f>
        <v>0</v>
      </c>
      <c r="BH162" s="27">
        <f>COGS!BH162+'SG&amp;A'!BH162</f>
        <v>0</v>
      </c>
      <c r="BI162" s="27">
        <f>COGS!BI162+'SG&amp;A'!BI162</f>
        <v>0</v>
      </c>
      <c r="BJ162" s="27">
        <f>COGS!BJ162+'SG&amp;A'!BJ162</f>
        <v>0</v>
      </c>
      <c r="BK162" s="27">
        <f>COGS!BK162+'SG&amp;A'!BK162</f>
        <v>0</v>
      </c>
      <c r="BL162" s="27">
        <f>COGS!BL162+'SG&amp;A'!BL162</f>
        <v>0</v>
      </c>
      <c r="BM162" s="27">
        <f>COGS!BM162+'SG&amp;A'!BM162</f>
        <v>0</v>
      </c>
      <c r="BN162" s="27">
        <f>COGS!BN162+'SG&amp;A'!BN162</f>
        <v>0</v>
      </c>
      <c r="BO162" s="27">
        <f>COGS!BO162+'SG&amp;A'!BO162</f>
        <v>0</v>
      </c>
      <c r="BP162" s="27">
        <f>COGS!BP162+'SG&amp;A'!BP162</f>
        <v>0</v>
      </c>
      <c r="BQ162" s="27">
        <f>COGS!BQ162+'SG&amp;A'!BQ162</f>
        <v>0</v>
      </c>
      <c r="BR162" s="27">
        <f>COGS!BR162+'SG&amp;A'!BR162</f>
        <v>0</v>
      </c>
      <c r="BS162" s="27">
        <f>COGS!BS162+'SG&amp;A'!BS162</f>
        <v>0</v>
      </c>
      <c r="BT162" s="27">
        <f>COGS!BT162+'SG&amp;A'!BT162</f>
        <v>0</v>
      </c>
      <c r="BU162" s="27">
        <f>COGS!BU162+'SG&amp;A'!BU162</f>
        <v>0</v>
      </c>
      <c r="BV162" s="27">
        <f>COGS!BV162+'SG&amp;A'!BV162</f>
        <v>0</v>
      </c>
      <c r="BW162" s="27">
        <f>COGS!BW162+'SG&amp;A'!BW162</f>
        <v>0</v>
      </c>
      <c r="BX162" s="27">
        <f>COGS!BX162+'SG&amp;A'!BX162</f>
        <v>0</v>
      </c>
      <c r="BY162" s="27">
        <f>COGS!BY162+'SG&amp;A'!BY162</f>
        <v>0</v>
      </c>
      <c r="BZ162" s="27">
        <f>COGS!BZ162+'SG&amp;A'!BZ162</f>
        <v>0</v>
      </c>
      <c r="CA162" s="27">
        <f>COGS!CA162+'SG&amp;A'!CA162</f>
        <v>0</v>
      </c>
      <c r="CB162" s="27">
        <f>COGS!CB162+'SG&amp;A'!CB162</f>
        <v>0</v>
      </c>
      <c r="CC162" s="27">
        <f>COGS!CC162+'SG&amp;A'!CC162</f>
        <v>0</v>
      </c>
      <c r="CD162" s="27">
        <f>COGS!CD162+'SG&amp;A'!CD162</f>
        <v>0</v>
      </c>
      <c r="CE162" s="27">
        <f>COGS!CE162+'SG&amp;A'!CE162</f>
        <v>0</v>
      </c>
      <c r="CF162" s="27">
        <f>COGS!CF162+'SG&amp;A'!CF162</f>
        <v>0</v>
      </c>
      <c r="CG162" s="27">
        <f>COGS!CG162+'SG&amp;A'!CG162</f>
        <v>0</v>
      </c>
      <c r="CH162" s="27">
        <f>COGS!CH162+'SG&amp;A'!CH162</f>
        <v>0</v>
      </c>
      <c r="CI162" s="27">
        <f>COGS!CI162+'SG&amp;A'!CI162</f>
        <v>0</v>
      </c>
      <c r="CJ162" s="27">
        <f>COGS!CJ162+'SG&amp;A'!CJ162</f>
        <v>0</v>
      </c>
      <c r="CK162" s="27">
        <f>COGS!CK162+'SG&amp;A'!CK162</f>
        <v>0</v>
      </c>
      <c r="CL162" s="27">
        <f>COGS!CL162+'SG&amp;A'!CL162</f>
        <v>0</v>
      </c>
      <c r="CM162" s="27">
        <f>COGS!CM162+'SG&amp;A'!CM162</f>
        <v>0</v>
      </c>
      <c r="CN162" s="27">
        <f>COGS!CN162+'SG&amp;A'!CN162</f>
        <v>0</v>
      </c>
      <c r="CO162" s="27">
        <f>COGS!CO162+'SG&amp;A'!CO162</f>
        <v>0</v>
      </c>
      <c r="CP162" s="27">
        <f>COGS!CP162+'SG&amp;A'!CP162</f>
        <v>0</v>
      </c>
      <c r="CQ162" s="27">
        <f>COGS!CQ162+'SG&amp;A'!CQ162</f>
        <v>0</v>
      </c>
      <c r="CR162" s="27">
        <f>COGS!CR162+'SG&amp;A'!CR162</f>
        <v>0</v>
      </c>
      <c r="CS162" s="27">
        <f>COGS!CS162+'SG&amp;A'!CS162</f>
        <v>0</v>
      </c>
      <c r="CT162" s="27">
        <f>COGS!CT162+'SG&amp;A'!CT162</f>
        <v>0</v>
      </c>
      <c r="CU162" s="27">
        <f>COGS!CU162+'SG&amp;A'!CU162</f>
        <v>0</v>
      </c>
      <c r="CV162" s="27">
        <f>COGS!CV162+'SG&amp;A'!CV162</f>
        <v>0</v>
      </c>
      <c r="CW162" s="27">
        <f>COGS!CW162+'SG&amp;A'!CW162</f>
        <v>0</v>
      </c>
      <c r="CX162" s="27">
        <f>COGS!CX162+'SG&amp;A'!CX162</f>
        <v>0</v>
      </c>
      <c r="CY162" s="27">
        <f>COGS!CY162+'SG&amp;A'!CY162</f>
        <v>0</v>
      </c>
      <c r="CZ162" s="27">
        <f>COGS!CZ162+'SG&amp;A'!CZ162</f>
        <v>0</v>
      </c>
      <c r="DA162" s="27">
        <f>COGS!DA162+'SG&amp;A'!DA162</f>
        <v>0</v>
      </c>
      <c r="DB162" s="27">
        <f>COGS!DB162+'SG&amp;A'!DB162</f>
        <v>0</v>
      </c>
      <c r="DC162" s="27">
        <f>COGS!DC162+'SG&amp;A'!DC162</f>
        <v>0</v>
      </c>
      <c r="DD162" s="27">
        <f>COGS!DD162+'SG&amp;A'!DD162</f>
        <v>0</v>
      </c>
      <c r="DE162" s="27">
        <f>COGS!DE162+'SG&amp;A'!DE162</f>
        <v>0</v>
      </c>
      <c r="DF162" s="27">
        <f>COGS!DF162+'SG&amp;A'!DF162</f>
        <v>0</v>
      </c>
      <c r="DG162" s="27">
        <f>COGS!DG162+'SG&amp;A'!DG162</f>
        <v>0</v>
      </c>
      <c r="DH162" s="27">
        <f>COGS!DH162+'SG&amp;A'!DH162</f>
        <v>0</v>
      </c>
      <c r="DI162" s="27">
        <f>COGS!DI162+'SG&amp;A'!DI162</f>
        <v>0</v>
      </c>
      <c r="DJ162" s="27">
        <f>COGS!DJ162+'SG&amp;A'!DJ162</f>
        <v>0</v>
      </c>
      <c r="DK162" s="27">
        <f>COGS!DK162+'SG&amp;A'!DK162</f>
        <v>0</v>
      </c>
      <c r="DL162" s="27">
        <f>COGS!DL162+'SG&amp;A'!DL162</f>
        <v>0</v>
      </c>
      <c r="DM162" s="27">
        <f>COGS!DM162+'SG&amp;A'!DM162</f>
        <v>0</v>
      </c>
      <c r="DN162" s="27">
        <f>COGS!DN162+'SG&amp;A'!DN162</f>
        <v>0</v>
      </c>
      <c r="DO162" s="27">
        <f>COGS!DO162+'SG&amp;A'!DO162</f>
        <v>0</v>
      </c>
      <c r="DP162" s="27">
        <f>COGS!DP162+'SG&amp;A'!DP162</f>
        <v>0</v>
      </c>
      <c r="DQ162" s="27">
        <f>COGS!DQ162+'SG&amp;A'!DQ162</f>
        <v>0</v>
      </c>
      <c r="DR162" s="27">
        <f>COGS!DR162+'SG&amp;A'!DR162</f>
        <v>0</v>
      </c>
      <c r="DS162" s="27">
        <f>COGS!DS162+'SG&amp;A'!DS162</f>
        <v>0</v>
      </c>
      <c r="DT162" s="27">
        <f>COGS!DT162+'SG&amp;A'!DT162</f>
        <v>0</v>
      </c>
      <c r="DU162" s="27">
        <f>COGS!DU162+'SG&amp;A'!DU162</f>
        <v>0</v>
      </c>
      <c r="DV162" s="27">
        <f>COGS!DV162+'SG&amp;A'!DV162</f>
        <v>0</v>
      </c>
      <c r="DW162" s="27">
        <f>COGS!DW162+'SG&amp;A'!DW162</f>
        <v>0</v>
      </c>
      <c r="DX162" s="27">
        <f>COGS!DX162+'SG&amp;A'!DX162</f>
        <v>0</v>
      </c>
      <c r="DY162" s="27">
        <f>COGS!DY162+'SG&amp;A'!DY162</f>
        <v>0</v>
      </c>
      <c r="DZ162" s="27">
        <f>COGS!DZ162+'SG&amp;A'!DZ162</f>
        <v>0</v>
      </c>
      <c r="EA162" s="27">
        <f>COGS!EA162+'SG&amp;A'!EA162</f>
        <v>0</v>
      </c>
      <c r="EB162" s="27">
        <f>COGS!EB162+'SG&amp;A'!EB162</f>
        <v>0</v>
      </c>
      <c r="EC162" s="27">
        <f>COGS!EC162+'SG&amp;A'!EC162</f>
        <v>0</v>
      </c>
      <c r="ED162" s="27">
        <f>COGS!ED162+'SG&amp;A'!ED162</f>
        <v>0</v>
      </c>
      <c r="EE162" s="27">
        <f>COGS!EE162+'SG&amp;A'!EE162</f>
        <v>0</v>
      </c>
      <c r="EF162" s="27">
        <f>COGS!EF162+'SG&amp;A'!EF162</f>
        <v>0</v>
      </c>
      <c r="EG162" s="27">
        <f>COGS!EG162+'SG&amp;A'!EG162</f>
        <v>0</v>
      </c>
      <c r="EH162" s="27">
        <f>COGS!EH162+'SG&amp;A'!EH162</f>
        <v>0</v>
      </c>
      <c r="EI162" s="27">
        <f>COGS!EI162+'SG&amp;A'!EI162</f>
        <v>0</v>
      </c>
    </row>
    <row r="163" spans="1:139" ht="15" thickBot="1" x14ac:dyDescent="0.35">
      <c r="A163" s="2" t="s">
        <v>370</v>
      </c>
      <c r="B163" s="28">
        <f>COGS!B163+'SG&amp;A'!B163</f>
        <v>0</v>
      </c>
      <c r="C163" s="28">
        <f>COGS!C163+'SG&amp;A'!C163</f>
        <v>0</v>
      </c>
      <c r="D163" s="28">
        <f>COGS!D163+'SG&amp;A'!D163</f>
        <v>0</v>
      </c>
      <c r="E163" s="28">
        <f>COGS!E163+'SG&amp;A'!E163</f>
        <v>0</v>
      </c>
      <c r="F163" s="28">
        <f>COGS!F163+'SG&amp;A'!F163</f>
        <v>0</v>
      </c>
      <c r="G163" s="28">
        <f>COGS!G163+'SG&amp;A'!G163</f>
        <v>0</v>
      </c>
      <c r="H163" s="28">
        <f>COGS!H163+'SG&amp;A'!H163</f>
        <v>0</v>
      </c>
      <c r="I163" s="28">
        <f>COGS!I163+'SG&amp;A'!I163</f>
        <v>0</v>
      </c>
      <c r="J163" s="28">
        <f>COGS!J163+'SG&amp;A'!J163</f>
        <v>0</v>
      </c>
      <c r="K163" s="28">
        <f>COGS!K163+'SG&amp;A'!K163</f>
        <v>0</v>
      </c>
      <c r="L163" s="28">
        <f>COGS!L163+'SG&amp;A'!L163</f>
        <v>0</v>
      </c>
      <c r="M163" s="28">
        <f>COGS!M163+'SG&amp;A'!M163</f>
        <v>0</v>
      </c>
      <c r="N163" s="28">
        <f>COGS!N163+'SG&amp;A'!N163</f>
        <v>0</v>
      </c>
      <c r="O163" s="28">
        <f>COGS!O163+'SG&amp;A'!O163</f>
        <v>0</v>
      </c>
      <c r="P163" s="28">
        <f>COGS!P163+'SG&amp;A'!P163</f>
        <v>0</v>
      </c>
      <c r="Q163" s="28">
        <f>COGS!Q163+'SG&amp;A'!Q163</f>
        <v>0</v>
      </c>
      <c r="R163" s="28">
        <f>COGS!R163+'SG&amp;A'!R163</f>
        <v>0</v>
      </c>
      <c r="S163" s="28">
        <f>COGS!S163+'SG&amp;A'!S163</f>
        <v>0</v>
      </c>
      <c r="T163" s="28">
        <f>COGS!T163+'SG&amp;A'!T163</f>
        <v>0</v>
      </c>
      <c r="U163" s="28">
        <f>COGS!U163+'SG&amp;A'!U163</f>
        <v>0</v>
      </c>
      <c r="V163" s="28">
        <f>COGS!V163+'SG&amp;A'!V163</f>
        <v>0</v>
      </c>
      <c r="W163" s="28">
        <f>COGS!W163+'SG&amp;A'!W163</f>
        <v>0</v>
      </c>
      <c r="X163" s="28">
        <f>COGS!X163+'SG&amp;A'!X163</f>
        <v>0</v>
      </c>
      <c r="Y163" s="28">
        <f>COGS!Y163+'SG&amp;A'!Y163</f>
        <v>0</v>
      </c>
      <c r="Z163" s="28">
        <f>COGS!Z163+'SG&amp;A'!Z163</f>
        <v>0</v>
      </c>
      <c r="AA163" s="28">
        <f>COGS!AA163+'SG&amp;A'!AA163</f>
        <v>0</v>
      </c>
      <c r="AB163" s="28">
        <f>COGS!AB163+'SG&amp;A'!AB163</f>
        <v>0</v>
      </c>
      <c r="AC163" s="28">
        <f>COGS!AC163+'SG&amp;A'!AC163</f>
        <v>0</v>
      </c>
      <c r="AD163" s="28">
        <f>COGS!AD163+'SG&amp;A'!AD163</f>
        <v>0</v>
      </c>
      <c r="AE163" s="28">
        <f>COGS!AE163+'SG&amp;A'!AE163</f>
        <v>0</v>
      </c>
      <c r="AF163" s="28">
        <f>COGS!AF163+'SG&amp;A'!AF163</f>
        <v>0</v>
      </c>
      <c r="AG163" s="28">
        <f>COGS!AG163+'SG&amp;A'!AG163</f>
        <v>0</v>
      </c>
      <c r="AH163" s="28">
        <f>COGS!AH163+'SG&amp;A'!AH163</f>
        <v>0</v>
      </c>
      <c r="AI163" s="28">
        <f>COGS!AI163+'SG&amp;A'!AI163</f>
        <v>0</v>
      </c>
      <c r="AJ163" s="28">
        <f>COGS!AJ163+'SG&amp;A'!AJ163</f>
        <v>0</v>
      </c>
      <c r="AK163" s="28">
        <f>COGS!AK163+'SG&amp;A'!AK163</f>
        <v>0</v>
      </c>
      <c r="AL163" s="28">
        <f>COGS!AL163+'SG&amp;A'!AL163</f>
        <v>0</v>
      </c>
      <c r="AM163" s="28">
        <f>COGS!AM163+'SG&amp;A'!AM163</f>
        <v>0</v>
      </c>
      <c r="AN163" s="28">
        <f>COGS!AN163+'SG&amp;A'!AN163</f>
        <v>0</v>
      </c>
      <c r="AO163" s="28">
        <f>COGS!AO163+'SG&amp;A'!AO163</f>
        <v>0</v>
      </c>
      <c r="AP163" s="28">
        <f>COGS!AP163+'SG&amp;A'!AP163</f>
        <v>0</v>
      </c>
      <c r="AQ163" s="28">
        <f>COGS!AQ163+'SG&amp;A'!AQ163</f>
        <v>0</v>
      </c>
      <c r="AR163" s="28">
        <f>COGS!AR163+'SG&amp;A'!AR163</f>
        <v>0</v>
      </c>
      <c r="AS163" s="28">
        <f>COGS!AS163+'SG&amp;A'!AS163</f>
        <v>0</v>
      </c>
      <c r="AT163" s="28">
        <f>COGS!AT163+'SG&amp;A'!AT163</f>
        <v>0</v>
      </c>
      <c r="AU163" s="28">
        <f>COGS!AU163+'SG&amp;A'!AU163</f>
        <v>0</v>
      </c>
      <c r="AV163" s="28">
        <f>COGS!AV163+'SG&amp;A'!AV163</f>
        <v>0</v>
      </c>
      <c r="AW163" s="28">
        <f>COGS!AW163+'SG&amp;A'!AW163</f>
        <v>0</v>
      </c>
      <c r="AX163" s="28">
        <f>COGS!AX163+'SG&amp;A'!AX163</f>
        <v>0</v>
      </c>
      <c r="AY163" s="28">
        <f>COGS!AY163+'SG&amp;A'!AY163</f>
        <v>0</v>
      </c>
      <c r="AZ163" s="28">
        <f>COGS!AZ163+'SG&amp;A'!AZ163</f>
        <v>0</v>
      </c>
      <c r="BA163" s="28">
        <f>COGS!BA163+'SG&amp;A'!BA163</f>
        <v>0</v>
      </c>
      <c r="BB163" s="28">
        <f>COGS!BB163+'SG&amp;A'!BB163</f>
        <v>0</v>
      </c>
      <c r="BC163" s="28">
        <f>COGS!BC163+'SG&amp;A'!BC163</f>
        <v>0</v>
      </c>
      <c r="BD163" s="28">
        <f>COGS!BD163+'SG&amp;A'!BD163</f>
        <v>0</v>
      </c>
      <c r="BE163" s="28">
        <f>COGS!BE163+'SG&amp;A'!BE163</f>
        <v>0</v>
      </c>
      <c r="BF163" s="28">
        <f>COGS!BF163+'SG&amp;A'!BF163</f>
        <v>0</v>
      </c>
      <c r="BG163" s="28">
        <f>COGS!BG163+'SG&amp;A'!BG163</f>
        <v>0</v>
      </c>
      <c r="BH163" s="28">
        <f>COGS!BH163+'SG&amp;A'!BH163</f>
        <v>0</v>
      </c>
      <c r="BI163" s="28">
        <f>COGS!BI163+'SG&amp;A'!BI163</f>
        <v>0</v>
      </c>
      <c r="BJ163" s="28">
        <f>COGS!BJ163+'SG&amp;A'!BJ163</f>
        <v>7.6745739999999993E-2</v>
      </c>
      <c r="BK163" s="28">
        <f>COGS!BK163+'SG&amp;A'!BK163</f>
        <v>0.10636993000000002</v>
      </c>
      <c r="BL163" s="28">
        <f>COGS!BL163+'SG&amp;A'!BL163</f>
        <v>8.4776909999999997E-2</v>
      </c>
      <c r="BM163" s="28">
        <f>COGS!BM163+'SG&amp;A'!BM163</f>
        <v>0.14548837000000003</v>
      </c>
      <c r="BN163" s="28">
        <f>COGS!BN163+'SG&amp;A'!BN163</f>
        <v>0.41338095000000002</v>
      </c>
      <c r="BO163" s="28">
        <f>COGS!BO163+'SG&amp;A'!BO163</f>
        <v>1.09836986</v>
      </c>
      <c r="BP163" s="28">
        <f>COGS!BP163+'SG&amp;A'!BP163</f>
        <v>20.724830310000002</v>
      </c>
      <c r="BQ163" s="28">
        <f>COGS!BQ163+'SG&amp;A'!BQ163</f>
        <v>10.166058139999997</v>
      </c>
      <c r="BR163" s="28">
        <f>COGS!BR163+'SG&amp;A'!BR163</f>
        <v>10.732704050000001</v>
      </c>
      <c r="BS163" s="28">
        <f>COGS!BS163+'SG&amp;A'!BS163</f>
        <v>42.721962359999999</v>
      </c>
      <c r="BT163" s="28">
        <f>COGS!BT163+'SG&amp;A'!BT163</f>
        <v>0</v>
      </c>
      <c r="BU163" s="28">
        <f>COGS!BU163+'SG&amp;A'!BU163</f>
        <v>0</v>
      </c>
      <c r="BV163" s="28">
        <f>COGS!BV163+'SG&amp;A'!BV163</f>
        <v>0</v>
      </c>
      <c r="BW163" s="28">
        <f>COGS!BW163+'SG&amp;A'!BW163</f>
        <v>0</v>
      </c>
      <c r="BX163" s="28">
        <f>COGS!BX163+'SG&amp;A'!BX163</f>
        <v>0</v>
      </c>
      <c r="BY163" s="28">
        <f>COGS!BY163+'SG&amp;A'!BY163</f>
        <v>0</v>
      </c>
      <c r="BZ163" s="28">
        <f>COGS!BZ163+'SG&amp;A'!BZ163</f>
        <v>0</v>
      </c>
      <c r="CA163" s="28">
        <f>COGS!CA163+'SG&amp;A'!CA163</f>
        <v>0</v>
      </c>
      <c r="CB163" s="28">
        <f>COGS!CB163+'SG&amp;A'!CB163</f>
        <v>0</v>
      </c>
      <c r="CC163" s="28">
        <f>COGS!CC163+'SG&amp;A'!CC163</f>
        <v>0</v>
      </c>
      <c r="CD163" s="28">
        <f>COGS!CD163+'SG&amp;A'!CD163</f>
        <v>0</v>
      </c>
      <c r="CE163" s="28">
        <f>COGS!CE163+'SG&amp;A'!CE163</f>
        <v>0</v>
      </c>
      <c r="CF163" s="28">
        <f>COGS!CF163+'SG&amp;A'!CF163</f>
        <v>0</v>
      </c>
      <c r="CG163" s="28">
        <f>COGS!CG163+'SG&amp;A'!CG163</f>
        <v>0</v>
      </c>
      <c r="CH163" s="28">
        <f>COGS!CH163+'SG&amp;A'!CH163</f>
        <v>0</v>
      </c>
      <c r="CI163" s="28">
        <f>COGS!CI163+'SG&amp;A'!CI163</f>
        <v>0</v>
      </c>
      <c r="CJ163" s="28">
        <f>COGS!CJ163+'SG&amp;A'!CJ163</f>
        <v>0</v>
      </c>
      <c r="CK163" s="28">
        <f>COGS!CK163+'SG&amp;A'!CK163</f>
        <v>0</v>
      </c>
      <c r="CL163" s="28">
        <f>COGS!CL163+'SG&amp;A'!CL163</f>
        <v>0</v>
      </c>
      <c r="CM163" s="28">
        <f>COGS!CM163+'SG&amp;A'!CM163</f>
        <v>0</v>
      </c>
      <c r="CN163" s="28">
        <f>COGS!CN163+'SG&amp;A'!CN163</f>
        <v>0</v>
      </c>
      <c r="CO163" s="28">
        <f>COGS!CO163+'SG&amp;A'!CO163</f>
        <v>0</v>
      </c>
      <c r="CP163" s="28">
        <f>COGS!CP163+'SG&amp;A'!CP163</f>
        <v>0</v>
      </c>
      <c r="CQ163" s="28">
        <f>COGS!CQ163+'SG&amp;A'!CQ163</f>
        <v>0</v>
      </c>
      <c r="CR163" s="28">
        <f>COGS!CR163+'SG&amp;A'!CR163</f>
        <v>0</v>
      </c>
      <c r="CS163" s="28">
        <f>COGS!CS163+'SG&amp;A'!CS163</f>
        <v>0</v>
      </c>
      <c r="CT163" s="28">
        <f>COGS!CT163+'SG&amp;A'!CT163</f>
        <v>0</v>
      </c>
      <c r="CU163" s="28">
        <f>COGS!CU163+'SG&amp;A'!CU163</f>
        <v>0</v>
      </c>
      <c r="CV163" s="28">
        <f>COGS!CV163+'SG&amp;A'!CV163</f>
        <v>0</v>
      </c>
      <c r="CW163" s="28">
        <f>COGS!CW163+'SG&amp;A'!CW163</f>
        <v>0</v>
      </c>
      <c r="CX163" s="28">
        <f>COGS!CX163+'SG&amp;A'!CX163</f>
        <v>0</v>
      </c>
      <c r="CY163" s="28">
        <f>COGS!CY163+'SG&amp;A'!CY163</f>
        <v>0</v>
      </c>
      <c r="CZ163" s="28">
        <f>COGS!CZ163+'SG&amp;A'!CZ163</f>
        <v>0</v>
      </c>
      <c r="DA163" s="28">
        <f>COGS!DA163+'SG&amp;A'!DA163</f>
        <v>0</v>
      </c>
      <c r="DB163" s="28">
        <f>COGS!DB163+'SG&amp;A'!DB163</f>
        <v>0</v>
      </c>
      <c r="DC163" s="28">
        <f>COGS!DC163+'SG&amp;A'!DC163</f>
        <v>0</v>
      </c>
      <c r="DD163" s="28">
        <f>COGS!DD163+'SG&amp;A'!DD163</f>
        <v>0</v>
      </c>
      <c r="DE163" s="28">
        <f>COGS!DE163+'SG&amp;A'!DE163</f>
        <v>0</v>
      </c>
      <c r="DF163" s="28">
        <f>COGS!DF163+'SG&amp;A'!DF163</f>
        <v>0</v>
      </c>
      <c r="DG163" s="28">
        <f>COGS!DG163+'SG&amp;A'!DG163</f>
        <v>0</v>
      </c>
      <c r="DH163" s="28">
        <f>COGS!DH163+'SG&amp;A'!DH163</f>
        <v>0</v>
      </c>
      <c r="DI163" s="28">
        <f>COGS!DI163+'SG&amp;A'!DI163</f>
        <v>0</v>
      </c>
      <c r="DJ163" s="28">
        <f>COGS!DJ163+'SG&amp;A'!DJ163</f>
        <v>0</v>
      </c>
      <c r="DK163" s="28">
        <f>COGS!DK163+'SG&amp;A'!DK163</f>
        <v>0</v>
      </c>
      <c r="DL163" s="28">
        <f>COGS!DL163+'SG&amp;A'!DL163</f>
        <v>0</v>
      </c>
      <c r="DM163" s="28">
        <f>COGS!DM163+'SG&amp;A'!DM163</f>
        <v>0</v>
      </c>
      <c r="DN163" s="28">
        <f>COGS!DN163+'SG&amp;A'!DN163</f>
        <v>0</v>
      </c>
      <c r="DO163" s="28">
        <f>COGS!DO163+'SG&amp;A'!DO163</f>
        <v>0</v>
      </c>
      <c r="DP163" s="28">
        <f>COGS!DP163+'SG&amp;A'!DP163</f>
        <v>0</v>
      </c>
      <c r="DQ163" s="28">
        <f>COGS!DQ163+'SG&amp;A'!DQ163</f>
        <v>0</v>
      </c>
      <c r="DR163" s="28">
        <f>COGS!DR163+'SG&amp;A'!DR163</f>
        <v>0</v>
      </c>
      <c r="DS163" s="28">
        <f>COGS!DS163+'SG&amp;A'!DS163</f>
        <v>0</v>
      </c>
      <c r="DT163" s="28">
        <f>COGS!DT163+'SG&amp;A'!DT163</f>
        <v>0</v>
      </c>
      <c r="DU163" s="28">
        <f>COGS!DU163+'SG&amp;A'!DU163</f>
        <v>0</v>
      </c>
      <c r="DV163" s="28">
        <f>COGS!DV163+'SG&amp;A'!DV163</f>
        <v>0</v>
      </c>
      <c r="DW163" s="28">
        <f>COGS!DW163+'SG&amp;A'!DW163</f>
        <v>0</v>
      </c>
      <c r="DX163" s="28">
        <f>COGS!DX163+'SG&amp;A'!DX163</f>
        <v>0</v>
      </c>
      <c r="DY163" s="28">
        <f>COGS!DY163+'SG&amp;A'!DY163</f>
        <v>0</v>
      </c>
      <c r="DZ163" s="28">
        <f>COGS!DZ163+'SG&amp;A'!DZ163</f>
        <v>0</v>
      </c>
      <c r="EA163" s="28">
        <f>COGS!EA163+'SG&amp;A'!EA163</f>
        <v>0</v>
      </c>
      <c r="EB163" s="28">
        <f>COGS!EB163+'SG&amp;A'!EB163</f>
        <v>0</v>
      </c>
      <c r="EC163" s="28">
        <f>COGS!EC163+'SG&amp;A'!EC163</f>
        <v>0</v>
      </c>
      <c r="ED163" s="28">
        <f>COGS!ED163+'SG&amp;A'!ED163</f>
        <v>0</v>
      </c>
      <c r="EE163" s="28">
        <f>COGS!EE163+'SG&amp;A'!EE163</f>
        <v>0</v>
      </c>
      <c r="EF163" s="28">
        <f>COGS!EF163+'SG&amp;A'!EF163</f>
        <v>0</v>
      </c>
      <c r="EG163" s="28">
        <f>COGS!EG163+'SG&amp;A'!EG163</f>
        <v>0</v>
      </c>
      <c r="EH163" s="28">
        <f>COGS!EH163+'SG&amp;A'!EH163</f>
        <v>0</v>
      </c>
      <c r="EI163" s="28">
        <f>COGS!EI163+'SG&amp;A'!EI163</f>
        <v>0</v>
      </c>
    </row>
    <row r="164" spans="1:139" ht="15" thickTop="1" x14ac:dyDescent="0.3">
      <c r="A164" s="1" t="s">
        <v>338</v>
      </c>
      <c r="B164" s="27">
        <f>COGS!B164+'SG&amp;A'!B164</f>
        <v>0</v>
      </c>
      <c r="C164" s="27">
        <f>COGS!C164+'SG&amp;A'!C164</f>
        <v>0</v>
      </c>
      <c r="D164" s="27">
        <f>COGS!D164+'SG&amp;A'!D164</f>
        <v>0</v>
      </c>
      <c r="E164" s="27">
        <f>COGS!E164+'SG&amp;A'!E164</f>
        <v>0</v>
      </c>
      <c r="F164" s="27">
        <f>COGS!F164+'SG&amp;A'!F164</f>
        <v>0</v>
      </c>
      <c r="G164" s="27">
        <f>COGS!G164+'SG&amp;A'!G164</f>
        <v>0</v>
      </c>
      <c r="H164" s="27">
        <f>COGS!H164+'SG&amp;A'!H164</f>
        <v>0</v>
      </c>
      <c r="I164" s="27">
        <f>COGS!I164+'SG&amp;A'!I164</f>
        <v>0</v>
      </c>
      <c r="J164" s="27">
        <f>COGS!J164+'SG&amp;A'!J164</f>
        <v>0</v>
      </c>
      <c r="K164" s="27">
        <f>COGS!K164+'SG&amp;A'!K164</f>
        <v>0</v>
      </c>
      <c r="L164" s="27">
        <f>COGS!L164+'SG&amp;A'!L164</f>
        <v>0</v>
      </c>
      <c r="M164" s="27">
        <f>COGS!M164+'SG&amp;A'!M164</f>
        <v>0</v>
      </c>
      <c r="N164" s="27">
        <f>COGS!N164+'SG&amp;A'!N164</f>
        <v>0</v>
      </c>
      <c r="O164" s="27">
        <f>COGS!O164+'SG&amp;A'!O164</f>
        <v>0</v>
      </c>
      <c r="P164" s="27">
        <f>COGS!P164+'SG&amp;A'!P164</f>
        <v>0</v>
      </c>
      <c r="Q164" s="27">
        <f>COGS!Q164+'SG&amp;A'!Q164</f>
        <v>0</v>
      </c>
      <c r="R164" s="27">
        <f>COGS!R164+'SG&amp;A'!R164</f>
        <v>0</v>
      </c>
      <c r="S164" s="27">
        <f>COGS!S164+'SG&amp;A'!S164</f>
        <v>0</v>
      </c>
      <c r="T164" s="27">
        <f>COGS!T164+'SG&amp;A'!T164</f>
        <v>0</v>
      </c>
      <c r="U164" s="27">
        <f>COGS!U164+'SG&amp;A'!U164</f>
        <v>0</v>
      </c>
      <c r="V164" s="27">
        <f>COGS!V164+'SG&amp;A'!V164</f>
        <v>0</v>
      </c>
      <c r="W164" s="27">
        <f>COGS!W164+'SG&amp;A'!W164</f>
        <v>0</v>
      </c>
      <c r="X164" s="27">
        <f>COGS!X164+'SG&amp;A'!X164</f>
        <v>0</v>
      </c>
      <c r="Y164" s="27">
        <f>COGS!Y164+'SG&amp;A'!Y164</f>
        <v>0</v>
      </c>
      <c r="Z164" s="27">
        <f>COGS!Z164+'SG&amp;A'!Z164</f>
        <v>0</v>
      </c>
      <c r="AA164" s="27">
        <f>COGS!AA164+'SG&amp;A'!AA164</f>
        <v>0</v>
      </c>
      <c r="AB164" s="27">
        <f>COGS!AB164+'SG&amp;A'!AB164</f>
        <v>0</v>
      </c>
      <c r="AC164" s="27">
        <f>COGS!AC164+'SG&amp;A'!AC164</f>
        <v>0</v>
      </c>
      <c r="AD164" s="27">
        <f>COGS!AD164+'SG&amp;A'!AD164</f>
        <v>0</v>
      </c>
      <c r="AE164" s="27">
        <f>COGS!AE164+'SG&amp;A'!AE164</f>
        <v>0</v>
      </c>
      <c r="AF164" s="27">
        <f>COGS!AF164+'SG&amp;A'!AF164</f>
        <v>0</v>
      </c>
      <c r="AG164" s="27">
        <f>COGS!AG164+'SG&amp;A'!AG164</f>
        <v>0</v>
      </c>
      <c r="AH164" s="27">
        <f>COGS!AH164+'SG&amp;A'!AH164</f>
        <v>0</v>
      </c>
      <c r="AI164" s="27">
        <f>COGS!AI164+'SG&amp;A'!AI164</f>
        <v>0</v>
      </c>
      <c r="AJ164" s="27">
        <f>COGS!AJ164+'SG&amp;A'!AJ164</f>
        <v>0</v>
      </c>
      <c r="AK164" s="27">
        <f>COGS!AK164+'SG&amp;A'!AK164</f>
        <v>0</v>
      </c>
      <c r="AL164" s="27">
        <f>COGS!AL164+'SG&amp;A'!AL164</f>
        <v>0</v>
      </c>
      <c r="AM164" s="27">
        <f>COGS!AM164+'SG&amp;A'!AM164</f>
        <v>0</v>
      </c>
      <c r="AN164" s="27">
        <f>COGS!AN164+'SG&amp;A'!AN164</f>
        <v>0</v>
      </c>
      <c r="AO164" s="27">
        <f>COGS!AO164+'SG&amp;A'!AO164</f>
        <v>0</v>
      </c>
      <c r="AP164" s="27">
        <f>COGS!AP164+'SG&amp;A'!AP164</f>
        <v>0</v>
      </c>
      <c r="AQ164" s="27">
        <f>COGS!AQ164+'SG&amp;A'!AQ164</f>
        <v>0</v>
      </c>
      <c r="AR164" s="27">
        <f>COGS!AR164+'SG&amp;A'!AR164</f>
        <v>0</v>
      </c>
      <c r="AS164" s="27">
        <f>COGS!AS164+'SG&amp;A'!AS164</f>
        <v>0</v>
      </c>
      <c r="AT164" s="27">
        <f>COGS!AT164+'SG&amp;A'!AT164</f>
        <v>0</v>
      </c>
      <c r="AU164" s="27">
        <f>COGS!AU164+'SG&amp;A'!AU164</f>
        <v>0</v>
      </c>
      <c r="AV164" s="27">
        <f>COGS!AV164+'SG&amp;A'!AV164</f>
        <v>0</v>
      </c>
      <c r="AW164" s="27">
        <f>COGS!AW164+'SG&amp;A'!AW164</f>
        <v>0</v>
      </c>
      <c r="AX164" s="27">
        <f>COGS!AX164+'SG&amp;A'!AX164</f>
        <v>0</v>
      </c>
      <c r="AY164" s="27">
        <f>COGS!AY164+'SG&amp;A'!AY164</f>
        <v>0</v>
      </c>
      <c r="AZ164" s="27">
        <f>COGS!AZ164+'SG&amp;A'!AZ164</f>
        <v>0</v>
      </c>
      <c r="BA164" s="27">
        <f>COGS!BA164+'SG&amp;A'!BA164</f>
        <v>0</v>
      </c>
      <c r="BB164" s="27">
        <f>COGS!BB164+'SG&amp;A'!BB164</f>
        <v>0</v>
      </c>
      <c r="BC164" s="27">
        <f>COGS!BC164+'SG&amp;A'!BC164</f>
        <v>0</v>
      </c>
      <c r="BD164" s="27">
        <f>COGS!BD164+'SG&amp;A'!BD164</f>
        <v>0</v>
      </c>
      <c r="BE164" s="27">
        <f>COGS!BE164+'SG&amp;A'!BE164</f>
        <v>0</v>
      </c>
      <c r="BF164" s="27">
        <f>COGS!BF164+'SG&amp;A'!BF164</f>
        <v>0</v>
      </c>
      <c r="BG164" s="27">
        <f>COGS!BG164+'SG&amp;A'!BG164</f>
        <v>0</v>
      </c>
      <c r="BH164" s="27">
        <f>COGS!BH164+'SG&amp;A'!BH164</f>
        <v>0</v>
      </c>
      <c r="BI164" s="27">
        <f>COGS!BI164+'SG&amp;A'!BI164</f>
        <v>0</v>
      </c>
      <c r="BJ164" s="27">
        <f>COGS!BJ164+'SG&amp;A'!BJ164</f>
        <v>1.46188E-3</v>
      </c>
      <c r="BK164" s="27">
        <f>COGS!BK164+'SG&amp;A'!BK164</f>
        <v>1.7617700000000002E-3</v>
      </c>
      <c r="BL164" s="27">
        <f>COGS!BL164+'SG&amp;A'!BL164</f>
        <v>5.3124999999999982E-4</v>
      </c>
      <c r="BM164" s="27">
        <f>COGS!BM164+'SG&amp;A'!BM164</f>
        <v>1.2566899999999995E-3</v>
      </c>
      <c r="BN164" s="27">
        <f>COGS!BN164+'SG&amp;A'!BN164</f>
        <v>5.0115899999999998E-3</v>
      </c>
      <c r="BO164" s="27">
        <f>COGS!BO164+'SG&amp;A'!BO164</f>
        <v>1.4177599999999999E-3</v>
      </c>
      <c r="BP164" s="27">
        <f>COGS!BP164+'SG&amp;A'!BP164</f>
        <v>0.18377116999999998</v>
      </c>
      <c r="BQ164" s="27">
        <f>COGS!BQ164+'SG&amp;A'!BQ164</f>
        <v>0.11093485000000002</v>
      </c>
      <c r="BR164" s="27">
        <f>COGS!BR164+'SG&amp;A'!BR164</f>
        <v>0.12797667999999995</v>
      </c>
      <c r="BS164" s="27">
        <f>COGS!BS164+'SG&amp;A'!BS164</f>
        <v>0.42410045999999996</v>
      </c>
      <c r="BT164" s="27">
        <f>COGS!BT164+'SG&amp;A'!BT164</f>
        <v>0</v>
      </c>
      <c r="BU164" s="27">
        <f>COGS!BU164+'SG&amp;A'!BU164</f>
        <v>0</v>
      </c>
      <c r="BV164" s="27">
        <f>COGS!BV164+'SG&amp;A'!BV164</f>
        <v>0</v>
      </c>
      <c r="BW164" s="27">
        <f>COGS!BW164+'SG&amp;A'!BW164</f>
        <v>0</v>
      </c>
      <c r="BX164" s="27">
        <f>COGS!BX164+'SG&amp;A'!BX164</f>
        <v>0</v>
      </c>
      <c r="BY164" s="27">
        <f>COGS!BY164+'SG&amp;A'!BY164</f>
        <v>0</v>
      </c>
      <c r="BZ164" s="27">
        <f>COGS!BZ164+'SG&amp;A'!BZ164</f>
        <v>0</v>
      </c>
      <c r="CA164" s="27">
        <f>COGS!CA164+'SG&amp;A'!CA164</f>
        <v>0</v>
      </c>
      <c r="CB164" s="27">
        <f>COGS!CB164+'SG&amp;A'!CB164</f>
        <v>0</v>
      </c>
      <c r="CC164" s="27">
        <f>COGS!CC164+'SG&amp;A'!CC164</f>
        <v>0</v>
      </c>
      <c r="CD164" s="27">
        <f>COGS!CD164+'SG&amp;A'!CD164</f>
        <v>0</v>
      </c>
      <c r="CE164" s="27">
        <f>COGS!CE164+'SG&amp;A'!CE164</f>
        <v>0</v>
      </c>
      <c r="CF164" s="27">
        <f>COGS!CF164+'SG&amp;A'!CF164</f>
        <v>0</v>
      </c>
      <c r="CG164" s="27">
        <f>COGS!CG164+'SG&amp;A'!CG164</f>
        <v>0</v>
      </c>
      <c r="CH164" s="27">
        <f>COGS!CH164+'SG&amp;A'!CH164</f>
        <v>0</v>
      </c>
      <c r="CI164" s="27">
        <f>COGS!CI164+'SG&amp;A'!CI164</f>
        <v>0</v>
      </c>
      <c r="CJ164" s="27">
        <f>COGS!CJ164+'SG&amp;A'!CJ164</f>
        <v>0</v>
      </c>
      <c r="CK164" s="27">
        <f>COGS!CK164+'SG&amp;A'!CK164</f>
        <v>0</v>
      </c>
      <c r="CL164" s="27">
        <f>COGS!CL164+'SG&amp;A'!CL164</f>
        <v>0</v>
      </c>
      <c r="CM164" s="27">
        <f>COGS!CM164+'SG&amp;A'!CM164</f>
        <v>0</v>
      </c>
      <c r="CN164" s="27">
        <f>COGS!CN164+'SG&amp;A'!CN164</f>
        <v>0</v>
      </c>
      <c r="CO164" s="27">
        <f>COGS!CO164+'SG&amp;A'!CO164</f>
        <v>0</v>
      </c>
      <c r="CP164" s="27">
        <f>COGS!CP164+'SG&amp;A'!CP164</f>
        <v>0</v>
      </c>
      <c r="CQ164" s="27">
        <f>COGS!CQ164+'SG&amp;A'!CQ164</f>
        <v>0</v>
      </c>
      <c r="CR164" s="27">
        <f>COGS!CR164+'SG&amp;A'!CR164</f>
        <v>0</v>
      </c>
      <c r="CS164" s="27">
        <f>COGS!CS164+'SG&amp;A'!CS164</f>
        <v>0</v>
      </c>
      <c r="CT164" s="27">
        <f>COGS!CT164+'SG&amp;A'!CT164</f>
        <v>0</v>
      </c>
      <c r="CU164" s="27">
        <f>COGS!CU164+'SG&amp;A'!CU164</f>
        <v>0</v>
      </c>
      <c r="CV164" s="27">
        <f>COGS!CV164+'SG&amp;A'!CV164</f>
        <v>0</v>
      </c>
      <c r="CW164" s="27">
        <f>COGS!CW164+'SG&amp;A'!CW164</f>
        <v>0</v>
      </c>
      <c r="CX164" s="27">
        <f>COGS!CX164+'SG&amp;A'!CX164</f>
        <v>1E-3</v>
      </c>
      <c r="CY164" s="27">
        <f>COGS!CY164+'SG&amp;A'!CY164</f>
        <v>0</v>
      </c>
      <c r="CZ164" s="27">
        <f>COGS!CZ164+'SG&amp;A'!CZ164</f>
        <v>0</v>
      </c>
      <c r="DA164" s="27">
        <f>COGS!DA164+'SG&amp;A'!DA164</f>
        <v>0</v>
      </c>
      <c r="DB164" s="27">
        <f>COGS!DB164+'SG&amp;A'!DB164</f>
        <v>1E-3</v>
      </c>
      <c r="DC164" s="27">
        <f>COGS!DC164+'SG&amp;A'!DC164</f>
        <v>0</v>
      </c>
      <c r="DD164" s="27">
        <f>COGS!DD164+'SG&amp;A'!DD164</f>
        <v>0</v>
      </c>
      <c r="DE164" s="27">
        <f>COGS!DE164+'SG&amp;A'!DE164</f>
        <v>0</v>
      </c>
      <c r="DF164" s="27">
        <f>COGS!DF164+'SG&amp;A'!DF164</f>
        <v>0</v>
      </c>
      <c r="DG164" s="27">
        <f>COGS!DG164+'SG&amp;A'!DG164</f>
        <v>0</v>
      </c>
      <c r="DH164" s="27">
        <f>COGS!DH164+'SG&amp;A'!DH164</f>
        <v>0</v>
      </c>
      <c r="DI164" s="27">
        <f>COGS!DI164+'SG&amp;A'!DI164</f>
        <v>0</v>
      </c>
      <c r="DJ164" s="27">
        <f>COGS!DJ164+'SG&amp;A'!DJ164</f>
        <v>0</v>
      </c>
      <c r="DK164" s="27">
        <f>COGS!DK164+'SG&amp;A'!DK164</f>
        <v>0</v>
      </c>
      <c r="DL164" s="27">
        <f>COGS!DL164+'SG&amp;A'!DL164</f>
        <v>0</v>
      </c>
      <c r="DM164" s="27">
        <f>COGS!DM164+'SG&amp;A'!DM164</f>
        <v>0</v>
      </c>
      <c r="DN164" s="27">
        <f>COGS!DN164+'SG&amp;A'!DN164</f>
        <v>0</v>
      </c>
      <c r="DO164" s="27">
        <f>COGS!DO164+'SG&amp;A'!DO164</f>
        <v>0</v>
      </c>
      <c r="DP164" s="27">
        <f>COGS!DP164+'SG&amp;A'!DP164</f>
        <v>0</v>
      </c>
      <c r="DQ164" s="27">
        <f>COGS!DQ164+'SG&amp;A'!DQ164</f>
        <v>0</v>
      </c>
      <c r="DR164" s="27">
        <f>COGS!DR164+'SG&amp;A'!DR164</f>
        <v>0</v>
      </c>
      <c r="DS164" s="27">
        <f>COGS!DS164+'SG&amp;A'!DS164</f>
        <v>0</v>
      </c>
      <c r="DT164" s="27">
        <f>COGS!DT164+'SG&amp;A'!DT164</f>
        <v>0</v>
      </c>
      <c r="DU164" s="27">
        <f>COGS!DU164+'SG&amp;A'!DU164</f>
        <v>0</v>
      </c>
      <c r="DV164" s="27">
        <f>COGS!DV164+'SG&amp;A'!DV164</f>
        <v>0</v>
      </c>
      <c r="DW164" s="27">
        <f>COGS!DW164+'SG&amp;A'!DW164</f>
        <v>0</v>
      </c>
      <c r="DX164" s="27">
        <f>COGS!DX164+'SG&amp;A'!DX164</f>
        <v>0</v>
      </c>
      <c r="DY164" s="27">
        <f>COGS!DY164+'SG&amp;A'!DY164</f>
        <v>0</v>
      </c>
      <c r="DZ164" s="27">
        <f>COGS!DZ164+'SG&amp;A'!DZ164</f>
        <v>0</v>
      </c>
      <c r="EA164" s="27">
        <f>COGS!EA164+'SG&amp;A'!EA164</f>
        <v>0</v>
      </c>
      <c r="EB164" s="27">
        <f>COGS!EB164+'SG&amp;A'!EB164</f>
        <v>7.44591E-2</v>
      </c>
      <c r="EC164" s="27">
        <f>COGS!EC164+'SG&amp;A'!EC164</f>
        <v>7.44591E-2</v>
      </c>
      <c r="ED164" s="27">
        <f>COGS!ED164+'SG&amp;A'!ED164</f>
        <v>4.9000000000000002E-2</v>
      </c>
      <c r="EE164" s="27">
        <f>COGS!EE164+'SG&amp;A'!EE164</f>
        <v>0.24957207999999997</v>
      </c>
      <c r="EF164" s="27">
        <f>COGS!EF164+'SG&amp;A'!EF164</f>
        <v>0.44749027999999996</v>
      </c>
      <c r="EG164" s="27">
        <f>COGS!EG164+'SG&amp;A'!EG164</f>
        <v>0.15454989000000002</v>
      </c>
      <c r="EH164" s="27">
        <f>COGS!EH164+'SG&amp;A'!EH164</f>
        <v>0.15454989000000002</v>
      </c>
      <c r="EI164" s="27">
        <f>COGS!EI164+'SG&amp;A'!EI164</f>
        <v>0.15454967999999999</v>
      </c>
    </row>
    <row r="165" spans="1:139" ht="15" thickBot="1" x14ac:dyDescent="0.35">
      <c r="A165" s="2" t="s">
        <v>331</v>
      </c>
      <c r="B165" s="28">
        <f>COGS!B165+'SG&amp;A'!B165</f>
        <v>0</v>
      </c>
      <c r="C165" s="28">
        <f>COGS!C165+'SG&amp;A'!C165</f>
        <v>0</v>
      </c>
      <c r="D165" s="28">
        <f>COGS!D165+'SG&amp;A'!D165</f>
        <v>0</v>
      </c>
      <c r="E165" s="28">
        <f>COGS!E165+'SG&amp;A'!E165</f>
        <v>0</v>
      </c>
      <c r="F165" s="28">
        <f>COGS!F165+'SG&amp;A'!F165</f>
        <v>0</v>
      </c>
      <c r="G165" s="28">
        <f>COGS!G165+'SG&amp;A'!G165</f>
        <v>0</v>
      </c>
      <c r="H165" s="28">
        <f>COGS!H165+'SG&amp;A'!H165</f>
        <v>0</v>
      </c>
      <c r="I165" s="28">
        <f>COGS!I165+'SG&amp;A'!I165</f>
        <v>0</v>
      </c>
      <c r="J165" s="28">
        <f>COGS!J165+'SG&amp;A'!J165</f>
        <v>0</v>
      </c>
      <c r="K165" s="28">
        <f>COGS!K165+'SG&amp;A'!K165</f>
        <v>0</v>
      </c>
      <c r="L165" s="28">
        <f>COGS!L165+'SG&amp;A'!L165</f>
        <v>0</v>
      </c>
      <c r="M165" s="28">
        <f>COGS!M165+'SG&amp;A'!M165</f>
        <v>0</v>
      </c>
      <c r="N165" s="28">
        <f>COGS!N165+'SG&amp;A'!N165</f>
        <v>0</v>
      </c>
      <c r="O165" s="28">
        <f>COGS!O165+'SG&amp;A'!O165</f>
        <v>0</v>
      </c>
      <c r="P165" s="28">
        <f>COGS!P165+'SG&amp;A'!P165</f>
        <v>0</v>
      </c>
      <c r="Q165" s="28">
        <f>COGS!Q165+'SG&amp;A'!Q165</f>
        <v>0</v>
      </c>
      <c r="R165" s="28">
        <f>COGS!R165+'SG&amp;A'!R165</f>
        <v>0</v>
      </c>
      <c r="S165" s="28">
        <f>COGS!S165+'SG&amp;A'!S165</f>
        <v>0</v>
      </c>
      <c r="T165" s="28">
        <f>COGS!T165+'SG&amp;A'!T165</f>
        <v>0</v>
      </c>
      <c r="U165" s="28">
        <f>COGS!U165+'SG&amp;A'!U165</f>
        <v>0</v>
      </c>
      <c r="V165" s="28">
        <f>COGS!V165+'SG&amp;A'!V165</f>
        <v>0</v>
      </c>
      <c r="W165" s="28">
        <f>COGS!W165+'SG&amp;A'!W165</f>
        <v>0</v>
      </c>
      <c r="X165" s="28">
        <f>COGS!X165+'SG&amp;A'!X165</f>
        <v>0</v>
      </c>
      <c r="Y165" s="28">
        <f>COGS!Y165+'SG&amp;A'!Y165</f>
        <v>0</v>
      </c>
      <c r="Z165" s="28">
        <f>COGS!Z165+'SG&amp;A'!Z165</f>
        <v>0</v>
      </c>
      <c r="AA165" s="28">
        <f>COGS!AA165+'SG&amp;A'!AA165</f>
        <v>0</v>
      </c>
      <c r="AB165" s="28">
        <f>COGS!AB165+'SG&amp;A'!AB165</f>
        <v>0</v>
      </c>
      <c r="AC165" s="28">
        <f>COGS!AC165+'SG&amp;A'!AC165</f>
        <v>0</v>
      </c>
      <c r="AD165" s="28">
        <f>COGS!AD165+'SG&amp;A'!AD165</f>
        <v>0</v>
      </c>
      <c r="AE165" s="28">
        <f>COGS!AE165+'SG&amp;A'!AE165</f>
        <v>0</v>
      </c>
      <c r="AF165" s="28">
        <f>COGS!AF165+'SG&amp;A'!AF165</f>
        <v>0</v>
      </c>
      <c r="AG165" s="28">
        <f>COGS!AG165+'SG&amp;A'!AG165</f>
        <v>0</v>
      </c>
      <c r="AH165" s="28">
        <f>COGS!AH165+'SG&amp;A'!AH165</f>
        <v>0</v>
      </c>
      <c r="AI165" s="28">
        <f>COGS!AI165+'SG&amp;A'!AI165</f>
        <v>0</v>
      </c>
      <c r="AJ165" s="28">
        <f>COGS!AJ165+'SG&amp;A'!AJ165</f>
        <v>0</v>
      </c>
      <c r="AK165" s="28">
        <f>COGS!AK165+'SG&amp;A'!AK165</f>
        <v>0</v>
      </c>
      <c r="AL165" s="28">
        <f>COGS!AL165+'SG&amp;A'!AL165</f>
        <v>0</v>
      </c>
      <c r="AM165" s="28">
        <f>COGS!AM165+'SG&amp;A'!AM165</f>
        <v>0</v>
      </c>
      <c r="AN165" s="28">
        <f>COGS!AN165+'SG&amp;A'!AN165</f>
        <v>0</v>
      </c>
      <c r="AO165" s="28">
        <f>COGS!AO165+'SG&amp;A'!AO165</f>
        <v>0</v>
      </c>
      <c r="AP165" s="28">
        <f>COGS!AP165+'SG&amp;A'!AP165</f>
        <v>0</v>
      </c>
      <c r="AQ165" s="28">
        <f>COGS!AQ165+'SG&amp;A'!AQ165</f>
        <v>0</v>
      </c>
      <c r="AR165" s="28">
        <f>COGS!AR165+'SG&amp;A'!AR165</f>
        <v>0</v>
      </c>
      <c r="AS165" s="28">
        <f>COGS!AS165+'SG&amp;A'!AS165</f>
        <v>0</v>
      </c>
      <c r="AT165" s="28">
        <f>COGS!AT165+'SG&amp;A'!AT165</f>
        <v>0</v>
      </c>
      <c r="AU165" s="28">
        <f>COGS!AU165+'SG&amp;A'!AU165</f>
        <v>0</v>
      </c>
      <c r="AV165" s="28">
        <f>COGS!AV165+'SG&amp;A'!AV165</f>
        <v>0</v>
      </c>
      <c r="AW165" s="28">
        <f>COGS!AW165+'SG&amp;A'!AW165</f>
        <v>0</v>
      </c>
      <c r="AX165" s="28">
        <f>COGS!AX165+'SG&amp;A'!AX165</f>
        <v>0</v>
      </c>
      <c r="AY165" s="28">
        <f>COGS!AY165+'SG&amp;A'!AY165</f>
        <v>0</v>
      </c>
      <c r="AZ165" s="28">
        <f>COGS!AZ165+'SG&amp;A'!AZ165</f>
        <v>0</v>
      </c>
      <c r="BA165" s="28">
        <f>COGS!BA165+'SG&amp;A'!BA165</f>
        <v>0</v>
      </c>
      <c r="BB165" s="28">
        <f>COGS!BB165+'SG&amp;A'!BB165</f>
        <v>0</v>
      </c>
      <c r="BC165" s="28">
        <f>COGS!BC165+'SG&amp;A'!BC165</f>
        <v>0</v>
      </c>
      <c r="BD165" s="28">
        <f>COGS!BD165+'SG&amp;A'!BD165</f>
        <v>0</v>
      </c>
      <c r="BE165" s="28">
        <f>COGS!BE165+'SG&amp;A'!BE165</f>
        <v>0</v>
      </c>
      <c r="BF165" s="28">
        <f>COGS!BF165+'SG&amp;A'!BF165</f>
        <v>0</v>
      </c>
      <c r="BG165" s="28">
        <f>COGS!BG165+'SG&amp;A'!BG165</f>
        <v>0</v>
      </c>
      <c r="BH165" s="28">
        <f>COGS!BH165+'SG&amp;A'!BH165</f>
        <v>0</v>
      </c>
      <c r="BI165" s="28">
        <f>COGS!BI165+'SG&amp;A'!BI165</f>
        <v>0</v>
      </c>
      <c r="BJ165" s="28">
        <f>COGS!BJ165+'SG&amp;A'!BJ165</f>
        <v>3.451808E-2</v>
      </c>
      <c r="BK165" s="28">
        <f>COGS!BK165+'SG&amp;A'!BK165</f>
        <v>8.3725590000000003E-2</v>
      </c>
      <c r="BL165" s="28">
        <f>COGS!BL165+'SG&amp;A'!BL165</f>
        <v>1.1049419999999997E-2</v>
      </c>
      <c r="BM165" s="28">
        <f>COGS!BM165+'SG&amp;A'!BM165</f>
        <v>0.38292349000000003</v>
      </c>
      <c r="BN165" s="28">
        <f>COGS!BN165+'SG&amp;A'!BN165</f>
        <v>0.51221658000000003</v>
      </c>
      <c r="BO165" s="28">
        <f>COGS!BO165+'SG&amp;A'!BO165</f>
        <v>2.6405770000000002E-2</v>
      </c>
      <c r="BP165" s="28">
        <f>COGS!BP165+'SG&amp;A'!BP165</f>
        <v>0.99667762000000004</v>
      </c>
      <c r="BQ165" s="28">
        <f>COGS!BQ165+'SG&amp;A'!BQ165</f>
        <v>0.42294546999999993</v>
      </c>
      <c r="BR165" s="28">
        <f>COGS!BR165+'SG&amp;A'!BR165</f>
        <v>0.42394011000000015</v>
      </c>
      <c r="BS165" s="28">
        <f>COGS!BS165+'SG&amp;A'!BS165</f>
        <v>1.8699689700000002</v>
      </c>
      <c r="BT165" s="28">
        <f>COGS!BT165+'SG&amp;A'!BT165</f>
        <v>0.53907786000000002</v>
      </c>
      <c r="BU165" s="28">
        <f>COGS!BU165+'SG&amp;A'!BU165</f>
        <v>0.51301173</v>
      </c>
      <c r="BV165" s="28">
        <f>COGS!BV165+'SG&amp;A'!BV165</f>
        <v>0.6648848199999996</v>
      </c>
      <c r="BW165" s="28">
        <f>COGS!BW165+'SG&amp;A'!BW165</f>
        <v>0.61763572999999983</v>
      </c>
      <c r="BX165" s="28">
        <f>COGS!BX165+'SG&amp;A'!BX165</f>
        <v>2.3346101399999997</v>
      </c>
      <c r="BY165" s="28">
        <f>COGS!BY165+'SG&amp;A'!BY165</f>
        <v>0.55713419999999991</v>
      </c>
      <c r="BZ165" s="28">
        <f>COGS!BZ165+'SG&amp;A'!BZ165</f>
        <v>0.69064077000000013</v>
      </c>
      <c r="CA165" s="28">
        <f>COGS!CA165+'SG&amp;A'!CA165</f>
        <v>0.53859024</v>
      </c>
      <c r="CB165" s="28">
        <f>COGS!CB165+'SG&amp;A'!CB165</f>
        <v>0.57922633999999995</v>
      </c>
      <c r="CC165" s="28">
        <f>COGS!CC165+'SG&amp;A'!CC165</f>
        <v>2.36559155</v>
      </c>
      <c r="CD165" s="28">
        <f>COGS!CD165+'SG&amp;A'!CD165</f>
        <v>0.58588995999999993</v>
      </c>
      <c r="CE165" s="28">
        <f>COGS!CE165+'SG&amp;A'!CE165</f>
        <v>0.61084759000000022</v>
      </c>
      <c r="CF165" s="28">
        <f>COGS!CF165+'SG&amp;A'!CF165</f>
        <v>0.59134390999999986</v>
      </c>
      <c r="CG165" s="28">
        <f>COGS!CG165+'SG&amp;A'!CG165</f>
        <v>0.66931887000000001</v>
      </c>
      <c r="CH165" s="28">
        <f>COGS!CH165+'SG&amp;A'!CH165</f>
        <v>2.45740033</v>
      </c>
      <c r="CI165" s="28">
        <f>COGS!CI165+'SG&amp;A'!CI165</f>
        <v>0.66046125</v>
      </c>
      <c r="CJ165" s="28">
        <f>COGS!CJ165+'SG&amp;A'!CJ165</f>
        <v>0.60458176000000008</v>
      </c>
      <c r="CK165" s="28">
        <f>COGS!CK165+'SG&amp;A'!CK165</f>
        <v>0.42052948999999984</v>
      </c>
      <c r="CL165" s="28">
        <f>COGS!CL165+'SG&amp;A'!CL165</f>
        <v>0.48263199999999995</v>
      </c>
      <c r="CM165" s="28">
        <f>COGS!CM165+'SG&amp;A'!CM165</f>
        <v>2.1682044999999999</v>
      </c>
      <c r="CN165" s="28">
        <f>COGS!CN165+'SG&amp;A'!CN165</f>
        <v>0.36511729999999998</v>
      </c>
      <c r="CO165" s="28">
        <f>COGS!CO165+'SG&amp;A'!CO165</f>
        <v>0.24266661</v>
      </c>
      <c r="CP165" s="28">
        <f>COGS!CP165+'SG&amp;A'!CP165</f>
        <v>0.4414009200000002</v>
      </c>
      <c r="CQ165" s="28">
        <f>COGS!CQ165+'SG&amp;A'!CQ165</f>
        <v>0.36581516999999986</v>
      </c>
      <c r="CR165" s="28">
        <f>COGS!CR165+'SG&amp;A'!CR165</f>
        <v>1.415</v>
      </c>
      <c r="CS165" s="28">
        <f>COGS!CS165+'SG&amp;A'!CS165</f>
        <v>0.248</v>
      </c>
      <c r="CT165" s="28">
        <f>COGS!CT165+'SG&amp;A'!CT165</f>
        <v>0.45699999999999996</v>
      </c>
      <c r="CU165" s="28">
        <f>COGS!CU165+'SG&amp;A'!CU165</f>
        <v>0.26400000000000001</v>
      </c>
      <c r="CV165" s="28">
        <f>COGS!CV165+'SG&amp;A'!CV165</f>
        <v>0.30300000000000005</v>
      </c>
      <c r="CW165" s="28">
        <f>COGS!CW165+'SG&amp;A'!CW165</f>
        <v>1.272</v>
      </c>
      <c r="CX165" s="28">
        <f>COGS!CX165+'SG&amp;A'!CX165</f>
        <v>0.26900000000000002</v>
      </c>
      <c r="CY165" s="28">
        <f>COGS!CY165+'SG&amp;A'!CY165</f>
        <v>0.42</v>
      </c>
      <c r="CZ165" s="28">
        <f>COGS!CZ165+'SG&amp;A'!CZ165</f>
        <v>0.36399999999999999</v>
      </c>
      <c r="DA165" s="28">
        <f>COGS!DA165+'SG&amp;A'!DA165</f>
        <v>0.56399999999999995</v>
      </c>
      <c r="DB165" s="28">
        <f>COGS!DB165+'SG&amp;A'!DB165</f>
        <v>1.617</v>
      </c>
      <c r="DC165" s="28">
        <f>COGS!DC165+'SG&amp;A'!DC165</f>
        <v>0.505</v>
      </c>
      <c r="DD165" s="28">
        <f>COGS!DD165+'SG&amp;A'!DD165</f>
        <v>0.59799999999999998</v>
      </c>
      <c r="DE165" s="28">
        <f>COGS!DE165+'SG&amp;A'!DE165</f>
        <v>0.66500000000000004</v>
      </c>
      <c r="DF165" s="28">
        <f>COGS!DF165+'SG&amp;A'!DF165</f>
        <v>0.71099999999999997</v>
      </c>
      <c r="DG165" s="28">
        <f>COGS!DG165+'SG&amp;A'!DG165</f>
        <v>2.4790000000000001</v>
      </c>
      <c r="DH165" s="28">
        <f>COGS!DH165+'SG&amp;A'!DH165</f>
        <v>0.31</v>
      </c>
      <c r="DI165" s="28">
        <f>COGS!DI165+'SG&amp;A'!DI165</f>
        <v>0.434</v>
      </c>
      <c r="DJ165" s="28">
        <f>COGS!DJ165+'SG&amp;A'!DJ165</f>
        <v>0.435</v>
      </c>
      <c r="DK165" s="28">
        <f>COGS!DK165+'SG&amp;A'!DK165</f>
        <v>0.63800000000000001</v>
      </c>
      <c r="DL165" s="28">
        <f>COGS!DL165+'SG&amp;A'!DL165</f>
        <v>1.8170000000000002</v>
      </c>
      <c r="DM165" s="28">
        <f>COGS!DM165+'SG&amp;A'!DM165</f>
        <v>0.61799999999999999</v>
      </c>
      <c r="DN165" s="28">
        <f>COGS!DN165+'SG&amp;A'!DN165</f>
        <v>0.128</v>
      </c>
      <c r="DO165" s="28">
        <f>COGS!DO165+'SG&amp;A'!DO165</f>
        <v>0.42199999999999999</v>
      </c>
      <c r="DP165" s="28">
        <f>COGS!DP165+'SG&amp;A'!DP165</f>
        <v>0.56599999999999995</v>
      </c>
      <c r="DQ165" s="28">
        <f>COGS!DQ165+'SG&amp;A'!DQ165</f>
        <v>1.734</v>
      </c>
      <c r="DR165" s="28">
        <f>COGS!DR165+'SG&amp;A'!DR165</f>
        <v>0.47</v>
      </c>
      <c r="DS165" s="28">
        <f>COGS!DS165+'SG&amp;A'!DS165</f>
        <v>0.247</v>
      </c>
      <c r="DT165" s="28">
        <f>COGS!DT165+'SG&amp;A'!DT165</f>
        <v>0.67400000000000004</v>
      </c>
      <c r="DU165" s="28">
        <f>COGS!DU165+'SG&amp;A'!DU165</f>
        <v>0.70199999999999996</v>
      </c>
      <c r="DV165" s="28">
        <f>COGS!DV165+'SG&amp;A'!DV165</f>
        <v>2.093</v>
      </c>
      <c r="DW165" s="28">
        <f>COGS!DW165+'SG&amp;A'!DW165</f>
        <v>0.40500000000000003</v>
      </c>
      <c r="DX165" s="28">
        <f>COGS!DX165+'SG&amp;A'!DX165</f>
        <v>0.36563893000000003</v>
      </c>
      <c r="DY165" s="28">
        <f>COGS!DY165+'SG&amp;A'!DY165</f>
        <v>0.71113532000000002</v>
      </c>
      <c r="DZ165" s="28">
        <f>COGS!DZ165+'SG&amp;A'!DZ165</f>
        <v>0.60081996999999998</v>
      </c>
      <c r="EA165" s="28">
        <f>COGS!EA165+'SG&amp;A'!EA165</f>
        <v>2.0825942199999998</v>
      </c>
      <c r="EB165" s="28">
        <f>COGS!EB165+'SG&amp;A'!EB165</f>
        <v>0.52642562000000004</v>
      </c>
      <c r="EC165" s="28">
        <f>COGS!EC165+'SG&amp;A'!EC165</f>
        <v>0.49088558999999998</v>
      </c>
      <c r="ED165" s="28">
        <f>COGS!ED165+'SG&amp;A'!ED165</f>
        <v>0.78</v>
      </c>
      <c r="EE165" s="28">
        <f>COGS!EE165+'SG&amp;A'!EE165</f>
        <v>0.48111557000000005</v>
      </c>
      <c r="EF165" s="28">
        <f>COGS!EF165+'SG&amp;A'!EF165</f>
        <v>2.2784267800000002</v>
      </c>
      <c r="EG165" s="28">
        <f>COGS!EG165+'SG&amp;A'!EG165</f>
        <v>0.48870102999999998</v>
      </c>
      <c r="EH165" s="28">
        <f>COGS!EH165+'SG&amp;A'!EH165</f>
        <v>0.51667098999999994</v>
      </c>
      <c r="EI165" s="28">
        <f>COGS!EI165+'SG&amp;A'!EI165</f>
        <v>0.54321622000000025</v>
      </c>
    </row>
    <row r="166" spans="1:139" ht="15" thickTop="1" x14ac:dyDescent="0.3">
      <c r="A166" s="1" t="s">
        <v>308</v>
      </c>
      <c r="B166" s="27">
        <f>COGS!B166+'SG&amp;A'!B166</f>
        <v>0</v>
      </c>
      <c r="C166" s="27">
        <f>COGS!C166+'SG&amp;A'!C166</f>
        <v>0</v>
      </c>
      <c r="D166" s="27">
        <f>COGS!D166+'SG&amp;A'!D166</f>
        <v>0</v>
      </c>
      <c r="E166" s="27">
        <f>COGS!E166+'SG&amp;A'!E166</f>
        <v>0</v>
      </c>
      <c r="F166" s="27">
        <f>COGS!F166+'SG&amp;A'!F166</f>
        <v>0</v>
      </c>
      <c r="G166" s="27">
        <f>COGS!G166+'SG&amp;A'!G166</f>
        <v>0</v>
      </c>
      <c r="H166" s="27">
        <f>COGS!H166+'SG&amp;A'!H166</f>
        <v>0</v>
      </c>
      <c r="I166" s="27">
        <f>COGS!I166+'SG&amp;A'!I166</f>
        <v>0</v>
      </c>
      <c r="J166" s="27">
        <f>COGS!J166+'SG&amp;A'!J166</f>
        <v>0</v>
      </c>
      <c r="K166" s="27">
        <f>COGS!K166+'SG&amp;A'!K166</f>
        <v>0</v>
      </c>
      <c r="L166" s="27">
        <f>COGS!L166+'SG&amp;A'!L166</f>
        <v>0</v>
      </c>
      <c r="M166" s="27">
        <f>COGS!M166+'SG&amp;A'!M166</f>
        <v>0</v>
      </c>
      <c r="N166" s="27">
        <f>COGS!N166+'SG&amp;A'!N166</f>
        <v>0</v>
      </c>
      <c r="O166" s="27">
        <f>COGS!O166+'SG&amp;A'!O166</f>
        <v>0</v>
      </c>
      <c r="P166" s="27">
        <f>COGS!P166+'SG&amp;A'!P166</f>
        <v>0</v>
      </c>
      <c r="Q166" s="27">
        <f>COGS!Q166+'SG&amp;A'!Q166</f>
        <v>0</v>
      </c>
      <c r="R166" s="27">
        <f>COGS!R166+'SG&amp;A'!R166</f>
        <v>0</v>
      </c>
      <c r="S166" s="27">
        <f>COGS!S166+'SG&amp;A'!S166</f>
        <v>0</v>
      </c>
      <c r="T166" s="27">
        <f>COGS!T166+'SG&amp;A'!T166</f>
        <v>0</v>
      </c>
      <c r="U166" s="27">
        <f>COGS!U166+'SG&amp;A'!U166</f>
        <v>0</v>
      </c>
      <c r="V166" s="27">
        <f>COGS!V166+'SG&amp;A'!V166</f>
        <v>0</v>
      </c>
      <c r="W166" s="27">
        <f>COGS!W166+'SG&amp;A'!W166</f>
        <v>0</v>
      </c>
      <c r="X166" s="27">
        <f>COGS!X166+'SG&amp;A'!X166</f>
        <v>0</v>
      </c>
      <c r="Y166" s="27">
        <f>COGS!Y166+'SG&amp;A'!Y166</f>
        <v>0</v>
      </c>
      <c r="Z166" s="27">
        <f>COGS!Z166+'SG&amp;A'!Z166</f>
        <v>0</v>
      </c>
      <c r="AA166" s="27">
        <f>COGS!AA166+'SG&amp;A'!AA166</f>
        <v>0</v>
      </c>
      <c r="AB166" s="27">
        <f>COGS!AB166+'SG&amp;A'!AB166</f>
        <v>0</v>
      </c>
      <c r="AC166" s="27">
        <f>COGS!AC166+'SG&amp;A'!AC166</f>
        <v>0</v>
      </c>
      <c r="AD166" s="27">
        <f>COGS!AD166+'SG&amp;A'!AD166</f>
        <v>0</v>
      </c>
      <c r="AE166" s="27">
        <f>COGS!AE166+'SG&amp;A'!AE166</f>
        <v>0</v>
      </c>
      <c r="AF166" s="27">
        <f>COGS!AF166+'SG&amp;A'!AF166</f>
        <v>0</v>
      </c>
      <c r="AG166" s="27">
        <f>COGS!AG166+'SG&amp;A'!AG166</f>
        <v>0</v>
      </c>
      <c r="AH166" s="27">
        <f>COGS!AH166+'SG&amp;A'!AH166</f>
        <v>0</v>
      </c>
      <c r="AI166" s="27">
        <f>COGS!AI166+'SG&amp;A'!AI166</f>
        <v>0</v>
      </c>
      <c r="AJ166" s="27">
        <f>COGS!AJ166+'SG&amp;A'!AJ166</f>
        <v>0</v>
      </c>
      <c r="AK166" s="27">
        <f>COGS!AK166+'SG&amp;A'!AK166</f>
        <v>0</v>
      </c>
      <c r="AL166" s="27">
        <f>COGS!AL166+'SG&amp;A'!AL166</f>
        <v>0</v>
      </c>
      <c r="AM166" s="27">
        <f>COGS!AM166+'SG&amp;A'!AM166</f>
        <v>0</v>
      </c>
      <c r="AN166" s="27">
        <f>COGS!AN166+'SG&amp;A'!AN166</f>
        <v>0</v>
      </c>
      <c r="AO166" s="27">
        <f>COGS!AO166+'SG&amp;A'!AO166</f>
        <v>0</v>
      </c>
      <c r="AP166" s="27">
        <f>COGS!AP166+'SG&amp;A'!AP166</f>
        <v>0</v>
      </c>
      <c r="AQ166" s="27">
        <f>COGS!AQ166+'SG&amp;A'!AQ166</f>
        <v>0</v>
      </c>
      <c r="AR166" s="27">
        <f>COGS!AR166+'SG&amp;A'!AR166</f>
        <v>0</v>
      </c>
      <c r="AS166" s="27">
        <f>COGS!AS166+'SG&amp;A'!AS166</f>
        <v>0</v>
      </c>
      <c r="AT166" s="27">
        <f>COGS!AT166+'SG&amp;A'!AT166</f>
        <v>0</v>
      </c>
      <c r="AU166" s="27">
        <f>COGS!AU166+'SG&amp;A'!AU166</f>
        <v>0</v>
      </c>
      <c r="AV166" s="27">
        <f>COGS!AV166+'SG&amp;A'!AV166</f>
        <v>0</v>
      </c>
      <c r="AW166" s="27">
        <f>COGS!AW166+'SG&amp;A'!AW166</f>
        <v>0</v>
      </c>
      <c r="AX166" s="27">
        <f>COGS!AX166+'SG&amp;A'!AX166</f>
        <v>0</v>
      </c>
      <c r="AY166" s="27">
        <f>COGS!AY166+'SG&amp;A'!AY166</f>
        <v>0</v>
      </c>
      <c r="AZ166" s="27">
        <f>COGS!AZ166+'SG&amp;A'!AZ166</f>
        <v>0</v>
      </c>
      <c r="BA166" s="27">
        <f>COGS!BA166+'SG&amp;A'!BA166</f>
        <v>0</v>
      </c>
      <c r="BB166" s="27">
        <f>COGS!BB166+'SG&amp;A'!BB166</f>
        <v>0</v>
      </c>
      <c r="BC166" s="27">
        <f>COGS!BC166+'SG&amp;A'!BC166</f>
        <v>0</v>
      </c>
      <c r="BD166" s="27">
        <f>COGS!BD166+'SG&amp;A'!BD166</f>
        <v>0</v>
      </c>
      <c r="BE166" s="27">
        <f>COGS!BE166+'SG&amp;A'!BE166</f>
        <v>0</v>
      </c>
      <c r="BF166" s="27">
        <f>COGS!BF166+'SG&amp;A'!BF166</f>
        <v>0</v>
      </c>
      <c r="BG166" s="27">
        <f>COGS!BG166+'SG&amp;A'!BG166</f>
        <v>0</v>
      </c>
      <c r="BH166" s="27">
        <f>COGS!BH166+'SG&amp;A'!BH166</f>
        <v>0</v>
      </c>
      <c r="BI166" s="27">
        <f>COGS!BI166+'SG&amp;A'!BI166</f>
        <v>0</v>
      </c>
      <c r="BJ166" s="27">
        <f>COGS!BJ166+'SG&amp;A'!BJ166</f>
        <v>0</v>
      </c>
      <c r="BK166" s="27">
        <f>COGS!BK166+'SG&amp;A'!BK166</f>
        <v>-2.1273989999999996E-2</v>
      </c>
      <c r="BL166" s="27">
        <f>COGS!BL166+'SG&amp;A'!BL166</f>
        <v>-1.6955380000000009E-2</v>
      </c>
      <c r="BM166" s="27">
        <f>COGS!BM166+'SG&amp;A'!BM166</f>
        <v>-2.9097679999999997E-2</v>
      </c>
      <c r="BN166" s="27">
        <f>COGS!BN166+'SG&amp;A'!BN166</f>
        <v>-6.7327049999999999E-2</v>
      </c>
      <c r="BO166" s="27">
        <f>COGS!BO166+'SG&amp;A'!BO166</f>
        <v>-0.21967397999999999</v>
      </c>
      <c r="BP166" s="27">
        <f>COGS!BP166+'SG&amp;A'!BP166</f>
        <v>-4.3400579100000005</v>
      </c>
      <c r="BQ166" s="27">
        <f>COGS!BQ166+'SG&amp;A'!BQ166</f>
        <v>-2.1429424899999998</v>
      </c>
      <c r="BR166" s="27">
        <f>COGS!BR166+'SG&amp;A'!BR166</f>
        <v>-2.2532256600000014</v>
      </c>
      <c r="BS166" s="27">
        <f>COGS!BS166+'SG&amp;A'!BS166</f>
        <v>-8.9559000400000013</v>
      </c>
      <c r="BT166" s="27">
        <f>COGS!BT166+'SG&amp;A'!BT166</f>
        <v>-9.9999999999999978E-2</v>
      </c>
      <c r="BU166" s="27">
        <f>COGS!BU166+'SG&amp;A'!BU166</f>
        <v>-9.9999999999999978E-2</v>
      </c>
      <c r="BV166" s="27">
        <f>COGS!BV166+'SG&amp;A'!BV166</f>
        <v>-0.39999999999999997</v>
      </c>
      <c r="BW166" s="27">
        <f>COGS!BW166+'SG&amp;A'!BW166</f>
        <v>-0.60000000000000009</v>
      </c>
      <c r="BX166" s="27">
        <f>COGS!BX166+'SG&amp;A'!BX166</f>
        <v>-1.2</v>
      </c>
      <c r="BY166" s="27">
        <f>COGS!BY166+'SG&amp;A'!BY166</f>
        <v>-0.30000000000000004</v>
      </c>
      <c r="BZ166" s="27">
        <f>COGS!BZ166+'SG&amp;A'!BZ166</f>
        <v>-0.2</v>
      </c>
      <c r="CA166" s="27">
        <f>COGS!CA166+'SG&amp;A'!CA166</f>
        <v>-0.30000000000000004</v>
      </c>
      <c r="CB166" s="27">
        <f>COGS!CB166+'SG&amp;A'!CB166</f>
        <v>-0.39999999999999991</v>
      </c>
      <c r="CC166" s="27">
        <f>COGS!CC166+'SG&amp;A'!CC166</f>
        <v>-1.2000000000000002</v>
      </c>
      <c r="CD166" s="27">
        <f>COGS!CD166+'SG&amp;A'!CD166</f>
        <v>-0.3474598499999999</v>
      </c>
      <c r="CE166" s="27">
        <f>COGS!CE166+'SG&amp;A'!CE166</f>
        <v>0</v>
      </c>
      <c r="CF166" s="27">
        <f>COGS!CF166+'SG&amp;A'!CF166</f>
        <v>-0.2</v>
      </c>
      <c r="CG166" s="27">
        <f>COGS!CG166+'SG&amp;A'!CG166</f>
        <v>-0.19999999999999998</v>
      </c>
      <c r="CH166" s="27">
        <f>COGS!CH166+'SG&amp;A'!CH166</f>
        <v>-0.74745985000000004</v>
      </c>
      <c r="CI166" s="27">
        <f>COGS!CI166+'SG&amp;A'!CI166</f>
        <v>-0.21947697999999999</v>
      </c>
      <c r="CJ166" s="27">
        <f>COGS!CJ166+'SG&amp;A'!CJ166</f>
        <v>-0.13897317000000001</v>
      </c>
      <c r="CK166" s="27">
        <f>COGS!CK166+'SG&amp;A'!CK166</f>
        <v>-0.57045315000000008</v>
      </c>
      <c r="CL166" s="27">
        <f>COGS!CL166+'SG&amp;A'!CL166</f>
        <v>-0.91324469999999414</v>
      </c>
      <c r="CM166" s="27">
        <f>COGS!CM166+'SG&amp;A'!CM166</f>
        <v>-1.8421479999999943</v>
      </c>
      <c r="CN166" s="27">
        <f>COGS!CN166+'SG&amp;A'!CN166</f>
        <v>-0.65126849999999847</v>
      </c>
      <c r="CO166" s="27">
        <f>COGS!CO166+'SG&amp;A'!CO166</f>
        <v>-0.58134998000000149</v>
      </c>
      <c r="CP166" s="27">
        <f>COGS!CP166+'SG&amp;A'!CP166</f>
        <v>-0.65995436000000018</v>
      </c>
      <c r="CQ166" s="27">
        <f>COGS!CQ166+'SG&amp;A'!CQ166</f>
        <v>-0.63742715999999988</v>
      </c>
      <c r="CR166" s="27">
        <f>COGS!CR166+'SG&amp;A'!CR166</f>
        <v>-2.5300000000000002</v>
      </c>
      <c r="CS166" s="27">
        <f>COGS!CS166+'SG&amp;A'!CS166</f>
        <v>-0.67469838999999998</v>
      </c>
      <c r="CT166" s="27">
        <f>COGS!CT166+'SG&amp;A'!CT166</f>
        <v>-0.67512951999999993</v>
      </c>
      <c r="CU166" s="27">
        <f>COGS!CU166+'SG&amp;A'!CU166</f>
        <v>-0.67812952000000015</v>
      </c>
      <c r="CV166" s="27">
        <f>COGS!CV166+'SG&amp;A'!CV166</f>
        <v>-0.68159362000000001</v>
      </c>
      <c r="CW166" s="27">
        <f>COGS!CW166+'SG&amp;A'!CW166</f>
        <v>-2.70955105</v>
      </c>
      <c r="CX166" s="27">
        <f>COGS!CX166+'SG&amp;A'!CX166</f>
        <v>-0.69100000000000006</v>
      </c>
      <c r="CY166" s="27">
        <f>COGS!CY166+'SG&amp;A'!CY166</f>
        <v>-0.69200000000000006</v>
      </c>
      <c r="CZ166" s="27">
        <f>COGS!CZ166+'SG&amp;A'!CZ166</f>
        <v>-0.70100000000000007</v>
      </c>
      <c r="DA166" s="27">
        <f>COGS!DA166+'SG&amp;A'!DA166</f>
        <v>-1.36</v>
      </c>
      <c r="DB166" s="27">
        <f>COGS!DB166+'SG&amp;A'!DB166</f>
        <v>-3.444</v>
      </c>
      <c r="DC166" s="27">
        <f>COGS!DC166+'SG&amp;A'!DC166</f>
        <v>-0.81600000000000006</v>
      </c>
      <c r="DD166" s="27">
        <f>COGS!DD166+'SG&amp;A'!DD166</f>
        <v>-0.81600000000000006</v>
      </c>
      <c r="DE166" s="27">
        <f>COGS!DE166+'SG&amp;A'!DE166</f>
        <v>-0.83099999999999996</v>
      </c>
      <c r="DF166" s="27">
        <f>COGS!DF166+'SG&amp;A'!DF166</f>
        <v>-0.83099999999999996</v>
      </c>
      <c r="DG166" s="27">
        <f>COGS!DG166+'SG&amp;A'!DG166</f>
        <v>-3.294</v>
      </c>
      <c r="DH166" s="27">
        <f>COGS!DH166+'SG&amp;A'!DH166</f>
        <v>-0.85000000000000009</v>
      </c>
      <c r="DI166" s="27">
        <f>COGS!DI166+'SG&amp;A'!DI166</f>
        <v>-0.84899999999999998</v>
      </c>
      <c r="DJ166" s="27">
        <f>COGS!DJ166+'SG&amp;A'!DJ166</f>
        <v>-0.8640000000000001</v>
      </c>
      <c r="DK166" s="27">
        <f>COGS!DK166+'SG&amp;A'!DK166</f>
        <v>-0.86999999999999988</v>
      </c>
      <c r="DL166" s="27">
        <f>COGS!DL166+'SG&amp;A'!DL166</f>
        <v>-3.4329999999999998</v>
      </c>
      <c r="DM166" s="27">
        <f>COGS!DM166+'SG&amp;A'!DM166</f>
        <v>-0.89799999999999991</v>
      </c>
      <c r="DN166" s="27">
        <f>COGS!DN166+'SG&amp;A'!DN166</f>
        <v>-0.89700000000000002</v>
      </c>
      <c r="DO166" s="27">
        <f>COGS!DO166+'SG&amp;A'!DO166</f>
        <v>-0.59199999999999997</v>
      </c>
      <c r="DP166" s="27">
        <f>COGS!DP166+'SG&amp;A'!DP166</f>
        <v>0.125</v>
      </c>
      <c r="DQ166" s="27">
        <f>COGS!DQ166+'SG&amp;A'!DQ166</f>
        <v>-2.262</v>
      </c>
      <c r="DR166" s="27">
        <f>COGS!DR166+'SG&amp;A'!DR166</f>
        <v>-0.28799999999999998</v>
      </c>
      <c r="DS166" s="27">
        <f>COGS!DS166+'SG&amp;A'!DS166</f>
        <v>-0.216</v>
      </c>
      <c r="DT166" s="27">
        <f>COGS!DT166+'SG&amp;A'!DT166</f>
        <v>-0.252</v>
      </c>
      <c r="DU166" s="27">
        <f>COGS!DU166+'SG&amp;A'!DU166</f>
        <v>-0.252</v>
      </c>
      <c r="DV166" s="27">
        <f>COGS!DV166+'SG&amp;A'!DV166</f>
        <v>-1.008</v>
      </c>
      <c r="DW166" s="27">
        <f>COGS!DW166+'SG&amp;A'!DW166</f>
        <v>-0.109</v>
      </c>
      <c r="DX166" s="27">
        <f>COGS!DX166+'SG&amp;A'!DX166</f>
        <v>-0.109</v>
      </c>
      <c r="DY166" s="27">
        <f>COGS!DY166+'SG&amp;A'!DY166</f>
        <v>-9.8649089999999995E-2</v>
      </c>
      <c r="DZ166" s="27">
        <f>COGS!DZ166+'SG&amp;A'!DZ166</f>
        <v>-0.11582351</v>
      </c>
      <c r="EA166" s="27">
        <f>COGS!EA166+'SG&amp;A'!EA166</f>
        <v>-0.43247259999999998</v>
      </c>
      <c r="EB166" s="27">
        <f>COGS!EB166+'SG&amp;A'!EB166</f>
        <v>-0.20412685999999999</v>
      </c>
      <c r="EC166" s="27">
        <f>COGS!EC166+'SG&amp;A'!EC166</f>
        <v>-0.19347883000000002</v>
      </c>
      <c r="ED166" s="27">
        <f>COGS!ED166+'SG&amp;A'!ED166</f>
        <v>-1.06</v>
      </c>
      <c r="EE166" s="27">
        <f>COGS!EE166+'SG&amp;A'!EE166</f>
        <v>-0.70836449000000001</v>
      </c>
      <c r="EF166" s="27">
        <f>COGS!EF166+'SG&amp;A'!EF166</f>
        <v>-2.16597018</v>
      </c>
      <c r="EG166" s="27">
        <f>COGS!EG166+'SG&amp;A'!EG166</f>
        <v>-0.22618115999999999</v>
      </c>
      <c r="EH166" s="27">
        <f>COGS!EH166+'SG&amp;A'!EH166</f>
        <v>-0.22618118999999998</v>
      </c>
      <c r="EI166" s="27">
        <f>COGS!EI166+'SG&amp;A'!EI166</f>
        <v>-0.22618119000000006</v>
      </c>
    </row>
    <row r="167" spans="1:139" x14ac:dyDescent="0.3">
      <c r="A167" s="5" t="s">
        <v>311</v>
      </c>
      <c r="B167" s="10">
        <f>SUM(B144:B166)</f>
        <v>0</v>
      </c>
      <c r="C167" s="10">
        <f t="shared" ref="C167:BN167" si="20">SUM(C144:C166)</f>
        <v>0</v>
      </c>
      <c r="D167" s="10">
        <f t="shared" si="20"/>
        <v>0</v>
      </c>
      <c r="E167" s="10">
        <f t="shared" si="20"/>
        <v>0</v>
      </c>
      <c r="F167" s="10">
        <f t="shared" si="20"/>
        <v>0</v>
      </c>
      <c r="G167" s="10">
        <f t="shared" si="20"/>
        <v>0</v>
      </c>
      <c r="H167" s="10">
        <f t="shared" si="20"/>
        <v>0</v>
      </c>
      <c r="I167" s="10">
        <f t="shared" si="20"/>
        <v>0</v>
      </c>
      <c r="J167" s="10">
        <f t="shared" si="20"/>
        <v>0</v>
      </c>
      <c r="K167" s="10">
        <f t="shared" si="20"/>
        <v>0</v>
      </c>
      <c r="L167" s="10">
        <f t="shared" si="20"/>
        <v>0</v>
      </c>
      <c r="M167" s="10">
        <f t="shared" si="20"/>
        <v>0</v>
      </c>
      <c r="N167" s="10">
        <f t="shared" si="20"/>
        <v>0</v>
      </c>
      <c r="O167" s="10">
        <f t="shared" si="20"/>
        <v>0</v>
      </c>
      <c r="P167" s="10">
        <f t="shared" si="20"/>
        <v>0</v>
      </c>
      <c r="Q167" s="10">
        <f t="shared" si="20"/>
        <v>0</v>
      </c>
      <c r="R167" s="10">
        <f t="shared" si="20"/>
        <v>0</v>
      </c>
      <c r="S167" s="10">
        <f t="shared" si="20"/>
        <v>0</v>
      </c>
      <c r="T167" s="10">
        <f t="shared" si="20"/>
        <v>0</v>
      </c>
      <c r="U167" s="10">
        <f t="shared" si="20"/>
        <v>0</v>
      </c>
      <c r="V167" s="10">
        <f t="shared" si="20"/>
        <v>0</v>
      </c>
      <c r="W167" s="10">
        <f t="shared" si="20"/>
        <v>0</v>
      </c>
      <c r="X167" s="10">
        <f t="shared" si="20"/>
        <v>0</v>
      </c>
      <c r="Y167" s="10">
        <f t="shared" si="20"/>
        <v>0</v>
      </c>
      <c r="Z167" s="10">
        <f t="shared" si="20"/>
        <v>0</v>
      </c>
      <c r="AA167" s="10">
        <f t="shared" si="20"/>
        <v>0</v>
      </c>
      <c r="AB167" s="10">
        <f t="shared" si="20"/>
        <v>0</v>
      </c>
      <c r="AC167" s="10">
        <f t="shared" si="20"/>
        <v>0</v>
      </c>
      <c r="AD167" s="10">
        <f t="shared" si="20"/>
        <v>0</v>
      </c>
      <c r="AE167" s="10">
        <f t="shared" si="20"/>
        <v>0</v>
      </c>
      <c r="AF167" s="10">
        <f t="shared" si="20"/>
        <v>0</v>
      </c>
      <c r="AG167" s="10">
        <f t="shared" si="20"/>
        <v>0</v>
      </c>
      <c r="AH167" s="10">
        <f t="shared" si="20"/>
        <v>0</v>
      </c>
      <c r="AI167" s="10">
        <f t="shared" si="20"/>
        <v>0</v>
      </c>
      <c r="AJ167" s="10">
        <f t="shared" si="20"/>
        <v>0</v>
      </c>
      <c r="AK167" s="10">
        <f t="shared" si="20"/>
        <v>0</v>
      </c>
      <c r="AL167" s="10">
        <f t="shared" si="20"/>
        <v>0</v>
      </c>
      <c r="AM167" s="10">
        <f t="shared" si="20"/>
        <v>0</v>
      </c>
      <c r="AN167" s="10">
        <f t="shared" si="20"/>
        <v>0</v>
      </c>
      <c r="AO167" s="10">
        <f t="shared" si="20"/>
        <v>0</v>
      </c>
      <c r="AP167" s="10">
        <f t="shared" si="20"/>
        <v>0</v>
      </c>
      <c r="AQ167" s="10">
        <f t="shared" si="20"/>
        <v>0</v>
      </c>
      <c r="AR167" s="10">
        <f t="shared" si="20"/>
        <v>0</v>
      </c>
      <c r="AS167" s="10">
        <f t="shared" si="20"/>
        <v>0</v>
      </c>
      <c r="AT167" s="10">
        <f t="shared" si="20"/>
        <v>0</v>
      </c>
      <c r="AU167" s="10">
        <f t="shared" si="20"/>
        <v>0</v>
      </c>
      <c r="AV167" s="10">
        <f t="shared" si="20"/>
        <v>0</v>
      </c>
      <c r="AW167" s="10">
        <f t="shared" si="20"/>
        <v>0</v>
      </c>
      <c r="AX167" s="10">
        <f t="shared" si="20"/>
        <v>0</v>
      </c>
      <c r="AY167" s="10">
        <f t="shared" si="20"/>
        <v>0</v>
      </c>
      <c r="AZ167" s="10">
        <f t="shared" si="20"/>
        <v>0</v>
      </c>
      <c r="BA167" s="10">
        <f t="shared" si="20"/>
        <v>0</v>
      </c>
      <c r="BB167" s="10">
        <f t="shared" si="20"/>
        <v>0</v>
      </c>
      <c r="BC167" s="10">
        <f t="shared" si="20"/>
        <v>0</v>
      </c>
      <c r="BD167" s="10">
        <f t="shared" si="20"/>
        <v>0</v>
      </c>
      <c r="BE167" s="10">
        <f t="shared" si="20"/>
        <v>0</v>
      </c>
      <c r="BF167" s="10">
        <f t="shared" si="20"/>
        <v>0</v>
      </c>
      <c r="BG167" s="10">
        <f t="shared" si="20"/>
        <v>0</v>
      </c>
      <c r="BH167" s="10">
        <f t="shared" si="20"/>
        <v>0</v>
      </c>
      <c r="BI167" s="10">
        <f t="shared" si="20"/>
        <v>0</v>
      </c>
      <c r="BJ167" s="29">
        <f t="shared" si="20"/>
        <v>10.56838209</v>
      </c>
      <c r="BK167" s="29">
        <f t="shared" si="20"/>
        <v>10.56777557</v>
      </c>
      <c r="BL167" s="29">
        <f t="shared" si="20"/>
        <v>14.472223170000001</v>
      </c>
      <c r="BM167" s="29">
        <f t="shared" si="20"/>
        <v>14.14222288</v>
      </c>
      <c r="BN167" s="29">
        <f t="shared" si="20"/>
        <v>49.750603709999993</v>
      </c>
      <c r="BO167" s="29">
        <f t="shared" ref="BO167:DT167" si="21">SUM(BO144:BO166)</f>
        <v>14.38381686</v>
      </c>
      <c r="BP167" s="29">
        <f t="shared" si="21"/>
        <v>36.42244737</v>
      </c>
      <c r="BQ167" s="29">
        <f t="shared" si="21"/>
        <v>26.474435039999999</v>
      </c>
      <c r="BR167" s="29">
        <f t="shared" si="21"/>
        <v>26.555526249999996</v>
      </c>
      <c r="BS167" s="29">
        <f t="shared" si="21"/>
        <v>103.83622552000001</v>
      </c>
      <c r="BT167" s="29">
        <f t="shared" si="21"/>
        <v>15.021186199999999</v>
      </c>
      <c r="BU167" s="29">
        <f t="shared" si="21"/>
        <v>15.209892920000001</v>
      </c>
      <c r="BV167" s="29">
        <f t="shared" si="21"/>
        <v>19.71032396</v>
      </c>
      <c r="BW167" s="29">
        <f t="shared" si="21"/>
        <v>21.537146620000005</v>
      </c>
      <c r="BX167" s="29">
        <f t="shared" si="21"/>
        <v>71.478549699999988</v>
      </c>
      <c r="BY167" s="29">
        <f t="shared" si="21"/>
        <v>20.181904289999999</v>
      </c>
      <c r="BZ167" s="29">
        <f t="shared" si="21"/>
        <v>33.653215039999999</v>
      </c>
      <c r="CA167" s="29">
        <f t="shared" si="21"/>
        <v>26.57299445999999</v>
      </c>
      <c r="CB167" s="29">
        <f t="shared" si="21"/>
        <v>26.487096160000014</v>
      </c>
      <c r="CC167" s="29">
        <f t="shared" si="21"/>
        <v>106.89520995000001</v>
      </c>
      <c r="CD167" s="29">
        <f t="shared" si="21"/>
        <v>25.16653432</v>
      </c>
      <c r="CE167" s="29">
        <f t="shared" si="21"/>
        <v>24.397735019999995</v>
      </c>
      <c r="CF167" s="29">
        <f t="shared" si="21"/>
        <v>26.953372359999999</v>
      </c>
      <c r="CG167" s="29">
        <f t="shared" si="21"/>
        <v>27.298606820000003</v>
      </c>
      <c r="CH167" s="29">
        <f t="shared" si="21"/>
        <v>103.81624852</v>
      </c>
      <c r="CI167" s="29">
        <f t="shared" si="21"/>
        <v>25.573114620000002</v>
      </c>
      <c r="CJ167" s="29">
        <f t="shared" si="21"/>
        <v>25.642502189999998</v>
      </c>
      <c r="CK167" s="29">
        <f t="shared" si="21"/>
        <v>26.602056880000006</v>
      </c>
      <c r="CL167" s="29">
        <f t="shared" si="21"/>
        <v>27.821109280000005</v>
      </c>
      <c r="CM167" s="29">
        <f t="shared" si="21"/>
        <v>105.63878297000001</v>
      </c>
      <c r="CN167" s="29">
        <f t="shared" si="21"/>
        <v>24.238697980000005</v>
      </c>
      <c r="CO167" s="29">
        <f t="shared" si="21"/>
        <v>24.039492460000002</v>
      </c>
      <c r="CP167" s="29">
        <f t="shared" si="21"/>
        <v>27.598009819999998</v>
      </c>
      <c r="CQ167" s="29">
        <f t="shared" si="21"/>
        <v>27.066799740000004</v>
      </c>
      <c r="CR167" s="29">
        <f t="shared" si="21"/>
        <v>102.94300000000003</v>
      </c>
      <c r="CS167" s="29">
        <f t="shared" si="21"/>
        <v>26.247714920000007</v>
      </c>
      <c r="CT167" s="29">
        <f t="shared" si="21"/>
        <v>25.482425670000005</v>
      </c>
      <c r="CU167" s="29">
        <f t="shared" si="21"/>
        <v>25.823234529999997</v>
      </c>
      <c r="CV167" s="29">
        <f t="shared" si="21"/>
        <v>26.282721549999998</v>
      </c>
      <c r="CW167" s="29">
        <f t="shared" si="21"/>
        <v>103.83609667000002</v>
      </c>
      <c r="CX167" s="29">
        <f t="shared" si="21"/>
        <v>26.096</v>
      </c>
      <c r="CY167" s="29">
        <f t="shared" si="21"/>
        <v>28.878</v>
      </c>
      <c r="CZ167" s="29">
        <f t="shared" si="21"/>
        <v>25.490999999999996</v>
      </c>
      <c r="DA167" s="29">
        <f t="shared" si="21"/>
        <v>28.884</v>
      </c>
      <c r="DB167" s="29">
        <f t="shared" si="21"/>
        <v>109.349</v>
      </c>
      <c r="DC167" s="29">
        <f t="shared" si="21"/>
        <v>25.592000000000002</v>
      </c>
      <c r="DD167" s="29">
        <f t="shared" si="21"/>
        <v>26.294</v>
      </c>
      <c r="DE167" s="29">
        <f t="shared" si="21"/>
        <v>28.547000000000004</v>
      </c>
      <c r="DF167" s="29">
        <f t="shared" si="21"/>
        <v>29.810000000000002</v>
      </c>
      <c r="DG167" s="29">
        <f t="shared" si="21"/>
        <v>110.24300000000002</v>
      </c>
      <c r="DH167" s="29">
        <f t="shared" si="21"/>
        <v>26.063999999999997</v>
      </c>
      <c r="DI167" s="29">
        <f t="shared" si="21"/>
        <v>22.83</v>
      </c>
      <c r="DJ167" s="29">
        <f t="shared" si="21"/>
        <v>28.378999999999998</v>
      </c>
      <c r="DK167" s="29">
        <f t="shared" si="21"/>
        <v>28.721</v>
      </c>
      <c r="DL167" s="29">
        <f t="shared" si="21"/>
        <v>105.994</v>
      </c>
      <c r="DM167" s="29">
        <f t="shared" si="21"/>
        <v>29.002999999999993</v>
      </c>
      <c r="DN167" s="29">
        <f t="shared" si="21"/>
        <v>29.001000000000005</v>
      </c>
      <c r="DO167" s="29">
        <f t="shared" si="21"/>
        <v>29.158000000000001</v>
      </c>
      <c r="DP167" s="29">
        <f t="shared" si="21"/>
        <v>37.431999999999995</v>
      </c>
      <c r="DQ167" s="29">
        <f t="shared" si="21"/>
        <v>124.59399999999999</v>
      </c>
      <c r="DR167" s="29">
        <f t="shared" si="21"/>
        <v>34.254000000000005</v>
      </c>
      <c r="DS167" s="29">
        <f t="shared" si="21"/>
        <v>31.664999999999996</v>
      </c>
      <c r="DT167" s="29">
        <f t="shared" si="21"/>
        <v>37.346999999999994</v>
      </c>
      <c r="DU167" s="29">
        <f t="shared" ref="DU167:EA167" si="22">SUM(DU144:DU166)</f>
        <v>43.562000000000005</v>
      </c>
      <c r="DV167" s="29">
        <f t="shared" si="22"/>
        <v>146.82799999999997</v>
      </c>
      <c r="DW167" s="29">
        <f t="shared" si="22"/>
        <v>46.235000000000007</v>
      </c>
      <c r="DX167" s="29">
        <f t="shared" si="22"/>
        <v>49.755077080000007</v>
      </c>
      <c r="DY167" s="29">
        <f t="shared" si="22"/>
        <v>55.401360079999996</v>
      </c>
      <c r="DZ167" s="29">
        <f t="shared" si="22"/>
        <v>50.413551840000011</v>
      </c>
      <c r="EA167" s="29">
        <f t="shared" si="22"/>
        <v>201.80498899999998</v>
      </c>
      <c r="EB167" s="29">
        <f>SUM(EB144:EB166)</f>
        <v>51.361469219999989</v>
      </c>
      <c r="EC167" s="29">
        <f>SUM(EC144:EC166)</f>
        <v>46.168329399999998</v>
      </c>
      <c r="ED167" s="29">
        <f>SUM(ED144:ED166)</f>
        <v>49.925000000000004</v>
      </c>
      <c r="EE167" s="29">
        <f>SUM(EE144:EE166)</f>
        <v>53.414354019999998</v>
      </c>
      <c r="EF167" s="29">
        <f t="shared" ref="EF167" si="23">SUM(EF144:EF166)</f>
        <v>200.86915264000001</v>
      </c>
      <c r="EG167" s="29">
        <f>SUM(EG144:EG166)</f>
        <v>55.837699569999998</v>
      </c>
      <c r="EH167" s="29">
        <f>SUM(EH144:EH166)</f>
        <v>55.959073100000005</v>
      </c>
      <c r="EI167" s="29">
        <f>SUM(EI144:EI166)</f>
        <v>58.389173540000002</v>
      </c>
    </row>
    <row r="170" spans="1:139" x14ac:dyDescent="0.3">
      <c r="A170" s="3" t="s">
        <v>338</v>
      </c>
      <c r="B170" s="6" t="s">
        <v>4</v>
      </c>
      <c r="C170" s="6" t="s">
        <v>5</v>
      </c>
      <c r="D170" s="6" t="s">
        <v>6</v>
      </c>
      <c r="E170" s="6" t="s">
        <v>7</v>
      </c>
      <c r="F170" s="6">
        <v>2018</v>
      </c>
      <c r="G170" s="6" t="s">
        <v>8</v>
      </c>
      <c r="H170" s="6" t="s">
        <v>9</v>
      </c>
      <c r="I170" s="6" t="s">
        <v>10</v>
      </c>
      <c r="J170" s="6" t="s">
        <v>11</v>
      </c>
      <c r="K170" s="6">
        <v>2019</v>
      </c>
      <c r="L170" s="6" t="s">
        <v>12</v>
      </c>
      <c r="M170" s="6" t="s">
        <v>13</v>
      </c>
      <c r="N170" s="6" t="s">
        <v>14</v>
      </c>
      <c r="O170" s="6" t="s">
        <v>15</v>
      </c>
      <c r="P170" s="6">
        <v>2000</v>
      </c>
      <c r="Q170" s="6" t="s">
        <v>16</v>
      </c>
      <c r="R170" s="6" t="s">
        <v>17</v>
      </c>
      <c r="S170" s="6" t="s">
        <v>18</v>
      </c>
      <c r="T170" s="6" t="s">
        <v>19</v>
      </c>
      <c r="U170" s="6">
        <v>2001</v>
      </c>
      <c r="V170" s="6" t="s">
        <v>20</v>
      </c>
      <c r="W170" s="6" t="s">
        <v>21</v>
      </c>
      <c r="X170" s="6" t="s">
        <v>22</v>
      </c>
      <c r="Y170" s="6" t="s">
        <v>23</v>
      </c>
      <c r="Z170" s="6">
        <v>2002</v>
      </c>
      <c r="AA170" s="6" t="s">
        <v>24</v>
      </c>
      <c r="AB170" s="6" t="s">
        <v>25</v>
      </c>
      <c r="AC170" s="6" t="s">
        <v>26</v>
      </c>
      <c r="AD170" s="6" t="s">
        <v>27</v>
      </c>
      <c r="AE170" s="6">
        <v>2003</v>
      </c>
      <c r="AF170" s="6" t="s">
        <v>28</v>
      </c>
      <c r="AG170" s="6" t="s">
        <v>29</v>
      </c>
      <c r="AH170" s="6" t="s">
        <v>30</v>
      </c>
      <c r="AI170" s="6" t="s">
        <v>31</v>
      </c>
      <c r="AJ170" s="6">
        <v>2004</v>
      </c>
      <c r="AK170" s="6" t="s">
        <v>32</v>
      </c>
      <c r="AL170" s="6" t="s">
        <v>33</v>
      </c>
      <c r="AM170" s="6" t="s">
        <v>34</v>
      </c>
      <c r="AN170" s="6" t="s">
        <v>35</v>
      </c>
      <c r="AO170" s="6">
        <v>2005</v>
      </c>
      <c r="AP170" s="6" t="s">
        <v>36</v>
      </c>
      <c r="AQ170" s="6" t="s">
        <v>37</v>
      </c>
      <c r="AR170" s="6" t="s">
        <v>38</v>
      </c>
      <c r="AS170" s="6" t="s">
        <v>39</v>
      </c>
      <c r="AT170" s="6">
        <v>2006</v>
      </c>
      <c r="AU170" s="6" t="s">
        <v>40</v>
      </c>
      <c r="AV170" s="6" t="s">
        <v>41</v>
      </c>
      <c r="AW170" s="6" t="s">
        <v>42</v>
      </c>
      <c r="AX170" s="6" t="s">
        <v>43</v>
      </c>
      <c r="AY170" s="6">
        <v>2007</v>
      </c>
      <c r="AZ170" s="6" t="s">
        <v>44</v>
      </c>
      <c r="BA170" s="6" t="s">
        <v>45</v>
      </c>
      <c r="BB170" s="6" t="s">
        <v>46</v>
      </c>
      <c r="BC170" s="6" t="s">
        <v>47</v>
      </c>
      <c r="BD170" s="6">
        <v>2008</v>
      </c>
      <c r="BE170" s="6" t="s">
        <v>48</v>
      </c>
      <c r="BF170" s="6" t="s">
        <v>49</v>
      </c>
      <c r="BG170" s="6" t="s">
        <v>50</v>
      </c>
      <c r="BH170" s="6" t="s">
        <v>51</v>
      </c>
      <c r="BI170" s="6">
        <v>2009</v>
      </c>
      <c r="BJ170" s="6" t="s">
        <v>52</v>
      </c>
      <c r="BK170" s="6" t="s">
        <v>53</v>
      </c>
      <c r="BL170" s="6" t="s">
        <v>54</v>
      </c>
      <c r="BM170" s="6" t="s">
        <v>55</v>
      </c>
      <c r="BN170" s="6">
        <v>2010</v>
      </c>
      <c r="BO170" s="6" t="s">
        <v>56</v>
      </c>
      <c r="BP170" s="6" t="s">
        <v>57</v>
      </c>
      <c r="BQ170" s="6" t="s">
        <v>58</v>
      </c>
      <c r="BR170" s="6" t="s">
        <v>59</v>
      </c>
      <c r="BS170" s="6">
        <v>2011</v>
      </c>
      <c r="BT170" s="6" t="s">
        <v>60</v>
      </c>
      <c r="BU170" s="6" t="s">
        <v>61</v>
      </c>
      <c r="BV170" s="6" t="s">
        <v>62</v>
      </c>
      <c r="BW170" s="6" t="s">
        <v>63</v>
      </c>
      <c r="BX170" s="6">
        <v>2012</v>
      </c>
      <c r="BY170" s="6" t="s">
        <v>64</v>
      </c>
      <c r="BZ170" s="6" t="s">
        <v>65</v>
      </c>
      <c r="CA170" s="6" t="s">
        <v>66</v>
      </c>
      <c r="CB170" s="6" t="s">
        <v>67</v>
      </c>
      <c r="CC170" s="6">
        <v>2013</v>
      </c>
      <c r="CD170" s="6" t="s">
        <v>68</v>
      </c>
      <c r="CE170" s="6" t="s">
        <v>69</v>
      </c>
      <c r="CF170" s="6" t="s">
        <v>70</v>
      </c>
      <c r="CG170" s="6" t="s">
        <v>71</v>
      </c>
      <c r="CH170" s="6">
        <v>2014</v>
      </c>
      <c r="CI170" s="6" t="s">
        <v>72</v>
      </c>
      <c r="CJ170" s="6" t="s">
        <v>73</v>
      </c>
      <c r="CK170" s="6" t="s">
        <v>74</v>
      </c>
      <c r="CL170" s="6" t="s">
        <v>75</v>
      </c>
      <c r="CM170" s="6">
        <v>2015</v>
      </c>
      <c r="CN170" s="6" t="s">
        <v>76</v>
      </c>
      <c r="CO170" s="6" t="s">
        <v>77</v>
      </c>
      <c r="CP170" s="6" t="s">
        <v>78</v>
      </c>
      <c r="CQ170" s="6" t="s">
        <v>79</v>
      </c>
      <c r="CR170" s="6">
        <v>2016</v>
      </c>
      <c r="CS170" s="6" t="s">
        <v>80</v>
      </c>
      <c r="CT170" s="6" t="s">
        <v>81</v>
      </c>
      <c r="CU170" s="6" t="s">
        <v>82</v>
      </c>
      <c r="CV170" s="6" t="s">
        <v>83</v>
      </c>
      <c r="CW170" s="6">
        <v>2017</v>
      </c>
      <c r="CX170" s="6" t="s">
        <v>84</v>
      </c>
      <c r="CY170" s="6" t="s">
        <v>85</v>
      </c>
      <c r="CZ170" s="6" t="s">
        <v>86</v>
      </c>
      <c r="DA170" s="6" t="s">
        <v>87</v>
      </c>
      <c r="DB170" s="6">
        <v>2018</v>
      </c>
      <c r="DC170" s="6" t="s">
        <v>88</v>
      </c>
      <c r="DD170" s="6" t="s">
        <v>89</v>
      </c>
      <c r="DE170" s="6" t="s">
        <v>90</v>
      </c>
      <c r="DF170" s="6" t="s">
        <v>91</v>
      </c>
      <c r="DG170" s="6">
        <v>2019</v>
      </c>
      <c r="DH170" s="6" t="s">
        <v>92</v>
      </c>
      <c r="DI170" s="6" t="s">
        <v>93</v>
      </c>
      <c r="DJ170" s="6" t="s">
        <v>94</v>
      </c>
      <c r="DK170" s="6" t="s">
        <v>95</v>
      </c>
      <c r="DL170" s="6">
        <v>2020</v>
      </c>
      <c r="DM170" s="6" t="s">
        <v>96</v>
      </c>
      <c r="DN170" s="6" t="s">
        <v>97</v>
      </c>
      <c r="DO170" s="6" t="s">
        <v>98</v>
      </c>
      <c r="DP170" s="6" t="s">
        <v>99</v>
      </c>
      <c r="DQ170" s="6">
        <v>2021</v>
      </c>
      <c r="DR170" s="6" t="s">
        <v>100</v>
      </c>
      <c r="DS170" s="6" t="s">
        <v>101</v>
      </c>
      <c r="DT170" s="6" t="s">
        <v>200</v>
      </c>
      <c r="DU170" s="6" t="s">
        <v>380</v>
      </c>
      <c r="DV170" s="6">
        <v>2022</v>
      </c>
      <c r="DW170" s="6" t="s">
        <v>379</v>
      </c>
      <c r="DX170" s="6" t="s">
        <v>402</v>
      </c>
      <c r="DY170" s="6" t="s">
        <v>414</v>
      </c>
      <c r="DZ170" s="6" t="s">
        <v>419</v>
      </c>
      <c r="EA170" s="6">
        <v>2023</v>
      </c>
      <c r="EB170" s="6" t="s">
        <v>424</v>
      </c>
      <c r="EC170" s="6" t="s">
        <v>429</v>
      </c>
      <c r="ED170" s="6" t="str">
        <f>$ED$1</f>
        <v>3T24</v>
      </c>
      <c r="EE170" s="6" t="str">
        <f>$EE$1</f>
        <v>4T24</v>
      </c>
      <c r="EF170" s="6">
        <f>$EF$1</f>
        <v>2024</v>
      </c>
      <c r="EG170" s="6" t="str">
        <f>EG$1</f>
        <v>1T25</v>
      </c>
      <c r="EH170" s="6" t="str">
        <f>EH$1</f>
        <v>2T25</v>
      </c>
      <c r="EI170" s="6" t="str">
        <f>EI$1</f>
        <v>3T25</v>
      </c>
    </row>
    <row r="171" spans="1:139" ht="15" thickBot="1" x14ac:dyDescent="0.35">
      <c r="A171" s="4" t="s">
        <v>421</v>
      </c>
      <c r="B171" s="7" t="s">
        <v>102</v>
      </c>
      <c r="C171" s="7" t="s">
        <v>103</v>
      </c>
      <c r="D171" s="7" t="s">
        <v>104</v>
      </c>
      <c r="E171" s="7" t="s">
        <v>105</v>
      </c>
      <c r="F171" s="7">
        <v>2018</v>
      </c>
      <c r="G171" s="7" t="s">
        <v>106</v>
      </c>
      <c r="H171" s="7" t="s">
        <v>107</v>
      </c>
      <c r="I171" s="7" t="s">
        <v>108</v>
      </c>
      <c r="J171" s="7" t="s">
        <v>109</v>
      </c>
      <c r="K171" s="7">
        <v>2019</v>
      </c>
      <c r="L171" s="7" t="s">
        <v>110</v>
      </c>
      <c r="M171" s="7" t="s">
        <v>111</v>
      </c>
      <c r="N171" s="7" t="s">
        <v>112</v>
      </c>
      <c r="O171" s="7" t="s">
        <v>113</v>
      </c>
      <c r="P171" s="7">
        <v>2000</v>
      </c>
      <c r="Q171" s="7" t="s">
        <v>114</v>
      </c>
      <c r="R171" s="7" t="s">
        <v>115</v>
      </c>
      <c r="S171" s="7" t="s">
        <v>116</v>
      </c>
      <c r="T171" s="7" t="s">
        <v>117</v>
      </c>
      <c r="U171" s="7">
        <v>2001</v>
      </c>
      <c r="V171" s="7" t="s">
        <v>118</v>
      </c>
      <c r="W171" s="7" t="s">
        <v>119</v>
      </c>
      <c r="X171" s="7" t="s">
        <v>120</v>
      </c>
      <c r="Y171" s="7" t="s">
        <v>121</v>
      </c>
      <c r="Z171" s="7">
        <v>2002</v>
      </c>
      <c r="AA171" s="7" t="s">
        <v>122</v>
      </c>
      <c r="AB171" s="7" t="s">
        <v>123</v>
      </c>
      <c r="AC171" s="7" t="s">
        <v>124</v>
      </c>
      <c r="AD171" s="7" t="s">
        <v>125</v>
      </c>
      <c r="AE171" s="7">
        <v>2003</v>
      </c>
      <c r="AF171" s="7" t="s">
        <v>126</v>
      </c>
      <c r="AG171" s="7" t="s">
        <v>127</v>
      </c>
      <c r="AH171" s="7" t="s">
        <v>128</v>
      </c>
      <c r="AI171" s="7" t="s">
        <v>129</v>
      </c>
      <c r="AJ171" s="7">
        <v>2004</v>
      </c>
      <c r="AK171" s="7" t="s">
        <v>130</v>
      </c>
      <c r="AL171" s="7" t="s">
        <v>131</v>
      </c>
      <c r="AM171" s="7" t="s">
        <v>132</v>
      </c>
      <c r="AN171" s="7" t="s">
        <v>133</v>
      </c>
      <c r="AO171" s="7">
        <v>2005</v>
      </c>
      <c r="AP171" s="7" t="s">
        <v>134</v>
      </c>
      <c r="AQ171" s="7" t="s">
        <v>135</v>
      </c>
      <c r="AR171" s="7" t="s">
        <v>136</v>
      </c>
      <c r="AS171" s="7" t="s">
        <v>137</v>
      </c>
      <c r="AT171" s="7">
        <v>2006</v>
      </c>
      <c r="AU171" s="7" t="s">
        <v>138</v>
      </c>
      <c r="AV171" s="7" t="s">
        <v>139</v>
      </c>
      <c r="AW171" s="7" t="s">
        <v>140</v>
      </c>
      <c r="AX171" s="7" t="s">
        <v>141</v>
      </c>
      <c r="AY171" s="7">
        <v>2007</v>
      </c>
      <c r="AZ171" s="7" t="s">
        <v>142</v>
      </c>
      <c r="BA171" s="7" t="s">
        <v>143</v>
      </c>
      <c r="BB171" s="7" t="s">
        <v>144</v>
      </c>
      <c r="BC171" s="7" t="s">
        <v>145</v>
      </c>
      <c r="BD171" s="7">
        <v>2008</v>
      </c>
      <c r="BE171" s="7" t="s">
        <v>146</v>
      </c>
      <c r="BF171" s="7" t="s">
        <v>147</v>
      </c>
      <c r="BG171" s="7" t="s">
        <v>148</v>
      </c>
      <c r="BH171" s="7" t="s">
        <v>149</v>
      </c>
      <c r="BI171" s="7">
        <v>2009</v>
      </c>
      <c r="BJ171" s="7" t="s">
        <v>150</v>
      </c>
      <c r="BK171" s="7" t="s">
        <v>151</v>
      </c>
      <c r="BL171" s="7" t="s">
        <v>152</v>
      </c>
      <c r="BM171" s="7" t="s">
        <v>153</v>
      </c>
      <c r="BN171" s="7">
        <v>2010</v>
      </c>
      <c r="BO171" s="7" t="s">
        <v>154</v>
      </c>
      <c r="BP171" s="7" t="s">
        <v>155</v>
      </c>
      <c r="BQ171" s="7" t="s">
        <v>156</v>
      </c>
      <c r="BR171" s="7" t="s">
        <v>157</v>
      </c>
      <c r="BS171" s="7">
        <v>2011</v>
      </c>
      <c r="BT171" s="7" t="s">
        <v>158</v>
      </c>
      <c r="BU171" s="7" t="s">
        <v>159</v>
      </c>
      <c r="BV171" s="7" t="s">
        <v>160</v>
      </c>
      <c r="BW171" s="7" t="s">
        <v>161</v>
      </c>
      <c r="BX171" s="7">
        <v>2012</v>
      </c>
      <c r="BY171" s="7" t="s">
        <v>162</v>
      </c>
      <c r="BZ171" s="7" t="s">
        <v>163</v>
      </c>
      <c r="CA171" s="7" t="s">
        <v>164</v>
      </c>
      <c r="CB171" s="7" t="s">
        <v>165</v>
      </c>
      <c r="CC171" s="7">
        <v>2013</v>
      </c>
      <c r="CD171" s="7" t="s">
        <v>166</v>
      </c>
      <c r="CE171" s="7" t="s">
        <v>167</v>
      </c>
      <c r="CF171" s="7" t="s">
        <v>168</v>
      </c>
      <c r="CG171" s="7" t="s">
        <v>169</v>
      </c>
      <c r="CH171" s="7">
        <v>2014</v>
      </c>
      <c r="CI171" s="7" t="s">
        <v>170</v>
      </c>
      <c r="CJ171" s="7" t="s">
        <v>171</v>
      </c>
      <c r="CK171" s="7" t="s">
        <v>172</v>
      </c>
      <c r="CL171" s="7" t="s">
        <v>173</v>
      </c>
      <c r="CM171" s="7">
        <v>2015</v>
      </c>
      <c r="CN171" s="7" t="s">
        <v>174</v>
      </c>
      <c r="CO171" s="7" t="s">
        <v>175</v>
      </c>
      <c r="CP171" s="7" t="s">
        <v>176</v>
      </c>
      <c r="CQ171" s="7" t="s">
        <v>177</v>
      </c>
      <c r="CR171" s="7">
        <v>2016</v>
      </c>
      <c r="CS171" s="7" t="s">
        <v>178</v>
      </c>
      <c r="CT171" s="7" t="s">
        <v>179</v>
      </c>
      <c r="CU171" s="7" t="s">
        <v>180</v>
      </c>
      <c r="CV171" s="7" t="s">
        <v>181</v>
      </c>
      <c r="CW171" s="7">
        <v>2017</v>
      </c>
      <c r="CX171" s="7" t="s">
        <v>182</v>
      </c>
      <c r="CY171" s="7" t="s">
        <v>183</v>
      </c>
      <c r="CZ171" s="7" t="s">
        <v>184</v>
      </c>
      <c r="DA171" s="7" t="s">
        <v>185</v>
      </c>
      <c r="DB171" s="7">
        <v>2018</v>
      </c>
      <c r="DC171" s="7" t="s">
        <v>186</v>
      </c>
      <c r="DD171" s="7" t="s">
        <v>187</v>
      </c>
      <c r="DE171" s="7" t="s">
        <v>188</v>
      </c>
      <c r="DF171" s="7" t="s">
        <v>189</v>
      </c>
      <c r="DG171" s="7">
        <v>2019</v>
      </c>
      <c r="DH171" s="7" t="s">
        <v>190</v>
      </c>
      <c r="DI171" s="7" t="s">
        <v>191</v>
      </c>
      <c r="DJ171" s="7" t="s">
        <v>192</v>
      </c>
      <c r="DK171" s="7" t="s">
        <v>193</v>
      </c>
      <c r="DL171" s="7">
        <v>2020</v>
      </c>
      <c r="DM171" s="7" t="s">
        <v>194</v>
      </c>
      <c r="DN171" s="7" t="s">
        <v>195</v>
      </c>
      <c r="DO171" s="7" t="s">
        <v>196</v>
      </c>
      <c r="DP171" s="7" t="s">
        <v>197</v>
      </c>
      <c r="DQ171" s="7">
        <v>2021</v>
      </c>
      <c r="DR171" s="7" t="s">
        <v>198</v>
      </c>
      <c r="DS171" s="7" t="s">
        <v>199</v>
      </c>
      <c r="DT171" s="7" t="s">
        <v>201</v>
      </c>
      <c r="DU171" s="7" t="s">
        <v>381</v>
      </c>
      <c r="DV171" s="7">
        <v>2022</v>
      </c>
      <c r="DW171" s="7" t="s">
        <v>382</v>
      </c>
      <c r="DX171" s="7" t="s">
        <v>403</v>
      </c>
      <c r="DY171" s="7" t="s">
        <v>415</v>
      </c>
      <c r="DZ171" s="7" t="s">
        <v>420</v>
      </c>
      <c r="EA171" s="7">
        <v>2023</v>
      </c>
      <c r="EB171" s="7" t="s">
        <v>425</v>
      </c>
      <c r="EC171" s="7" t="s">
        <v>430</v>
      </c>
      <c r="ED171" s="7" t="str">
        <f>$ED$2</f>
        <v>3Q24</v>
      </c>
      <c r="EE171" s="7" t="str">
        <f>$EE$2</f>
        <v>4Q24</v>
      </c>
      <c r="EF171" s="7">
        <f>$EF$2</f>
        <v>2024</v>
      </c>
      <c r="EG171" s="7" t="str">
        <f>EG$2</f>
        <v>1Q25</v>
      </c>
      <c r="EH171" s="7" t="str">
        <f>EH$2</f>
        <v>2Q25</v>
      </c>
      <c r="EI171" s="7" t="str">
        <f>EI$2</f>
        <v>3Q25</v>
      </c>
    </row>
    <row r="172" spans="1:139" ht="15" thickTop="1" x14ac:dyDescent="0.3">
      <c r="A172" s="1" t="s">
        <v>2</v>
      </c>
      <c r="B172" s="27">
        <f>COGS!B172+'SG&amp;A'!B172</f>
        <v>0</v>
      </c>
      <c r="C172" s="27">
        <f>COGS!C172+'SG&amp;A'!C172</f>
        <v>0</v>
      </c>
      <c r="D172" s="27">
        <f>COGS!D172+'SG&amp;A'!D172</f>
        <v>0</v>
      </c>
      <c r="E172" s="27">
        <f>COGS!E172+'SG&amp;A'!E172</f>
        <v>0</v>
      </c>
      <c r="F172" s="27">
        <f>COGS!F172+'SG&amp;A'!F172</f>
        <v>0</v>
      </c>
      <c r="G172" s="27">
        <f>COGS!G172+'SG&amp;A'!G172</f>
        <v>0</v>
      </c>
      <c r="H172" s="27">
        <f>COGS!H172+'SG&amp;A'!H172</f>
        <v>0</v>
      </c>
      <c r="I172" s="27">
        <f>COGS!I172+'SG&amp;A'!I172</f>
        <v>0</v>
      </c>
      <c r="J172" s="27">
        <f>COGS!J172+'SG&amp;A'!J172</f>
        <v>0</v>
      </c>
      <c r="K172" s="27">
        <f>COGS!K172+'SG&amp;A'!K172</f>
        <v>0</v>
      </c>
      <c r="L172" s="27">
        <f>COGS!L172+'SG&amp;A'!L172</f>
        <v>0</v>
      </c>
      <c r="M172" s="27">
        <f>COGS!M172+'SG&amp;A'!M172</f>
        <v>0</v>
      </c>
      <c r="N172" s="27">
        <f>COGS!N172+'SG&amp;A'!N172</f>
        <v>0</v>
      </c>
      <c r="O172" s="27">
        <f>COGS!O172+'SG&amp;A'!O172</f>
        <v>0</v>
      </c>
      <c r="P172" s="27">
        <f>COGS!P172+'SG&amp;A'!P172</f>
        <v>0</v>
      </c>
      <c r="Q172" s="27">
        <f>COGS!Q172+'SG&amp;A'!Q172</f>
        <v>0</v>
      </c>
      <c r="R172" s="27">
        <f>COGS!R172+'SG&amp;A'!R172</f>
        <v>0</v>
      </c>
      <c r="S172" s="27">
        <f>COGS!S172+'SG&amp;A'!S172</f>
        <v>0</v>
      </c>
      <c r="T172" s="27">
        <f>COGS!T172+'SG&amp;A'!T172</f>
        <v>0</v>
      </c>
      <c r="U172" s="27">
        <f>COGS!U172+'SG&amp;A'!U172</f>
        <v>0</v>
      </c>
      <c r="V172" s="27">
        <f>COGS!V172+'SG&amp;A'!V172</f>
        <v>0</v>
      </c>
      <c r="W172" s="27">
        <f>COGS!W172+'SG&amp;A'!W172</f>
        <v>0</v>
      </c>
      <c r="X172" s="27">
        <f>COGS!X172+'SG&amp;A'!X172</f>
        <v>0</v>
      </c>
      <c r="Y172" s="27">
        <f>COGS!Y172+'SG&amp;A'!Y172</f>
        <v>0</v>
      </c>
      <c r="Z172" s="27">
        <f>COGS!Z172+'SG&amp;A'!Z172</f>
        <v>0</v>
      </c>
      <c r="AA172" s="27">
        <f>COGS!AA172+'SG&amp;A'!AA172</f>
        <v>0</v>
      </c>
      <c r="AB172" s="27">
        <f>COGS!AB172+'SG&amp;A'!AB172</f>
        <v>0</v>
      </c>
      <c r="AC172" s="27">
        <f>COGS!AC172+'SG&amp;A'!AC172</f>
        <v>0</v>
      </c>
      <c r="AD172" s="27">
        <f>COGS!AD172+'SG&amp;A'!AD172</f>
        <v>0</v>
      </c>
      <c r="AE172" s="27">
        <f>COGS!AE172+'SG&amp;A'!AE172</f>
        <v>0</v>
      </c>
      <c r="AF172" s="27">
        <f>COGS!AF172+'SG&amp;A'!AF172</f>
        <v>0</v>
      </c>
      <c r="AG172" s="27">
        <f>COGS!AG172+'SG&amp;A'!AG172</f>
        <v>0</v>
      </c>
      <c r="AH172" s="27">
        <f>COGS!AH172+'SG&amp;A'!AH172</f>
        <v>0</v>
      </c>
      <c r="AI172" s="27">
        <f>COGS!AI172+'SG&amp;A'!AI172</f>
        <v>0</v>
      </c>
      <c r="AJ172" s="27">
        <f>COGS!AJ172+'SG&amp;A'!AJ172</f>
        <v>0</v>
      </c>
      <c r="AK172" s="27">
        <f>COGS!AK172+'SG&amp;A'!AK172</f>
        <v>0</v>
      </c>
      <c r="AL172" s="27">
        <f>COGS!AL172+'SG&amp;A'!AL172</f>
        <v>0</v>
      </c>
      <c r="AM172" s="27">
        <f>COGS!AM172+'SG&amp;A'!AM172</f>
        <v>0</v>
      </c>
      <c r="AN172" s="27">
        <f>COGS!AN172+'SG&amp;A'!AN172</f>
        <v>0</v>
      </c>
      <c r="AO172" s="27">
        <f>COGS!AO172+'SG&amp;A'!AO172</f>
        <v>0</v>
      </c>
      <c r="AP172" s="27">
        <f>COGS!AP172+'SG&amp;A'!AP172</f>
        <v>0</v>
      </c>
      <c r="AQ172" s="27">
        <f>COGS!AQ172+'SG&amp;A'!AQ172</f>
        <v>0</v>
      </c>
      <c r="AR172" s="27">
        <f>COGS!AR172+'SG&amp;A'!AR172</f>
        <v>0</v>
      </c>
      <c r="AS172" s="27">
        <f>COGS!AS172+'SG&amp;A'!AS172</f>
        <v>0</v>
      </c>
      <c r="AT172" s="27">
        <f>COGS!AT172+'SG&amp;A'!AT172</f>
        <v>0</v>
      </c>
      <c r="AU172" s="27">
        <f>COGS!AU172+'SG&amp;A'!AU172</f>
        <v>0</v>
      </c>
      <c r="AV172" s="27">
        <f>COGS!AV172+'SG&amp;A'!AV172</f>
        <v>0</v>
      </c>
      <c r="AW172" s="27">
        <f>COGS!AW172+'SG&amp;A'!AW172</f>
        <v>0</v>
      </c>
      <c r="AX172" s="27">
        <f>COGS!AX172+'SG&amp;A'!AX172</f>
        <v>0</v>
      </c>
      <c r="AY172" s="27">
        <f>COGS!AY172+'SG&amp;A'!AY172</f>
        <v>0</v>
      </c>
      <c r="AZ172" s="27">
        <f>COGS!AZ172+'SG&amp;A'!AZ172</f>
        <v>0</v>
      </c>
      <c r="BA172" s="27">
        <f>COGS!BA172+'SG&amp;A'!BA172</f>
        <v>0</v>
      </c>
      <c r="BB172" s="27">
        <f>COGS!BB172+'SG&amp;A'!BB172</f>
        <v>0</v>
      </c>
      <c r="BC172" s="27">
        <f>COGS!BC172+'SG&amp;A'!BC172</f>
        <v>0</v>
      </c>
      <c r="BD172" s="27">
        <f>COGS!BD172+'SG&amp;A'!BD172</f>
        <v>0</v>
      </c>
      <c r="BE172" s="27">
        <f>COGS!BE172+'SG&amp;A'!BE172</f>
        <v>0</v>
      </c>
      <c r="BF172" s="27">
        <f>COGS!BF172+'SG&amp;A'!BF172</f>
        <v>0</v>
      </c>
      <c r="BG172" s="27">
        <f>COGS!BG172+'SG&amp;A'!BG172</f>
        <v>0</v>
      </c>
      <c r="BH172" s="27">
        <f>COGS!BH172+'SG&amp;A'!BH172</f>
        <v>0</v>
      </c>
      <c r="BI172" s="27">
        <f>COGS!BI172+'SG&amp;A'!BI172</f>
        <v>0</v>
      </c>
      <c r="BJ172" s="27">
        <f>COGS!BJ172+'SG&amp;A'!BJ172</f>
        <v>0.87683608999999996</v>
      </c>
      <c r="BK172" s="27">
        <f>COGS!BK172+'SG&amp;A'!BK172</f>
        <v>0.9160374</v>
      </c>
      <c r="BL172" s="27">
        <f>COGS!BL172+'SG&amp;A'!BL172</f>
        <v>1.37581658</v>
      </c>
      <c r="BM172" s="27">
        <f>COGS!BM172+'SG&amp;A'!BM172</f>
        <v>1.1241368500000002</v>
      </c>
      <c r="BN172" s="27">
        <f>COGS!BN172+'SG&amp;A'!BN172</f>
        <v>4.2928269200000004</v>
      </c>
      <c r="BO172" s="27">
        <f>COGS!BO172+'SG&amp;A'!BO172</f>
        <v>0.86285571000000005</v>
      </c>
      <c r="BP172" s="27">
        <f>COGS!BP172+'SG&amp;A'!BP172</f>
        <v>0.35800369999999987</v>
      </c>
      <c r="BQ172" s="27">
        <f>COGS!BQ172+'SG&amp;A'!BQ172</f>
        <v>1.0416481900000001</v>
      </c>
      <c r="BR172" s="27">
        <f>COGS!BR172+'SG&amp;A'!BR172</f>
        <v>1.6614822300000003</v>
      </c>
      <c r="BS172" s="27">
        <f>COGS!BS172+'SG&amp;A'!BS172</f>
        <v>3.92398983</v>
      </c>
      <c r="BT172" s="27">
        <f>COGS!BT172+'SG&amp;A'!BT172</f>
        <v>0.86415742999999989</v>
      </c>
      <c r="BU172" s="27">
        <f>COGS!BU172+'SG&amp;A'!BU172</f>
        <v>0.85513251000000001</v>
      </c>
      <c r="BV172" s="27">
        <f>COGS!BV172+'SG&amp;A'!BV172</f>
        <v>0.81330455000000024</v>
      </c>
      <c r="BW172" s="27">
        <f>COGS!BW172+'SG&amp;A'!BW172</f>
        <v>1.6141178499999995</v>
      </c>
      <c r="BX172" s="27">
        <f>COGS!BX172+'SG&amp;A'!BX172</f>
        <v>4.1467123399999997</v>
      </c>
      <c r="BY172" s="27">
        <f>COGS!BY172+'SG&amp;A'!BY172</f>
        <v>0.79347024999999993</v>
      </c>
      <c r="BZ172" s="27">
        <f>COGS!BZ172+'SG&amp;A'!BZ172</f>
        <v>0.79087523000000004</v>
      </c>
      <c r="CA172" s="27">
        <f>COGS!CA172+'SG&amp;A'!CA172</f>
        <v>0.73556786999999979</v>
      </c>
      <c r="CB172" s="27">
        <f>COGS!CB172+'SG&amp;A'!CB172</f>
        <v>1.7434686200000002</v>
      </c>
      <c r="CC172" s="27">
        <f>COGS!CC172+'SG&amp;A'!CC172</f>
        <v>4.06338197</v>
      </c>
      <c r="CD172" s="27">
        <f>COGS!CD172+'SG&amp;A'!CD172</f>
        <v>0.88614318999999997</v>
      </c>
      <c r="CE172" s="27">
        <f>COGS!CE172+'SG&amp;A'!CE172</f>
        <v>1.08972428</v>
      </c>
      <c r="CF172" s="27">
        <f>COGS!CF172+'SG&amp;A'!CF172</f>
        <v>1.0999373000000003</v>
      </c>
      <c r="CG172" s="27">
        <f>COGS!CG172+'SG&amp;A'!CG172</f>
        <v>1.3703937399999995</v>
      </c>
      <c r="CH172" s="27">
        <f>COGS!CH172+'SG&amp;A'!CH172</f>
        <v>4.4461985100000003</v>
      </c>
      <c r="CI172" s="27">
        <f>COGS!CI172+'SG&amp;A'!CI172</f>
        <v>1.0331156800000001</v>
      </c>
      <c r="CJ172" s="27">
        <f>COGS!CJ172+'SG&amp;A'!CJ172</f>
        <v>1.04625156</v>
      </c>
      <c r="CK172" s="27">
        <f>COGS!CK172+'SG&amp;A'!CK172</f>
        <v>0.88886275999999964</v>
      </c>
      <c r="CL172" s="27">
        <f>COGS!CL172+'SG&amp;A'!CL172</f>
        <v>-5.8902469999999707E-2</v>
      </c>
      <c r="CM172" s="27">
        <f>COGS!CM172+'SG&amp;A'!CM172</f>
        <v>2.9093275300000001</v>
      </c>
      <c r="CN172" s="27">
        <f>COGS!CN172+'SG&amp;A'!CN172</f>
        <v>1.3559532299999999</v>
      </c>
      <c r="CO172" s="27">
        <f>COGS!CO172+'SG&amp;A'!CO172</f>
        <v>1.1174887499999997</v>
      </c>
      <c r="CP172" s="27">
        <f>COGS!CP172+'SG&amp;A'!CP172</f>
        <v>0.61442642000000014</v>
      </c>
      <c r="CQ172" s="27">
        <f>COGS!CQ172+'SG&amp;A'!CQ172</f>
        <v>0.15913159999999971</v>
      </c>
      <c r="CR172" s="27">
        <f>COGS!CR172+'SG&amp;A'!CR172</f>
        <v>3.2469999999999999</v>
      </c>
      <c r="CS172" s="27">
        <f>COGS!CS172+'SG&amp;A'!CS172</f>
        <v>1.1820863500000001</v>
      </c>
      <c r="CT172" s="27">
        <f>COGS!CT172+'SG&amp;A'!CT172</f>
        <v>0.84749914999999976</v>
      </c>
      <c r="CU172" s="27">
        <f>COGS!CU172+'SG&amp;A'!CU172</f>
        <v>0.60199928000000025</v>
      </c>
      <c r="CV172" s="27">
        <f>COGS!CV172+'SG&amp;A'!CV172</f>
        <v>1.15848537</v>
      </c>
      <c r="CW172" s="27">
        <f>COGS!CW172+'SG&amp;A'!CW172</f>
        <v>3.79007015</v>
      </c>
      <c r="CX172" s="27">
        <f>COGS!CX172+'SG&amp;A'!CX172</f>
        <v>1.006</v>
      </c>
      <c r="CY172" s="27">
        <f>COGS!CY172+'SG&amp;A'!CY172</f>
        <v>0.97700000000000009</v>
      </c>
      <c r="CZ172" s="27">
        <f>COGS!CZ172+'SG&amp;A'!CZ172</f>
        <v>0.81899999999999995</v>
      </c>
      <c r="DA172" s="27">
        <f>COGS!DA172+'SG&amp;A'!DA172</f>
        <v>1.1680000000000001</v>
      </c>
      <c r="DB172" s="27">
        <f>COGS!DB172+'SG&amp;A'!DB172</f>
        <v>3.9699999999999998</v>
      </c>
      <c r="DC172" s="27">
        <f>COGS!DC172+'SG&amp;A'!DC172</f>
        <v>0.875</v>
      </c>
      <c r="DD172" s="27">
        <f>COGS!DD172+'SG&amp;A'!DD172</f>
        <v>1.149</v>
      </c>
      <c r="DE172" s="27">
        <f>COGS!DE172+'SG&amp;A'!DE172</f>
        <v>2.4509999999999996</v>
      </c>
      <c r="DF172" s="27">
        <f>COGS!DF172+'SG&amp;A'!DF172</f>
        <v>1.286</v>
      </c>
      <c r="DG172" s="27">
        <f>COGS!DG172+'SG&amp;A'!DG172</f>
        <v>5.7610000000000001</v>
      </c>
      <c r="DH172" s="27">
        <f>COGS!DH172+'SG&amp;A'!DH172</f>
        <v>1.52</v>
      </c>
      <c r="DI172" s="27">
        <f>COGS!DI172+'SG&amp;A'!DI172</f>
        <v>1.095</v>
      </c>
      <c r="DJ172" s="27">
        <f>COGS!DJ172+'SG&amp;A'!DJ172</f>
        <v>1.26</v>
      </c>
      <c r="DK172" s="27">
        <f>COGS!DK172+'SG&amp;A'!DK172</f>
        <v>6.1609999999999996</v>
      </c>
      <c r="DL172" s="27">
        <f>COGS!DL172+'SG&amp;A'!DL172</f>
        <v>10.036</v>
      </c>
      <c r="DM172" s="27">
        <f>COGS!DM172+'SG&amp;A'!DM172</f>
        <v>0.86699999999999999</v>
      </c>
      <c r="DN172" s="27">
        <f>COGS!DN172+'SG&amp;A'!DN172</f>
        <v>0.55099999999999993</v>
      </c>
      <c r="DO172" s="27">
        <f>COGS!DO172+'SG&amp;A'!DO172</f>
        <v>1.1139999999999999</v>
      </c>
      <c r="DP172" s="27">
        <f>COGS!DP172+'SG&amp;A'!DP172</f>
        <v>1.2210000000000001</v>
      </c>
      <c r="DQ172" s="27">
        <f>COGS!DQ172+'SG&amp;A'!DQ172</f>
        <v>3.7530000000000001</v>
      </c>
      <c r="DR172" s="27">
        <f>COGS!DR172+'SG&amp;A'!DR172</f>
        <v>0.249</v>
      </c>
      <c r="DS172" s="27">
        <f>COGS!DS172+'SG&amp;A'!DS172</f>
        <v>0.316</v>
      </c>
      <c r="DT172" s="27">
        <f>COGS!DT172+'SG&amp;A'!DT172</f>
        <v>0.183</v>
      </c>
      <c r="DU172" s="27">
        <f>COGS!DU172+'SG&amp;A'!DU172</f>
        <v>0.13700000000000001</v>
      </c>
      <c r="DV172" s="27">
        <f>COGS!DV172+'SG&amp;A'!DV172</f>
        <v>0.88500000000000001</v>
      </c>
      <c r="DW172" s="27">
        <f>COGS!DW172+'SG&amp;A'!DW172</f>
        <v>0.26500000000000001</v>
      </c>
      <c r="DX172" s="27">
        <f>COGS!DX172+'SG&amp;A'!DX172</f>
        <v>-7.1301799999999999E-3</v>
      </c>
      <c r="DY172" s="27">
        <f>COGS!DY172+'SG&amp;A'!DY172</f>
        <v>-0.17649796999999998</v>
      </c>
      <c r="DZ172" s="27">
        <f>COGS!DZ172+'SG&amp;A'!DZ172</f>
        <v>0.56016478999999997</v>
      </c>
      <c r="EA172" s="27">
        <f>COGS!EA172+'SG&amp;A'!EA172</f>
        <v>0.64153663999999999</v>
      </c>
      <c r="EB172" s="27">
        <f>COGS!EB172+'SG&amp;A'!EB172</f>
        <v>0.13233270999999999</v>
      </c>
      <c r="EC172" s="27">
        <f>COGS!EC172+'SG&amp;A'!EC172</f>
        <v>0.50071103000000006</v>
      </c>
      <c r="ED172" s="27">
        <f>COGS!ED172+'SG&amp;A'!ED172</f>
        <v>-0.115</v>
      </c>
      <c r="EE172" s="27">
        <f>COGS!EE172+'SG&amp;A'!EE172</f>
        <v>8.850915999999992E-2</v>
      </c>
      <c r="EF172" s="27">
        <f>COGS!EF172+'SG&amp;A'!EF172</f>
        <v>0.60655290000000006</v>
      </c>
      <c r="EG172" s="27">
        <f>COGS!EG172+'SG&amp;A'!EG172</f>
        <v>0.10262191999999999</v>
      </c>
      <c r="EH172" s="27">
        <f>COGS!EH172+'SG&amp;A'!EH172</f>
        <v>-6.7698959999999989E-2</v>
      </c>
      <c r="EI172" s="27">
        <f>COGS!EI172+'SG&amp;A'!EI172</f>
        <v>0.1151335</v>
      </c>
    </row>
    <row r="173" spans="1:139" ht="15" thickBot="1" x14ac:dyDescent="0.35">
      <c r="A173" s="2" t="s">
        <v>454</v>
      </c>
      <c r="B173" s="28">
        <f>COGS!B173+'SG&amp;A'!B173</f>
        <v>0</v>
      </c>
      <c r="C173" s="28">
        <f>COGS!C173+'SG&amp;A'!C173</f>
        <v>0</v>
      </c>
      <c r="D173" s="28">
        <f>COGS!D173+'SG&amp;A'!D173</f>
        <v>0</v>
      </c>
      <c r="E173" s="28">
        <f>COGS!E173+'SG&amp;A'!E173</f>
        <v>0</v>
      </c>
      <c r="F173" s="28">
        <f>COGS!F173+'SG&amp;A'!F173</f>
        <v>0</v>
      </c>
      <c r="G173" s="28">
        <f>COGS!G173+'SG&amp;A'!G173</f>
        <v>0</v>
      </c>
      <c r="H173" s="28">
        <f>COGS!H173+'SG&amp;A'!H173</f>
        <v>0</v>
      </c>
      <c r="I173" s="28">
        <f>COGS!I173+'SG&amp;A'!I173</f>
        <v>0</v>
      </c>
      <c r="J173" s="28">
        <f>COGS!J173+'SG&amp;A'!J173</f>
        <v>0</v>
      </c>
      <c r="K173" s="28">
        <f>COGS!K173+'SG&amp;A'!K173</f>
        <v>0</v>
      </c>
      <c r="L173" s="28">
        <f>COGS!L173+'SG&amp;A'!L173</f>
        <v>0</v>
      </c>
      <c r="M173" s="28">
        <f>COGS!M173+'SG&amp;A'!M173</f>
        <v>0</v>
      </c>
      <c r="N173" s="28">
        <f>COGS!N173+'SG&amp;A'!N173</f>
        <v>0</v>
      </c>
      <c r="O173" s="28">
        <f>COGS!O173+'SG&amp;A'!O173</f>
        <v>0</v>
      </c>
      <c r="P173" s="28">
        <f>COGS!P173+'SG&amp;A'!P173</f>
        <v>0</v>
      </c>
      <c r="Q173" s="28">
        <f>COGS!Q173+'SG&amp;A'!Q173</f>
        <v>0</v>
      </c>
      <c r="R173" s="28">
        <f>COGS!R173+'SG&amp;A'!R173</f>
        <v>0</v>
      </c>
      <c r="S173" s="28">
        <f>COGS!S173+'SG&amp;A'!S173</f>
        <v>0</v>
      </c>
      <c r="T173" s="28">
        <f>COGS!T173+'SG&amp;A'!T173</f>
        <v>0</v>
      </c>
      <c r="U173" s="28">
        <f>COGS!U173+'SG&amp;A'!U173</f>
        <v>0</v>
      </c>
      <c r="V173" s="28">
        <f>COGS!V173+'SG&amp;A'!V173</f>
        <v>0</v>
      </c>
      <c r="W173" s="28">
        <f>COGS!W173+'SG&amp;A'!W173</f>
        <v>0</v>
      </c>
      <c r="X173" s="28">
        <f>COGS!X173+'SG&amp;A'!X173</f>
        <v>0</v>
      </c>
      <c r="Y173" s="28">
        <f>COGS!Y173+'SG&amp;A'!Y173</f>
        <v>0</v>
      </c>
      <c r="Z173" s="28">
        <f>COGS!Z173+'SG&amp;A'!Z173</f>
        <v>0</v>
      </c>
      <c r="AA173" s="28">
        <f>COGS!AA173+'SG&amp;A'!AA173</f>
        <v>0</v>
      </c>
      <c r="AB173" s="28">
        <f>COGS!AB173+'SG&amp;A'!AB173</f>
        <v>0</v>
      </c>
      <c r="AC173" s="28">
        <f>COGS!AC173+'SG&amp;A'!AC173</f>
        <v>0</v>
      </c>
      <c r="AD173" s="28">
        <f>COGS!AD173+'SG&amp;A'!AD173</f>
        <v>0</v>
      </c>
      <c r="AE173" s="28">
        <f>COGS!AE173+'SG&amp;A'!AE173</f>
        <v>0</v>
      </c>
      <c r="AF173" s="28">
        <f>COGS!AF173+'SG&amp;A'!AF173</f>
        <v>0</v>
      </c>
      <c r="AG173" s="28">
        <f>COGS!AG173+'SG&amp;A'!AG173</f>
        <v>0</v>
      </c>
      <c r="AH173" s="28">
        <f>COGS!AH173+'SG&amp;A'!AH173</f>
        <v>0</v>
      </c>
      <c r="AI173" s="28">
        <f>COGS!AI173+'SG&amp;A'!AI173</f>
        <v>0</v>
      </c>
      <c r="AJ173" s="28">
        <f>COGS!AJ173+'SG&amp;A'!AJ173</f>
        <v>0</v>
      </c>
      <c r="AK173" s="28">
        <f>COGS!AK173+'SG&amp;A'!AK173</f>
        <v>0</v>
      </c>
      <c r="AL173" s="28">
        <f>COGS!AL173+'SG&amp;A'!AL173</f>
        <v>0</v>
      </c>
      <c r="AM173" s="28">
        <f>COGS!AM173+'SG&amp;A'!AM173</f>
        <v>0</v>
      </c>
      <c r="AN173" s="28">
        <f>COGS!AN173+'SG&amp;A'!AN173</f>
        <v>0</v>
      </c>
      <c r="AO173" s="28">
        <f>COGS!AO173+'SG&amp;A'!AO173</f>
        <v>0</v>
      </c>
      <c r="AP173" s="28">
        <f>COGS!AP173+'SG&amp;A'!AP173</f>
        <v>0</v>
      </c>
      <c r="AQ173" s="28">
        <f>COGS!AQ173+'SG&amp;A'!AQ173</f>
        <v>0</v>
      </c>
      <c r="AR173" s="28">
        <f>COGS!AR173+'SG&amp;A'!AR173</f>
        <v>0</v>
      </c>
      <c r="AS173" s="28">
        <f>COGS!AS173+'SG&amp;A'!AS173</f>
        <v>0</v>
      </c>
      <c r="AT173" s="28">
        <f>COGS!AT173+'SG&amp;A'!AT173</f>
        <v>0</v>
      </c>
      <c r="AU173" s="28">
        <f>COGS!AU173+'SG&amp;A'!AU173</f>
        <v>0</v>
      </c>
      <c r="AV173" s="28">
        <f>COGS!AV173+'SG&amp;A'!AV173</f>
        <v>0</v>
      </c>
      <c r="AW173" s="28">
        <f>COGS!AW173+'SG&amp;A'!AW173</f>
        <v>0</v>
      </c>
      <c r="AX173" s="28">
        <f>COGS!AX173+'SG&amp;A'!AX173</f>
        <v>0</v>
      </c>
      <c r="AY173" s="28">
        <f>COGS!AY173+'SG&amp;A'!AY173</f>
        <v>0</v>
      </c>
      <c r="AZ173" s="28">
        <f>COGS!AZ173+'SG&amp;A'!AZ173</f>
        <v>0</v>
      </c>
      <c r="BA173" s="28">
        <f>COGS!BA173+'SG&amp;A'!BA173</f>
        <v>0</v>
      </c>
      <c r="BB173" s="28">
        <f>COGS!BB173+'SG&amp;A'!BB173</f>
        <v>0</v>
      </c>
      <c r="BC173" s="28">
        <f>COGS!BC173+'SG&amp;A'!BC173</f>
        <v>0</v>
      </c>
      <c r="BD173" s="28">
        <f>COGS!BD173+'SG&amp;A'!BD173</f>
        <v>0</v>
      </c>
      <c r="BE173" s="28">
        <f>COGS!BE173+'SG&amp;A'!BE173</f>
        <v>0</v>
      </c>
      <c r="BF173" s="28">
        <f>COGS!BF173+'SG&amp;A'!BF173</f>
        <v>0</v>
      </c>
      <c r="BG173" s="28">
        <f>COGS!BG173+'SG&amp;A'!BG173</f>
        <v>0</v>
      </c>
      <c r="BH173" s="28">
        <f>COGS!BH173+'SG&amp;A'!BH173</f>
        <v>0</v>
      </c>
      <c r="BI173" s="28">
        <f>COGS!BI173+'SG&amp;A'!BI173</f>
        <v>0</v>
      </c>
      <c r="BJ173" s="28">
        <f>COGS!BJ173+'SG&amp;A'!BJ173</f>
        <v>1.1136034299999999</v>
      </c>
      <c r="BK173" s="28">
        <f>COGS!BK173+'SG&amp;A'!BK173</f>
        <v>0.75048882999999988</v>
      </c>
      <c r="BL173" s="28">
        <f>COGS!BL173+'SG&amp;A'!BL173</f>
        <v>1.2165584300000003</v>
      </c>
      <c r="BM173" s="28">
        <f>COGS!BM173+'SG&amp;A'!BM173</f>
        <v>1.1989426999999999</v>
      </c>
      <c r="BN173" s="28">
        <f>COGS!BN173+'SG&amp;A'!BN173</f>
        <v>4.2795933900000005</v>
      </c>
      <c r="BO173" s="28">
        <f>COGS!BO173+'SG&amp;A'!BO173</f>
        <v>1.1529414899999999</v>
      </c>
      <c r="BP173" s="28">
        <f>COGS!BP173+'SG&amp;A'!BP173</f>
        <v>1.2918527200000001</v>
      </c>
      <c r="BQ173" s="28">
        <f>COGS!BQ173+'SG&amp;A'!BQ173</f>
        <v>1.23052684</v>
      </c>
      <c r="BR173" s="28">
        <f>COGS!BR173+'SG&amp;A'!BR173</f>
        <v>-1.7891386899999997</v>
      </c>
      <c r="BS173" s="28">
        <f>COGS!BS173+'SG&amp;A'!BS173</f>
        <v>1.8861823600000003</v>
      </c>
      <c r="BT173" s="28">
        <f>COGS!BT173+'SG&amp;A'!BT173</f>
        <v>0.81320977999999999</v>
      </c>
      <c r="BU173" s="28">
        <f>COGS!BU173+'SG&amp;A'!BU173</f>
        <v>1.3557813699999997</v>
      </c>
      <c r="BV173" s="28">
        <f>COGS!BV173+'SG&amp;A'!BV173</f>
        <v>0.63041416000000061</v>
      </c>
      <c r="BW173" s="28">
        <f>COGS!BW173+'SG&amp;A'!BW173</f>
        <v>-1.8630851799999999</v>
      </c>
      <c r="BX173" s="28">
        <f>COGS!BX173+'SG&amp;A'!BX173</f>
        <v>0.93632013000000036</v>
      </c>
      <c r="BY173" s="28">
        <f>COGS!BY173+'SG&amp;A'!BY173</f>
        <v>1.1290812299999999</v>
      </c>
      <c r="BZ173" s="28">
        <f>COGS!BZ173+'SG&amp;A'!BZ173</f>
        <v>1.3483563299999999</v>
      </c>
      <c r="CA173" s="28">
        <f>COGS!CA173+'SG&amp;A'!CA173</f>
        <v>2.0825390100000001</v>
      </c>
      <c r="CB173" s="28">
        <f>COGS!CB173+'SG&amp;A'!CB173</f>
        <v>1.2111522100000003</v>
      </c>
      <c r="CC173" s="28">
        <f>COGS!CC173+'SG&amp;A'!CC173</f>
        <v>5.7711287799999997</v>
      </c>
      <c r="CD173" s="28">
        <f>COGS!CD173+'SG&amp;A'!CD173</f>
        <v>1.1294155000000001</v>
      </c>
      <c r="CE173" s="28">
        <f>COGS!CE173+'SG&amp;A'!CE173</f>
        <v>1.34814287</v>
      </c>
      <c r="CF173" s="28">
        <f>COGS!CF173+'SG&amp;A'!CF173</f>
        <v>1.5724816099999999</v>
      </c>
      <c r="CG173" s="28">
        <f>COGS!CG173+'SG&amp;A'!CG173</f>
        <v>1.62584956</v>
      </c>
      <c r="CH173" s="28">
        <f>COGS!CH173+'SG&amp;A'!CH173</f>
        <v>5.67588954</v>
      </c>
      <c r="CI173" s="28">
        <f>COGS!CI173+'SG&amp;A'!CI173</f>
        <v>1.1842943099999999</v>
      </c>
      <c r="CJ173" s="28">
        <f>COGS!CJ173+'SG&amp;A'!CJ173</f>
        <v>0.96023880000000006</v>
      </c>
      <c r="CK173" s="28">
        <f>COGS!CK173+'SG&amp;A'!CK173</f>
        <v>1.2521928500000001</v>
      </c>
      <c r="CL173" s="28">
        <f>COGS!CL173+'SG&amp;A'!CL173</f>
        <v>1.4739736000000003</v>
      </c>
      <c r="CM173" s="28">
        <f>COGS!CM173+'SG&amp;A'!CM173</f>
        <v>4.8706995600000003</v>
      </c>
      <c r="CN173" s="28">
        <f>COGS!CN173+'SG&amp;A'!CN173</f>
        <v>1.26095709</v>
      </c>
      <c r="CO173" s="28">
        <f>COGS!CO173+'SG&amp;A'!CO173</f>
        <v>1.14561085</v>
      </c>
      <c r="CP173" s="28">
        <f>COGS!CP173+'SG&amp;A'!CP173</f>
        <v>1.2390352299999998</v>
      </c>
      <c r="CQ173" s="28">
        <f>COGS!CQ173+'SG&amp;A'!CQ173</f>
        <v>1.44539683</v>
      </c>
      <c r="CR173" s="28">
        <f>COGS!CR173+'SG&amp;A'!CR173</f>
        <v>5.0909999999999993</v>
      </c>
      <c r="CS173" s="28">
        <f>COGS!CS173+'SG&amp;A'!CS173</f>
        <v>0.94487341999999996</v>
      </c>
      <c r="CT173" s="28">
        <f>COGS!CT173+'SG&amp;A'!CT173</f>
        <v>1.4461108300000001</v>
      </c>
      <c r="CU173" s="28">
        <f>COGS!CU173+'SG&amp;A'!CU173</f>
        <v>1.3977907700000003</v>
      </c>
      <c r="CV173" s="28">
        <f>COGS!CV173+'SG&amp;A'!CV173</f>
        <v>1.1507899400000001</v>
      </c>
      <c r="CW173" s="28">
        <f>COGS!CW173+'SG&amp;A'!CW173</f>
        <v>4.9395649600000002</v>
      </c>
      <c r="CX173" s="28">
        <f>COGS!CX173+'SG&amp;A'!CX173</f>
        <v>1.4910000000000001</v>
      </c>
      <c r="CY173" s="28">
        <f>COGS!CY173+'SG&amp;A'!CY173</f>
        <v>1.3719999999999999</v>
      </c>
      <c r="CZ173" s="28">
        <f>COGS!CZ173+'SG&amp;A'!CZ173</f>
        <v>1.2769999999999999</v>
      </c>
      <c r="DA173" s="28">
        <f>COGS!DA173+'SG&amp;A'!DA173</f>
        <v>1.5990000000000002</v>
      </c>
      <c r="DB173" s="28">
        <f>COGS!DB173+'SG&amp;A'!DB173</f>
        <v>5.7389999999999999</v>
      </c>
      <c r="DC173" s="28">
        <f>COGS!DC173+'SG&amp;A'!DC173</f>
        <v>1.1870000000000001</v>
      </c>
      <c r="DD173" s="28">
        <f>COGS!DD173+'SG&amp;A'!DD173</f>
        <v>1.3490000000000002</v>
      </c>
      <c r="DE173" s="28">
        <f>COGS!DE173+'SG&amp;A'!DE173</f>
        <v>1.5230000000000001</v>
      </c>
      <c r="DF173" s="28">
        <f>COGS!DF173+'SG&amp;A'!DF173</f>
        <v>1.7369999999999999</v>
      </c>
      <c r="DG173" s="28">
        <f>COGS!DG173+'SG&amp;A'!DG173</f>
        <v>5.7960000000000003</v>
      </c>
      <c r="DH173" s="28">
        <f>COGS!DH173+'SG&amp;A'!DH173</f>
        <v>1.61</v>
      </c>
      <c r="DI173" s="28">
        <f>COGS!DI173+'SG&amp;A'!DI173</f>
        <v>1.4769999999999999</v>
      </c>
      <c r="DJ173" s="28">
        <f>COGS!DJ173+'SG&amp;A'!DJ173</f>
        <v>1.4889999999999999</v>
      </c>
      <c r="DK173" s="28">
        <f>COGS!DK173+'SG&amp;A'!DK173</f>
        <v>1.6239999999999999</v>
      </c>
      <c r="DL173" s="28">
        <f>COGS!DL173+'SG&amp;A'!DL173</f>
        <v>6.2</v>
      </c>
      <c r="DM173" s="28">
        <f>COGS!DM173+'SG&amp;A'!DM173</f>
        <v>1.5430000000000001</v>
      </c>
      <c r="DN173" s="28">
        <f>COGS!DN173+'SG&amp;A'!DN173</f>
        <v>1.788</v>
      </c>
      <c r="DO173" s="28">
        <f>COGS!DO173+'SG&amp;A'!DO173</f>
        <v>1.5859999999999999</v>
      </c>
      <c r="DP173" s="28">
        <f>COGS!DP173+'SG&amp;A'!DP173</f>
        <v>1.389</v>
      </c>
      <c r="DQ173" s="28">
        <f>COGS!DQ173+'SG&amp;A'!DQ173</f>
        <v>6.306</v>
      </c>
      <c r="DR173" s="28">
        <f>COGS!DR173+'SG&amp;A'!DR173</f>
        <v>1.724</v>
      </c>
      <c r="DS173" s="28">
        <f>COGS!DS173+'SG&amp;A'!DS173</f>
        <v>1.758</v>
      </c>
      <c r="DT173" s="28">
        <f>COGS!DT173+'SG&amp;A'!DT173</f>
        <v>1.8619999999999999</v>
      </c>
      <c r="DU173" s="28">
        <f>COGS!DU173+'SG&amp;A'!DU173</f>
        <v>1.4450000000000001</v>
      </c>
      <c r="DV173" s="28">
        <f>COGS!DV173+'SG&amp;A'!DV173</f>
        <v>6.7890000000000006</v>
      </c>
      <c r="DW173" s="28">
        <f>COGS!DW173+'SG&amp;A'!DW173</f>
        <v>1.7469999999999999</v>
      </c>
      <c r="DX173" s="28">
        <f>COGS!DX173+'SG&amp;A'!DX173</f>
        <v>1.2835461499999998</v>
      </c>
      <c r="DY173" s="28">
        <f>COGS!DY173+'SG&amp;A'!DY173</f>
        <v>1.7593544100000003</v>
      </c>
      <c r="DZ173" s="28">
        <f>COGS!DZ173+'SG&amp;A'!DZ173</f>
        <v>1.8657066399999997</v>
      </c>
      <c r="EA173" s="28">
        <f>COGS!EA173+'SG&amp;A'!EA173</f>
        <v>6.6556072000000004</v>
      </c>
      <c r="EB173" s="28">
        <f>COGS!EB173+'SG&amp;A'!EB173</f>
        <v>2.3087867500000003</v>
      </c>
      <c r="EC173" s="28">
        <f>COGS!EC173+'SG&amp;A'!EC173</f>
        <v>2.0458114599999999</v>
      </c>
      <c r="ED173" s="28">
        <f>COGS!ED173+'SG&amp;A'!ED173</f>
        <v>1.8220000000000001</v>
      </c>
      <c r="EE173" s="28">
        <f>COGS!EE173+'SG&amp;A'!EE173</f>
        <v>2.5690998700000001</v>
      </c>
      <c r="EF173" s="28">
        <f>COGS!EF173+'SG&amp;A'!EF173</f>
        <v>8.7456980800000004</v>
      </c>
      <c r="EG173" s="28">
        <f>COGS!EG173+'SG&amp;A'!EG173</f>
        <v>1.86333573</v>
      </c>
      <c r="EH173" s="28">
        <f>COGS!EH173+'SG&amp;A'!EH173</f>
        <v>2.25058113</v>
      </c>
      <c r="EI173" s="28">
        <f>COGS!EI173+'SG&amp;A'!EI173</f>
        <v>2.4430776299999994</v>
      </c>
    </row>
    <row r="174" spans="1:139" ht="15" thickTop="1" x14ac:dyDescent="0.3">
      <c r="A174" s="1" t="s">
        <v>442</v>
      </c>
      <c r="B174" s="27">
        <f>COGS!B174+'SG&amp;A'!B174</f>
        <v>0</v>
      </c>
      <c r="C174" s="27">
        <f>COGS!C174+'SG&amp;A'!C174</f>
        <v>0</v>
      </c>
      <c r="D174" s="27">
        <f>COGS!D174+'SG&amp;A'!D174</f>
        <v>0</v>
      </c>
      <c r="E174" s="27">
        <f>COGS!E174+'SG&amp;A'!E174</f>
        <v>0</v>
      </c>
      <c r="F174" s="27">
        <f>COGS!F174+'SG&amp;A'!F174</f>
        <v>0</v>
      </c>
      <c r="G174" s="27">
        <f>COGS!G174+'SG&amp;A'!G174</f>
        <v>0</v>
      </c>
      <c r="H174" s="27">
        <f>COGS!H174+'SG&amp;A'!H174</f>
        <v>0</v>
      </c>
      <c r="I174" s="27">
        <f>COGS!I174+'SG&amp;A'!I174</f>
        <v>0</v>
      </c>
      <c r="J174" s="27">
        <f>COGS!J174+'SG&amp;A'!J174</f>
        <v>0</v>
      </c>
      <c r="K174" s="27">
        <f>COGS!K174+'SG&amp;A'!K174</f>
        <v>0</v>
      </c>
      <c r="L174" s="27">
        <f>COGS!L174+'SG&amp;A'!L174</f>
        <v>0</v>
      </c>
      <c r="M174" s="27">
        <f>COGS!M174+'SG&amp;A'!M174</f>
        <v>0</v>
      </c>
      <c r="N174" s="27">
        <f>COGS!N174+'SG&amp;A'!N174</f>
        <v>0</v>
      </c>
      <c r="O174" s="27">
        <f>COGS!O174+'SG&amp;A'!O174</f>
        <v>0</v>
      </c>
      <c r="P174" s="27">
        <f>COGS!P174+'SG&amp;A'!P174</f>
        <v>0</v>
      </c>
      <c r="Q174" s="27">
        <f>COGS!Q174+'SG&amp;A'!Q174</f>
        <v>0</v>
      </c>
      <c r="R174" s="27">
        <f>COGS!R174+'SG&amp;A'!R174</f>
        <v>0</v>
      </c>
      <c r="S174" s="27">
        <f>COGS!S174+'SG&amp;A'!S174</f>
        <v>0</v>
      </c>
      <c r="T174" s="27">
        <f>COGS!T174+'SG&amp;A'!T174</f>
        <v>0</v>
      </c>
      <c r="U174" s="27">
        <f>COGS!U174+'SG&amp;A'!U174</f>
        <v>0</v>
      </c>
      <c r="V174" s="27">
        <f>COGS!V174+'SG&amp;A'!V174</f>
        <v>0</v>
      </c>
      <c r="W174" s="27">
        <f>COGS!W174+'SG&amp;A'!W174</f>
        <v>0</v>
      </c>
      <c r="X174" s="27">
        <f>COGS!X174+'SG&amp;A'!X174</f>
        <v>0</v>
      </c>
      <c r="Y174" s="27">
        <f>COGS!Y174+'SG&amp;A'!Y174</f>
        <v>0</v>
      </c>
      <c r="Z174" s="27">
        <f>COGS!Z174+'SG&amp;A'!Z174</f>
        <v>0</v>
      </c>
      <c r="AA174" s="27">
        <f>COGS!AA174+'SG&amp;A'!AA174</f>
        <v>0</v>
      </c>
      <c r="AB174" s="27">
        <f>COGS!AB174+'SG&amp;A'!AB174</f>
        <v>0</v>
      </c>
      <c r="AC174" s="27">
        <f>COGS!AC174+'SG&amp;A'!AC174</f>
        <v>0</v>
      </c>
      <c r="AD174" s="27">
        <f>COGS!AD174+'SG&amp;A'!AD174</f>
        <v>0</v>
      </c>
      <c r="AE174" s="27">
        <f>COGS!AE174+'SG&amp;A'!AE174</f>
        <v>0</v>
      </c>
      <c r="AF174" s="27">
        <f>COGS!AF174+'SG&amp;A'!AF174</f>
        <v>0</v>
      </c>
      <c r="AG174" s="27">
        <f>COGS!AG174+'SG&amp;A'!AG174</f>
        <v>0</v>
      </c>
      <c r="AH174" s="27">
        <f>COGS!AH174+'SG&amp;A'!AH174</f>
        <v>0</v>
      </c>
      <c r="AI174" s="27">
        <f>COGS!AI174+'SG&amp;A'!AI174</f>
        <v>0</v>
      </c>
      <c r="AJ174" s="27">
        <f>COGS!AJ174+'SG&amp;A'!AJ174</f>
        <v>0</v>
      </c>
      <c r="AK174" s="27">
        <f>COGS!AK174+'SG&amp;A'!AK174</f>
        <v>0</v>
      </c>
      <c r="AL174" s="27">
        <f>COGS!AL174+'SG&amp;A'!AL174</f>
        <v>0</v>
      </c>
      <c r="AM174" s="27">
        <f>COGS!AM174+'SG&amp;A'!AM174</f>
        <v>0</v>
      </c>
      <c r="AN174" s="27">
        <f>COGS!AN174+'SG&amp;A'!AN174</f>
        <v>0</v>
      </c>
      <c r="AO174" s="27">
        <f>COGS!AO174+'SG&amp;A'!AO174</f>
        <v>0</v>
      </c>
      <c r="AP174" s="27">
        <f>COGS!AP174+'SG&amp;A'!AP174</f>
        <v>0</v>
      </c>
      <c r="AQ174" s="27">
        <f>COGS!AQ174+'SG&amp;A'!AQ174</f>
        <v>0</v>
      </c>
      <c r="AR174" s="27">
        <f>COGS!AR174+'SG&amp;A'!AR174</f>
        <v>0</v>
      </c>
      <c r="AS174" s="27">
        <f>COGS!AS174+'SG&amp;A'!AS174</f>
        <v>0</v>
      </c>
      <c r="AT174" s="27">
        <f>COGS!AT174+'SG&amp;A'!AT174</f>
        <v>0</v>
      </c>
      <c r="AU174" s="27">
        <f>COGS!AU174+'SG&amp;A'!AU174</f>
        <v>0</v>
      </c>
      <c r="AV174" s="27">
        <f>COGS!AV174+'SG&amp;A'!AV174</f>
        <v>0</v>
      </c>
      <c r="AW174" s="27">
        <f>COGS!AW174+'SG&amp;A'!AW174</f>
        <v>0</v>
      </c>
      <c r="AX174" s="27">
        <f>COGS!AX174+'SG&amp;A'!AX174</f>
        <v>0</v>
      </c>
      <c r="AY174" s="27">
        <f>COGS!AY174+'SG&amp;A'!AY174</f>
        <v>0</v>
      </c>
      <c r="AZ174" s="27">
        <f>COGS!AZ174+'SG&amp;A'!AZ174</f>
        <v>0</v>
      </c>
      <c r="BA174" s="27">
        <f>COGS!BA174+'SG&amp;A'!BA174</f>
        <v>0</v>
      </c>
      <c r="BB174" s="27">
        <f>COGS!BB174+'SG&amp;A'!BB174</f>
        <v>0</v>
      </c>
      <c r="BC174" s="27">
        <f>COGS!BC174+'SG&amp;A'!BC174</f>
        <v>0</v>
      </c>
      <c r="BD174" s="27">
        <f>COGS!BD174+'SG&amp;A'!BD174</f>
        <v>0</v>
      </c>
      <c r="BE174" s="27">
        <f>COGS!BE174+'SG&amp;A'!BE174</f>
        <v>0</v>
      </c>
      <c r="BF174" s="27">
        <f>COGS!BF174+'SG&amp;A'!BF174</f>
        <v>0</v>
      </c>
      <c r="BG174" s="27">
        <f>COGS!BG174+'SG&amp;A'!BG174</f>
        <v>0</v>
      </c>
      <c r="BH174" s="27">
        <f>COGS!BH174+'SG&amp;A'!BH174</f>
        <v>0</v>
      </c>
      <c r="BI174" s="27">
        <f>COGS!BI174+'SG&amp;A'!BI174</f>
        <v>0</v>
      </c>
      <c r="BJ174" s="27">
        <f>COGS!BJ174+'SG&amp;A'!BJ174</f>
        <v>4.4587666200000005</v>
      </c>
      <c r="BK174" s="27">
        <f>COGS!BK174+'SG&amp;A'!BK174</f>
        <v>4.0603379899999998</v>
      </c>
      <c r="BL174" s="27">
        <f>COGS!BL174+'SG&amp;A'!BL174</f>
        <v>5.3424997199999993</v>
      </c>
      <c r="BM174" s="27">
        <f>COGS!BM174+'SG&amp;A'!BM174</f>
        <v>4.8274049700000017</v>
      </c>
      <c r="BN174" s="27">
        <f>COGS!BN174+'SG&amp;A'!BN174</f>
        <v>18.689009300000002</v>
      </c>
      <c r="BO174" s="27">
        <f>COGS!BO174+'SG&amp;A'!BO174</f>
        <v>4.5382807000000005</v>
      </c>
      <c r="BP174" s="27">
        <f>COGS!BP174+'SG&amp;A'!BP174</f>
        <v>2.282316199999999</v>
      </c>
      <c r="BQ174" s="27">
        <f>COGS!BQ174+'SG&amp;A'!BQ174</f>
        <v>4.8056808000000011</v>
      </c>
      <c r="BR174" s="27">
        <f>COGS!BR174+'SG&amp;A'!BR174</f>
        <v>3.2079777600000012</v>
      </c>
      <c r="BS174" s="27">
        <f>COGS!BS174+'SG&amp;A'!BS174</f>
        <v>14.834255460000001</v>
      </c>
      <c r="BT174" s="27">
        <f>COGS!BT174+'SG&amp;A'!BT174</f>
        <v>5.0193169200000005</v>
      </c>
      <c r="BU174" s="27">
        <f>COGS!BU174+'SG&amp;A'!BU174</f>
        <v>3.7811195499999997</v>
      </c>
      <c r="BV174" s="27">
        <f>COGS!BV174+'SG&amp;A'!BV174</f>
        <v>5.5866845899999973</v>
      </c>
      <c r="BW174" s="27">
        <f>COGS!BW174+'SG&amp;A'!BW174</f>
        <v>4.7099640900000006</v>
      </c>
      <c r="BX174" s="27">
        <f>COGS!BX174+'SG&amp;A'!BX174</f>
        <v>19.097085149999998</v>
      </c>
      <c r="BY174" s="27">
        <f>COGS!BY174+'SG&amp;A'!BY174</f>
        <v>4.9544077600000005</v>
      </c>
      <c r="BZ174" s="27">
        <f>COGS!BZ174+'SG&amp;A'!BZ174</f>
        <v>3.9839068199999996</v>
      </c>
      <c r="CA174" s="27">
        <f>COGS!CA174+'SG&amp;A'!CA174</f>
        <v>4.0608999299999997</v>
      </c>
      <c r="CB174" s="27">
        <f>COGS!CB174+'SG&amp;A'!CB174</f>
        <v>3.6518600000000001</v>
      </c>
      <c r="CC174" s="27">
        <f>COGS!CC174+'SG&amp;A'!CC174</f>
        <v>16.651074510000001</v>
      </c>
      <c r="CD174" s="27">
        <f>COGS!CD174+'SG&amp;A'!CD174</f>
        <v>3.8469091400000006</v>
      </c>
      <c r="CE174" s="27">
        <f>COGS!CE174+'SG&amp;A'!CE174</f>
        <v>2.5606406299999991</v>
      </c>
      <c r="CF174" s="27">
        <f>COGS!CF174+'SG&amp;A'!CF174</f>
        <v>2.8392529900000016</v>
      </c>
      <c r="CG174" s="27">
        <f>COGS!CG174+'SG&amp;A'!CG174</f>
        <v>3.3487213399999987</v>
      </c>
      <c r="CH174" s="27">
        <f>COGS!CH174+'SG&amp;A'!CH174</f>
        <v>12.5955241</v>
      </c>
      <c r="CI174" s="27">
        <f>COGS!CI174+'SG&amp;A'!CI174</f>
        <v>3.5726670499999997</v>
      </c>
      <c r="CJ174" s="27">
        <f>COGS!CJ174+'SG&amp;A'!CJ174</f>
        <v>4.75039868</v>
      </c>
      <c r="CK174" s="27">
        <f>COGS!CK174+'SG&amp;A'!CK174</f>
        <v>4.4467199399999995</v>
      </c>
      <c r="CL174" s="27">
        <f>COGS!CL174+'SG&amp;A'!CL174</f>
        <v>4.536254210000001</v>
      </c>
      <c r="CM174" s="27">
        <f>COGS!CM174+'SG&amp;A'!CM174</f>
        <v>17.30603988</v>
      </c>
      <c r="CN174" s="27">
        <f>COGS!CN174+'SG&amp;A'!CN174</f>
        <v>4.1119771600000004</v>
      </c>
      <c r="CO174" s="27">
        <f>COGS!CO174+'SG&amp;A'!CO174</f>
        <v>2.7254805000000006</v>
      </c>
      <c r="CP174" s="27">
        <f>COGS!CP174+'SG&amp;A'!CP174</f>
        <v>4.6059799399999992</v>
      </c>
      <c r="CQ174" s="27">
        <f>COGS!CQ174+'SG&amp;A'!CQ174</f>
        <v>2.4795624000000003</v>
      </c>
      <c r="CR174" s="27">
        <f>COGS!CR174+'SG&amp;A'!CR174</f>
        <v>13.923</v>
      </c>
      <c r="CS174" s="27">
        <f>COGS!CS174+'SG&amp;A'!CS174</f>
        <v>4.4582037900000007</v>
      </c>
      <c r="CT174" s="27">
        <f>COGS!CT174+'SG&amp;A'!CT174</f>
        <v>3.5727052399999999</v>
      </c>
      <c r="CU174" s="27">
        <f>COGS!CU174+'SG&amp;A'!CU174</f>
        <v>2.3415812200000001</v>
      </c>
      <c r="CV174" s="27">
        <f>COGS!CV174+'SG&amp;A'!CV174</f>
        <v>3.7932005800000002</v>
      </c>
      <c r="CW174" s="27">
        <f>COGS!CW174+'SG&amp;A'!CW174</f>
        <v>14.165690829999999</v>
      </c>
      <c r="CX174" s="27">
        <f>COGS!CX174+'SG&amp;A'!CX174</f>
        <v>4.4749999999999996</v>
      </c>
      <c r="CY174" s="27">
        <f>COGS!CY174+'SG&amp;A'!CY174</f>
        <v>3.3689999999999998</v>
      </c>
      <c r="CZ174" s="27">
        <f>COGS!CZ174+'SG&amp;A'!CZ174</f>
        <v>3.718</v>
      </c>
      <c r="DA174" s="27">
        <f>COGS!DA174+'SG&amp;A'!DA174</f>
        <v>3.4980000000000002</v>
      </c>
      <c r="DB174" s="27">
        <f>COGS!DB174+'SG&amp;A'!DB174</f>
        <v>15.059999999999999</v>
      </c>
      <c r="DC174" s="27">
        <f>COGS!DC174+'SG&amp;A'!DC174</f>
        <v>4.9969999999999999</v>
      </c>
      <c r="DD174" s="27">
        <f>COGS!DD174+'SG&amp;A'!DD174</f>
        <v>4.47</v>
      </c>
      <c r="DE174" s="27">
        <f>COGS!DE174+'SG&amp;A'!DE174</f>
        <v>4.673</v>
      </c>
      <c r="DF174" s="27">
        <f>COGS!DF174+'SG&amp;A'!DF174</f>
        <v>3.9969999999999999</v>
      </c>
      <c r="DG174" s="27">
        <f>COGS!DG174+'SG&amp;A'!DG174</f>
        <v>18.137</v>
      </c>
      <c r="DH174" s="27">
        <f>COGS!DH174+'SG&amp;A'!DH174</f>
        <v>4.2770000000000001</v>
      </c>
      <c r="DI174" s="27">
        <f>COGS!DI174+'SG&amp;A'!DI174</f>
        <v>3.661</v>
      </c>
      <c r="DJ174" s="27">
        <f>COGS!DJ174+'SG&amp;A'!DJ174</f>
        <v>4.4749999999999996</v>
      </c>
      <c r="DK174" s="27">
        <f>COGS!DK174+'SG&amp;A'!DK174</f>
        <v>4.0369999999999999</v>
      </c>
      <c r="DL174" s="27">
        <f>COGS!DL174+'SG&amp;A'!DL174</f>
        <v>16.450000000000003</v>
      </c>
      <c r="DM174" s="27">
        <f>COGS!DM174+'SG&amp;A'!DM174</f>
        <v>4.4829999999999997</v>
      </c>
      <c r="DN174" s="27">
        <f>COGS!DN174+'SG&amp;A'!DN174</f>
        <v>5.9610000000000003</v>
      </c>
      <c r="DO174" s="27">
        <f>COGS!DO174+'SG&amp;A'!DO174</f>
        <v>8.3439999999999994</v>
      </c>
      <c r="DP174" s="27">
        <f>COGS!DP174+'SG&amp;A'!DP174</f>
        <v>6.0780000000000003</v>
      </c>
      <c r="DQ174" s="27">
        <f>COGS!DQ174+'SG&amp;A'!DQ174</f>
        <v>24.866</v>
      </c>
      <c r="DR174" s="27">
        <f>COGS!DR174+'SG&amp;A'!DR174</f>
        <v>5.3440000000000003</v>
      </c>
      <c r="DS174" s="27">
        <f>COGS!DS174+'SG&amp;A'!DS174</f>
        <v>8.0659999999999989</v>
      </c>
      <c r="DT174" s="27">
        <f>COGS!DT174+'SG&amp;A'!DT174</f>
        <v>6.1710000000000003</v>
      </c>
      <c r="DU174" s="27">
        <f>COGS!DU174+'SG&amp;A'!DU174</f>
        <v>6.68</v>
      </c>
      <c r="DV174" s="27">
        <f>COGS!DV174+'SG&amp;A'!DV174</f>
        <v>26.261000000000003</v>
      </c>
      <c r="DW174" s="27">
        <f>COGS!DW174+'SG&amp;A'!DW174</f>
        <v>5.7830000000000004</v>
      </c>
      <c r="DX174" s="27">
        <f>COGS!DX174+'SG&amp;A'!DX174</f>
        <v>6.0423540099999995</v>
      </c>
      <c r="DY174" s="27">
        <f>COGS!DY174+'SG&amp;A'!DY174</f>
        <v>12.46965335</v>
      </c>
      <c r="DZ174" s="27">
        <f>COGS!DZ174+'SG&amp;A'!DZ174</f>
        <v>7.890719139999999</v>
      </c>
      <c r="EA174" s="27">
        <f>COGS!EA174+'SG&amp;A'!EA174</f>
        <v>32.185726500000001</v>
      </c>
      <c r="EB174" s="27">
        <f>COGS!EB174+'SG&amp;A'!EB174</f>
        <v>8.461044900000001</v>
      </c>
      <c r="EC174" s="27">
        <f>COGS!EC174+'SG&amp;A'!EC174</f>
        <v>7.9030787899999986</v>
      </c>
      <c r="ED174" s="27">
        <f>COGS!ED174+'SG&amp;A'!ED174</f>
        <v>6.9530000000000003</v>
      </c>
      <c r="EE174" s="27">
        <f>COGS!EE174+'SG&amp;A'!EE174</f>
        <v>6.8497589199999966</v>
      </c>
      <c r="EF174" s="27">
        <f>COGS!EF174+'SG&amp;A'!EF174</f>
        <v>30.166882609999998</v>
      </c>
      <c r="EG174" s="27">
        <f>COGS!EG174+'SG&amp;A'!EG174</f>
        <v>6.5782924100000004</v>
      </c>
      <c r="EH174" s="27">
        <f>COGS!EH174+'SG&amp;A'!EH174</f>
        <v>7.7439690200000006</v>
      </c>
      <c r="EI174" s="27">
        <f>COGS!EI174+'SG&amp;A'!EI174</f>
        <v>9.3583087599999981</v>
      </c>
    </row>
    <row r="175" spans="1:139" ht="15" thickBot="1" x14ac:dyDescent="0.35">
      <c r="A175" s="2" t="s">
        <v>3</v>
      </c>
      <c r="B175" s="28">
        <f>COGS!B175+'SG&amp;A'!B175</f>
        <v>0</v>
      </c>
      <c r="C175" s="28">
        <f>COGS!C175+'SG&amp;A'!C175</f>
        <v>0</v>
      </c>
      <c r="D175" s="28">
        <f>COGS!D175+'SG&amp;A'!D175</f>
        <v>0</v>
      </c>
      <c r="E175" s="28">
        <f>COGS!E175+'SG&amp;A'!E175</f>
        <v>0</v>
      </c>
      <c r="F175" s="28">
        <f>COGS!F175+'SG&amp;A'!F175</f>
        <v>0</v>
      </c>
      <c r="G175" s="28">
        <f>COGS!G175+'SG&amp;A'!G175</f>
        <v>0</v>
      </c>
      <c r="H175" s="28">
        <f>COGS!H175+'SG&amp;A'!H175</f>
        <v>0</v>
      </c>
      <c r="I175" s="28">
        <f>COGS!I175+'SG&amp;A'!I175</f>
        <v>0</v>
      </c>
      <c r="J175" s="28">
        <f>COGS!J175+'SG&amp;A'!J175</f>
        <v>0</v>
      </c>
      <c r="K175" s="28">
        <f>COGS!K175+'SG&amp;A'!K175</f>
        <v>0</v>
      </c>
      <c r="L175" s="28">
        <f>COGS!L175+'SG&amp;A'!L175</f>
        <v>0</v>
      </c>
      <c r="M175" s="28">
        <f>COGS!M175+'SG&amp;A'!M175</f>
        <v>0</v>
      </c>
      <c r="N175" s="28">
        <f>COGS!N175+'SG&amp;A'!N175</f>
        <v>0</v>
      </c>
      <c r="O175" s="28">
        <f>COGS!O175+'SG&amp;A'!O175</f>
        <v>0</v>
      </c>
      <c r="P175" s="28">
        <f>COGS!P175+'SG&amp;A'!P175</f>
        <v>0</v>
      </c>
      <c r="Q175" s="28">
        <f>COGS!Q175+'SG&amp;A'!Q175</f>
        <v>0</v>
      </c>
      <c r="R175" s="28">
        <f>COGS!R175+'SG&amp;A'!R175</f>
        <v>0</v>
      </c>
      <c r="S175" s="28">
        <f>COGS!S175+'SG&amp;A'!S175</f>
        <v>0</v>
      </c>
      <c r="T175" s="28">
        <f>COGS!T175+'SG&amp;A'!T175</f>
        <v>0</v>
      </c>
      <c r="U175" s="28">
        <f>COGS!U175+'SG&amp;A'!U175</f>
        <v>0</v>
      </c>
      <c r="V175" s="28">
        <f>COGS!V175+'SG&amp;A'!V175</f>
        <v>0</v>
      </c>
      <c r="W175" s="28">
        <f>COGS!W175+'SG&amp;A'!W175</f>
        <v>0</v>
      </c>
      <c r="X175" s="28">
        <f>COGS!X175+'SG&amp;A'!X175</f>
        <v>0</v>
      </c>
      <c r="Y175" s="28">
        <f>COGS!Y175+'SG&amp;A'!Y175</f>
        <v>0</v>
      </c>
      <c r="Z175" s="28">
        <f>COGS!Z175+'SG&amp;A'!Z175</f>
        <v>0</v>
      </c>
      <c r="AA175" s="28">
        <f>COGS!AA175+'SG&amp;A'!AA175</f>
        <v>0</v>
      </c>
      <c r="AB175" s="28">
        <f>COGS!AB175+'SG&amp;A'!AB175</f>
        <v>0</v>
      </c>
      <c r="AC175" s="28">
        <f>COGS!AC175+'SG&amp;A'!AC175</f>
        <v>0</v>
      </c>
      <c r="AD175" s="28">
        <f>COGS!AD175+'SG&amp;A'!AD175</f>
        <v>0</v>
      </c>
      <c r="AE175" s="28">
        <f>COGS!AE175+'SG&amp;A'!AE175</f>
        <v>0</v>
      </c>
      <c r="AF175" s="28">
        <f>COGS!AF175+'SG&amp;A'!AF175</f>
        <v>0</v>
      </c>
      <c r="AG175" s="28">
        <f>COGS!AG175+'SG&amp;A'!AG175</f>
        <v>0</v>
      </c>
      <c r="AH175" s="28">
        <f>COGS!AH175+'SG&amp;A'!AH175</f>
        <v>0</v>
      </c>
      <c r="AI175" s="28">
        <f>COGS!AI175+'SG&amp;A'!AI175</f>
        <v>0</v>
      </c>
      <c r="AJ175" s="28">
        <f>COGS!AJ175+'SG&amp;A'!AJ175</f>
        <v>0</v>
      </c>
      <c r="AK175" s="28">
        <f>COGS!AK175+'SG&amp;A'!AK175</f>
        <v>0</v>
      </c>
      <c r="AL175" s="28">
        <f>COGS!AL175+'SG&amp;A'!AL175</f>
        <v>0</v>
      </c>
      <c r="AM175" s="28">
        <f>COGS!AM175+'SG&amp;A'!AM175</f>
        <v>0</v>
      </c>
      <c r="AN175" s="28">
        <f>COGS!AN175+'SG&amp;A'!AN175</f>
        <v>0</v>
      </c>
      <c r="AO175" s="28">
        <f>COGS!AO175+'SG&amp;A'!AO175</f>
        <v>0</v>
      </c>
      <c r="AP175" s="28">
        <f>COGS!AP175+'SG&amp;A'!AP175</f>
        <v>0</v>
      </c>
      <c r="AQ175" s="28">
        <f>COGS!AQ175+'SG&amp;A'!AQ175</f>
        <v>0</v>
      </c>
      <c r="AR175" s="28">
        <f>COGS!AR175+'SG&amp;A'!AR175</f>
        <v>0</v>
      </c>
      <c r="AS175" s="28">
        <f>COGS!AS175+'SG&amp;A'!AS175</f>
        <v>0</v>
      </c>
      <c r="AT175" s="28">
        <f>COGS!AT175+'SG&amp;A'!AT175</f>
        <v>0</v>
      </c>
      <c r="AU175" s="28">
        <f>COGS!AU175+'SG&amp;A'!AU175</f>
        <v>0</v>
      </c>
      <c r="AV175" s="28">
        <f>COGS!AV175+'SG&amp;A'!AV175</f>
        <v>0</v>
      </c>
      <c r="AW175" s="28">
        <f>COGS!AW175+'SG&amp;A'!AW175</f>
        <v>0</v>
      </c>
      <c r="AX175" s="28">
        <f>COGS!AX175+'SG&amp;A'!AX175</f>
        <v>0</v>
      </c>
      <c r="AY175" s="28">
        <f>COGS!AY175+'SG&amp;A'!AY175</f>
        <v>0</v>
      </c>
      <c r="AZ175" s="28">
        <f>COGS!AZ175+'SG&amp;A'!AZ175</f>
        <v>0</v>
      </c>
      <c r="BA175" s="28">
        <f>COGS!BA175+'SG&amp;A'!BA175</f>
        <v>0</v>
      </c>
      <c r="BB175" s="28">
        <f>COGS!BB175+'SG&amp;A'!BB175</f>
        <v>0</v>
      </c>
      <c r="BC175" s="28">
        <f>COGS!BC175+'SG&amp;A'!BC175</f>
        <v>0</v>
      </c>
      <c r="BD175" s="28">
        <f>COGS!BD175+'SG&amp;A'!BD175</f>
        <v>0</v>
      </c>
      <c r="BE175" s="28">
        <f>COGS!BE175+'SG&amp;A'!BE175</f>
        <v>0</v>
      </c>
      <c r="BF175" s="28">
        <f>COGS!BF175+'SG&amp;A'!BF175</f>
        <v>0</v>
      </c>
      <c r="BG175" s="28">
        <f>COGS!BG175+'SG&amp;A'!BG175</f>
        <v>0</v>
      </c>
      <c r="BH175" s="28">
        <f>COGS!BH175+'SG&amp;A'!BH175</f>
        <v>0</v>
      </c>
      <c r="BI175" s="28">
        <f>COGS!BI175+'SG&amp;A'!BI175</f>
        <v>0</v>
      </c>
      <c r="BJ175" s="28">
        <f>COGS!BJ175+'SG&amp;A'!BJ175</f>
        <v>1.6652756899999999</v>
      </c>
      <c r="BK175" s="28">
        <f>COGS!BK175+'SG&amp;A'!BK175</f>
        <v>1.6078525899999998</v>
      </c>
      <c r="BL175" s="28">
        <f>COGS!BL175+'SG&amp;A'!BL175</f>
        <v>1.9525994999999998</v>
      </c>
      <c r="BM175" s="28">
        <f>COGS!BM175+'SG&amp;A'!BM175</f>
        <v>2.5102953900000009</v>
      </c>
      <c r="BN175" s="28">
        <f>COGS!BN175+'SG&amp;A'!BN175</f>
        <v>7.7360231700000011</v>
      </c>
      <c r="BO175" s="28">
        <f>COGS!BO175+'SG&amp;A'!BO175</f>
        <v>1.9327440500000002</v>
      </c>
      <c r="BP175" s="28">
        <f>COGS!BP175+'SG&amp;A'!BP175</f>
        <v>1.7021976400000001</v>
      </c>
      <c r="BQ175" s="28">
        <f>COGS!BQ175+'SG&amp;A'!BQ175</f>
        <v>1.45061353</v>
      </c>
      <c r="BR175" s="28">
        <f>COGS!BR175+'SG&amp;A'!BR175</f>
        <v>1.8684230499999992</v>
      </c>
      <c r="BS175" s="28">
        <f>COGS!BS175+'SG&amp;A'!BS175</f>
        <v>6.9539782699999995</v>
      </c>
      <c r="BT175" s="28">
        <f>COGS!BT175+'SG&amp;A'!BT175</f>
        <v>1.5160142599999999</v>
      </c>
      <c r="BU175" s="28">
        <f>COGS!BU175+'SG&amp;A'!BU175</f>
        <v>1.4421324199999999</v>
      </c>
      <c r="BV175" s="28">
        <f>COGS!BV175+'SG&amp;A'!BV175</f>
        <v>1.4882370099999995</v>
      </c>
      <c r="BW175" s="28">
        <f>COGS!BW175+'SG&amp;A'!BW175</f>
        <v>2.0342702200000002</v>
      </c>
      <c r="BX175" s="28">
        <f>COGS!BX175+'SG&amp;A'!BX175</f>
        <v>6.4806539099999991</v>
      </c>
      <c r="BY175" s="28">
        <f>COGS!BY175+'SG&amp;A'!BY175</f>
        <v>1.1233090799999998</v>
      </c>
      <c r="BZ175" s="28">
        <f>COGS!BZ175+'SG&amp;A'!BZ175</f>
        <v>1.5704582200000001</v>
      </c>
      <c r="CA175" s="28">
        <f>COGS!CA175+'SG&amp;A'!CA175</f>
        <v>1.1537807200000001</v>
      </c>
      <c r="CB175" s="28">
        <f>COGS!CB175+'SG&amp;A'!CB175</f>
        <v>1.8160579399999999</v>
      </c>
      <c r="CC175" s="28">
        <f>COGS!CC175+'SG&amp;A'!CC175</f>
        <v>5.6636059599999999</v>
      </c>
      <c r="CD175" s="28">
        <f>COGS!CD175+'SG&amp;A'!CD175</f>
        <v>1.5436564100000001</v>
      </c>
      <c r="CE175" s="28">
        <f>COGS!CE175+'SG&amp;A'!CE175</f>
        <v>1.42915993</v>
      </c>
      <c r="CF175" s="28">
        <f>COGS!CF175+'SG&amp;A'!CF175</f>
        <v>1.5504263100000002</v>
      </c>
      <c r="CG175" s="28">
        <f>COGS!CG175+'SG&amp;A'!CG175</f>
        <v>2.01968696</v>
      </c>
      <c r="CH175" s="28">
        <f>COGS!CH175+'SG&amp;A'!CH175</f>
        <v>6.5429296099999998</v>
      </c>
      <c r="CI175" s="28">
        <f>COGS!CI175+'SG&amp;A'!CI175</f>
        <v>1.3208151100000001</v>
      </c>
      <c r="CJ175" s="28">
        <f>COGS!CJ175+'SG&amp;A'!CJ175</f>
        <v>1.4696619399999999</v>
      </c>
      <c r="CK175" s="28">
        <f>COGS!CK175+'SG&amp;A'!CK175</f>
        <v>1.7570424600000001</v>
      </c>
      <c r="CL175" s="28">
        <f>COGS!CL175+'SG&amp;A'!CL175</f>
        <v>1.3858707899999994</v>
      </c>
      <c r="CM175" s="28">
        <f>COGS!CM175+'SG&amp;A'!CM175</f>
        <v>5.9333902999999992</v>
      </c>
      <c r="CN175" s="28">
        <f>COGS!CN175+'SG&amp;A'!CN175</f>
        <v>1.6608181599999998</v>
      </c>
      <c r="CO175" s="28">
        <f>COGS!CO175+'SG&amp;A'!CO175</f>
        <v>1.3973668199999998</v>
      </c>
      <c r="CP175" s="28">
        <f>COGS!CP175+'SG&amp;A'!CP175</f>
        <v>1.40843432</v>
      </c>
      <c r="CQ175" s="28">
        <f>COGS!CQ175+'SG&amp;A'!CQ175</f>
        <v>-2.5596192999999996</v>
      </c>
      <c r="CR175" s="28">
        <f>COGS!CR175+'SG&amp;A'!CR175</f>
        <v>1.907</v>
      </c>
      <c r="CS175" s="28">
        <f>COGS!CS175+'SG&amp;A'!CS175</f>
        <v>2.09590604</v>
      </c>
      <c r="CT175" s="28">
        <f>COGS!CT175+'SG&amp;A'!CT175</f>
        <v>1.6759122900000003</v>
      </c>
      <c r="CU175" s="28">
        <f>COGS!CU175+'SG&amp;A'!CU175</f>
        <v>1.4973677399999996</v>
      </c>
      <c r="CV175" s="28">
        <f>COGS!CV175+'SG&amp;A'!CV175</f>
        <v>1.7580866499999999</v>
      </c>
      <c r="CW175" s="28">
        <f>COGS!CW175+'SG&amp;A'!CW175</f>
        <v>7.02727272</v>
      </c>
      <c r="CX175" s="28">
        <f>COGS!CX175+'SG&amp;A'!CX175</f>
        <v>1.6040000000000001</v>
      </c>
      <c r="CY175" s="28">
        <f>COGS!CY175+'SG&amp;A'!CY175</f>
        <v>1.4790000000000001</v>
      </c>
      <c r="CZ175" s="28">
        <f>COGS!CZ175+'SG&amp;A'!CZ175</f>
        <v>1.7689999999999999</v>
      </c>
      <c r="DA175" s="28">
        <f>COGS!DA175+'SG&amp;A'!DA175</f>
        <v>1.46</v>
      </c>
      <c r="DB175" s="28">
        <f>COGS!DB175+'SG&amp;A'!DB175</f>
        <v>6.3120000000000003</v>
      </c>
      <c r="DC175" s="28">
        <f>COGS!DC175+'SG&amp;A'!DC175</f>
        <v>1.27</v>
      </c>
      <c r="DD175" s="28">
        <f>COGS!DD175+'SG&amp;A'!DD175</f>
        <v>1.744</v>
      </c>
      <c r="DE175" s="28">
        <f>COGS!DE175+'SG&amp;A'!DE175</f>
        <v>1.518</v>
      </c>
      <c r="DF175" s="28">
        <f>COGS!DF175+'SG&amp;A'!DF175</f>
        <v>2.274</v>
      </c>
      <c r="DG175" s="28">
        <f>COGS!DG175+'SG&amp;A'!DG175</f>
        <v>6.806</v>
      </c>
      <c r="DH175" s="28">
        <f>COGS!DH175+'SG&amp;A'!DH175</f>
        <v>1.363</v>
      </c>
      <c r="DI175" s="28">
        <f>COGS!DI175+'SG&amp;A'!DI175</f>
        <v>1.478</v>
      </c>
      <c r="DJ175" s="28">
        <f>COGS!DJ175+'SG&amp;A'!DJ175</f>
        <v>1.7319999999999998</v>
      </c>
      <c r="DK175" s="28">
        <f>COGS!DK175+'SG&amp;A'!DK175</f>
        <v>6.532</v>
      </c>
      <c r="DL175" s="28">
        <f>COGS!DL175+'SG&amp;A'!DL175</f>
        <v>11.105</v>
      </c>
      <c r="DM175" s="28">
        <f>COGS!DM175+'SG&amp;A'!DM175</f>
        <v>1.8280000000000001</v>
      </c>
      <c r="DN175" s="28">
        <f>COGS!DN175+'SG&amp;A'!DN175</f>
        <v>1.776</v>
      </c>
      <c r="DO175" s="28">
        <f>COGS!DO175+'SG&amp;A'!DO175</f>
        <v>0.80799999999999994</v>
      </c>
      <c r="DP175" s="28">
        <f>COGS!DP175+'SG&amp;A'!DP175</f>
        <v>1.623</v>
      </c>
      <c r="DQ175" s="28">
        <f>COGS!DQ175+'SG&amp;A'!DQ175</f>
        <v>6.035000000000001</v>
      </c>
      <c r="DR175" s="28">
        <f>COGS!DR175+'SG&amp;A'!DR175</f>
        <v>0.252</v>
      </c>
      <c r="DS175" s="28">
        <f>COGS!DS175+'SG&amp;A'!DS175</f>
        <v>1.2999999999999998E-2</v>
      </c>
      <c r="DT175" s="28">
        <f>COGS!DT175+'SG&amp;A'!DT175</f>
        <v>0.19799999999999998</v>
      </c>
      <c r="DU175" s="28">
        <f>COGS!DU175+'SG&amp;A'!DU175</f>
        <v>-0.23699999999999999</v>
      </c>
      <c r="DV175" s="28">
        <f>COGS!DV175+'SG&amp;A'!DV175</f>
        <v>0.22599999999999998</v>
      </c>
      <c r="DW175" s="28">
        <f>COGS!DW175+'SG&amp;A'!DW175</f>
        <v>-0.371</v>
      </c>
      <c r="DX175" s="28">
        <f>COGS!DX175+'SG&amp;A'!DX175</f>
        <v>0.4394941</v>
      </c>
      <c r="DY175" s="28">
        <f>COGS!DY175+'SG&amp;A'!DY175</f>
        <v>5.8468649999999997E-2</v>
      </c>
      <c r="DZ175" s="28">
        <f>COGS!DZ175+'SG&amp;A'!DZ175</f>
        <v>-1.7129999999999999E-2</v>
      </c>
      <c r="EA175" s="28">
        <f>COGS!EA175+'SG&amp;A'!EA175</f>
        <v>0.10983275000000001</v>
      </c>
      <c r="EB175" s="28">
        <f>COGS!EB175+'SG&amp;A'!EB175</f>
        <v>-0.28009140999999999</v>
      </c>
      <c r="EC175" s="28">
        <f>COGS!EC175+'SG&amp;A'!EC175</f>
        <v>8.7925819999999974E-2</v>
      </c>
      <c r="ED175" s="28">
        <f>COGS!ED175+'SG&amp;A'!ED175</f>
        <v>0.23400000000000001</v>
      </c>
      <c r="EE175" s="28">
        <f>COGS!EE175+'SG&amp;A'!EE175</f>
        <v>0.10268916</v>
      </c>
      <c r="EF175" s="28">
        <f>COGS!EF175+'SG&amp;A'!EF175</f>
        <v>0.14452357000000002</v>
      </c>
      <c r="EG175" s="28">
        <f>COGS!EG175+'SG&amp;A'!EG175</f>
        <v>0.34696384000000002</v>
      </c>
      <c r="EH175" s="28">
        <f>COGS!EH175+'SG&amp;A'!EH175</f>
        <v>7.6227139999999957E-2</v>
      </c>
      <c r="EI175" s="28">
        <f>COGS!EI175+'SG&amp;A'!EI175</f>
        <v>0.28551747</v>
      </c>
    </row>
    <row r="176" spans="1:139" ht="15" thickTop="1" x14ac:dyDescent="0.3">
      <c r="A176" s="1" t="s">
        <v>443</v>
      </c>
      <c r="B176" s="27">
        <f>COGS!B176+'SG&amp;A'!B176</f>
        <v>0</v>
      </c>
      <c r="C176" s="27">
        <f>COGS!C176+'SG&amp;A'!C176</f>
        <v>0</v>
      </c>
      <c r="D176" s="27">
        <f>COGS!D176+'SG&amp;A'!D176</f>
        <v>0</v>
      </c>
      <c r="E176" s="27">
        <f>COGS!E176+'SG&amp;A'!E176</f>
        <v>0</v>
      </c>
      <c r="F176" s="27">
        <f>COGS!F176+'SG&amp;A'!F176</f>
        <v>0</v>
      </c>
      <c r="G176" s="27">
        <f>COGS!G176+'SG&amp;A'!G176</f>
        <v>0</v>
      </c>
      <c r="H176" s="27">
        <f>COGS!H176+'SG&amp;A'!H176</f>
        <v>0</v>
      </c>
      <c r="I176" s="27">
        <f>COGS!I176+'SG&amp;A'!I176</f>
        <v>0</v>
      </c>
      <c r="J176" s="27">
        <f>COGS!J176+'SG&amp;A'!J176</f>
        <v>0</v>
      </c>
      <c r="K176" s="27">
        <f>COGS!K176+'SG&amp;A'!K176</f>
        <v>0</v>
      </c>
      <c r="L176" s="27">
        <f>COGS!L176+'SG&amp;A'!L176</f>
        <v>0</v>
      </c>
      <c r="M176" s="27">
        <f>COGS!M176+'SG&amp;A'!M176</f>
        <v>0</v>
      </c>
      <c r="N176" s="27">
        <f>COGS!N176+'SG&amp;A'!N176</f>
        <v>0</v>
      </c>
      <c r="O176" s="27">
        <f>COGS!O176+'SG&amp;A'!O176</f>
        <v>0</v>
      </c>
      <c r="P176" s="27">
        <f>COGS!P176+'SG&amp;A'!P176</f>
        <v>0</v>
      </c>
      <c r="Q176" s="27">
        <f>COGS!Q176+'SG&amp;A'!Q176</f>
        <v>0</v>
      </c>
      <c r="R176" s="27">
        <f>COGS!R176+'SG&amp;A'!R176</f>
        <v>0</v>
      </c>
      <c r="S176" s="27">
        <f>COGS!S176+'SG&amp;A'!S176</f>
        <v>0</v>
      </c>
      <c r="T176" s="27">
        <f>COGS!T176+'SG&amp;A'!T176</f>
        <v>0</v>
      </c>
      <c r="U176" s="27">
        <f>COGS!U176+'SG&amp;A'!U176</f>
        <v>0</v>
      </c>
      <c r="V176" s="27">
        <f>COGS!V176+'SG&amp;A'!V176</f>
        <v>0</v>
      </c>
      <c r="W176" s="27">
        <f>COGS!W176+'SG&amp;A'!W176</f>
        <v>0</v>
      </c>
      <c r="X176" s="27">
        <f>COGS!X176+'SG&amp;A'!X176</f>
        <v>0</v>
      </c>
      <c r="Y176" s="27">
        <f>COGS!Y176+'SG&amp;A'!Y176</f>
        <v>0</v>
      </c>
      <c r="Z176" s="27">
        <f>COGS!Z176+'SG&amp;A'!Z176</f>
        <v>0</v>
      </c>
      <c r="AA176" s="27">
        <f>COGS!AA176+'SG&amp;A'!AA176</f>
        <v>0</v>
      </c>
      <c r="AB176" s="27">
        <f>COGS!AB176+'SG&amp;A'!AB176</f>
        <v>0</v>
      </c>
      <c r="AC176" s="27">
        <f>COGS!AC176+'SG&amp;A'!AC176</f>
        <v>0</v>
      </c>
      <c r="AD176" s="27">
        <f>COGS!AD176+'SG&amp;A'!AD176</f>
        <v>0</v>
      </c>
      <c r="AE176" s="27">
        <f>COGS!AE176+'SG&amp;A'!AE176</f>
        <v>0</v>
      </c>
      <c r="AF176" s="27">
        <f>COGS!AF176+'SG&amp;A'!AF176</f>
        <v>0</v>
      </c>
      <c r="AG176" s="27">
        <f>COGS!AG176+'SG&amp;A'!AG176</f>
        <v>0</v>
      </c>
      <c r="AH176" s="27">
        <f>COGS!AH176+'SG&amp;A'!AH176</f>
        <v>0</v>
      </c>
      <c r="AI176" s="27">
        <f>COGS!AI176+'SG&amp;A'!AI176</f>
        <v>0</v>
      </c>
      <c r="AJ176" s="27">
        <f>COGS!AJ176+'SG&amp;A'!AJ176</f>
        <v>0</v>
      </c>
      <c r="AK176" s="27">
        <f>COGS!AK176+'SG&amp;A'!AK176</f>
        <v>0</v>
      </c>
      <c r="AL176" s="27">
        <f>COGS!AL176+'SG&amp;A'!AL176</f>
        <v>0</v>
      </c>
      <c r="AM176" s="27">
        <f>COGS!AM176+'SG&amp;A'!AM176</f>
        <v>0</v>
      </c>
      <c r="AN176" s="27">
        <f>COGS!AN176+'SG&amp;A'!AN176</f>
        <v>0</v>
      </c>
      <c r="AO176" s="27">
        <f>COGS!AO176+'SG&amp;A'!AO176</f>
        <v>0</v>
      </c>
      <c r="AP176" s="27">
        <f>COGS!AP176+'SG&amp;A'!AP176</f>
        <v>0</v>
      </c>
      <c r="AQ176" s="27">
        <f>COGS!AQ176+'SG&amp;A'!AQ176</f>
        <v>0</v>
      </c>
      <c r="AR176" s="27">
        <f>COGS!AR176+'SG&amp;A'!AR176</f>
        <v>0</v>
      </c>
      <c r="AS176" s="27">
        <f>COGS!AS176+'SG&amp;A'!AS176</f>
        <v>0</v>
      </c>
      <c r="AT176" s="27">
        <f>COGS!AT176+'SG&amp;A'!AT176</f>
        <v>0</v>
      </c>
      <c r="AU176" s="27">
        <f>COGS!AU176+'SG&amp;A'!AU176</f>
        <v>0</v>
      </c>
      <c r="AV176" s="27">
        <f>COGS!AV176+'SG&amp;A'!AV176</f>
        <v>0</v>
      </c>
      <c r="AW176" s="27">
        <f>COGS!AW176+'SG&amp;A'!AW176</f>
        <v>0</v>
      </c>
      <c r="AX176" s="27">
        <f>COGS!AX176+'SG&amp;A'!AX176</f>
        <v>0</v>
      </c>
      <c r="AY176" s="27">
        <f>COGS!AY176+'SG&amp;A'!AY176</f>
        <v>0</v>
      </c>
      <c r="AZ176" s="27">
        <f>COGS!AZ176+'SG&amp;A'!AZ176</f>
        <v>0</v>
      </c>
      <c r="BA176" s="27">
        <f>COGS!BA176+'SG&amp;A'!BA176</f>
        <v>0</v>
      </c>
      <c r="BB176" s="27">
        <f>COGS!BB176+'SG&amp;A'!BB176</f>
        <v>0</v>
      </c>
      <c r="BC176" s="27">
        <f>COGS!BC176+'SG&amp;A'!BC176</f>
        <v>0</v>
      </c>
      <c r="BD176" s="27">
        <f>COGS!BD176+'SG&amp;A'!BD176</f>
        <v>0</v>
      </c>
      <c r="BE176" s="27">
        <f>COGS!BE176+'SG&amp;A'!BE176</f>
        <v>0</v>
      </c>
      <c r="BF176" s="27">
        <f>COGS!BF176+'SG&amp;A'!BF176</f>
        <v>0</v>
      </c>
      <c r="BG176" s="27">
        <f>COGS!BG176+'SG&amp;A'!BG176</f>
        <v>0</v>
      </c>
      <c r="BH176" s="27">
        <f>COGS!BH176+'SG&amp;A'!BH176</f>
        <v>0</v>
      </c>
      <c r="BI176" s="27">
        <f>COGS!BI176+'SG&amp;A'!BI176</f>
        <v>0</v>
      </c>
      <c r="BJ176" s="27">
        <f>COGS!BJ176+'SG&amp;A'!BJ176</f>
        <v>2.0932102800000001</v>
      </c>
      <c r="BK176" s="27">
        <f>COGS!BK176+'SG&amp;A'!BK176</f>
        <v>2.4102334599999997</v>
      </c>
      <c r="BL176" s="27">
        <f>COGS!BL176+'SG&amp;A'!BL176</f>
        <v>2.61644553</v>
      </c>
      <c r="BM176" s="27">
        <f>COGS!BM176+'SG&amp;A'!BM176</f>
        <v>2.4282839899999988</v>
      </c>
      <c r="BN176" s="27">
        <f>COGS!BN176+'SG&amp;A'!BN176</f>
        <v>9.5481732599999987</v>
      </c>
      <c r="BO176" s="27">
        <f>COGS!BO176+'SG&amp;A'!BO176</f>
        <v>2.3344473899999998</v>
      </c>
      <c r="BP176" s="27">
        <f>COGS!BP176+'SG&amp;A'!BP176</f>
        <v>1.3714956400000002</v>
      </c>
      <c r="BQ176" s="27">
        <f>COGS!BQ176+'SG&amp;A'!BQ176</f>
        <v>2.5233068599999999</v>
      </c>
      <c r="BR176" s="27">
        <f>COGS!BR176+'SG&amp;A'!BR176</f>
        <v>2.8795939700000011</v>
      </c>
      <c r="BS176" s="27">
        <f>COGS!BS176+'SG&amp;A'!BS176</f>
        <v>9.1088438600000003</v>
      </c>
      <c r="BT176" s="27">
        <f>COGS!BT176+'SG&amp;A'!BT176</f>
        <v>2.6189986699999999</v>
      </c>
      <c r="BU176" s="27">
        <f>COGS!BU176+'SG&amp;A'!BU176</f>
        <v>2.6048639199999997</v>
      </c>
      <c r="BV176" s="27">
        <f>COGS!BV176+'SG&amp;A'!BV176</f>
        <v>-2.7501209999999054E-2</v>
      </c>
      <c r="BW176" s="27">
        <f>COGS!BW176+'SG&amp;A'!BW176</f>
        <v>2.2040283000000001</v>
      </c>
      <c r="BX176" s="27">
        <f>COGS!BX176+'SG&amp;A'!BX176</f>
        <v>7.4003896800000009</v>
      </c>
      <c r="BY176" s="27">
        <f>COGS!BY176+'SG&amp;A'!BY176</f>
        <v>1.7607584799999998</v>
      </c>
      <c r="BZ176" s="27">
        <f>COGS!BZ176+'SG&amp;A'!BZ176</f>
        <v>1.4352036200000007</v>
      </c>
      <c r="CA176" s="27">
        <f>COGS!CA176+'SG&amp;A'!CA176</f>
        <v>1.6095004799999999</v>
      </c>
      <c r="CB176" s="27">
        <f>COGS!CB176+'SG&amp;A'!CB176</f>
        <v>3.6659130199999992</v>
      </c>
      <c r="CC176" s="27">
        <f>COGS!CC176+'SG&amp;A'!CC176</f>
        <v>8.4713756</v>
      </c>
      <c r="CD176" s="27">
        <f>COGS!CD176+'SG&amp;A'!CD176</f>
        <v>1.8879304500000003</v>
      </c>
      <c r="CE176" s="27">
        <f>COGS!CE176+'SG&amp;A'!CE176</f>
        <v>1.9354932700000003</v>
      </c>
      <c r="CF176" s="27">
        <f>COGS!CF176+'SG&amp;A'!CF176</f>
        <v>0.85346380999999938</v>
      </c>
      <c r="CG176" s="27">
        <f>COGS!CG176+'SG&amp;A'!CG176</f>
        <v>2.0804162199999996</v>
      </c>
      <c r="CH176" s="27">
        <f>COGS!CH176+'SG&amp;A'!CH176</f>
        <v>6.7573037499999993</v>
      </c>
      <c r="CI176" s="27">
        <f>COGS!CI176+'SG&amp;A'!CI176</f>
        <v>0.65630706000000005</v>
      </c>
      <c r="CJ176" s="27">
        <f>COGS!CJ176+'SG&amp;A'!CJ176</f>
        <v>2.0106874399999999</v>
      </c>
      <c r="CK176" s="27">
        <f>COGS!CK176+'SG&amp;A'!CK176</f>
        <v>2.0481213500000011</v>
      </c>
      <c r="CL176" s="27">
        <f>COGS!CL176+'SG&amp;A'!CL176</f>
        <v>2.6462791999999995</v>
      </c>
      <c r="CM176" s="27">
        <f>COGS!CM176+'SG&amp;A'!CM176</f>
        <v>7.3613950500000005</v>
      </c>
      <c r="CN176" s="27">
        <f>COGS!CN176+'SG&amp;A'!CN176</f>
        <v>1.7760737100000001</v>
      </c>
      <c r="CO176" s="27">
        <f>COGS!CO176+'SG&amp;A'!CO176</f>
        <v>1.8031911099999995</v>
      </c>
      <c r="CP176" s="27">
        <f>COGS!CP176+'SG&amp;A'!CP176</f>
        <v>1.74058008</v>
      </c>
      <c r="CQ176" s="27">
        <f>COGS!CQ176+'SG&amp;A'!CQ176</f>
        <v>2.0861551</v>
      </c>
      <c r="CR176" s="27">
        <f>COGS!CR176+'SG&amp;A'!CR176</f>
        <v>7.4060000000000006</v>
      </c>
      <c r="CS176" s="27">
        <f>COGS!CS176+'SG&amp;A'!CS176</f>
        <v>1.6297491800000001</v>
      </c>
      <c r="CT176" s="27">
        <f>COGS!CT176+'SG&amp;A'!CT176</f>
        <v>1.4763557900000002</v>
      </c>
      <c r="CU176" s="27">
        <f>COGS!CU176+'SG&amp;A'!CU176</f>
        <v>1.3031983199999992</v>
      </c>
      <c r="CV176" s="27">
        <f>COGS!CV176+'SG&amp;A'!CV176</f>
        <v>1.690695280000001</v>
      </c>
      <c r="CW176" s="27">
        <f>COGS!CW176+'SG&amp;A'!CW176</f>
        <v>6.0999985700000003</v>
      </c>
      <c r="CX176" s="27">
        <f>COGS!CX176+'SG&amp;A'!CX176</f>
        <v>1.4039999999999999</v>
      </c>
      <c r="CY176" s="27">
        <f>COGS!CY176+'SG&amp;A'!CY176</f>
        <v>1.393</v>
      </c>
      <c r="CZ176" s="27">
        <f>COGS!CZ176+'SG&amp;A'!CZ176</f>
        <v>2.0219999999999998</v>
      </c>
      <c r="DA176" s="27">
        <f>COGS!DA176+'SG&amp;A'!DA176</f>
        <v>1.655</v>
      </c>
      <c r="DB176" s="27">
        <f>COGS!DB176+'SG&amp;A'!DB176</f>
        <v>6.4739999999999993</v>
      </c>
      <c r="DC176" s="27">
        <f>COGS!DC176+'SG&amp;A'!DC176</f>
        <v>1.5490000000000002</v>
      </c>
      <c r="DD176" s="27">
        <f>COGS!DD176+'SG&amp;A'!DD176</f>
        <v>1.7169999999999999</v>
      </c>
      <c r="DE176" s="27">
        <f>COGS!DE176+'SG&amp;A'!DE176</f>
        <v>1.863</v>
      </c>
      <c r="DF176" s="27">
        <f>COGS!DF176+'SG&amp;A'!DF176</f>
        <v>3.0469999999999997</v>
      </c>
      <c r="DG176" s="27">
        <f>COGS!DG176+'SG&amp;A'!DG176</f>
        <v>8.1760000000000002</v>
      </c>
      <c r="DH176" s="27">
        <f>COGS!DH176+'SG&amp;A'!DH176</f>
        <v>2.4979999999999998</v>
      </c>
      <c r="DI176" s="27">
        <f>COGS!DI176+'SG&amp;A'!DI176</f>
        <v>2.0659999999999998</v>
      </c>
      <c r="DJ176" s="27">
        <f>COGS!DJ176+'SG&amp;A'!DJ176</f>
        <v>1.927</v>
      </c>
      <c r="DK176" s="27">
        <f>COGS!DK176+'SG&amp;A'!DK176</f>
        <v>1.534</v>
      </c>
      <c r="DL176" s="27">
        <f>COGS!DL176+'SG&amp;A'!DL176</f>
        <v>8.0250000000000004</v>
      </c>
      <c r="DM176" s="27">
        <f>COGS!DM176+'SG&amp;A'!DM176</f>
        <v>1.907</v>
      </c>
      <c r="DN176" s="27">
        <f>COGS!DN176+'SG&amp;A'!DN176</f>
        <v>3.722</v>
      </c>
      <c r="DO176" s="27">
        <f>COGS!DO176+'SG&amp;A'!DO176</f>
        <v>3.3570000000000002</v>
      </c>
      <c r="DP176" s="27">
        <f>COGS!DP176+'SG&amp;A'!DP176</f>
        <v>2.9859999999999998</v>
      </c>
      <c r="DQ176" s="27">
        <f>COGS!DQ176+'SG&amp;A'!DQ176</f>
        <v>11.972000000000001</v>
      </c>
      <c r="DR176" s="27">
        <f>COGS!DR176+'SG&amp;A'!DR176</f>
        <v>3.5650000000000004</v>
      </c>
      <c r="DS176" s="27">
        <f>COGS!DS176+'SG&amp;A'!DS176</f>
        <v>1.7390000000000001</v>
      </c>
      <c r="DT176" s="27">
        <f>COGS!DT176+'SG&amp;A'!DT176</f>
        <v>2.84</v>
      </c>
      <c r="DU176" s="27">
        <f>COGS!DU176+'SG&amp;A'!DU176</f>
        <v>3.8150000000000004</v>
      </c>
      <c r="DV176" s="27">
        <f>COGS!DV176+'SG&amp;A'!DV176</f>
        <v>11.959000000000001</v>
      </c>
      <c r="DW176" s="27">
        <f>COGS!DW176+'SG&amp;A'!DW176</f>
        <v>3.5530000000000004</v>
      </c>
      <c r="DX176" s="27">
        <f>COGS!DX176+'SG&amp;A'!DX176</f>
        <v>3.5920362300000002</v>
      </c>
      <c r="DY176" s="27">
        <f>COGS!DY176+'SG&amp;A'!DY176</f>
        <v>6.1515324899999992</v>
      </c>
      <c r="DZ176" s="27">
        <f>COGS!DZ176+'SG&amp;A'!DZ176</f>
        <v>2.7525403900000009</v>
      </c>
      <c r="EA176" s="27">
        <f>COGS!EA176+'SG&amp;A'!EA176</f>
        <v>16.049109110000003</v>
      </c>
      <c r="EB176" s="27">
        <f>COGS!EB176+'SG&amp;A'!EB176</f>
        <v>4.6715987500000002</v>
      </c>
      <c r="EC176" s="27">
        <f>COGS!EC176+'SG&amp;A'!EC176</f>
        <v>4.4979906899999991</v>
      </c>
      <c r="ED176" s="27">
        <f>COGS!ED176+'SG&amp;A'!ED176</f>
        <v>3.1120000000000001</v>
      </c>
      <c r="EE176" s="27">
        <f>COGS!EE176+'SG&amp;A'!EE176</f>
        <v>3.8715834399999989</v>
      </c>
      <c r="EF176" s="27">
        <f>COGS!EF176+'SG&amp;A'!EF176</f>
        <v>16.15317288</v>
      </c>
      <c r="EG176" s="27">
        <f>COGS!EG176+'SG&amp;A'!EG176</f>
        <v>4.2057013999999997</v>
      </c>
      <c r="EH176" s="27">
        <f>COGS!EH176+'SG&amp;A'!EH176</f>
        <v>3.5350498199999998</v>
      </c>
      <c r="EI176" s="27">
        <f>COGS!EI176+'SG&amp;A'!EI176</f>
        <v>3.59579491</v>
      </c>
    </row>
    <row r="177" spans="1:139" ht="15" thickBot="1" x14ac:dyDescent="0.35">
      <c r="A177" s="2" t="s">
        <v>481</v>
      </c>
      <c r="B177" s="28">
        <f>COGS!B177+'SG&amp;A'!B177</f>
        <v>0</v>
      </c>
      <c r="C177" s="28">
        <f>COGS!C177+'SG&amp;A'!C177</f>
        <v>0</v>
      </c>
      <c r="D177" s="28">
        <f>COGS!D177+'SG&amp;A'!D177</f>
        <v>0</v>
      </c>
      <c r="E177" s="28">
        <f>COGS!E177+'SG&amp;A'!E177</f>
        <v>0</v>
      </c>
      <c r="F177" s="28">
        <f>COGS!F177+'SG&amp;A'!F177</f>
        <v>0</v>
      </c>
      <c r="G177" s="28">
        <f>COGS!G177+'SG&amp;A'!G177</f>
        <v>0</v>
      </c>
      <c r="H177" s="28">
        <f>COGS!H177+'SG&amp;A'!H177</f>
        <v>0</v>
      </c>
      <c r="I177" s="28">
        <f>COGS!I177+'SG&amp;A'!I177</f>
        <v>0</v>
      </c>
      <c r="J177" s="28">
        <f>COGS!J177+'SG&amp;A'!J177</f>
        <v>0</v>
      </c>
      <c r="K177" s="28">
        <f>COGS!K177+'SG&amp;A'!K177</f>
        <v>0</v>
      </c>
      <c r="L177" s="28">
        <f>COGS!L177+'SG&amp;A'!L177</f>
        <v>0</v>
      </c>
      <c r="M177" s="28">
        <f>COGS!M177+'SG&amp;A'!M177</f>
        <v>0</v>
      </c>
      <c r="N177" s="28">
        <f>COGS!N177+'SG&amp;A'!N177</f>
        <v>0</v>
      </c>
      <c r="O177" s="28">
        <f>COGS!O177+'SG&amp;A'!O177</f>
        <v>0</v>
      </c>
      <c r="P177" s="28">
        <f>COGS!P177+'SG&amp;A'!P177</f>
        <v>0</v>
      </c>
      <c r="Q177" s="28">
        <f>COGS!Q177+'SG&amp;A'!Q177</f>
        <v>0</v>
      </c>
      <c r="R177" s="28">
        <f>COGS!R177+'SG&amp;A'!R177</f>
        <v>0</v>
      </c>
      <c r="S177" s="28">
        <f>COGS!S177+'SG&amp;A'!S177</f>
        <v>0</v>
      </c>
      <c r="T177" s="28">
        <f>COGS!T177+'SG&amp;A'!T177</f>
        <v>0</v>
      </c>
      <c r="U177" s="28">
        <f>COGS!U177+'SG&amp;A'!U177</f>
        <v>0</v>
      </c>
      <c r="V177" s="28">
        <f>COGS!V177+'SG&amp;A'!V177</f>
        <v>0</v>
      </c>
      <c r="W177" s="28">
        <f>COGS!W177+'SG&amp;A'!W177</f>
        <v>0</v>
      </c>
      <c r="X177" s="28">
        <f>COGS!X177+'SG&amp;A'!X177</f>
        <v>0</v>
      </c>
      <c r="Y177" s="28">
        <f>COGS!Y177+'SG&amp;A'!Y177</f>
        <v>0</v>
      </c>
      <c r="Z177" s="28">
        <f>COGS!Z177+'SG&amp;A'!Z177</f>
        <v>0</v>
      </c>
      <c r="AA177" s="28">
        <f>COGS!AA177+'SG&amp;A'!AA177</f>
        <v>0</v>
      </c>
      <c r="AB177" s="28">
        <f>COGS!AB177+'SG&amp;A'!AB177</f>
        <v>0</v>
      </c>
      <c r="AC177" s="28">
        <f>COGS!AC177+'SG&amp;A'!AC177</f>
        <v>0</v>
      </c>
      <c r="AD177" s="28">
        <f>COGS!AD177+'SG&amp;A'!AD177</f>
        <v>0</v>
      </c>
      <c r="AE177" s="28">
        <f>COGS!AE177+'SG&amp;A'!AE177</f>
        <v>0</v>
      </c>
      <c r="AF177" s="28">
        <f>COGS!AF177+'SG&amp;A'!AF177</f>
        <v>0</v>
      </c>
      <c r="AG177" s="28">
        <f>COGS!AG177+'SG&amp;A'!AG177</f>
        <v>0</v>
      </c>
      <c r="AH177" s="28">
        <f>COGS!AH177+'SG&amp;A'!AH177</f>
        <v>0</v>
      </c>
      <c r="AI177" s="28">
        <f>COGS!AI177+'SG&amp;A'!AI177</f>
        <v>0</v>
      </c>
      <c r="AJ177" s="28">
        <f>COGS!AJ177+'SG&amp;A'!AJ177</f>
        <v>0</v>
      </c>
      <c r="AK177" s="28">
        <f>COGS!AK177+'SG&amp;A'!AK177</f>
        <v>0</v>
      </c>
      <c r="AL177" s="28">
        <f>COGS!AL177+'SG&amp;A'!AL177</f>
        <v>0</v>
      </c>
      <c r="AM177" s="28">
        <f>COGS!AM177+'SG&amp;A'!AM177</f>
        <v>0</v>
      </c>
      <c r="AN177" s="28">
        <f>COGS!AN177+'SG&amp;A'!AN177</f>
        <v>0</v>
      </c>
      <c r="AO177" s="28">
        <f>COGS!AO177+'SG&amp;A'!AO177</f>
        <v>0</v>
      </c>
      <c r="AP177" s="28">
        <f>COGS!AP177+'SG&amp;A'!AP177</f>
        <v>0</v>
      </c>
      <c r="AQ177" s="28">
        <f>COGS!AQ177+'SG&amp;A'!AQ177</f>
        <v>0</v>
      </c>
      <c r="AR177" s="28">
        <f>COGS!AR177+'SG&amp;A'!AR177</f>
        <v>0</v>
      </c>
      <c r="AS177" s="28">
        <f>COGS!AS177+'SG&amp;A'!AS177</f>
        <v>0</v>
      </c>
      <c r="AT177" s="28">
        <f>COGS!AT177+'SG&amp;A'!AT177</f>
        <v>0</v>
      </c>
      <c r="AU177" s="28">
        <f>COGS!AU177+'SG&amp;A'!AU177</f>
        <v>0</v>
      </c>
      <c r="AV177" s="28">
        <f>COGS!AV177+'SG&amp;A'!AV177</f>
        <v>0</v>
      </c>
      <c r="AW177" s="28">
        <f>COGS!AW177+'SG&amp;A'!AW177</f>
        <v>0</v>
      </c>
      <c r="AX177" s="28">
        <f>COGS!AX177+'SG&amp;A'!AX177</f>
        <v>0</v>
      </c>
      <c r="AY177" s="28">
        <f>COGS!AY177+'SG&amp;A'!AY177</f>
        <v>0</v>
      </c>
      <c r="AZ177" s="28">
        <f>COGS!AZ177+'SG&amp;A'!AZ177</f>
        <v>0</v>
      </c>
      <c r="BA177" s="28">
        <f>COGS!BA177+'SG&amp;A'!BA177</f>
        <v>0</v>
      </c>
      <c r="BB177" s="28">
        <f>COGS!BB177+'SG&amp;A'!BB177</f>
        <v>0</v>
      </c>
      <c r="BC177" s="28">
        <f>COGS!BC177+'SG&amp;A'!BC177</f>
        <v>0</v>
      </c>
      <c r="BD177" s="28">
        <f>COGS!BD177+'SG&amp;A'!BD177</f>
        <v>0</v>
      </c>
      <c r="BE177" s="28">
        <f>COGS!BE177+'SG&amp;A'!BE177</f>
        <v>0</v>
      </c>
      <c r="BF177" s="28">
        <f>COGS!BF177+'SG&amp;A'!BF177</f>
        <v>0</v>
      </c>
      <c r="BG177" s="28">
        <f>COGS!BG177+'SG&amp;A'!BG177</f>
        <v>0</v>
      </c>
      <c r="BH177" s="28">
        <f>COGS!BH177+'SG&amp;A'!BH177</f>
        <v>0</v>
      </c>
      <c r="BI177" s="28">
        <f>COGS!BI177+'SG&amp;A'!BI177</f>
        <v>0</v>
      </c>
      <c r="BJ177" s="28">
        <f>COGS!BJ177+'SG&amp;A'!BJ177</f>
        <v>0</v>
      </c>
      <c r="BK177" s="28">
        <f>COGS!BK177+'SG&amp;A'!BK177</f>
        <v>0</v>
      </c>
      <c r="BL177" s="28">
        <f>COGS!BL177+'SG&amp;A'!BL177</f>
        <v>0</v>
      </c>
      <c r="BM177" s="28">
        <f>COGS!BM177+'SG&amp;A'!BM177</f>
        <v>0</v>
      </c>
      <c r="BN177" s="28">
        <f>COGS!BN177+'SG&amp;A'!BN177</f>
        <v>0</v>
      </c>
      <c r="BO177" s="28">
        <f>COGS!BO177+'SG&amp;A'!BO177</f>
        <v>0</v>
      </c>
      <c r="BP177" s="28">
        <f>COGS!BP177+'SG&amp;A'!BP177</f>
        <v>0</v>
      </c>
      <c r="BQ177" s="28">
        <f>COGS!BQ177+'SG&amp;A'!BQ177</f>
        <v>0</v>
      </c>
      <c r="BR177" s="28">
        <f>COGS!BR177+'SG&amp;A'!BR177</f>
        <v>0</v>
      </c>
      <c r="BS177" s="28">
        <f>COGS!BS177+'SG&amp;A'!BS177</f>
        <v>0</v>
      </c>
      <c r="BT177" s="28">
        <f>COGS!BT177+'SG&amp;A'!BT177</f>
        <v>0</v>
      </c>
      <c r="BU177" s="28">
        <f>COGS!BU177+'SG&amp;A'!BU177</f>
        <v>0</v>
      </c>
      <c r="BV177" s="28">
        <f>COGS!BV177+'SG&amp;A'!BV177</f>
        <v>0.27791756000000001</v>
      </c>
      <c r="BW177" s="28">
        <f>COGS!BW177+'SG&amp;A'!BW177</f>
        <v>0.21186851000000001</v>
      </c>
      <c r="BX177" s="28">
        <f>COGS!BX177+'SG&amp;A'!BX177</f>
        <v>0.48978607000000002</v>
      </c>
      <c r="BY177" s="28">
        <f>COGS!BY177+'SG&amp;A'!BY177</f>
        <v>0.18230610999999999</v>
      </c>
      <c r="BZ177" s="28">
        <f>COGS!BZ177+'SG&amp;A'!BZ177</f>
        <v>0.20738109000000002</v>
      </c>
      <c r="CA177" s="28">
        <f>COGS!CA177+'SG&amp;A'!CA177</f>
        <v>0.55687444000000008</v>
      </c>
      <c r="CB177" s="28">
        <f>COGS!CB177+'SG&amp;A'!CB177</f>
        <v>0.99352702999999987</v>
      </c>
      <c r="CC177" s="28">
        <f>COGS!CC177+'SG&amp;A'!CC177</f>
        <v>1.94008867</v>
      </c>
      <c r="CD177" s="28">
        <f>COGS!CD177+'SG&amp;A'!CD177</f>
        <v>0.87342721999999995</v>
      </c>
      <c r="CE177" s="28">
        <f>COGS!CE177+'SG&amp;A'!CE177</f>
        <v>2.1873169400000005</v>
      </c>
      <c r="CF177" s="28">
        <f>COGS!CF177+'SG&amp;A'!CF177</f>
        <v>2.7740228099999991</v>
      </c>
      <c r="CG177" s="28">
        <f>COGS!CG177+'SG&amp;A'!CG177</f>
        <v>2.0104632500000013</v>
      </c>
      <c r="CH177" s="28">
        <f>COGS!CH177+'SG&amp;A'!CH177</f>
        <v>7.8452302200000013</v>
      </c>
      <c r="CI177" s="28">
        <f>COGS!CI177+'SG&amp;A'!CI177</f>
        <v>2.1814833600000001</v>
      </c>
      <c r="CJ177" s="28">
        <f>COGS!CJ177+'SG&amp;A'!CJ177</f>
        <v>2.3560250900000002</v>
      </c>
      <c r="CK177" s="28">
        <f>COGS!CK177+'SG&amp;A'!CK177</f>
        <v>2.11894253</v>
      </c>
      <c r="CL177" s="28">
        <f>COGS!CL177+'SG&amp;A'!CL177</f>
        <v>2.032336340000001</v>
      </c>
      <c r="CM177" s="28">
        <f>COGS!CM177+'SG&amp;A'!CM177</f>
        <v>8.6887873200000012</v>
      </c>
      <c r="CN177" s="28">
        <f>COGS!CN177+'SG&amp;A'!CN177</f>
        <v>2.0537636199999998</v>
      </c>
      <c r="CO177" s="28">
        <f>COGS!CO177+'SG&amp;A'!CO177</f>
        <v>1.9485068800000005</v>
      </c>
      <c r="CP177" s="28">
        <f>COGS!CP177+'SG&amp;A'!CP177</f>
        <v>1.8173869099999993</v>
      </c>
      <c r="CQ177" s="28">
        <f>COGS!CQ177+'SG&amp;A'!CQ177</f>
        <v>1.6323425900000004</v>
      </c>
      <c r="CR177" s="28">
        <f>COGS!CR177+'SG&amp;A'!CR177</f>
        <v>7.452</v>
      </c>
      <c r="CS177" s="28">
        <f>COGS!CS177+'SG&amp;A'!CS177</f>
        <v>2.0783520699999998</v>
      </c>
      <c r="CT177" s="28">
        <f>COGS!CT177+'SG&amp;A'!CT177</f>
        <v>2.0507983700000003</v>
      </c>
      <c r="CU177" s="28">
        <f>COGS!CU177+'SG&amp;A'!CU177</f>
        <v>2.2369291700000002</v>
      </c>
      <c r="CV177" s="28">
        <f>COGS!CV177+'SG&amp;A'!CV177</f>
        <v>1.5997287700000007</v>
      </c>
      <c r="CW177" s="28">
        <f>COGS!CW177+'SG&amp;A'!CW177</f>
        <v>7.9658083800000012</v>
      </c>
      <c r="CX177" s="28">
        <f>COGS!CX177+'SG&amp;A'!CX177</f>
        <v>1.659</v>
      </c>
      <c r="CY177" s="28">
        <f>COGS!CY177+'SG&amp;A'!CY177</f>
        <v>2</v>
      </c>
      <c r="CZ177" s="28">
        <f>COGS!CZ177+'SG&amp;A'!CZ177</f>
        <v>2.5370000000000004</v>
      </c>
      <c r="DA177" s="28">
        <f>COGS!DA177+'SG&amp;A'!DA177</f>
        <v>2.3149999999999999</v>
      </c>
      <c r="DB177" s="28">
        <f>COGS!DB177+'SG&amp;A'!DB177</f>
        <v>8.511000000000001</v>
      </c>
      <c r="DC177" s="28">
        <f>COGS!DC177+'SG&amp;A'!DC177</f>
        <v>2.1779999999999999</v>
      </c>
      <c r="DD177" s="28">
        <f>COGS!DD177+'SG&amp;A'!DD177</f>
        <v>2.0409999999999999</v>
      </c>
      <c r="DE177" s="28">
        <f>COGS!DE177+'SG&amp;A'!DE177</f>
        <v>2.7190000000000003</v>
      </c>
      <c r="DF177" s="28">
        <f>COGS!DF177+'SG&amp;A'!DF177</f>
        <v>1.954</v>
      </c>
      <c r="DG177" s="28">
        <f>COGS!DG177+'SG&amp;A'!DG177</f>
        <v>8.8920000000000012</v>
      </c>
      <c r="DH177" s="28">
        <f>COGS!DH177+'SG&amp;A'!DH177</f>
        <v>2.0609999999999999</v>
      </c>
      <c r="DI177" s="28">
        <f>COGS!DI177+'SG&amp;A'!DI177</f>
        <v>2.0680000000000001</v>
      </c>
      <c r="DJ177" s="28">
        <f>COGS!DJ177+'SG&amp;A'!DJ177</f>
        <v>2.0659999999999998</v>
      </c>
      <c r="DK177" s="28">
        <f>COGS!DK177+'SG&amp;A'!DK177</f>
        <v>57.506999999999998</v>
      </c>
      <c r="DL177" s="28">
        <f>COGS!DL177+'SG&amp;A'!DL177</f>
        <v>63.701999999999998</v>
      </c>
      <c r="DM177" s="28">
        <f>COGS!DM177+'SG&amp;A'!DM177</f>
        <v>2.3759999999999999</v>
      </c>
      <c r="DN177" s="28">
        <f>COGS!DN177+'SG&amp;A'!DN177</f>
        <v>10.392999999999999</v>
      </c>
      <c r="DO177" s="28">
        <f>COGS!DO177+'SG&amp;A'!DO177</f>
        <v>10.738</v>
      </c>
      <c r="DP177" s="28">
        <f>COGS!DP177+'SG&amp;A'!DP177</f>
        <v>8.5220000000000002</v>
      </c>
      <c r="DQ177" s="28">
        <f>COGS!DQ177+'SG&amp;A'!DQ177</f>
        <v>32.028999999999996</v>
      </c>
      <c r="DR177" s="28">
        <f>COGS!DR177+'SG&amp;A'!DR177</f>
        <v>7.8919999999999995</v>
      </c>
      <c r="DS177" s="28">
        <f>COGS!DS177+'SG&amp;A'!DS177</f>
        <v>6.1590000000000007</v>
      </c>
      <c r="DT177" s="28">
        <f>COGS!DT177+'SG&amp;A'!DT177</f>
        <v>11.238999999999999</v>
      </c>
      <c r="DU177" s="28">
        <f>COGS!DU177+'SG&amp;A'!DU177</f>
        <v>3.9140000000000001</v>
      </c>
      <c r="DV177" s="28">
        <f>COGS!DV177+'SG&amp;A'!DV177</f>
        <v>29.204000000000001</v>
      </c>
      <c r="DW177" s="28">
        <f>COGS!DW177+'SG&amp;A'!DW177</f>
        <v>18.228000000000002</v>
      </c>
      <c r="DX177" s="28">
        <f>COGS!DX177+'SG&amp;A'!DX177</f>
        <v>3.4976753899999999</v>
      </c>
      <c r="DY177" s="28">
        <f>COGS!DY177+'SG&amp;A'!DY177</f>
        <v>2.6104472199999993</v>
      </c>
      <c r="DZ177" s="28">
        <f>COGS!DZ177+'SG&amp;A'!DZ177</f>
        <v>4.255418960000001</v>
      </c>
      <c r="EA177" s="28">
        <f>COGS!EA177+'SG&amp;A'!EA177</f>
        <v>28.591541570000004</v>
      </c>
      <c r="EB177" s="28">
        <f>COGS!EB177+'SG&amp;A'!EB177</f>
        <v>4.65306906</v>
      </c>
      <c r="EC177" s="28">
        <f>COGS!EC177+'SG&amp;A'!EC177</f>
        <v>5.5986909400000009</v>
      </c>
      <c r="ED177" s="28">
        <f>COGS!ED177+'SG&amp;A'!ED177</f>
        <v>5.0469999999999997</v>
      </c>
      <c r="EE177" s="28">
        <f>COGS!EE177+'SG&amp;A'!EE177</f>
        <v>4.4956597000000018</v>
      </c>
      <c r="EF177" s="28">
        <f>COGS!EF177+'SG&amp;A'!EF177</f>
        <v>19.794419700000002</v>
      </c>
      <c r="EG177" s="28">
        <f>COGS!EG177+'SG&amp;A'!EG177</f>
        <v>3.0317393499999996</v>
      </c>
      <c r="EH177" s="28">
        <f>COGS!EH177+'SG&amp;A'!EH177</f>
        <v>2.4945221900000005</v>
      </c>
      <c r="EI177" s="28">
        <f>COGS!EI177+'SG&amp;A'!EI177</f>
        <v>13.323519799999998</v>
      </c>
    </row>
    <row r="178" spans="1:139" ht="15" thickTop="1" x14ac:dyDescent="0.3">
      <c r="A178" s="1" t="s">
        <v>445</v>
      </c>
      <c r="B178" s="27">
        <f>COGS!B178+'SG&amp;A'!B178</f>
        <v>0</v>
      </c>
      <c r="C178" s="27">
        <f>COGS!C178+'SG&amp;A'!C178</f>
        <v>0</v>
      </c>
      <c r="D178" s="27">
        <f>COGS!D178+'SG&amp;A'!D178</f>
        <v>0</v>
      </c>
      <c r="E178" s="27">
        <f>COGS!E178+'SG&amp;A'!E178</f>
        <v>0</v>
      </c>
      <c r="F178" s="27">
        <f>COGS!F178+'SG&amp;A'!F178</f>
        <v>0</v>
      </c>
      <c r="G178" s="27">
        <f>COGS!G178+'SG&amp;A'!G178</f>
        <v>0</v>
      </c>
      <c r="H178" s="27">
        <f>COGS!H178+'SG&amp;A'!H178</f>
        <v>0</v>
      </c>
      <c r="I178" s="27">
        <f>COGS!I178+'SG&amp;A'!I178</f>
        <v>0</v>
      </c>
      <c r="J178" s="27">
        <f>COGS!J178+'SG&amp;A'!J178</f>
        <v>0</v>
      </c>
      <c r="K178" s="27">
        <f>COGS!K178+'SG&amp;A'!K178</f>
        <v>0</v>
      </c>
      <c r="L178" s="27">
        <f>COGS!L178+'SG&amp;A'!L178</f>
        <v>0</v>
      </c>
      <c r="M178" s="27">
        <f>COGS!M178+'SG&amp;A'!M178</f>
        <v>0</v>
      </c>
      <c r="N178" s="27">
        <f>COGS!N178+'SG&amp;A'!N178</f>
        <v>0</v>
      </c>
      <c r="O178" s="27">
        <f>COGS!O178+'SG&amp;A'!O178</f>
        <v>0</v>
      </c>
      <c r="P178" s="27">
        <f>COGS!P178+'SG&amp;A'!P178</f>
        <v>0</v>
      </c>
      <c r="Q178" s="27">
        <f>COGS!Q178+'SG&amp;A'!Q178</f>
        <v>0</v>
      </c>
      <c r="R178" s="27">
        <f>COGS!R178+'SG&amp;A'!R178</f>
        <v>0</v>
      </c>
      <c r="S178" s="27">
        <f>COGS!S178+'SG&amp;A'!S178</f>
        <v>0</v>
      </c>
      <c r="T178" s="27">
        <f>COGS!T178+'SG&amp;A'!T178</f>
        <v>0</v>
      </c>
      <c r="U178" s="27">
        <f>COGS!U178+'SG&amp;A'!U178</f>
        <v>0</v>
      </c>
      <c r="V178" s="27">
        <f>COGS!V178+'SG&amp;A'!V178</f>
        <v>0</v>
      </c>
      <c r="W178" s="27">
        <f>COGS!W178+'SG&amp;A'!W178</f>
        <v>0</v>
      </c>
      <c r="X178" s="27">
        <f>COGS!X178+'SG&amp;A'!X178</f>
        <v>0</v>
      </c>
      <c r="Y178" s="27">
        <f>COGS!Y178+'SG&amp;A'!Y178</f>
        <v>0</v>
      </c>
      <c r="Z178" s="27">
        <f>COGS!Z178+'SG&amp;A'!Z178</f>
        <v>0</v>
      </c>
      <c r="AA178" s="27">
        <f>COGS!AA178+'SG&amp;A'!AA178</f>
        <v>0</v>
      </c>
      <c r="AB178" s="27">
        <f>COGS!AB178+'SG&amp;A'!AB178</f>
        <v>0</v>
      </c>
      <c r="AC178" s="27">
        <f>COGS!AC178+'SG&amp;A'!AC178</f>
        <v>0</v>
      </c>
      <c r="AD178" s="27">
        <f>COGS!AD178+'SG&amp;A'!AD178</f>
        <v>0</v>
      </c>
      <c r="AE178" s="27">
        <f>COGS!AE178+'SG&amp;A'!AE178</f>
        <v>0</v>
      </c>
      <c r="AF178" s="27">
        <f>COGS!AF178+'SG&amp;A'!AF178</f>
        <v>0</v>
      </c>
      <c r="AG178" s="27">
        <f>COGS!AG178+'SG&amp;A'!AG178</f>
        <v>0</v>
      </c>
      <c r="AH178" s="27">
        <f>COGS!AH178+'SG&amp;A'!AH178</f>
        <v>0</v>
      </c>
      <c r="AI178" s="27">
        <f>COGS!AI178+'SG&amp;A'!AI178</f>
        <v>0</v>
      </c>
      <c r="AJ178" s="27">
        <f>COGS!AJ178+'SG&amp;A'!AJ178</f>
        <v>0</v>
      </c>
      <c r="AK178" s="27">
        <f>COGS!AK178+'SG&amp;A'!AK178</f>
        <v>0</v>
      </c>
      <c r="AL178" s="27">
        <f>COGS!AL178+'SG&amp;A'!AL178</f>
        <v>0</v>
      </c>
      <c r="AM178" s="27">
        <f>COGS!AM178+'SG&amp;A'!AM178</f>
        <v>0</v>
      </c>
      <c r="AN178" s="27">
        <f>COGS!AN178+'SG&amp;A'!AN178</f>
        <v>0</v>
      </c>
      <c r="AO178" s="27">
        <f>COGS!AO178+'SG&amp;A'!AO178</f>
        <v>0</v>
      </c>
      <c r="AP178" s="27">
        <f>COGS!AP178+'SG&amp;A'!AP178</f>
        <v>0</v>
      </c>
      <c r="AQ178" s="27">
        <f>COGS!AQ178+'SG&amp;A'!AQ178</f>
        <v>0</v>
      </c>
      <c r="AR178" s="27">
        <f>COGS!AR178+'SG&amp;A'!AR178</f>
        <v>0</v>
      </c>
      <c r="AS178" s="27">
        <f>COGS!AS178+'SG&amp;A'!AS178</f>
        <v>0</v>
      </c>
      <c r="AT178" s="27">
        <f>COGS!AT178+'SG&amp;A'!AT178</f>
        <v>0</v>
      </c>
      <c r="AU178" s="27">
        <f>COGS!AU178+'SG&amp;A'!AU178</f>
        <v>0</v>
      </c>
      <c r="AV178" s="27">
        <f>COGS!AV178+'SG&amp;A'!AV178</f>
        <v>0</v>
      </c>
      <c r="AW178" s="27">
        <f>COGS!AW178+'SG&amp;A'!AW178</f>
        <v>0</v>
      </c>
      <c r="AX178" s="27">
        <f>COGS!AX178+'SG&amp;A'!AX178</f>
        <v>0</v>
      </c>
      <c r="AY178" s="27">
        <f>COGS!AY178+'SG&amp;A'!AY178</f>
        <v>0</v>
      </c>
      <c r="AZ178" s="27">
        <f>COGS!AZ178+'SG&amp;A'!AZ178</f>
        <v>0</v>
      </c>
      <c r="BA178" s="27">
        <f>COGS!BA178+'SG&amp;A'!BA178</f>
        <v>0</v>
      </c>
      <c r="BB178" s="27">
        <f>COGS!BB178+'SG&amp;A'!BB178</f>
        <v>0</v>
      </c>
      <c r="BC178" s="27">
        <f>COGS!BC178+'SG&amp;A'!BC178</f>
        <v>0</v>
      </c>
      <c r="BD178" s="27">
        <f>COGS!BD178+'SG&amp;A'!BD178</f>
        <v>0</v>
      </c>
      <c r="BE178" s="27">
        <f>COGS!BE178+'SG&amp;A'!BE178</f>
        <v>0</v>
      </c>
      <c r="BF178" s="27">
        <f>COGS!BF178+'SG&amp;A'!BF178</f>
        <v>0</v>
      </c>
      <c r="BG178" s="27">
        <f>COGS!BG178+'SG&amp;A'!BG178</f>
        <v>0</v>
      </c>
      <c r="BH178" s="27">
        <f>COGS!BH178+'SG&amp;A'!BH178</f>
        <v>0</v>
      </c>
      <c r="BI178" s="27">
        <f>COGS!BI178+'SG&amp;A'!BI178</f>
        <v>0</v>
      </c>
      <c r="BJ178" s="27">
        <f>COGS!BJ178+'SG&amp;A'!BJ178</f>
        <v>0</v>
      </c>
      <c r="BK178" s="27">
        <f>COGS!BK178+'SG&amp;A'!BK178</f>
        <v>0</v>
      </c>
      <c r="BL178" s="27">
        <f>COGS!BL178+'SG&amp;A'!BL178</f>
        <v>0</v>
      </c>
      <c r="BM178" s="27">
        <f>COGS!BM178+'SG&amp;A'!BM178</f>
        <v>0</v>
      </c>
      <c r="BN178" s="27">
        <f>COGS!BN178+'SG&amp;A'!BN178</f>
        <v>0</v>
      </c>
      <c r="BO178" s="27">
        <f>COGS!BO178+'SG&amp;A'!BO178</f>
        <v>0</v>
      </c>
      <c r="BP178" s="27">
        <f>COGS!BP178+'SG&amp;A'!BP178</f>
        <v>0</v>
      </c>
      <c r="BQ178" s="27">
        <f>COGS!BQ178+'SG&amp;A'!BQ178</f>
        <v>0</v>
      </c>
      <c r="BR178" s="27">
        <f>COGS!BR178+'SG&amp;A'!BR178</f>
        <v>0</v>
      </c>
      <c r="BS178" s="27">
        <f>COGS!BS178+'SG&amp;A'!BS178</f>
        <v>0</v>
      </c>
      <c r="BT178" s="27">
        <f>COGS!BT178+'SG&amp;A'!BT178</f>
        <v>0</v>
      </c>
      <c r="BU178" s="27">
        <f>COGS!BU178+'SG&amp;A'!BU178</f>
        <v>0</v>
      </c>
      <c r="BV178" s="27">
        <f>COGS!BV178+'SG&amp;A'!BV178</f>
        <v>0</v>
      </c>
      <c r="BW178" s="27">
        <f>COGS!BW178+'SG&amp;A'!BW178</f>
        <v>0</v>
      </c>
      <c r="BX178" s="27">
        <f>COGS!BX178+'SG&amp;A'!BX178</f>
        <v>0</v>
      </c>
      <c r="BY178" s="27">
        <f>COGS!BY178+'SG&amp;A'!BY178</f>
        <v>0</v>
      </c>
      <c r="BZ178" s="27">
        <f>COGS!BZ178+'SG&amp;A'!BZ178</f>
        <v>0</v>
      </c>
      <c r="CA178" s="27">
        <f>COGS!CA178+'SG&amp;A'!CA178</f>
        <v>0</v>
      </c>
      <c r="CB178" s="27">
        <f>COGS!CB178+'SG&amp;A'!CB178</f>
        <v>0</v>
      </c>
      <c r="CC178" s="27">
        <f>COGS!CC178+'SG&amp;A'!CC178</f>
        <v>0</v>
      </c>
      <c r="CD178" s="27">
        <f>COGS!CD178+'SG&amp;A'!CD178</f>
        <v>0</v>
      </c>
      <c r="CE178" s="27">
        <f>COGS!CE178+'SG&amp;A'!CE178</f>
        <v>0</v>
      </c>
      <c r="CF178" s="27">
        <f>COGS!CF178+'SG&amp;A'!CF178</f>
        <v>0</v>
      </c>
      <c r="CG178" s="27">
        <f>COGS!CG178+'SG&amp;A'!CG178</f>
        <v>0</v>
      </c>
      <c r="CH178" s="27">
        <f>COGS!CH178+'SG&amp;A'!CH178</f>
        <v>0</v>
      </c>
      <c r="CI178" s="27">
        <f>COGS!CI178+'SG&amp;A'!CI178</f>
        <v>0</v>
      </c>
      <c r="CJ178" s="27">
        <f>COGS!CJ178+'SG&amp;A'!CJ178</f>
        <v>0.47825883999999996</v>
      </c>
      <c r="CK178" s="27">
        <f>COGS!CK178+'SG&amp;A'!CK178</f>
        <v>1.92705013</v>
      </c>
      <c r="CL178" s="27">
        <f>COGS!CL178+'SG&amp;A'!CL178</f>
        <v>0.69255875000000011</v>
      </c>
      <c r="CM178" s="27">
        <f>COGS!CM178+'SG&amp;A'!CM178</f>
        <v>3.09786772</v>
      </c>
      <c r="CN178" s="27">
        <f>COGS!CN178+'SG&amp;A'!CN178</f>
        <v>1.32484143</v>
      </c>
      <c r="CO178" s="27">
        <f>COGS!CO178+'SG&amp;A'!CO178</f>
        <v>1.1823729600000001</v>
      </c>
      <c r="CP178" s="27">
        <f>COGS!CP178+'SG&amp;A'!CP178</f>
        <v>0.94806171999999966</v>
      </c>
      <c r="CQ178" s="27">
        <f>COGS!CQ178+'SG&amp;A'!CQ178</f>
        <v>1.1537238900000004</v>
      </c>
      <c r="CR178" s="27">
        <f>COGS!CR178+'SG&amp;A'!CR178</f>
        <v>4.609</v>
      </c>
      <c r="CS178" s="27">
        <f>COGS!CS178+'SG&amp;A'!CS178</f>
        <v>1.0726116700000001</v>
      </c>
      <c r="CT178" s="27">
        <f>COGS!CT178+'SG&amp;A'!CT178</f>
        <v>1.0965664300000002</v>
      </c>
      <c r="CU178" s="27">
        <f>COGS!CU178+'SG&amp;A'!CU178</f>
        <v>0.90994801999999975</v>
      </c>
      <c r="CV178" s="27">
        <f>COGS!CV178+'SG&amp;A'!CV178</f>
        <v>1.02748646</v>
      </c>
      <c r="CW178" s="27">
        <f>COGS!CW178+'SG&amp;A'!CW178</f>
        <v>4.1066125800000002</v>
      </c>
      <c r="CX178" s="27">
        <f>COGS!CX178+'SG&amp;A'!CX178</f>
        <v>0.83499999999999996</v>
      </c>
      <c r="CY178" s="27">
        <f>COGS!CY178+'SG&amp;A'!CY178</f>
        <v>1.784</v>
      </c>
      <c r="CZ178" s="27">
        <f>COGS!CZ178+'SG&amp;A'!CZ178</f>
        <v>0.90100000000000002</v>
      </c>
      <c r="DA178" s="27">
        <f>COGS!DA178+'SG&amp;A'!DA178</f>
        <v>1.69</v>
      </c>
      <c r="DB178" s="27">
        <f>COGS!DB178+'SG&amp;A'!DB178</f>
        <v>5.21</v>
      </c>
      <c r="DC178" s="27">
        <f>COGS!DC178+'SG&amp;A'!DC178</f>
        <v>1.105</v>
      </c>
      <c r="DD178" s="27">
        <f>COGS!DD178+'SG&amp;A'!DD178</f>
        <v>0.98399999999999999</v>
      </c>
      <c r="DE178" s="27">
        <f>COGS!DE178+'SG&amp;A'!DE178</f>
        <v>1.2890000000000001</v>
      </c>
      <c r="DF178" s="27">
        <f>COGS!DF178+'SG&amp;A'!DF178</f>
        <v>1.484</v>
      </c>
      <c r="DG178" s="27">
        <f>COGS!DG178+'SG&amp;A'!DG178</f>
        <v>4.8620000000000001</v>
      </c>
      <c r="DH178" s="27">
        <f>COGS!DH178+'SG&amp;A'!DH178</f>
        <v>1.357</v>
      </c>
      <c r="DI178" s="27">
        <f>COGS!DI178+'SG&amp;A'!DI178</f>
        <v>1.2409999999999999</v>
      </c>
      <c r="DJ178" s="27">
        <f>COGS!DJ178+'SG&amp;A'!DJ178</f>
        <v>1.488</v>
      </c>
      <c r="DK178" s="27">
        <f>COGS!DK178+'SG&amp;A'!DK178</f>
        <v>1.456</v>
      </c>
      <c r="DL178" s="27">
        <f>COGS!DL178+'SG&amp;A'!DL178</f>
        <v>5.5419999999999998</v>
      </c>
      <c r="DM178" s="27">
        <f>COGS!DM178+'SG&amp;A'!DM178</f>
        <v>1.5580000000000001</v>
      </c>
      <c r="DN178" s="27">
        <f>COGS!DN178+'SG&amp;A'!DN178</f>
        <v>1.6680000000000001</v>
      </c>
      <c r="DO178" s="27">
        <f>COGS!DO178+'SG&amp;A'!DO178</f>
        <v>1.71</v>
      </c>
      <c r="DP178" s="27">
        <f>COGS!DP178+'SG&amp;A'!DP178</f>
        <v>1.43</v>
      </c>
      <c r="DQ178" s="27">
        <f>COGS!DQ178+'SG&amp;A'!DQ178</f>
        <v>6.3660000000000005</v>
      </c>
      <c r="DR178" s="27">
        <f>COGS!DR178+'SG&amp;A'!DR178</f>
        <v>1.597</v>
      </c>
      <c r="DS178" s="27">
        <f>COGS!DS178+'SG&amp;A'!DS178</f>
        <v>1.5069999999999999</v>
      </c>
      <c r="DT178" s="27">
        <f>COGS!DT178+'SG&amp;A'!DT178</f>
        <v>1.3240000000000001</v>
      </c>
      <c r="DU178" s="27">
        <f>COGS!DU178+'SG&amp;A'!DU178</f>
        <v>1.008</v>
      </c>
      <c r="DV178" s="27">
        <f>COGS!DV178+'SG&amp;A'!DV178</f>
        <v>5.4359999999999999</v>
      </c>
      <c r="DW178" s="27">
        <f>COGS!DW178+'SG&amp;A'!DW178</f>
        <v>1.7200000000000002</v>
      </c>
      <c r="DX178" s="27">
        <f>COGS!DX178+'SG&amp;A'!DX178</f>
        <v>1.26089688</v>
      </c>
      <c r="DY178" s="27">
        <f>COGS!DY178+'SG&amp;A'!DY178</f>
        <v>1.6971394500000003</v>
      </c>
      <c r="DZ178" s="27">
        <f>COGS!DZ178+'SG&amp;A'!DZ178</f>
        <v>0.86909651999999982</v>
      </c>
      <c r="EA178" s="27">
        <f>COGS!EA178+'SG&amp;A'!EA178</f>
        <v>5.5471328500000006</v>
      </c>
      <c r="EB178" s="27">
        <f>COGS!EB178+'SG&amp;A'!EB178</f>
        <v>2.0502444200000003</v>
      </c>
      <c r="EC178" s="27">
        <f>COGS!EC178+'SG&amp;A'!EC178</f>
        <v>1.3843953899999999</v>
      </c>
      <c r="ED178" s="27">
        <f>COGS!ED178+'SG&amp;A'!ED178</f>
        <v>1.8340000000000001</v>
      </c>
      <c r="EE178" s="27">
        <f>COGS!EE178+'SG&amp;A'!EE178</f>
        <v>1.3039687900000001</v>
      </c>
      <c r="EF178" s="27">
        <f>COGS!EF178+'SG&amp;A'!EF178</f>
        <v>6.5726085999999997</v>
      </c>
      <c r="EG178" s="27">
        <f>COGS!EG178+'SG&amp;A'!EG178</f>
        <v>1.0957545900000001</v>
      </c>
      <c r="EH178" s="27">
        <f>COGS!EH178+'SG&amp;A'!EH178</f>
        <v>1.4676624999999999</v>
      </c>
      <c r="EI178" s="27">
        <f>COGS!EI178+'SG&amp;A'!EI178</f>
        <v>1.32819289</v>
      </c>
    </row>
    <row r="179" spans="1:139" ht="15" thickBot="1" x14ac:dyDescent="0.35">
      <c r="A179" s="2" t="s">
        <v>444</v>
      </c>
      <c r="B179" s="28">
        <f>COGS!B179+'SG&amp;A'!B179</f>
        <v>0</v>
      </c>
      <c r="C179" s="28">
        <f>COGS!C179+'SG&amp;A'!C179</f>
        <v>0</v>
      </c>
      <c r="D179" s="28">
        <f>COGS!D179+'SG&amp;A'!D179</f>
        <v>0</v>
      </c>
      <c r="E179" s="28">
        <f>COGS!E179+'SG&amp;A'!E179</f>
        <v>0</v>
      </c>
      <c r="F179" s="28">
        <f>COGS!F179+'SG&amp;A'!F179</f>
        <v>0</v>
      </c>
      <c r="G179" s="28">
        <f>COGS!G179+'SG&amp;A'!G179</f>
        <v>0</v>
      </c>
      <c r="H179" s="28">
        <f>COGS!H179+'SG&amp;A'!H179</f>
        <v>0</v>
      </c>
      <c r="I179" s="28">
        <f>COGS!I179+'SG&amp;A'!I179</f>
        <v>0</v>
      </c>
      <c r="J179" s="28">
        <f>COGS!J179+'SG&amp;A'!J179</f>
        <v>0</v>
      </c>
      <c r="K179" s="28">
        <f>COGS!K179+'SG&amp;A'!K179</f>
        <v>0</v>
      </c>
      <c r="L179" s="28">
        <f>COGS!L179+'SG&amp;A'!L179</f>
        <v>0</v>
      </c>
      <c r="M179" s="28">
        <f>COGS!M179+'SG&amp;A'!M179</f>
        <v>0</v>
      </c>
      <c r="N179" s="28">
        <f>COGS!N179+'SG&amp;A'!N179</f>
        <v>0</v>
      </c>
      <c r="O179" s="28">
        <f>COGS!O179+'SG&amp;A'!O179</f>
        <v>0</v>
      </c>
      <c r="P179" s="28">
        <f>COGS!P179+'SG&amp;A'!P179</f>
        <v>0</v>
      </c>
      <c r="Q179" s="28">
        <f>COGS!Q179+'SG&amp;A'!Q179</f>
        <v>0</v>
      </c>
      <c r="R179" s="28">
        <f>COGS!R179+'SG&amp;A'!R179</f>
        <v>0</v>
      </c>
      <c r="S179" s="28">
        <f>COGS!S179+'SG&amp;A'!S179</f>
        <v>0</v>
      </c>
      <c r="T179" s="28">
        <f>COGS!T179+'SG&amp;A'!T179</f>
        <v>0</v>
      </c>
      <c r="U179" s="28">
        <f>COGS!U179+'SG&amp;A'!U179</f>
        <v>0</v>
      </c>
      <c r="V179" s="28">
        <f>COGS!V179+'SG&amp;A'!V179</f>
        <v>0</v>
      </c>
      <c r="W179" s="28">
        <f>COGS!W179+'SG&amp;A'!W179</f>
        <v>0</v>
      </c>
      <c r="X179" s="28">
        <f>COGS!X179+'SG&amp;A'!X179</f>
        <v>0</v>
      </c>
      <c r="Y179" s="28">
        <f>COGS!Y179+'SG&amp;A'!Y179</f>
        <v>0</v>
      </c>
      <c r="Z179" s="28">
        <f>COGS!Z179+'SG&amp;A'!Z179</f>
        <v>0</v>
      </c>
      <c r="AA179" s="28">
        <f>COGS!AA179+'SG&amp;A'!AA179</f>
        <v>0</v>
      </c>
      <c r="AB179" s="28">
        <f>COGS!AB179+'SG&amp;A'!AB179</f>
        <v>0</v>
      </c>
      <c r="AC179" s="28">
        <f>COGS!AC179+'SG&amp;A'!AC179</f>
        <v>0</v>
      </c>
      <c r="AD179" s="28">
        <f>COGS!AD179+'SG&amp;A'!AD179</f>
        <v>0</v>
      </c>
      <c r="AE179" s="28">
        <f>COGS!AE179+'SG&amp;A'!AE179</f>
        <v>0</v>
      </c>
      <c r="AF179" s="28">
        <f>COGS!AF179+'SG&amp;A'!AF179</f>
        <v>0</v>
      </c>
      <c r="AG179" s="28">
        <f>COGS!AG179+'SG&amp;A'!AG179</f>
        <v>0</v>
      </c>
      <c r="AH179" s="28">
        <f>COGS!AH179+'SG&amp;A'!AH179</f>
        <v>0</v>
      </c>
      <c r="AI179" s="28">
        <f>COGS!AI179+'SG&amp;A'!AI179</f>
        <v>0</v>
      </c>
      <c r="AJ179" s="28">
        <f>COGS!AJ179+'SG&amp;A'!AJ179</f>
        <v>0</v>
      </c>
      <c r="AK179" s="28">
        <f>COGS!AK179+'SG&amp;A'!AK179</f>
        <v>0</v>
      </c>
      <c r="AL179" s="28">
        <f>COGS!AL179+'SG&amp;A'!AL179</f>
        <v>0</v>
      </c>
      <c r="AM179" s="28">
        <f>COGS!AM179+'SG&amp;A'!AM179</f>
        <v>0</v>
      </c>
      <c r="AN179" s="28">
        <f>COGS!AN179+'SG&amp;A'!AN179</f>
        <v>0</v>
      </c>
      <c r="AO179" s="28">
        <f>COGS!AO179+'SG&amp;A'!AO179</f>
        <v>0</v>
      </c>
      <c r="AP179" s="28">
        <f>COGS!AP179+'SG&amp;A'!AP179</f>
        <v>0</v>
      </c>
      <c r="AQ179" s="28">
        <f>COGS!AQ179+'SG&amp;A'!AQ179</f>
        <v>0</v>
      </c>
      <c r="AR179" s="28">
        <f>COGS!AR179+'SG&amp;A'!AR179</f>
        <v>0</v>
      </c>
      <c r="AS179" s="28">
        <f>COGS!AS179+'SG&amp;A'!AS179</f>
        <v>0</v>
      </c>
      <c r="AT179" s="28">
        <f>COGS!AT179+'SG&amp;A'!AT179</f>
        <v>0</v>
      </c>
      <c r="AU179" s="28">
        <f>COGS!AU179+'SG&amp;A'!AU179</f>
        <v>0</v>
      </c>
      <c r="AV179" s="28">
        <f>COGS!AV179+'SG&amp;A'!AV179</f>
        <v>0</v>
      </c>
      <c r="AW179" s="28">
        <f>COGS!AW179+'SG&amp;A'!AW179</f>
        <v>0</v>
      </c>
      <c r="AX179" s="28">
        <f>COGS!AX179+'SG&amp;A'!AX179</f>
        <v>0</v>
      </c>
      <c r="AY179" s="28">
        <f>COGS!AY179+'SG&amp;A'!AY179</f>
        <v>0</v>
      </c>
      <c r="AZ179" s="28">
        <f>COGS!AZ179+'SG&amp;A'!AZ179</f>
        <v>0</v>
      </c>
      <c r="BA179" s="28">
        <f>COGS!BA179+'SG&amp;A'!BA179</f>
        <v>0</v>
      </c>
      <c r="BB179" s="28">
        <f>COGS!BB179+'SG&amp;A'!BB179</f>
        <v>0</v>
      </c>
      <c r="BC179" s="28">
        <f>COGS!BC179+'SG&amp;A'!BC179</f>
        <v>0</v>
      </c>
      <c r="BD179" s="28">
        <f>COGS!BD179+'SG&amp;A'!BD179</f>
        <v>0</v>
      </c>
      <c r="BE179" s="28">
        <f>COGS!BE179+'SG&amp;A'!BE179</f>
        <v>0</v>
      </c>
      <c r="BF179" s="28">
        <f>COGS!BF179+'SG&amp;A'!BF179</f>
        <v>0</v>
      </c>
      <c r="BG179" s="28">
        <f>COGS!BG179+'SG&amp;A'!BG179</f>
        <v>0</v>
      </c>
      <c r="BH179" s="28">
        <f>COGS!BH179+'SG&amp;A'!BH179</f>
        <v>0</v>
      </c>
      <c r="BI179" s="28">
        <f>COGS!BI179+'SG&amp;A'!BI179</f>
        <v>0</v>
      </c>
      <c r="BJ179" s="28">
        <f>COGS!BJ179+'SG&amp;A'!BJ179</f>
        <v>0</v>
      </c>
      <c r="BK179" s="28">
        <f>COGS!BK179+'SG&amp;A'!BK179</f>
        <v>0</v>
      </c>
      <c r="BL179" s="28">
        <f>COGS!BL179+'SG&amp;A'!BL179</f>
        <v>0</v>
      </c>
      <c r="BM179" s="28">
        <f>COGS!BM179+'SG&amp;A'!BM179</f>
        <v>0</v>
      </c>
      <c r="BN179" s="28">
        <f>COGS!BN179+'SG&amp;A'!BN179</f>
        <v>0</v>
      </c>
      <c r="BO179" s="28">
        <f>COGS!BO179+'SG&amp;A'!BO179</f>
        <v>0</v>
      </c>
      <c r="BP179" s="28">
        <f>COGS!BP179+'SG&amp;A'!BP179</f>
        <v>0</v>
      </c>
      <c r="BQ179" s="28">
        <f>COGS!BQ179+'SG&amp;A'!BQ179</f>
        <v>0</v>
      </c>
      <c r="BR179" s="28">
        <f>COGS!BR179+'SG&amp;A'!BR179</f>
        <v>0</v>
      </c>
      <c r="BS179" s="28">
        <f>COGS!BS179+'SG&amp;A'!BS179</f>
        <v>0</v>
      </c>
      <c r="BT179" s="28">
        <f>COGS!BT179+'SG&amp;A'!BT179</f>
        <v>0</v>
      </c>
      <c r="BU179" s="28">
        <f>COGS!BU179+'SG&amp;A'!BU179</f>
        <v>0</v>
      </c>
      <c r="BV179" s="28">
        <f>COGS!BV179+'SG&amp;A'!BV179</f>
        <v>0</v>
      </c>
      <c r="BW179" s="28">
        <f>COGS!BW179+'SG&amp;A'!BW179</f>
        <v>0</v>
      </c>
      <c r="BX179" s="28">
        <f>COGS!BX179+'SG&amp;A'!BX179</f>
        <v>0</v>
      </c>
      <c r="BY179" s="28">
        <f>COGS!BY179+'SG&amp;A'!BY179</f>
        <v>0</v>
      </c>
      <c r="BZ179" s="28">
        <f>COGS!BZ179+'SG&amp;A'!BZ179</f>
        <v>0</v>
      </c>
      <c r="CA179" s="28">
        <f>COGS!CA179+'SG&amp;A'!CA179</f>
        <v>0</v>
      </c>
      <c r="CB179" s="28">
        <f>COGS!CB179+'SG&amp;A'!CB179</f>
        <v>0</v>
      </c>
      <c r="CC179" s="28">
        <f>COGS!CC179+'SG&amp;A'!CC179</f>
        <v>0</v>
      </c>
      <c r="CD179" s="28">
        <f>COGS!CD179+'SG&amp;A'!CD179</f>
        <v>0</v>
      </c>
      <c r="CE179" s="28">
        <f>COGS!CE179+'SG&amp;A'!CE179</f>
        <v>0</v>
      </c>
      <c r="CF179" s="28">
        <f>COGS!CF179+'SG&amp;A'!CF179</f>
        <v>0</v>
      </c>
      <c r="CG179" s="28">
        <f>COGS!CG179+'SG&amp;A'!CG179</f>
        <v>0</v>
      </c>
      <c r="CH179" s="28">
        <f>COGS!CH179+'SG&amp;A'!CH179</f>
        <v>0</v>
      </c>
      <c r="CI179" s="28">
        <f>COGS!CI179+'SG&amp;A'!CI179</f>
        <v>0</v>
      </c>
      <c r="CJ179" s="28">
        <f>COGS!CJ179+'SG&amp;A'!CJ179</f>
        <v>0</v>
      </c>
      <c r="CK179" s="28">
        <f>COGS!CK179+'SG&amp;A'!CK179</f>
        <v>0</v>
      </c>
      <c r="CL179" s="28">
        <f>COGS!CL179+'SG&amp;A'!CL179</f>
        <v>0</v>
      </c>
      <c r="CM179" s="28">
        <f>COGS!CM179+'SG&amp;A'!CM179</f>
        <v>0</v>
      </c>
      <c r="CN179" s="28">
        <f>COGS!CN179+'SG&amp;A'!CN179</f>
        <v>0</v>
      </c>
      <c r="CO179" s="28">
        <f>COGS!CO179+'SG&amp;A'!CO179</f>
        <v>0</v>
      </c>
      <c r="CP179" s="28">
        <f>COGS!CP179+'SG&amp;A'!CP179</f>
        <v>0</v>
      </c>
      <c r="CQ179" s="28">
        <f>COGS!CQ179+'SG&amp;A'!CQ179</f>
        <v>0</v>
      </c>
      <c r="CR179" s="28">
        <f>COGS!CR179+'SG&amp;A'!CR179</f>
        <v>0</v>
      </c>
      <c r="CS179" s="28">
        <f>COGS!CS179+'SG&amp;A'!CS179</f>
        <v>0</v>
      </c>
      <c r="CT179" s="28">
        <f>COGS!CT179+'SG&amp;A'!CT179</f>
        <v>0</v>
      </c>
      <c r="CU179" s="28">
        <f>COGS!CU179+'SG&amp;A'!CU179</f>
        <v>0</v>
      </c>
      <c r="CV179" s="28">
        <f>COGS!CV179+'SG&amp;A'!CV179</f>
        <v>0</v>
      </c>
      <c r="CW179" s="28">
        <f>COGS!CW179+'SG&amp;A'!CW179</f>
        <v>0</v>
      </c>
      <c r="CX179" s="28">
        <f>COGS!CX179+'SG&amp;A'!CX179</f>
        <v>0</v>
      </c>
      <c r="CY179" s="28">
        <f>COGS!CY179+'SG&amp;A'!CY179</f>
        <v>0</v>
      </c>
      <c r="CZ179" s="28">
        <f>COGS!CZ179+'SG&amp;A'!CZ179</f>
        <v>0</v>
      </c>
      <c r="DA179" s="28">
        <f>COGS!DA179+'SG&amp;A'!DA179</f>
        <v>0</v>
      </c>
      <c r="DB179" s="28">
        <f>COGS!DB179+'SG&amp;A'!DB179</f>
        <v>0</v>
      </c>
      <c r="DC179" s="28">
        <f>COGS!DC179+'SG&amp;A'!DC179</f>
        <v>0</v>
      </c>
      <c r="DD179" s="28">
        <f>COGS!DD179+'SG&amp;A'!DD179</f>
        <v>1.2509999999999999</v>
      </c>
      <c r="DE179" s="28">
        <f>COGS!DE179+'SG&amp;A'!DE179</f>
        <v>2.7470000000000003</v>
      </c>
      <c r="DF179" s="28">
        <f>COGS!DF179+'SG&amp;A'!DF179</f>
        <v>2.3129999999999997</v>
      </c>
      <c r="DG179" s="28">
        <f>COGS!DG179+'SG&amp;A'!DG179</f>
        <v>6.3109999999999999</v>
      </c>
      <c r="DH179" s="28">
        <f>COGS!DH179+'SG&amp;A'!DH179</f>
        <v>2.387</v>
      </c>
      <c r="DI179" s="28">
        <f>COGS!DI179+'SG&amp;A'!DI179</f>
        <v>2.2360000000000002</v>
      </c>
      <c r="DJ179" s="28">
        <f>COGS!DJ179+'SG&amp;A'!DJ179</f>
        <v>2.1509999999999998</v>
      </c>
      <c r="DK179" s="28">
        <f>COGS!DK179+'SG&amp;A'!DK179</f>
        <v>2.2489999999999997</v>
      </c>
      <c r="DL179" s="28">
        <f>COGS!DL179+'SG&amp;A'!DL179</f>
        <v>9.0229999999999997</v>
      </c>
      <c r="DM179" s="28">
        <f>COGS!DM179+'SG&amp;A'!DM179</f>
        <v>1.8130000000000002</v>
      </c>
      <c r="DN179" s="28">
        <f>COGS!DN179+'SG&amp;A'!DN179</f>
        <v>7.3290000000000006</v>
      </c>
      <c r="DO179" s="28">
        <f>COGS!DO179+'SG&amp;A'!DO179</f>
        <v>2.1070000000000002</v>
      </c>
      <c r="DP179" s="28">
        <f>COGS!DP179+'SG&amp;A'!DP179</f>
        <v>-3.5680000000000001</v>
      </c>
      <c r="DQ179" s="28">
        <f>COGS!DQ179+'SG&amp;A'!DQ179</f>
        <v>7.6810000000000009</v>
      </c>
      <c r="DR179" s="28">
        <f>COGS!DR179+'SG&amp;A'!DR179</f>
        <v>2.331</v>
      </c>
      <c r="DS179" s="28">
        <f>COGS!DS179+'SG&amp;A'!DS179</f>
        <v>2.0009999999999999</v>
      </c>
      <c r="DT179" s="28">
        <f>COGS!DT179+'SG&amp;A'!DT179</f>
        <v>2.355</v>
      </c>
      <c r="DU179" s="28">
        <f>COGS!DU179+'SG&amp;A'!DU179</f>
        <v>2.0609999999999999</v>
      </c>
      <c r="DV179" s="28">
        <f>COGS!DV179+'SG&amp;A'!DV179</f>
        <v>8.7479999999999993</v>
      </c>
      <c r="DW179" s="28">
        <f>COGS!DW179+'SG&amp;A'!DW179</f>
        <v>1.643</v>
      </c>
      <c r="DX179" s="28">
        <f>COGS!DX179+'SG&amp;A'!DX179</f>
        <v>2.1695155599999998</v>
      </c>
      <c r="DY179" s="28">
        <f>COGS!DY179+'SG&amp;A'!DY179</f>
        <v>2.8092943000000004</v>
      </c>
      <c r="DZ179" s="28">
        <f>COGS!DZ179+'SG&amp;A'!DZ179</f>
        <v>2.4446480099999999</v>
      </c>
      <c r="EA179" s="28">
        <f>COGS!EA179+'SG&amp;A'!EA179</f>
        <v>9.0664578700000007</v>
      </c>
      <c r="EB179" s="28">
        <f>COGS!EB179+'SG&amp;A'!EB179</f>
        <v>2.3947286600000002</v>
      </c>
      <c r="EC179" s="28">
        <f>COGS!EC179+'SG&amp;A'!EC179</f>
        <v>2.3844384500000002</v>
      </c>
      <c r="ED179" s="28">
        <f>COGS!ED179+'SG&amp;A'!ED179</f>
        <v>1.6919999999999999</v>
      </c>
      <c r="EE179" s="28">
        <f>COGS!EE179+'SG&amp;A'!EE179</f>
        <v>2.2441525600000003</v>
      </c>
      <c r="EF179" s="28">
        <f>COGS!EF179+'SG&amp;A'!EF179</f>
        <v>8.7153196700000013</v>
      </c>
      <c r="EG179" s="28">
        <f>COGS!EG179+'SG&amp;A'!EG179</f>
        <v>1.43951999</v>
      </c>
      <c r="EH179" s="28">
        <f>COGS!EH179+'SG&amp;A'!EH179</f>
        <v>2.2564442700000003</v>
      </c>
      <c r="EI179" s="28">
        <f>COGS!EI179+'SG&amp;A'!EI179</f>
        <v>2.8001572399999999</v>
      </c>
    </row>
    <row r="180" spans="1:139" ht="15" thickTop="1" x14ac:dyDescent="0.3">
      <c r="A180" s="1" t="s">
        <v>456</v>
      </c>
      <c r="B180" s="27">
        <f>COGS!B180+'SG&amp;A'!B180</f>
        <v>0</v>
      </c>
      <c r="C180" s="27">
        <f>COGS!C180+'SG&amp;A'!C180</f>
        <v>0</v>
      </c>
      <c r="D180" s="27">
        <f>COGS!D180+'SG&amp;A'!D180</f>
        <v>0</v>
      </c>
      <c r="E180" s="27">
        <f>COGS!E180+'SG&amp;A'!E180</f>
        <v>0</v>
      </c>
      <c r="F180" s="27">
        <f>COGS!F180+'SG&amp;A'!F180</f>
        <v>0</v>
      </c>
      <c r="G180" s="27">
        <f>COGS!G180+'SG&amp;A'!G180</f>
        <v>0</v>
      </c>
      <c r="H180" s="27">
        <f>COGS!H180+'SG&amp;A'!H180</f>
        <v>0</v>
      </c>
      <c r="I180" s="27">
        <f>COGS!I180+'SG&amp;A'!I180</f>
        <v>0</v>
      </c>
      <c r="J180" s="27">
        <f>COGS!J180+'SG&amp;A'!J180</f>
        <v>0</v>
      </c>
      <c r="K180" s="27">
        <f>COGS!K180+'SG&amp;A'!K180</f>
        <v>0</v>
      </c>
      <c r="L180" s="27">
        <f>COGS!L180+'SG&amp;A'!L180</f>
        <v>0</v>
      </c>
      <c r="M180" s="27">
        <f>COGS!M180+'SG&amp;A'!M180</f>
        <v>0</v>
      </c>
      <c r="N180" s="27">
        <f>COGS!N180+'SG&amp;A'!N180</f>
        <v>0</v>
      </c>
      <c r="O180" s="27">
        <f>COGS!O180+'SG&amp;A'!O180</f>
        <v>0</v>
      </c>
      <c r="P180" s="27">
        <f>COGS!P180+'SG&amp;A'!P180</f>
        <v>0</v>
      </c>
      <c r="Q180" s="27">
        <f>COGS!Q180+'SG&amp;A'!Q180</f>
        <v>0</v>
      </c>
      <c r="R180" s="27">
        <f>COGS!R180+'SG&amp;A'!R180</f>
        <v>0</v>
      </c>
      <c r="S180" s="27">
        <f>COGS!S180+'SG&amp;A'!S180</f>
        <v>0</v>
      </c>
      <c r="T180" s="27">
        <f>COGS!T180+'SG&amp;A'!T180</f>
        <v>0</v>
      </c>
      <c r="U180" s="27">
        <f>COGS!U180+'SG&amp;A'!U180</f>
        <v>0</v>
      </c>
      <c r="V180" s="27">
        <f>COGS!V180+'SG&amp;A'!V180</f>
        <v>0</v>
      </c>
      <c r="W180" s="27">
        <f>COGS!W180+'SG&amp;A'!W180</f>
        <v>0</v>
      </c>
      <c r="X180" s="27">
        <f>COGS!X180+'SG&amp;A'!X180</f>
        <v>0</v>
      </c>
      <c r="Y180" s="27">
        <f>COGS!Y180+'SG&amp;A'!Y180</f>
        <v>0</v>
      </c>
      <c r="Z180" s="27">
        <f>COGS!Z180+'SG&amp;A'!Z180</f>
        <v>0</v>
      </c>
      <c r="AA180" s="27">
        <f>COGS!AA180+'SG&amp;A'!AA180</f>
        <v>0</v>
      </c>
      <c r="AB180" s="27">
        <f>COGS!AB180+'SG&amp;A'!AB180</f>
        <v>0</v>
      </c>
      <c r="AC180" s="27">
        <f>COGS!AC180+'SG&amp;A'!AC180</f>
        <v>0</v>
      </c>
      <c r="AD180" s="27">
        <f>COGS!AD180+'SG&amp;A'!AD180</f>
        <v>0</v>
      </c>
      <c r="AE180" s="27">
        <f>COGS!AE180+'SG&amp;A'!AE180</f>
        <v>0</v>
      </c>
      <c r="AF180" s="27">
        <f>COGS!AF180+'SG&amp;A'!AF180</f>
        <v>0</v>
      </c>
      <c r="AG180" s="27">
        <f>COGS!AG180+'SG&amp;A'!AG180</f>
        <v>0</v>
      </c>
      <c r="AH180" s="27">
        <f>COGS!AH180+'SG&amp;A'!AH180</f>
        <v>0</v>
      </c>
      <c r="AI180" s="27">
        <f>COGS!AI180+'SG&amp;A'!AI180</f>
        <v>0</v>
      </c>
      <c r="AJ180" s="27">
        <f>COGS!AJ180+'SG&amp;A'!AJ180</f>
        <v>0</v>
      </c>
      <c r="AK180" s="27">
        <f>COGS!AK180+'SG&amp;A'!AK180</f>
        <v>0</v>
      </c>
      <c r="AL180" s="27">
        <f>COGS!AL180+'SG&amp;A'!AL180</f>
        <v>0</v>
      </c>
      <c r="AM180" s="27">
        <f>COGS!AM180+'SG&amp;A'!AM180</f>
        <v>0</v>
      </c>
      <c r="AN180" s="27">
        <f>COGS!AN180+'SG&amp;A'!AN180</f>
        <v>0</v>
      </c>
      <c r="AO180" s="27">
        <f>COGS!AO180+'SG&amp;A'!AO180</f>
        <v>0</v>
      </c>
      <c r="AP180" s="27">
        <f>COGS!AP180+'SG&amp;A'!AP180</f>
        <v>0</v>
      </c>
      <c r="AQ180" s="27">
        <f>COGS!AQ180+'SG&amp;A'!AQ180</f>
        <v>0</v>
      </c>
      <c r="AR180" s="27">
        <f>COGS!AR180+'SG&amp;A'!AR180</f>
        <v>0</v>
      </c>
      <c r="AS180" s="27">
        <f>COGS!AS180+'SG&amp;A'!AS180</f>
        <v>0</v>
      </c>
      <c r="AT180" s="27">
        <f>COGS!AT180+'SG&amp;A'!AT180</f>
        <v>0</v>
      </c>
      <c r="AU180" s="27">
        <f>COGS!AU180+'SG&amp;A'!AU180</f>
        <v>0</v>
      </c>
      <c r="AV180" s="27">
        <f>COGS!AV180+'SG&amp;A'!AV180</f>
        <v>0</v>
      </c>
      <c r="AW180" s="27">
        <f>COGS!AW180+'SG&amp;A'!AW180</f>
        <v>0</v>
      </c>
      <c r="AX180" s="27">
        <f>COGS!AX180+'SG&amp;A'!AX180</f>
        <v>0</v>
      </c>
      <c r="AY180" s="27">
        <f>COGS!AY180+'SG&amp;A'!AY180</f>
        <v>0</v>
      </c>
      <c r="AZ180" s="27">
        <f>COGS!AZ180+'SG&amp;A'!AZ180</f>
        <v>0</v>
      </c>
      <c r="BA180" s="27">
        <f>COGS!BA180+'SG&amp;A'!BA180</f>
        <v>0</v>
      </c>
      <c r="BB180" s="27">
        <f>COGS!BB180+'SG&amp;A'!BB180</f>
        <v>0</v>
      </c>
      <c r="BC180" s="27">
        <f>COGS!BC180+'SG&amp;A'!BC180</f>
        <v>0</v>
      </c>
      <c r="BD180" s="27">
        <f>COGS!BD180+'SG&amp;A'!BD180</f>
        <v>0</v>
      </c>
      <c r="BE180" s="27">
        <f>COGS!BE180+'SG&amp;A'!BE180</f>
        <v>0</v>
      </c>
      <c r="BF180" s="27">
        <f>COGS!BF180+'SG&amp;A'!BF180</f>
        <v>0</v>
      </c>
      <c r="BG180" s="27">
        <f>COGS!BG180+'SG&amp;A'!BG180</f>
        <v>0</v>
      </c>
      <c r="BH180" s="27">
        <f>COGS!BH180+'SG&amp;A'!BH180</f>
        <v>0</v>
      </c>
      <c r="BI180" s="27">
        <f>COGS!BI180+'SG&amp;A'!BI180</f>
        <v>0</v>
      </c>
      <c r="BJ180" s="27">
        <f>COGS!BJ180+'SG&amp;A'!BJ180</f>
        <v>0</v>
      </c>
      <c r="BK180" s="27">
        <f>COGS!BK180+'SG&amp;A'!BK180</f>
        <v>0</v>
      </c>
      <c r="BL180" s="27">
        <f>COGS!BL180+'SG&amp;A'!BL180</f>
        <v>0</v>
      </c>
      <c r="BM180" s="27">
        <f>COGS!BM180+'SG&amp;A'!BM180</f>
        <v>0</v>
      </c>
      <c r="BN180" s="27">
        <f>COGS!BN180+'SG&amp;A'!BN180</f>
        <v>0</v>
      </c>
      <c r="BO180" s="27">
        <f>COGS!BO180+'SG&amp;A'!BO180</f>
        <v>0</v>
      </c>
      <c r="BP180" s="27">
        <f>COGS!BP180+'SG&amp;A'!BP180</f>
        <v>0</v>
      </c>
      <c r="BQ180" s="27">
        <f>COGS!BQ180+'SG&amp;A'!BQ180</f>
        <v>0</v>
      </c>
      <c r="BR180" s="27">
        <f>COGS!BR180+'SG&amp;A'!BR180</f>
        <v>0</v>
      </c>
      <c r="BS180" s="27">
        <f>COGS!BS180+'SG&amp;A'!BS180</f>
        <v>0</v>
      </c>
      <c r="BT180" s="27">
        <f>COGS!BT180+'SG&amp;A'!BT180</f>
        <v>0</v>
      </c>
      <c r="BU180" s="27">
        <f>COGS!BU180+'SG&amp;A'!BU180</f>
        <v>0</v>
      </c>
      <c r="BV180" s="27">
        <f>COGS!BV180+'SG&amp;A'!BV180</f>
        <v>0</v>
      </c>
      <c r="BW180" s="27">
        <f>COGS!BW180+'SG&amp;A'!BW180</f>
        <v>0</v>
      </c>
      <c r="BX180" s="27">
        <f>COGS!BX180+'SG&amp;A'!BX180</f>
        <v>0</v>
      </c>
      <c r="BY180" s="27">
        <f>COGS!BY180+'SG&amp;A'!BY180</f>
        <v>0</v>
      </c>
      <c r="BZ180" s="27">
        <f>COGS!BZ180+'SG&amp;A'!BZ180</f>
        <v>0</v>
      </c>
      <c r="CA180" s="27">
        <f>COGS!CA180+'SG&amp;A'!CA180</f>
        <v>0</v>
      </c>
      <c r="CB180" s="27">
        <f>COGS!CB180+'SG&amp;A'!CB180</f>
        <v>0</v>
      </c>
      <c r="CC180" s="27">
        <f>COGS!CC180+'SG&amp;A'!CC180</f>
        <v>0</v>
      </c>
      <c r="CD180" s="27">
        <f>COGS!CD180+'SG&amp;A'!CD180</f>
        <v>0</v>
      </c>
      <c r="CE180" s="27">
        <f>COGS!CE180+'SG&amp;A'!CE180</f>
        <v>0</v>
      </c>
      <c r="CF180" s="27">
        <f>COGS!CF180+'SG&amp;A'!CF180</f>
        <v>0</v>
      </c>
      <c r="CG180" s="27">
        <f>COGS!CG180+'SG&amp;A'!CG180</f>
        <v>0</v>
      </c>
      <c r="CH180" s="27">
        <f>COGS!CH180+'SG&amp;A'!CH180</f>
        <v>0</v>
      </c>
      <c r="CI180" s="27">
        <f>COGS!CI180+'SG&amp;A'!CI180</f>
        <v>0</v>
      </c>
      <c r="CJ180" s="27">
        <f>COGS!CJ180+'SG&amp;A'!CJ180</f>
        <v>0</v>
      </c>
      <c r="CK180" s="27">
        <f>COGS!CK180+'SG&amp;A'!CK180</f>
        <v>0</v>
      </c>
      <c r="CL180" s="27">
        <f>COGS!CL180+'SG&amp;A'!CL180</f>
        <v>0</v>
      </c>
      <c r="CM180" s="27">
        <f>COGS!CM180+'SG&amp;A'!CM180</f>
        <v>0</v>
      </c>
      <c r="CN180" s="27">
        <f>COGS!CN180+'SG&amp;A'!CN180</f>
        <v>0</v>
      </c>
      <c r="CO180" s="27">
        <f>COGS!CO180+'SG&amp;A'!CO180</f>
        <v>0</v>
      </c>
      <c r="CP180" s="27">
        <f>COGS!CP180+'SG&amp;A'!CP180</f>
        <v>0</v>
      </c>
      <c r="CQ180" s="27">
        <f>COGS!CQ180+'SG&amp;A'!CQ180</f>
        <v>0</v>
      </c>
      <c r="CR180" s="27">
        <f>COGS!CR180+'SG&amp;A'!CR180</f>
        <v>0</v>
      </c>
      <c r="CS180" s="27">
        <f>COGS!CS180+'SG&amp;A'!CS180</f>
        <v>0</v>
      </c>
      <c r="CT180" s="27">
        <f>COGS!CT180+'SG&amp;A'!CT180</f>
        <v>0</v>
      </c>
      <c r="CU180" s="27">
        <f>COGS!CU180+'SG&amp;A'!CU180</f>
        <v>0</v>
      </c>
      <c r="CV180" s="27">
        <f>COGS!CV180+'SG&amp;A'!CV180</f>
        <v>0</v>
      </c>
      <c r="CW180" s="27">
        <f>COGS!CW180+'SG&amp;A'!CW180</f>
        <v>0</v>
      </c>
      <c r="CX180" s="27">
        <f>COGS!CX180+'SG&amp;A'!CX180</f>
        <v>0</v>
      </c>
      <c r="CY180" s="27">
        <f>COGS!CY180+'SG&amp;A'!CY180</f>
        <v>5.2999999999999999E-2</v>
      </c>
      <c r="CZ180" s="27">
        <f>COGS!CZ180+'SG&amp;A'!CZ180</f>
        <v>0.27600000000000002</v>
      </c>
      <c r="DA180" s="27">
        <f>COGS!DA180+'SG&amp;A'!DA180</f>
        <v>0.34600000000000009</v>
      </c>
      <c r="DB180" s="27">
        <f>COGS!DB180+'SG&amp;A'!DB180</f>
        <v>0.67500000000000004</v>
      </c>
      <c r="DC180" s="27">
        <f>COGS!DC180+'SG&amp;A'!DC180</f>
        <v>0.65700000000000003</v>
      </c>
      <c r="DD180" s="27">
        <f>COGS!DD180+'SG&amp;A'!DD180</f>
        <v>0.74399999999999999</v>
      </c>
      <c r="DE180" s="27">
        <f>COGS!DE180+'SG&amp;A'!DE180</f>
        <v>0.65500000000000003</v>
      </c>
      <c r="DF180" s="27">
        <f>COGS!DF180+'SG&amp;A'!DF180</f>
        <v>1.159</v>
      </c>
      <c r="DG180" s="27">
        <f>COGS!DG180+'SG&amp;A'!DG180</f>
        <v>3.2149999999999999</v>
      </c>
      <c r="DH180" s="27">
        <f>COGS!DH180+'SG&amp;A'!DH180</f>
        <v>1.01</v>
      </c>
      <c r="DI180" s="27">
        <f>COGS!DI180+'SG&amp;A'!DI180</f>
        <v>0.77899999999999991</v>
      </c>
      <c r="DJ180" s="27">
        <f>COGS!DJ180+'SG&amp;A'!DJ180</f>
        <v>0.86199999999999999</v>
      </c>
      <c r="DK180" s="27">
        <f>COGS!DK180+'SG&amp;A'!DK180</f>
        <v>0.97399999999999998</v>
      </c>
      <c r="DL180" s="27">
        <f>COGS!DL180+'SG&amp;A'!DL180</f>
        <v>3.6249999999999996</v>
      </c>
      <c r="DM180" s="27">
        <f>COGS!DM180+'SG&amp;A'!DM180</f>
        <v>0.83300000000000007</v>
      </c>
      <c r="DN180" s="27">
        <f>COGS!DN180+'SG&amp;A'!DN180</f>
        <v>0.753</v>
      </c>
      <c r="DO180" s="27">
        <f>COGS!DO180+'SG&amp;A'!DO180</f>
        <v>1.216</v>
      </c>
      <c r="DP180" s="27">
        <f>COGS!DP180+'SG&amp;A'!DP180</f>
        <v>1.204</v>
      </c>
      <c r="DQ180" s="27">
        <f>COGS!DQ180+'SG&amp;A'!DQ180</f>
        <v>4.0060000000000002</v>
      </c>
      <c r="DR180" s="27">
        <f>COGS!DR180+'SG&amp;A'!DR180</f>
        <v>1.24</v>
      </c>
      <c r="DS180" s="27">
        <f>COGS!DS180+'SG&amp;A'!DS180</f>
        <v>1.1890000000000001</v>
      </c>
      <c r="DT180" s="27">
        <f>COGS!DT180+'SG&amp;A'!DT180</f>
        <v>1.427</v>
      </c>
      <c r="DU180" s="27">
        <f>COGS!DU180+'SG&amp;A'!DU180</f>
        <v>1.1300000000000001</v>
      </c>
      <c r="DV180" s="27">
        <f>COGS!DV180+'SG&amp;A'!DV180</f>
        <v>4.9860000000000007</v>
      </c>
      <c r="DW180" s="27">
        <f>COGS!DW180+'SG&amp;A'!DW180</f>
        <v>1.1200000000000001</v>
      </c>
      <c r="DX180" s="27">
        <f>COGS!DX180+'SG&amp;A'!DX180</f>
        <v>1.0558572800000001</v>
      </c>
      <c r="DY180" s="27">
        <f>COGS!DY180+'SG&amp;A'!DY180</f>
        <v>1.3329209</v>
      </c>
      <c r="DZ180" s="27">
        <f>COGS!DZ180+'SG&amp;A'!DZ180</f>
        <v>1.61104245</v>
      </c>
      <c r="EA180" s="27">
        <f>COGS!EA180+'SG&amp;A'!EA180</f>
        <v>5.1198206299999995</v>
      </c>
      <c r="EB180" s="27">
        <f>COGS!EB180+'SG&amp;A'!EB180</f>
        <v>1.46743427</v>
      </c>
      <c r="EC180" s="27">
        <f>COGS!EC180+'SG&amp;A'!EC180</f>
        <v>1.0870718799999999</v>
      </c>
      <c r="ED180" s="27">
        <f>COGS!ED180+'SG&amp;A'!ED180</f>
        <v>1.391</v>
      </c>
      <c r="EE180" s="27">
        <f>COGS!EE180+'SG&amp;A'!EE180</f>
        <v>2.0809664699999999</v>
      </c>
      <c r="EF180" s="27">
        <f>COGS!EF180+'SG&amp;A'!EF180</f>
        <v>6.0264726199999998</v>
      </c>
      <c r="EG180" s="27">
        <f>COGS!EG180+'SG&amp;A'!EG180</f>
        <v>0.92940383999999998</v>
      </c>
      <c r="EH180" s="27">
        <f>COGS!EH180+'SG&amp;A'!EH180</f>
        <v>1.1902326699999999</v>
      </c>
      <c r="EI180" s="27">
        <f>COGS!EI180+'SG&amp;A'!EI180</f>
        <v>1.8684023999999999</v>
      </c>
    </row>
    <row r="181" spans="1:139" ht="15" thickBot="1" x14ac:dyDescent="0.35">
      <c r="A181" s="2" t="s">
        <v>446</v>
      </c>
      <c r="B181" s="28">
        <f>COGS!B181+'SG&amp;A'!B181</f>
        <v>0</v>
      </c>
      <c r="C181" s="28">
        <f>COGS!C181+'SG&amp;A'!C181</f>
        <v>0</v>
      </c>
      <c r="D181" s="28">
        <f>COGS!D181+'SG&amp;A'!D181</f>
        <v>0</v>
      </c>
      <c r="E181" s="28">
        <f>COGS!E181+'SG&amp;A'!E181</f>
        <v>0</v>
      </c>
      <c r="F181" s="28">
        <f>COGS!F181+'SG&amp;A'!F181</f>
        <v>0</v>
      </c>
      <c r="G181" s="28">
        <f>COGS!G181+'SG&amp;A'!G181</f>
        <v>0</v>
      </c>
      <c r="H181" s="28">
        <f>COGS!H181+'SG&amp;A'!H181</f>
        <v>0</v>
      </c>
      <c r="I181" s="28">
        <f>COGS!I181+'SG&amp;A'!I181</f>
        <v>0</v>
      </c>
      <c r="J181" s="28">
        <f>COGS!J181+'SG&amp;A'!J181</f>
        <v>0</v>
      </c>
      <c r="K181" s="28">
        <f>COGS!K181+'SG&amp;A'!K181</f>
        <v>0</v>
      </c>
      <c r="L181" s="28">
        <f>COGS!L181+'SG&amp;A'!L181</f>
        <v>0</v>
      </c>
      <c r="M181" s="28">
        <f>COGS!M181+'SG&amp;A'!M181</f>
        <v>0</v>
      </c>
      <c r="N181" s="28">
        <f>COGS!N181+'SG&amp;A'!N181</f>
        <v>0</v>
      </c>
      <c r="O181" s="28">
        <f>COGS!O181+'SG&amp;A'!O181</f>
        <v>0</v>
      </c>
      <c r="P181" s="28">
        <f>COGS!P181+'SG&amp;A'!P181</f>
        <v>0</v>
      </c>
      <c r="Q181" s="28">
        <f>COGS!Q181+'SG&amp;A'!Q181</f>
        <v>0</v>
      </c>
      <c r="R181" s="28">
        <f>COGS!R181+'SG&amp;A'!R181</f>
        <v>0</v>
      </c>
      <c r="S181" s="28">
        <f>COGS!S181+'SG&amp;A'!S181</f>
        <v>0</v>
      </c>
      <c r="T181" s="28">
        <f>COGS!T181+'SG&amp;A'!T181</f>
        <v>0</v>
      </c>
      <c r="U181" s="28">
        <f>COGS!U181+'SG&amp;A'!U181</f>
        <v>0</v>
      </c>
      <c r="V181" s="28">
        <f>COGS!V181+'SG&amp;A'!V181</f>
        <v>0</v>
      </c>
      <c r="W181" s="28">
        <f>COGS!W181+'SG&amp;A'!W181</f>
        <v>0</v>
      </c>
      <c r="X181" s="28">
        <f>COGS!X181+'SG&amp;A'!X181</f>
        <v>0</v>
      </c>
      <c r="Y181" s="28">
        <f>COGS!Y181+'SG&amp;A'!Y181</f>
        <v>0</v>
      </c>
      <c r="Z181" s="28">
        <f>COGS!Z181+'SG&amp;A'!Z181</f>
        <v>0</v>
      </c>
      <c r="AA181" s="28">
        <f>COGS!AA181+'SG&amp;A'!AA181</f>
        <v>0</v>
      </c>
      <c r="AB181" s="28">
        <f>COGS!AB181+'SG&amp;A'!AB181</f>
        <v>0</v>
      </c>
      <c r="AC181" s="28">
        <f>COGS!AC181+'SG&amp;A'!AC181</f>
        <v>0</v>
      </c>
      <c r="AD181" s="28">
        <f>COGS!AD181+'SG&amp;A'!AD181</f>
        <v>0</v>
      </c>
      <c r="AE181" s="28">
        <f>COGS!AE181+'SG&amp;A'!AE181</f>
        <v>0</v>
      </c>
      <c r="AF181" s="28">
        <f>COGS!AF181+'SG&amp;A'!AF181</f>
        <v>0</v>
      </c>
      <c r="AG181" s="28">
        <f>COGS!AG181+'SG&amp;A'!AG181</f>
        <v>0</v>
      </c>
      <c r="AH181" s="28">
        <f>COGS!AH181+'SG&amp;A'!AH181</f>
        <v>0</v>
      </c>
      <c r="AI181" s="28">
        <f>COGS!AI181+'SG&amp;A'!AI181</f>
        <v>0</v>
      </c>
      <c r="AJ181" s="28">
        <f>COGS!AJ181+'SG&amp;A'!AJ181</f>
        <v>0</v>
      </c>
      <c r="AK181" s="28">
        <f>COGS!AK181+'SG&amp;A'!AK181</f>
        <v>0</v>
      </c>
      <c r="AL181" s="28">
        <f>COGS!AL181+'SG&amp;A'!AL181</f>
        <v>0</v>
      </c>
      <c r="AM181" s="28">
        <f>COGS!AM181+'SG&amp;A'!AM181</f>
        <v>0</v>
      </c>
      <c r="AN181" s="28">
        <f>COGS!AN181+'SG&amp;A'!AN181</f>
        <v>0</v>
      </c>
      <c r="AO181" s="28">
        <f>COGS!AO181+'SG&amp;A'!AO181</f>
        <v>0</v>
      </c>
      <c r="AP181" s="28">
        <f>COGS!AP181+'SG&amp;A'!AP181</f>
        <v>0</v>
      </c>
      <c r="AQ181" s="28">
        <f>COGS!AQ181+'SG&amp;A'!AQ181</f>
        <v>0</v>
      </c>
      <c r="AR181" s="28">
        <f>COGS!AR181+'SG&amp;A'!AR181</f>
        <v>0</v>
      </c>
      <c r="AS181" s="28">
        <f>COGS!AS181+'SG&amp;A'!AS181</f>
        <v>0</v>
      </c>
      <c r="AT181" s="28">
        <f>COGS!AT181+'SG&amp;A'!AT181</f>
        <v>0</v>
      </c>
      <c r="AU181" s="28">
        <f>COGS!AU181+'SG&amp;A'!AU181</f>
        <v>0</v>
      </c>
      <c r="AV181" s="28">
        <f>COGS!AV181+'SG&amp;A'!AV181</f>
        <v>0</v>
      </c>
      <c r="AW181" s="28">
        <f>COGS!AW181+'SG&amp;A'!AW181</f>
        <v>0</v>
      </c>
      <c r="AX181" s="28">
        <f>COGS!AX181+'SG&amp;A'!AX181</f>
        <v>0</v>
      </c>
      <c r="AY181" s="28">
        <f>COGS!AY181+'SG&amp;A'!AY181</f>
        <v>0</v>
      </c>
      <c r="AZ181" s="28">
        <f>COGS!AZ181+'SG&amp;A'!AZ181</f>
        <v>0</v>
      </c>
      <c r="BA181" s="28">
        <f>COGS!BA181+'SG&amp;A'!BA181</f>
        <v>0</v>
      </c>
      <c r="BB181" s="28">
        <f>COGS!BB181+'SG&amp;A'!BB181</f>
        <v>0</v>
      </c>
      <c r="BC181" s="28">
        <f>COGS!BC181+'SG&amp;A'!BC181</f>
        <v>0</v>
      </c>
      <c r="BD181" s="28">
        <f>COGS!BD181+'SG&amp;A'!BD181</f>
        <v>0</v>
      </c>
      <c r="BE181" s="28">
        <f>COGS!BE181+'SG&amp;A'!BE181</f>
        <v>0</v>
      </c>
      <c r="BF181" s="28">
        <f>COGS!BF181+'SG&amp;A'!BF181</f>
        <v>0</v>
      </c>
      <c r="BG181" s="28">
        <f>COGS!BG181+'SG&amp;A'!BG181</f>
        <v>0</v>
      </c>
      <c r="BH181" s="28">
        <f>COGS!BH181+'SG&amp;A'!BH181</f>
        <v>0</v>
      </c>
      <c r="BI181" s="28">
        <f>COGS!BI181+'SG&amp;A'!BI181</f>
        <v>0</v>
      </c>
      <c r="BJ181" s="28">
        <f>COGS!BJ181+'SG&amp;A'!BJ181</f>
        <v>0</v>
      </c>
      <c r="BK181" s="28">
        <f>COGS!BK181+'SG&amp;A'!BK181</f>
        <v>0</v>
      </c>
      <c r="BL181" s="28">
        <f>COGS!BL181+'SG&amp;A'!BL181</f>
        <v>0</v>
      </c>
      <c r="BM181" s="28">
        <f>COGS!BM181+'SG&amp;A'!BM181</f>
        <v>0</v>
      </c>
      <c r="BN181" s="28">
        <f>COGS!BN181+'SG&amp;A'!BN181</f>
        <v>0</v>
      </c>
      <c r="BO181" s="28">
        <f>COGS!BO181+'SG&amp;A'!BO181</f>
        <v>0</v>
      </c>
      <c r="BP181" s="28">
        <f>COGS!BP181+'SG&amp;A'!BP181</f>
        <v>0</v>
      </c>
      <c r="BQ181" s="28">
        <f>COGS!BQ181+'SG&amp;A'!BQ181</f>
        <v>0</v>
      </c>
      <c r="BR181" s="28">
        <f>COGS!BR181+'SG&amp;A'!BR181</f>
        <v>0</v>
      </c>
      <c r="BS181" s="28">
        <f>COGS!BS181+'SG&amp;A'!BS181</f>
        <v>0</v>
      </c>
      <c r="BT181" s="28">
        <f>COGS!BT181+'SG&amp;A'!BT181</f>
        <v>0</v>
      </c>
      <c r="BU181" s="28">
        <f>COGS!BU181+'SG&amp;A'!BU181</f>
        <v>0</v>
      </c>
      <c r="BV181" s="28">
        <f>COGS!BV181+'SG&amp;A'!BV181</f>
        <v>0</v>
      </c>
      <c r="BW181" s="28">
        <f>COGS!BW181+'SG&amp;A'!BW181</f>
        <v>0</v>
      </c>
      <c r="BX181" s="28">
        <f>COGS!BX181+'SG&amp;A'!BX181</f>
        <v>0</v>
      </c>
      <c r="BY181" s="28">
        <f>COGS!BY181+'SG&amp;A'!BY181</f>
        <v>0</v>
      </c>
      <c r="BZ181" s="28">
        <f>COGS!BZ181+'SG&amp;A'!BZ181</f>
        <v>0</v>
      </c>
      <c r="CA181" s="28">
        <f>COGS!CA181+'SG&amp;A'!CA181</f>
        <v>0</v>
      </c>
      <c r="CB181" s="28">
        <f>COGS!CB181+'SG&amp;A'!CB181</f>
        <v>0</v>
      </c>
      <c r="CC181" s="28">
        <f>COGS!CC181+'SG&amp;A'!CC181</f>
        <v>0</v>
      </c>
      <c r="CD181" s="28">
        <f>COGS!CD181+'SG&amp;A'!CD181</f>
        <v>0</v>
      </c>
      <c r="CE181" s="28">
        <f>COGS!CE181+'SG&amp;A'!CE181</f>
        <v>0</v>
      </c>
      <c r="CF181" s="28">
        <f>COGS!CF181+'SG&amp;A'!CF181</f>
        <v>0</v>
      </c>
      <c r="CG181" s="28">
        <f>COGS!CG181+'SG&amp;A'!CG181</f>
        <v>0</v>
      </c>
      <c r="CH181" s="28">
        <f>COGS!CH181+'SG&amp;A'!CH181</f>
        <v>0</v>
      </c>
      <c r="CI181" s="28">
        <f>COGS!CI181+'SG&amp;A'!CI181</f>
        <v>0</v>
      </c>
      <c r="CJ181" s="28">
        <f>COGS!CJ181+'SG&amp;A'!CJ181</f>
        <v>0</v>
      </c>
      <c r="CK181" s="28">
        <f>COGS!CK181+'SG&amp;A'!CK181</f>
        <v>0</v>
      </c>
      <c r="CL181" s="28">
        <f>COGS!CL181+'SG&amp;A'!CL181</f>
        <v>0</v>
      </c>
      <c r="CM181" s="28">
        <f>COGS!CM181+'SG&amp;A'!CM181</f>
        <v>0</v>
      </c>
      <c r="CN181" s="28">
        <f>COGS!CN181+'SG&amp;A'!CN181</f>
        <v>0</v>
      </c>
      <c r="CO181" s="28">
        <f>COGS!CO181+'SG&amp;A'!CO181</f>
        <v>0</v>
      </c>
      <c r="CP181" s="28">
        <f>COGS!CP181+'SG&amp;A'!CP181</f>
        <v>0</v>
      </c>
      <c r="CQ181" s="28">
        <f>COGS!CQ181+'SG&amp;A'!CQ181</f>
        <v>0</v>
      </c>
      <c r="CR181" s="28">
        <f>COGS!CR181+'SG&amp;A'!CR181</f>
        <v>0</v>
      </c>
      <c r="CS181" s="28">
        <f>COGS!CS181+'SG&amp;A'!CS181</f>
        <v>0</v>
      </c>
      <c r="CT181" s="28">
        <f>COGS!CT181+'SG&amp;A'!CT181</f>
        <v>0</v>
      </c>
      <c r="CU181" s="28">
        <f>COGS!CU181+'SG&amp;A'!CU181</f>
        <v>0</v>
      </c>
      <c r="CV181" s="28">
        <f>COGS!CV181+'SG&amp;A'!CV181</f>
        <v>0</v>
      </c>
      <c r="CW181" s="28">
        <f>COGS!CW181+'SG&amp;A'!CW181</f>
        <v>0</v>
      </c>
      <c r="CX181" s="28">
        <f>COGS!CX181+'SG&amp;A'!CX181</f>
        <v>0</v>
      </c>
      <c r="CY181" s="28">
        <f>COGS!CY181+'SG&amp;A'!CY181</f>
        <v>0</v>
      </c>
      <c r="CZ181" s="28">
        <f>COGS!CZ181+'SG&amp;A'!CZ181</f>
        <v>0</v>
      </c>
      <c r="DA181" s="28">
        <f>COGS!DA181+'SG&amp;A'!DA181</f>
        <v>0</v>
      </c>
      <c r="DB181" s="28">
        <f>COGS!DB181+'SG&amp;A'!DB181</f>
        <v>0</v>
      </c>
      <c r="DC181" s="28">
        <f>COGS!DC181+'SG&amp;A'!DC181</f>
        <v>0</v>
      </c>
      <c r="DD181" s="28">
        <f>COGS!DD181+'SG&amp;A'!DD181</f>
        <v>0</v>
      </c>
      <c r="DE181" s="28">
        <f>COGS!DE181+'SG&amp;A'!DE181</f>
        <v>0</v>
      </c>
      <c r="DF181" s="28">
        <f>COGS!DF181+'SG&amp;A'!DF181</f>
        <v>0</v>
      </c>
      <c r="DG181" s="28">
        <f>COGS!DG181+'SG&amp;A'!DG181</f>
        <v>0</v>
      </c>
      <c r="DH181" s="28">
        <f>COGS!DH181+'SG&amp;A'!DH181</f>
        <v>0.114</v>
      </c>
      <c r="DI181" s="28">
        <f>COGS!DI181+'SG&amp;A'!DI181</f>
        <v>0.107</v>
      </c>
      <c r="DJ181" s="28">
        <f>COGS!DJ181+'SG&amp;A'!DJ181</f>
        <v>2.8169999999999997</v>
      </c>
      <c r="DK181" s="28">
        <f>COGS!DK181+'SG&amp;A'!DK181</f>
        <v>3.851</v>
      </c>
      <c r="DL181" s="28">
        <f>COGS!DL181+'SG&amp;A'!DL181</f>
        <v>6.8889999999999993</v>
      </c>
      <c r="DM181" s="28">
        <f>COGS!DM181+'SG&amp;A'!DM181</f>
        <v>1.0760000000000001</v>
      </c>
      <c r="DN181" s="28">
        <f>COGS!DN181+'SG&amp;A'!DN181</f>
        <v>1.18</v>
      </c>
      <c r="DO181" s="28">
        <f>COGS!DO181+'SG&amp;A'!DO181</f>
        <v>1.2510000000000001</v>
      </c>
      <c r="DP181" s="28">
        <f>COGS!DP181+'SG&amp;A'!DP181</f>
        <v>1.1830000000000001</v>
      </c>
      <c r="DQ181" s="28">
        <f>COGS!DQ181+'SG&amp;A'!DQ181</f>
        <v>4.6899999999999995</v>
      </c>
      <c r="DR181" s="28">
        <f>COGS!DR181+'SG&amp;A'!DR181</f>
        <v>1.397</v>
      </c>
      <c r="DS181" s="28">
        <f>COGS!DS181+'SG&amp;A'!DS181</f>
        <v>1.534</v>
      </c>
      <c r="DT181" s="28">
        <f>COGS!DT181+'SG&amp;A'!DT181</f>
        <v>1.5149999999999999</v>
      </c>
      <c r="DU181" s="28">
        <f>COGS!DU181+'SG&amp;A'!DU181</f>
        <v>1.3840000000000001</v>
      </c>
      <c r="DV181" s="28">
        <f>COGS!DV181+'SG&amp;A'!DV181</f>
        <v>5.83</v>
      </c>
      <c r="DW181" s="28">
        <f>COGS!DW181+'SG&amp;A'!DW181</f>
        <v>1.484</v>
      </c>
      <c r="DX181" s="28">
        <f>COGS!DX181+'SG&amp;A'!DX181</f>
        <v>1.57677285</v>
      </c>
      <c r="DY181" s="28">
        <f>COGS!DY181+'SG&amp;A'!DY181</f>
        <v>1.5400528600000003</v>
      </c>
      <c r="DZ181" s="28">
        <f>COGS!DZ181+'SG&amp;A'!DZ181</f>
        <v>2.0017286499999996</v>
      </c>
      <c r="EA181" s="28">
        <f>COGS!EA181+'SG&amp;A'!EA181</f>
        <v>6.6025543600000001</v>
      </c>
      <c r="EB181" s="28">
        <f>COGS!EB181+'SG&amp;A'!EB181</f>
        <v>1.6773241300000001</v>
      </c>
      <c r="EC181" s="28">
        <f>COGS!EC181+'SG&amp;A'!EC181</f>
        <v>2.1346627200000001</v>
      </c>
      <c r="ED181" s="28">
        <f>COGS!ED181+'SG&amp;A'!ED181</f>
        <v>1.9929999999999999</v>
      </c>
      <c r="EE181" s="28">
        <f>COGS!EE181+'SG&amp;A'!EE181</f>
        <v>2.2389743799999997</v>
      </c>
      <c r="EF181" s="28">
        <f>COGS!EF181+'SG&amp;A'!EF181</f>
        <v>8.043961229999999</v>
      </c>
      <c r="EG181" s="28">
        <f>COGS!EG181+'SG&amp;A'!EG181</f>
        <v>1.83641951</v>
      </c>
      <c r="EH181" s="28">
        <f>COGS!EH181+'SG&amp;A'!EH181</f>
        <v>1.9796095100000002</v>
      </c>
      <c r="EI181" s="28">
        <f>COGS!EI181+'SG&amp;A'!EI181</f>
        <v>1.7604131399999994</v>
      </c>
    </row>
    <row r="182" spans="1:139" ht="15" thickTop="1" x14ac:dyDescent="0.3">
      <c r="A182" s="1" t="s">
        <v>447</v>
      </c>
      <c r="B182" s="27">
        <f>COGS!B182+'SG&amp;A'!B182</f>
        <v>0</v>
      </c>
      <c r="C182" s="27">
        <f>COGS!C182+'SG&amp;A'!C182</f>
        <v>0</v>
      </c>
      <c r="D182" s="27">
        <f>COGS!D182+'SG&amp;A'!D182</f>
        <v>0</v>
      </c>
      <c r="E182" s="27">
        <f>COGS!E182+'SG&amp;A'!E182</f>
        <v>0</v>
      </c>
      <c r="F182" s="27">
        <f>COGS!F182+'SG&amp;A'!F182</f>
        <v>0</v>
      </c>
      <c r="G182" s="27">
        <f>COGS!G182+'SG&amp;A'!G182</f>
        <v>0</v>
      </c>
      <c r="H182" s="27">
        <f>COGS!H182+'SG&amp;A'!H182</f>
        <v>0</v>
      </c>
      <c r="I182" s="27">
        <f>COGS!I182+'SG&amp;A'!I182</f>
        <v>0</v>
      </c>
      <c r="J182" s="27">
        <f>COGS!J182+'SG&amp;A'!J182</f>
        <v>0</v>
      </c>
      <c r="K182" s="27">
        <f>COGS!K182+'SG&amp;A'!K182</f>
        <v>0</v>
      </c>
      <c r="L182" s="27">
        <f>COGS!L182+'SG&amp;A'!L182</f>
        <v>0</v>
      </c>
      <c r="M182" s="27">
        <f>COGS!M182+'SG&amp;A'!M182</f>
        <v>0</v>
      </c>
      <c r="N182" s="27">
        <f>COGS!N182+'SG&amp;A'!N182</f>
        <v>0</v>
      </c>
      <c r="O182" s="27">
        <f>COGS!O182+'SG&amp;A'!O182</f>
        <v>0</v>
      </c>
      <c r="P182" s="27">
        <f>COGS!P182+'SG&amp;A'!P182</f>
        <v>0</v>
      </c>
      <c r="Q182" s="27">
        <f>COGS!Q182+'SG&amp;A'!Q182</f>
        <v>0</v>
      </c>
      <c r="R182" s="27">
        <f>COGS!R182+'SG&amp;A'!R182</f>
        <v>0</v>
      </c>
      <c r="S182" s="27">
        <f>COGS!S182+'SG&amp;A'!S182</f>
        <v>0</v>
      </c>
      <c r="T182" s="27">
        <f>COGS!T182+'SG&amp;A'!T182</f>
        <v>0</v>
      </c>
      <c r="U182" s="27">
        <f>COGS!U182+'SG&amp;A'!U182</f>
        <v>0</v>
      </c>
      <c r="V182" s="27">
        <f>COGS!V182+'SG&amp;A'!V182</f>
        <v>0</v>
      </c>
      <c r="W182" s="27">
        <f>COGS!W182+'SG&amp;A'!W182</f>
        <v>0</v>
      </c>
      <c r="X182" s="27">
        <f>COGS!X182+'SG&amp;A'!X182</f>
        <v>0</v>
      </c>
      <c r="Y182" s="27">
        <f>COGS!Y182+'SG&amp;A'!Y182</f>
        <v>0</v>
      </c>
      <c r="Z182" s="27">
        <f>COGS!Z182+'SG&amp;A'!Z182</f>
        <v>0</v>
      </c>
      <c r="AA182" s="27">
        <f>COGS!AA182+'SG&amp;A'!AA182</f>
        <v>0</v>
      </c>
      <c r="AB182" s="27">
        <f>COGS!AB182+'SG&amp;A'!AB182</f>
        <v>0</v>
      </c>
      <c r="AC182" s="27">
        <f>COGS!AC182+'SG&amp;A'!AC182</f>
        <v>0</v>
      </c>
      <c r="AD182" s="27">
        <f>COGS!AD182+'SG&amp;A'!AD182</f>
        <v>0</v>
      </c>
      <c r="AE182" s="27">
        <f>COGS!AE182+'SG&amp;A'!AE182</f>
        <v>0</v>
      </c>
      <c r="AF182" s="27">
        <f>COGS!AF182+'SG&amp;A'!AF182</f>
        <v>0</v>
      </c>
      <c r="AG182" s="27">
        <f>COGS!AG182+'SG&amp;A'!AG182</f>
        <v>0</v>
      </c>
      <c r="AH182" s="27">
        <f>COGS!AH182+'SG&amp;A'!AH182</f>
        <v>0</v>
      </c>
      <c r="AI182" s="27">
        <f>COGS!AI182+'SG&amp;A'!AI182</f>
        <v>0</v>
      </c>
      <c r="AJ182" s="27">
        <f>COGS!AJ182+'SG&amp;A'!AJ182</f>
        <v>0</v>
      </c>
      <c r="AK182" s="27">
        <f>COGS!AK182+'SG&amp;A'!AK182</f>
        <v>0</v>
      </c>
      <c r="AL182" s="27">
        <f>COGS!AL182+'SG&amp;A'!AL182</f>
        <v>0</v>
      </c>
      <c r="AM182" s="27">
        <f>COGS!AM182+'SG&amp;A'!AM182</f>
        <v>0</v>
      </c>
      <c r="AN182" s="27">
        <f>COGS!AN182+'SG&amp;A'!AN182</f>
        <v>0</v>
      </c>
      <c r="AO182" s="27">
        <f>COGS!AO182+'SG&amp;A'!AO182</f>
        <v>0</v>
      </c>
      <c r="AP182" s="27">
        <f>COGS!AP182+'SG&amp;A'!AP182</f>
        <v>0</v>
      </c>
      <c r="AQ182" s="27">
        <f>COGS!AQ182+'SG&amp;A'!AQ182</f>
        <v>0</v>
      </c>
      <c r="AR182" s="27">
        <f>COGS!AR182+'SG&amp;A'!AR182</f>
        <v>0</v>
      </c>
      <c r="AS182" s="27">
        <f>COGS!AS182+'SG&amp;A'!AS182</f>
        <v>0</v>
      </c>
      <c r="AT182" s="27">
        <f>COGS!AT182+'SG&amp;A'!AT182</f>
        <v>0</v>
      </c>
      <c r="AU182" s="27">
        <f>COGS!AU182+'SG&amp;A'!AU182</f>
        <v>0</v>
      </c>
      <c r="AV182" s="27">
        <f>COGS!AV182+'SG&amp;A'!AV182</f>
        <v>0</v>
      </c>
      <c r="AW182" s="27">
        <f>COGS!AW182+'SG&amp;A'!AW182</f>
        <v>0</v>
      </c>
      <c r="AX182" s="27">
        <f>COGS!AX182+'SG&amp;A'!AX182</f>
        <v>0</v>
      </c>
      <c r="AY182" s="27">
        <f>COGS!AY182+'SG&amp;A'!AY182</f>
        <v>0</v>
      </c>
      <c r="AZ182" s="27">
        <f>COGS!AZ182+'SG&amp;A'!AZ182</f>
        <v>0</v>
      </c>
      <c r="BA182" s="27">
        <f>COGS!BA182+'SG&amp;A'!BA182</f>
        <v>0</v>
      </c>
      <c r="BB182" s="27">
        <f>COGS!BB182+'SG&amp;A'!BB182</f>
        <v>0</v>
      </c>
      <c r="BC182" s="27">
        <f>COGS!BC182+'SG&amp;A'!BC182</f>
        <v>0</v>
      </c>
      <c r="BD182" s="27">
        <f>COGS!BD182+'SG&amp;A'!BD182</f>
        <v>0</v>
      </c>
      <c r="BE182" s="27">
        <f>COGS!BE182+'SG&amp;A'!BE182</f>
        <v>0</v>
      </c>
      <c r="BF182" s="27">
        <f>COGS!BF182+'SG&amp;A'!BF182</f>
        <v>0</v>
      </c>
      <c r="BG182" s="27">
        <f>COGS!BG182+'SG&amp;A'!BG182</f>
        <v>0</v>
      </c>
      <c r="BH182" s="27">
        <f>COGS!BH182+'SG&amp;A'!BH182</f>
        <v>0</v>
      </c>
      <c r="BI182" s="27">
        <f>COGS!BI182+'SG&amp;A'!BI182</f>
        <v>0</v>
      </c>
      <c r="BJ182" s="27">
        <f>COGS!BJ182+'SG&amp;A'!BJ182</f>
        <v>0</v>
      </c>
      <c r="BK182" s="27">
        <f>COGS!BK182+'SG&amp;A'!BK182</f>
        <v>0</v>
      </c>
      <c r="BL182" s="27">
        <f>COGS!BL182+'SG&amp;A'!BL182</f>
        <v>0</v>
      </c>
      <c r="BM182" s="27">
        <f>COGS!BM182+'SG&amp;A'!BM182</f>
        <v>0</v>
      </c>
      <c r="BN182" s="27">
        <f>COGS!BN182+'SG&amp;A'!BN182</f>
        <v>0</v>
      </c>
      <c r="BO182" s="27">
        <f>COGS!BO182+'SG&amp;A'!BO182</f>
        <v>0</v>
      </c>
      <c r="BP182" s="27">
        <f>COGS!BP182+'SG&amp;A'!BP182</f>
        <v>0</v>
      </c>
      <c r="BQ182" s="27">
        <f>COGS!BQ182+'SG&amp;A'!BQ182</f>
        <v>0</v>
      </c>
      <c r="BR182" s="27">
        <f>COGS!BR182+'SG&amp;A'!BR182</f>
        <v>0</v>
      </c>
      <c r="BS182" s="27">
        <f>COGS!BS182+'SG&amp;A'!BS182</f>
        <v>0</v>
      </c>
      <c r="BT182" s="27">
        <f>COGS!BT182+'SG&amp;A'!BT182</f>
        <v>0</v>
      </c>
      <c r="BU182" s="27">
        <f>COGS!BU182+'SG&amp;A'!BU182</f>
        <v>0</v>
      </c>
      <c r="BV182" s="27">
        <f>COGS!BV182+'SG&amp;A'!BV182</f>
        <v>0</v>
      </c>
      <c r="BW182" s="27">
        <f>COGS!BW182+'SG&amp;A'!BW182</f>
        <v>0</v>
      </c>
      <c r="BX182" s="27">
        <f>COGS!BX182+'SG&amp;A'!BX182</f>
        <v>0</v>
      </c>
      <c r="BY182" s="27">
        <f>COGS!BY182+'SG&amp;A'!BY182</f>
        <v>0</v>
      </c>
      <c r="BZ182" s="27">
        <f>COGS!BZ182+'SG&amp;A'!BZ182</f>
        <v>0</v>
      </c>
      <c r="CA182" s="27">
        <f>COGS!CA182+'SG&amp;A'!CA182</f>
        <v>0</v>
      </c>
      <c r="CB182" s="27">
        <f>COGS!CB182+'SG&amp;A'!CB182</f>
        <v>0</v>
      </c>
      <c r="CC182" s="27">
        <f>COGS!CC182+'SG&amp;A'!CC182</f>
        <v>0</v>
      </c>
      <c r="CD182" s="27">
        <f>COGS!CD182+'SG&amp;A'!CD182</f>
        <v>0</v>
      </c>
      <c r="CE182" s="27">
        <f>COGS!CE182+'SG&amp;A'!CE182</f>
        <v>0</v>
      </c>
      <c r="CF182" s="27">
        <f>COGS!CF182+'SG&amp;A'!CF182</f>
        <v>0</v>
      </c>
      <c r="CG182" s="27">
        <f>COGS!CG182+'SG&amp;A'!CG182</f>
        <v>0</v>
      </c>
      <c r="CH182" s="27">
        <f>COGS!CH182+'SG&amp;A'!CH182</f>
        <v>0</v>
      </c>
      <c r="CI182" s="27">
        <f>COGS!CI182+'SG&amp;A'!CI182</f>
        <v>0</v>
      </c>
      <c r="CJ182" s="27">
        <f>COGS!CJ182+'SG&amp;A'!CJ182</f>
        <v>0</v>
      </c>
      <c r="CK182" s="27">
        <f>COGS!CK182+'SG&amp;A'!CK182</f>
        <v>0</v>
      </c>
      <c r="CL182" s="27">
        <f>COGS!CL182+'SG&amp;A'!CL182</f>
        <v>0</v>
      </c>
      <c r="CM182" s="27">
        <f>COGS!CM182+'SG&amp;A'!CM182</f>
        <v>0</v>
      </c>
      <c r="CN182" s="27">
        <f>COGS!CN182+'SG&amp;A'!CN182</f>
        <v>0</v>
      </c>
      <c r="CO182" s="27">
        <f>COGS!CO182+'SG&amp;A'!CO182</f>
        <v>0</v>
      </c>
      <c r="CP182" s="27">
        <f>COGS!CP182+'SG&amp;A'!CP182</f>
        <v>0</v>
      </c>
      <c r="CQ182" s="27">
        <f>COGS!CQ182+'SG&amp;A'!CQ182</f>
        <v>0</v>
      </c>
      <c r="CR182" s="27">
        <f>COGS!CR182+'SG&amp;A'!CR182</f>
        <v>0</v>
      </c>
      <c r="CS182" s="27">
        <f>COGS!CS182+'SG&amp;A'!CS182</f>
        <v>0</v>
      </c>
      <c r="CT182" s="27">
        <f>COGS!CT182+'SG&amp;A'!CT182</f>
        <v>0</v>
      </c>
      <c r="CU182" s="27">
        <f>COGS!CU182+'SG&amp;A'!CU182</f>
        <v>0</v>
      </c>
      <c r="CV182" s="27">
        <f>COGS!CV182+'SG&amp;A'!CV182</f>
        <v>0</v>
      </c>
      <c r="CW182" s="27">
        <f>COGS!CW182+'SG&amp;A'!CW182</f>
        <v>0</v>
      </c>
      <c r="CX182" s="27">
        <f>COGS!CX182+'SG&amp;A'!CX182</f>
        <v>0</v>
      </c>
      <c r="CY182" s="27">
        <f>COGS!CY182+'SG&amp;A'!CY182</f>
        <v>0</v>
      </c>
      <c r="CZ182" s="27">
        <f>COGS!CZ182+'SG&amp;A'!CZ182</f>
        <v>0</v>
      </c>
      <c r="DA182" s="27">
        <f>COGS!DA182+'SG&amp;A'!DA182</f>
        <v>0</v>
      </c>
      <c r="DB182" s="27">
        <f>COGS!DB182+'SG&amp;A'!DB182</f>
        <v>0</v>
      </c>
      <c r="DC182" s="27">
        <f>COGS!DC182+'SG&amp;A'!DC182</f>
        <v>0</v>
      </c>
      <c r="DD182" s="27">
        <f>COGS!DD182+'SG&amp;A'!DD182</f>
        <v>0</v>
      </c>
      <c r="DE182" s="27">
        <f>COGS!DE182+'SG&amp;A'!DE182</f>
        <v>0</v>
      </c>
      <c r="DF182" s="27">
        <f>COGS!DF182+'SG&amp;A'!DF182</f>
        <v>0</v>
      </c>
      <c r="DG182" s="27">
        <f>COGS!DG182+'SG&amp;A'!DG182</f>
        <v>0</v>
      </c>
      <c r="DH182" s="27">
        <f>COGS!DH182+'SG&amp;A'!DH182</f>
        <v>0</v>
      </c>
      <c r="DI182" s="27">
        <f>COGS!DI182+'SG&amp;A'!DI182</f>
        <v>0</v>
      </c>
      <c r="DJ182" s="27">
        <f>COGS!DJ182+'SG&amp;A'!DJ182</f>
        <v>0</v>
      </c>
      <c r="DK182" s="27">
        <f>COGS!DK182+'SG&amp;A'!DK182</f>
        <v>0</v>
      </c>
      <c r="DL182" s="27">
        <f>COGS!DL182+'SG&amp;A'!DL182</f>
        <v>0</v>
      </c>
      <c r="DM182" s="27">
        <f>COGS!DM182+'SG&amp;A'!DM182</f>
        <v>0</v>
      </c>
      <c r="DN182" s="27">
        <f>COGS!DN182+'SG&amp;A'!DN182</f>
        <v>0</v>
      </c>
      <c r="DO182" s="27">
        <f>COGS!DO182+'SG&amp;A'!DO182</f>
        <v>3.7999999999999999E-2</v>
      </c>
      <c r="DP182" s="27">
        <f>COGS!DP182+'SG&amp;A'!DP182</f>
        <v>0.66200000000000003</v>
      </c>
      <c r="DQ182" s="27">
        <f>COGS!DQ182+'SG&amp;A'!DQ182</f>
        <v>0.70000000000000007</v>
      </c>
      <c r="DR182" s="27">
        <f>COGS!DR182+'SG&amp;A'!DR182</f>
        <v>0.68199999999999994</v>
      </c>
      <c r="DS182" s="27">
        <f>COGS!DS182+'SG&amp;A'!DS182</f>
        <v>1.903</v>
      </c>
      <c r="DT182" s="27">
        <f>COGS!DT182+'SG&amp;A'!DT182</f>
        <v>4.3919999999999995</v>
      </c>
      <c r="DU182" s="27">
        <f>COGS!DU182+'SG&amp;A'!DU182</f>
        <v>8.199999999999999E-2</v>
      </c>
      <c r="DV182" s="27">
        <f>COGS!DV182+'SG&amp;A'!DV182</f>
        <v>7.0589999999999993</v>
      </c>
      <c r="DW182" s="27">
        <f>COGS!DW182+'SG&amp;A'!DW182</f>
        <v>2.4009999999999998</v>
      </c>
      <c r="DX182" s="27">
        <f>COGS!DX182+'SG&amp;A'!DX182</f>
        <v>2.6862064000000001</v>
      </c>
      <c r="DY182" s="27">
        <f>COGS!DY182+'SG&amp;A'!DY182</f>
        <v>3.1474599099999994</v>
      </c>
      <c r="DZ182" s="27">
        <f>COGS!DZ182+'SG&amp;A'!DZ182</f>
        <v>3.3731450100000004</v>
      </c>
      <c r="EA182" s="27">
        <f>COGS!EA182+'SG&amp;A'!EA182</f>
        <v>11.60781132</v>
      </c>
      <c r="EB182" s="27">
        <f>COGS!EB182+'SG&amp;A'!EB182</f>
        <v>2.8360521299999997</v>
      </c>
      <c r="EC182" s="27">
        <f>COGS!EC182+'SG&amp;A'!EC182</f>
        <v>3.5927840599999996</v>
      </c>
      <c r="ED182" s="27">
        <f>COGS!ED182+'SG&amp;A'!ED182</f>
        <v>3.371</v>
      </c>
      <c r="EE182" s="27">
        <f>COGS!EE182+'SG&amp;A'!EE182</f>
        <v>4.4282568900000001</v>
      </c>
      <c r="EF182" s="27">
        <f>COGS!EF182+'SG&amp;A'!EF182</f>
        <v>14.228093080000001</v>
      </c>
      <c r="EG182" s="27">
        <f>COGS!EG182+'SG&amp;A'!EG182</f>
        <v>3.1915879199999999</v>
      </c>
      <c r="EH182" s="27">
        <f>COGS!EH182+'SG&amp;A'!EH182</f>
        <v>3.4532514300000003</v>
      </c>
      <c r="EI182" s="27">
        <f>COGS!EI182+'SG&amp;A'!EI182</f>
        <v>4.7642043999999997</v>
      </c>
    </row>
    <row r="183" spans="1:139" ht="15" thickBot="1" x14ac:dyDescent="0.35">
      <c r="A183" s="2" t="s">
        <v>448</v>
      </c>
      <c r="B183" s="28">
        <f>COGS!B183+'SG&amp;A'!B183</f>
        <v>0</v>
      </c>
      <c r="C183" s="28">
        <f>COGS!C183+'SG&amp;A'!C183</f>
        <v>0</v>
      </c>
      <c r="D183" s="28">
        <f>COGS!D183+'SG&amp;A'!D183</f>
        <v>0</v>
      </c>
      <c r="E183" s="28">
        <f>COGS!E183+'SG&amp;A'!E183</f>
        <v>0</v>
      </c>
      <c r="F183" s="28">
        <f>COGS!F183+'SG&amp;A'!F183</f>
        <v>0</v>
      </c>
      <c r="G183" s="28">
        <f>COGS!G183+'SG&amp;A'!G183</f>
        <v>0</v>
      </c>
      <c r="H183" s="28">
        <f>COGS!H183+'SG&amp;A'!H183</f>
        <v>0</v>
      </c>
      <c r="I183" s="28">
        <f>COGS!I183+'SG&amp;A'!I183</f>
        <v>0</v>
      </c>
      <c r="J183" s="28">
        <f>COGS!J183+'SG&amp;A'!J183</f>
        <v>0</v>
      </c>
      <c r="K183" s="28">
        <f>COGS!K183+'SG&amp;A'!K183</f>
        <v>0</v>
      </c>
      <c r="L183" s="28">
        <f>COGS!L183+'SG&amp;A'!L183</f>
        <v>0</v>
      </c>
      <c r="M183" s="28">
        <f>COGS!M183+'SG&amp;A'!M183</f>
        <v>0</v>
      </c>
      <c r="N183" s="28">
        <f>COGS!N183+'SG&amp;A'!N183</f>
        <v>0</v>
      </c>
      <c r="O183" s="28">
        <f>COGS!O183+'SG&amp;A'!O183</f>
        <v>0</v>
      </c>
      <c r="P183" s="28">
        <f>COGS!P183+'SG&amp;A'!P183</f>
        <v>0</v>
      </c>
      <c r="Q183" s="28">
        <f>COGS!Q183+'SG&amp;A'!Q183</f>
        <v>0</v>
      </c>
      <c r="R183" s="28">
        <f>COGS!R183+'SG&amp;A'!R183</f>
        <v>0</v>
      </c>
      <c r="S183" s="28">
        <f>COGS!S183+'SG&amp;A'!S183</f>
        <v>0</v>
      </c>
      <c r="T183" s="28">
        <f>COGS!T183+'SG&amp;A'!T183</f>
        <v>0</v>
      </c>
      <c r="U183" s="28">
        <f>COGS!U183+'SG&amp;A'!U183</f>
        <v>0</v>
      </c>
      <c r="V183" s="28">
        <f>COGS!V183+'SG&amp;A'!V183</f>
        <v>0</v>
      </c>
      <c r="W183" s="28">
        <f>COGS!W183+'SG&amp;A'!W183</f>
        <v>0</v>
      </c>
      <c r="X183" s="28">
        <f>COGS!X183+'SG&amp;A'!X183</f>
        <v>0</v>
      </c>
      <c r="Y183" s="28">
        <f>COGS!Y183+'SG&amp;A'!Y183</f>
        <v>0</v>
      </c>
      <c r="Z183" s="28">
        <f>COGS!Z183+'SG&amp;A'!Z183</f>
        <v>0</v>
      </c>
      <c r="AA183" s="28">
        <f>COGS!AA183+'SG&amp;A'!AA183</f>
        <v>0</v>
      </c>
      <c r="AB183" s="28">
        <f>COGS!AB183+'SG&amp;A'!AB183</f>
        <v>0</v>
      </c>
      <c r="AC183" s="28">
        <f>COGS!AC183+'SG&amp;A'!AC183</f>
        <v>0</v>
      </c>
      <c r="AD183" s="28">
        <f>COGS!AD183+'SG&amp;A'!AD183</f>
        <v>0</v>
      </c>
      <c r="AE183" s="28">
        <f>COGS!AE183+'SG&amp;A'!AE183</f>
        <v>0</v>
      </c>
      <c r="AF183" s="28">
        <f>COGS!AF183+'SG&amp;A'!AF183</f>
        <v>0</v>
      </c>
      <c r="AG183" s="28">
        <f>COGS!AG183+'SG&amp;A'!AG183</f>
        <v>0</v>
      </c>
      <c r="AH183" s="28">
        <f>COGS!AH183+'SG&amp;A'!AH183</f>
        <v>0</v>
      </c>
      <c r="AI183" s="28">
        <f>COGS!AI183+'SG&amp;A'!AI183</f>
        <v>0</v>
      </c>
      <c r="AJ183" s="28">
        <f>COGS!AJ183+'SG&amp;A'!AJ183</f>
        <v>0</v>
      </c>
      <c r="AK183" s="28">
        <f>COGS!AK183+'SG&amp;A'!AK183</f>
        <v>0</v>
      </c>
      <c r="AL183" s="28">
        <f>COGS!AL183+'SG&amp;A'!AL183</f>
        <v>0</v>
      </c>
      <c r="AM183" s="28">
        <f>COGS!AM183+'SG&amp;A'!AM183</f>
        <v>0</v>
      </c>
      <c r="AN183" s="28">
        <f>COGS!AN183+'SG&amp;A'!AN183</f>
        <v>0</v>
      </c>
      <c r="AO183" s="28">
        <f>COGS!AO183+'SG&amp;A'!AO183</f>
        <v>0</v>
      </c>
      <c r="AP183" s="28">
        <f>COGS!AP183+'SG&amp;A'!AP183</f>
        <v>0</v>
      </c>
      <c r="AQ183" s="28">
        <f>COGS!AQ183+'SG&amp;A'!AQ183</f>
        <v>0</v>
      </c>
      <c r="AR183" s="28">
        <f>COGS!AR183+'SG&amp;A'!AR183</f>
        <v>0</v>
      </c>
      <c r="AS183" s="28">
        <f>COGS!AS183+'SG&amp;A'!AS183</f>
        <v>0</v>
      </c>
      <c r="AT183" s="28">
        <f>COGS!AT183+'SG&amp;A'!AT183</f>
        <v>0</v>
      </c>
      <c r="AU183" s="28">
        <f>COGS!AU183+'SG&amp;A'!AU183</f>
        <v>0</v>
      </c>
      <c r="AV183" s="28">
        <f>COGS!AV183+'SG&amp;A'!AV183</f>
        <v>0</v>
      </c>
      <c r="AW183" s="28">
        <f>COGS!AW183+'SG&amp;A'!AW183</f>
        <v>0</v>
      </c>
      <c r="AX183" s="28">
        <f>COGS!AX183+'SG&amp;A'!AX183</f>
        <v>0</v>
      </c>
      <c r="AY183" s="28">
        <f>COGS!AY183+'SG&amp;A'!AY183</f>
        <v>0</v>
      </c>
      <c r="AZ183" s="28">
        <f>COGS!AZ183+'SG&amp;A'!AZ183</f>
        <v>0</v>
      </c>
      <c r="BA183" s="28">
        <f>COGS!BA183+'SG&amp;A'!BA183</f>
        <v>0</v>
      </c>
      <c r="BB183" s="28">
        <f>COGS!BB183+'SG&amp;A'!BB183</f>
        <v>0</v>
      </c>
      <c r="BC183" s="28">
        <f>COGS!BC183+'SG&amp;A'!BC183</f>
        <v>0</v>
      </c>
      <c r="BD183" s="28">
        <f>COGS!BD183+'SG&amp;A'!BD183</f>
        <v>0</v>
      </c>
      <c r="BE183" s="28">
        <f>COGS!BE183+'SG&amp;A'!BE183</f>
        <v>0</v>
      </c>
      <c r="BF183" s="28">
        <f>COGS!BF183+'SG&amp;A'!BF183</f>
        <v>0</v>
      </c>
      <c r="BG183" s="28">
        <f>COGS!BG183+'SG&amp;A'!BG183</f>
        <v>0</v>
      </c>
      <c r="BH183" s="28">
        <f>COGS!BH183+'SG&amp;A'!BH183</f>
        <v>0</v>
      </c>
      <c r="BI183" s="28">
        <f>COGS!BI183+'SG&amp;A'!BI183</f>
        <v>0</v>
      </c>
      <c r="BJ183" s="28">
        <f>COGS!BJ183+'SG&amp;A'!BJ183</f>
        <v>0</v>
      </c>
      <c r="BK183" s="28">
        <f>COGS!BK183+'SG&amp;A'!BK183</f>
        <v>0</v>
      </c>
      <c r="BL183" s="28">
        <f>COGS!BL183+'SG&amp;A'!BL183</f>
        <v>0</v>
      </c>
      <c r="BM183" s="28">
        <f>COGS!BM183+'SG&amp;A'!BM183</f>
        <v>0</v>
      </c>
      <c r="BN183" s="28">
        <f>COGS!BN183+'SG&amp;A'!BN183</f>
        <v>0</v>
      </c>
      <c r="BO183" s="28">
        <f>COGS!BO183+'SG&amp;A'!BO183</f>
        <v>0</v>
      </c>
      <c r="BP183" s="28">
        <f>COGS!BP183+'SG&amp;A'!BP183</f>
        <v>0</v>
      </c>
      <c r="BQ183" s="28">
        <f>COGS!BQ183+'SG&amp;A'!BQ183</f>
        <v>0</v>
      </c>
      <c r="BR183" s="28">
        <f>COGS!BR183+'SG&amp;A'!BR183</f>
        <v>0</v>
      </c>
      <c r="BS183" s="28">
        <f>COGS!BS183+'SG&amp;A'!BS183</f>
        <v>0</v>
      </c>
      <c r="BT183" s="28">
        <f>COGS!BT183+'SG&amp;A'!BT183</f>
        <v>0</v>
      </c>
      <c r="BU183" s="28">
        <f>COGS!BU183+'SG&amp;A'!BU183</f>
        <v>0</v>
      </c>
      <c r="BV183" s="28">
        <f>COGS!BV183+'SG&amp;A'!BV183</f>
        <v>0</v>
      </c>
      <c r="BW183" s="28">
        <f>COGS!BW183+'SG&amp;A'!BW183</f>
        <v>0</v>
      </c>
      <c r="BX183" s="28">
        <f>COGS!BX183+'SG&amp;A'!BX183</f>
        <v>0</v>
      </c>
      <c r="BY183" s="28">
        <f>COGS!BY183+'SG&amp;A'!BY183</f>
        <v>0</v>
      </c>
      <c r="BZ183" s="28">
        <f>COGS!BZ183+'SG&amp;A'!BZ183</f>
        <v>0</v>
      </c>
      <c r="CA183" s="28">
        <f>COGS!CA183+'SG&amp;A'!CA183</f>
        <v>0</v>
      </c>
      <c r="CB183" s="28">
        <f>COGS!CB183+'SG&amp;A'!CB183</f>
        <v>0</v>
      </c>
      <c r="CC183" s="28">
        <f>COGS!CC183+'SG&amp;A'!CC183</f>
        <v>0</v>
      </c>
      <c r="CD183" s="28">
        <f>COGS!CD183+'SG&amp;A'!CD183</f>
        <v>0</v>
      </c>
      <c r="CE183" s="28">
        <f>COGS!CE183+'SG&amp;A'!CE183</f>
        <v>0</v>
      </c>
      <c r="CF183" s="28">
        <f>COGS!CF183+'SG&amp;A'!CF183</f>
        <v>0</v>
      </c>
      <c r="CG183" s="28">
        <f>COGS!CG183+'SG&amp;A'!CG183</f>
        <v>0</v>
      </c>
      <c r="CH183" s="28">
        <f>COGS!CH183+'SG&amp;A'!CH183</f>
        <v>0</v>
      </c>
      <c r="CI183" s="28">
        <f>COGS!CI183+'SG&amp;A'!CI183</f>
        <v>0</v>
      </c>
      <c r="CJ183" s="28">
        <f>COGS!CJ183+'SG&amp;A'!CJ183</f>
        <v>0</v>
      </c>
      <c r="CK183" s="28">
        <f>COGS!CK183+'SG&amp;A'!CK183</f>
        <v>0</v>
      </c>
      <c r="CL183" s="28">
        <f>COGS!CL183+'SG&amp;A'!CL183</f>
        <v>0</v>
      </c>
      <c r="CM183" s="28">
        <f>COGS!CM183+'SG&amp;A'!CM183</f>
        <v>0</v>
      </c>
      <c r="CN183" s="28">
        <f>COGS!CN183+'SG&amp;A'!CN183</f>
        <v>0</v>
      </c>
      <c r="CO183" s="28">
        <f>COGS!CO183+'SG&amp;A'!CO183</f>
        <v>0</v>
      </c>
      <c r="CP183" s="28">
        <f>COGS!CP183+'SG&amp;A'!CP183</f>
        <v>0</v>
      </c>
      <c r="CQ183" s="28">
        <f>COGS!CQ183+'SG&amp;A'!CQ183</f>
        <v>0</v>
      </c>
      <c r="CR183" s="28">
        <f>COGS!CR183+'SG&amp;A'!CR183</f>
        <v>0</v>
      </c>
      <c r="CS183" s="28">
        <f>COGS!CS183+'SG&amp;A'!CS183</f>
        <v>0</v>
      </c>
      <c r="CT183" s="28">
        <f>COGS!CT183+'SG&amp;A'!CT183</f>
        <v>0</v>
      </c>
      <c r="CU183" s="28">
        <f>COGS!CU183+'SG&amp;A'!CU183</f>
        <v>0</v>
      </c>
      <c r="CV183" s="28">
        <f>COGS!CV183+'SG&amp;A'!CV183</f>
        <v>0</v>
      </c>
      <c r="CW183" s="28">
        <f>COGS!CW183+'SG&amp;A'!CW183</f>
        <v>0</v>
      </c>
      <c r="CX183" s="28">
        <f>COGS!CX183+'SG&amp;A'!CX183</f>
        <v>0</v>
      </c>
      <c r="CY183" s="28">
        <f>COGS!CY183+'SG&amp;A'!CY183</f>
        <v>0</v>
      </c>
      <c r="CZ183" s="28">
        <f>COGS!CZ183+'SG&amp;A'!CZ183</f>
        <v>0</v>
      </c>
      <c r="DA183" s="28">
        <f>COGS!DA183+'SG&amp;A'!DA183</f>
        <v>0</v>
      </c>
      <c r="DB183" s="28">
        <f>COGS!DB183+'SG&amp;A'!DB183</f>
        <v>0</v>
      </c>
      <c r="DC183" s="28">
        <f>COGS!DC183+'SG&amp;A'!DC183</f>
        <v>0</v>
      </c>
      <c r="DD183" s="28">
        <f>COGS!DD183+'SG&amp;A'!DD183</f>
        <v>0</v>
      </c>
      <c r="DE183" s="28">
        <f>COGS!DE183+'SG&amp;A'!DE183</f>
        <v>0</v>
      </c>
      <c r="DF183" s="28">
        <f>COGS!DF183+'SG&amp;A'!DF183</f>
        <v>0</v>
      </c>
      <c r="DG183" s="28">
        <f>COGS!DG183+'SG&amp;A'!DG183</f>
        <v>0</v>
      </c>
      <c r="DH183" s="28">
        <f>COGS!DH183+'SG&amp;A'!DH183</f>
        <v>0</v>
      </c>
      <c r="DI183" s="28">
        <f>COGS!DI183+'SG&amp;A'!DI183</f>
        <v>0</v>
      </c>
      <c r="DJ183" s="28">
        <f>COGS!DJ183+'SG&amp;A'!DJ183</f>
        <v>0</v>
      </c>
      <c r="DK183" s="28">
        <f>COGS!DK183+'SG&amp;A'!DK183</f>
        <v>0</v>
      </c>
      <c r="DL183" s="28">
        <f>COGS!DL183+'SG&amp;A'!DL183</f>
        <v>0</v>
      </c>
      <c r="DM183" s="28">
        <f>COGS!DM183+'SG&amp;A'!DM183</f>
        <v>0</v>
      </c>
      <c r="DN183" s="28">
        <f>COGS!DN183+'SG&amp;A'!DN183</f>
        <v>0</v>
      </c>
      <c r="DO183" s="28">
        <f>COGS!DO183+'SG&amp;A'!DO183</f>
        <v>0</v>
      </c>
      <c r="DP183" s="28">
        <f>COGS!DP183+'SG&amp;A'!DP183</f>
        <v>0</v>
      </c>
      <c r="DQ183" s="28">
        <f>COGS!DQ183+'SG&amp;A'!DQ183</f>
        <v>0</v>
      </c>
      <c r="DR183" s="28">
        <f>COGS!DR183+'SG&amp;A'!DR183</f>
        <v>0</v>
      </c>
      <c r="DS183" s="28">
        <f>COGS!DS183+'SG&amp;A'!DS183</f>
        <v>0</v>
      </c>
      <c r="DT183" s="28">
        <f>COGS!DT183+'SG&amp;A'!DT183</f>
        <v>0.77299999999999991</v>
      </c>
      <c r="DU183" s="28">
        <f>COGS!DU183+'SG&amp;A'!DU183</f>
        <v>1.06</v>
      </c>
      <c r="DV183" s="28">
        <f>COGS!DV183+'SG&amp;A'!DV183</f>
        <v>1.833</v>
      </c>
      <c r="DW183" s="28">
        <f>COGS!DW183+'SG&amp;A'!DW183</f>
        <v>2.871</v>
      </c>
      <c r="DX183" s="28">
        <f>COGS!DX183+'SG&amp;A'!DX183</f>
        <v>4.8370647399999998</v>
      </c>
      <c r="DY183" s="28">
        <f>COGS!DY183+'SG&amp;A'!DY183</f>
        <v>4.1322974700000001</v>
      </c>
      <c r="DZ183" s="28">
        <f>COGS!DZ183+'SG&amp;A'!DZ183</f>
        <v>5.5990610299999997</v>
      </c>
      <c r="EA183" s="28">
        <f>COGS!EA183+'SG&amp;A'!EA183</f>
        <v>17.439423239999996</v>
      </c>
      <c r="EB183" s="28">
        <f>COGS!EB183+'SG&amp;A'!EB183</f>
        <v>6.6225946899999997</v>
      </c>
      <c r="EC183" s="28">
        <f>COGS!EC183+'SG&amp;A'!EC183</f>
        <v>5.6367228900000006</v>
      </c>
      <c r="ED183" s="28">
        <f>COGS!ED183+'SG&amp;A'!ED183</f>
        <v>5.1209999999999996</v>
      </c>
      <c r="EE183" s="28">
        <f>COGS!EE183+'SG&amp;A'!EE183</f>
        <v>7.6013925900000014</v>
      </c>
      <c r="EF183" s="28">
        <f>COGS!EF183+'SG&amp;A'!EF183</f>
        <v>24.981710169999999</v>
      </c>
      <c r="EG183" s="28">
        <f>COGS!EG183+'SG&amp;A'!EG183</f>
        <v>6.5181115399999996</v>
      </c>
      <c r="EH183" s="28">
        <f>COGS!EH183+'SG&amp;A'!EH183</f>
        <v>5.12083333</v>
      </c>
      <c r="EI183" s="28">
        <f>COGS!EI183+'SG&amp;A'!EI183</f>
        <v>9.4715754399999987</v>
      </c>
    </row>
    <row r="184" spans="1:139" ht="15" thickTop="1" x14ac:dyDescent="0.3">
      <c r="A184" s="1" t="s">
        <v>449</v>
      </c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>
        <f>COGS!BJ184+'SG&amp;A'!BJ184</f>
        <v>0</v>
      </c>
      <c r="BK184" s="27">
        <f>COGS!BK184+'SG&amp;A'!BK184</f>
        <v>0</v>
      </c>
      <c r="BL184" s="27">
        <f>COGS!BL184+'SG&amp;A'!BL184</f>
        <v>0</v>
      </c>
      <c r="BM184" s="27">
        <f>COGS!BM184+'SG&amp;A'!BM184</f>
        <v>0</v>
      </c>
      <c r="BN184" s="27">
        <f>COGS!BN184+'SG&amp;A'!BN184</f>
        <v>0</v>
      </c>
      <c r="BO184" s="27">
        <f>COGS!BO184+'SG&amp;A'!BO184</f>
        <v>0</v>
      </c>
      <c r="BP184" s="27">
        <f>COGS!BP184+'SG&amp;A'!BP184</f>
        <v>0</v>
      </c>
      <c r="BQ184" s="27">
        <f>COGS!BQ184+'SG&amp;A'!BQ184</f>
        <v>0</v>
      </c>
      <c r="BR184" s="27">
        <f>COGS!BR184+'SG&amp;A'!BR184</f>
        <v>0</v>
      </c>
      <c r="BS184" s="27">
        <f>COGS!BS184+'SG&amp;A'!BS184</f>
        <v>0</v>
      </c>
      <c r="BT184" s="27">
        <f>COGS!BT184+'SG&amp;A'!BT184</f>
        <v>0</v>
      </c>
      <c r="BU184" s="27">
        <f>COGS!BU184+'SG&amp;A'!BU184</f>
        <v>0</v>
      </c>
      <c r="BV184" s="27">
        <f>COGS!BV184+'SG&amp;A'!BV184</f>
        <v>0</v>
      </c>
      <c r="BW184" s="27">
        <f>COGS!BW184+'SG&amp;A'!BW184</f>
        <v>0</v>
      </c>
      <c r="BX184" s="27">
        <f>COGS!BX184+'SG&amp;A'!BX184</f>
        <v>0</v>
      </c>
      <c r="BY184" s="27">
        <f>COGS!BY184+'SG&amp;A'!BY184</f>
        <v>0</v>
      </c>
      <c r="BZ184" s="27">
        <f>COGS!BZ184+'SG&amp;A'!BZ184</f>
        <v>0</v>
      </c>
      <c r="CA184" s="27">
        <f>COGS!CA184+'SG&amp;A'!CA184</f>
        <v>0</v>
      </c>
      <c r="CB184" s="27">
        <f>COGS!CB184+'SG&amp;A'!CB184</f>
        <v>0</v>
      </c>
      <c r="CC184" s="27">
        <f>COGS!CC184+'SG&amp;A'!CC184</f>
        <v>0</v>
      </c>
      <c r="CD184" s="27">
        <f>COGS!CD184+'SG&amp;A'!CD184</f>
        <v>0</v>
      </c>
      <c r="CE184" s="27">
        <f>COGS!CE184+'SG&amp;A'!CE184</f>
        <v>0</v>
      </c>
      <c r="CF184" s="27">
        <f>COGS!CF184+'SG&amp;A'!CF184</f>
        <v>0</v>
      </c>
      <c r="CG184" s="27">
        <f>COGS!CG184+'SG&amp;A'!CG184</f>
        <v>0</v>
      </c>
      <c r="CH184" s="27">
        <f>COGS!CH184+'SG&amp;A'!CH184</f>
        <v>0</v>
      </c>
      <c r="CI184" s="27">
        <f>COGS!CI184+'SG&amp;A'!CI184</f>
        <v>0</v>
      </c>
      <c r="CJ184" s="27">
        <f>COGS!CJ184+'SG&amp;A'!CJ184</f>
        <v>0</v>
      </c>
      <c r="CK184" s="27">
        <f>COGS!CK184+'SG&amp;A'!CK184</f>
        <v>0</v>
      </c>
      <c r="CL184" s="27">
        <f>COGS!CL184+'SG&amp;A'!CL184</f>
        <v>0</v>
      </c>
      <c r="CM184" s="27">
        <f>COGS!CM184+'SG&amp;A'!CM184</f>
        <v>0</v>
      </c>
      <c r="CN184" s="27">
        <f>COGS!CN184+'SG&amp;A'!CN184</f>
        <v>0</v>
      </c>
      <c r="CO184" s="27">
        <f>COGS!CO184+'SG&amp;A'!CO184</f>
        <v>0</v>
      </c>
      <c r="CP184" s="27">
        <f>COGS!CP184+'SG&amp;A'!CP184</f>
        <v>0</v>
      </c>
      <c r="CQ184" s="27">
        <f>COGS!CQ184+'SG&amp;A'!CQ184</f>
        <v>0</v>
      </c>
      <c r="CR184" s="27">
        <f>COGS!CR184+'SG&amp;A'!CR184</f>
        <v>0</v>
      </c>
      <c r="CS184" s="27">
        <f>COGS!CS184+'SG&amp;A'!CS184</f>
        <v>0</v>
      </c>
      <c r="CT184" s="27">
        <f>COGS!CT184+'SG&amp;A'!CT184</f>
        <v>0</v>
      </c>
      <c r="CU184" s="27">
        <f>COGS!CU184+'SG&amp;A'!CU184</f>
        <v>0</v>
      </c>
      <c r="CV184" s="27">
        <f>COGS!CV184+'SG&amp;A'!CV184</f>
        <v>0</v>
      </c>
      <c r="CW184" s="27">
        <f>COGS!CW184+'SG&amp;A'!CW184</f>
        <v>0</v>
      </c>
      <c r="CX184" s="27">
        <f>COGS!CX184+'SG&amp;A'!CX184</f>
        <v>0</v>
      </c>
      <c r="CY184" s="27">
        <f>COGS!CY184+'SG&amp;A'!CY184</f>
        <v>0</v>
      </c>
      <c r="CZ184" s="27">
        <f>COGS!CZ184+'SG&amp;A'!CZ184</f>
        <v>0</v>
      </c>
      <c r="DA184" s="27">
        <f>COGS!DA184+'SG&amp;A'!DA184</f>
        <v>0</v>
      </c>
      <c r="DB184" s="27">
        <f>COGS!DB184+'SG&amp;A'!DB184</f>
        <v>0</v>
      </c>
      <c r="DC184" s="27">
        <f>COGS!DC184+'SG&amp;A'!DC184</f>
        <v>0</v>
      </c>
      <c r="DD184" s="27">
        <f>COGS!DD184+'SG&amp;A'!DD184</f>
        <v>0</v>
      </c>
      <c r="DE184" s="27">
        <f>COGS!DE184+'SG&amp;A'!DE184</f>
        <v>0</v>
      </c>
      <c r="DF184" s="27">
        <f>COGS!DF184+'SG&amp;A'!DF184</f>
        <v>0</v>
      </c>
      <c r="DG184" s="27">
        <f>COGS!DG184+'SG&amp;A'!DG184</f>
        <v>0</v>
      </c>
      <c r="DH184" s="27">
        <f>COGS!DH184+'SG&amp;A'!DH184</f>
        <v>0</v>
      </c>
      <c r="DI184" s="27">
        <f>COGS!DI184+'SG&amp;A'!DI184</f>
        <v>0</v>
      </c>
      <c r="DJ184" s="27">
        <f>COGS!DJ184+'SG&amp;A'!DJ184</f>
        <v>0</v>
      </c>
      <c r="DK184" s="27">
        <f>COGS!DK184+'SG&amp;A'!DK184</f>
        <v>0</v>
      </c>
      <c r="DL184" s="27">
        <f>COGS!DL184+'SG&amp;A'!DL184</f>
        <v>0</v>
      </c>
      <c r="DM184" s="27">
        <f>COGS!DM184+'SG&amp;A'!DM184</f>
        <v>0</v>
      </c>
      <c r="DN184" s="27">
        <f>COGS!DN184+'SG&amp;A'!DN184</f>
        <v>0</v>
      </c>
      <c r="DO184" s="27">
        <f>COGS!DO184+'SG&amp;A'!DO184</f>
        <v>0</v>
      </c>
      <c r="DP184" s="27">
        <f>COGS!DP184+'SG&amp;A'!DP184</f>
        <v>0</v>
      </c>
      <c r="DQ184" s="27">
        <f>COGS!DQ184+'SG&amp;A'!DQ184</f>
        <v>0</v>
      </c>
      <c r="DR184" s="27">
        <f>COGS!DR184+'SG&amp;A'!DR184</f>
        <v>0</v>
      </c>
      <c r="DS184" s="27">
        <f>COGS!DS184+'SG&amp;A'!DS184</f>
        <v>0</v>
      </c>
      <c r="DT184" s="27">
        <f>COGS!DT184+'SG&amp;A'!DT184</f>
        <v>0</v>
      </c>
      <c r="DU184" s="27">
        <f>COGS!DU184+'SG&amp;A'!DU184</f>
        <v>0</v>
      </c>
      <c r="DV184" s="27">
        <f>COGS!DV184+'SG&amp;A'!DV184</f>
        <v>0</v>
      </c>
      <c r="DW184" s="27">
        <f>COGS!DW184+'SG&amp;A'!DW184</f>
        <v>0</v>
      </c>
      <c r="DX184" s="27">
        <f>COGS!DX184+'SG&amp;A'!DX184</f>
        <v>0.87223485000000001</v>
      </c>
      <c r="DY184" s="27">
        <f>COGS!DY184+'SG&amp;A'!DY184</f>
        <v>3.2939143000000004</v>
      </c>
      <c r="DZ184" s="27">
        <f>COGS!DZ184+'SG&amp;A'!DZ184</f>
        <v>3.0372102999999999</v>
      </c>
      <c r="EA184" s="27">
        <f>COGS!EA184+'SG&amp;A'!EA184</f>
        <v>7.2033594499999998</v>
      </c>
      <c r="EB184" s="27">
        <f>COGS!EB184+'SG&amp;A'!EB184</f>
        <v>2.04633661</v>
      </c>
      <c r="EC184" s="27">
        <f>COGS!EC184+'SG&amp;A'!EC184</f>
        <v>2.9986351100000004</v>
      </c>
      <c r="ED184" s="27">
        <f>COGS!ED184+'SG&amp;A'!ED184</f>
        <v>3.173</v>
      </c>
      <c r="EE184" s="27">
        <f>COGS!EE184+'SG&amp;A'!EE184</f>
        <v>5.5867579099999993</v>
      </c>
      <c r="EF184" s="27">
        <f>COGS!EF184+'SG&amp;A'!EF184</f>
        <v>13.804729629999999</v>
      </c>
      <c r="EG184" s="27">
        <f>COGS!EG184+'SG&amp;A'!EG184</f>
        <v>2.6618755099999998</v>
      </c>
      <c r="EH184" s="27">
        <f>COGS!EH184+'SG&amp;A'!EH184</f>
        <v>3.72233306</v>
      </c>
      <c r="EI184" s="27">
        <f>COGS!EI184+'SG&amp;A'!EI184</f>
        <v>4.03373881</v>
      </c>
    </row>
    <row r="185" spans="1:139" ht="15" thickBot="1" x14ac:dyDescent="0.35">
      <c r="A185" s="2" t="s">
        <v>460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>
        <f>COGS!EE185+'SG&amp;A'!EE185</f>
        <v>0</v>
      </c>
      <c r="EF185" s="28">
        <f>COGS!EF185+'SG&amp;A'!EF185</f>
        <v>0</v>
      </c>
      <c r="EG185" s="28">
        <f>COGS!EG185+'SG&amp;A'!EG185</f>
        <v>9.6667799999999998E-3</v>
      </c>
      <c r="EH185" s="28">
        <f>COGS!EH185+'SG&amp;A'!EH185</f>
        <v>2.5168222300000003</v>
      </c>
      <c r="EI185" s="28">
        <f>COGS!EI185+'SG&amp;A'!EI185</f>
        <v>0.93252727999999996</v>
      </c>
    </row>
    <row r="186" spans="1:139" ht="15" thickTop="1" x14ac:dyDescent="0.3">
      <c r="A186" s="1" t="s">
        <v>304</v>
      </c>
      <c r="B186" s="27">
        <f>COGS!B186+'SG&amp;A'!B186</f>
        <v>0</v>
      </c>
      <c r="C186" s="27">
        <f>COGS!C186+'SG&amp;A'!C186</f>
        <v>0</v>
      </c>
      <c r="D186" s="27">
        <f>COGS!D186+'SG&amp;A'!D186</f>
        <v>0</v>
      </c>
      <c r="E186" s="27">
        <f>COGS!E186+'SG&amp;A'!E186</f>
        <v>0</v>
      </c>
      <c r="F186" s="27">
        <f>COGS!F186+'SG&amp;A'!F186</f>
        <v>0</v>
      </c>
      <c r="G186" s="27">
        <f>COGS!G186+'SG&amp;A'!G186</f>
        <v>0</v>
      </c>
      <c r="H186" s="27">
        <f>COGS!H186+'SG&amp;A'!H186</f>
        <v>0</v>
      </c>
      <c r="I186" s="27">
        <f>COGS!I186+'SG&amp;A'!I186</f>
        <v>0</v>
      </c>
      <c r="J186" s="27">
        <f>COGS!J186+'SG&amp;A'!J186</f>
        <v>0</v>
      </c>
      <c r="K186" s="27">
        <f>COGS!K186+'SG&amp;A'!K186</f>
        <v>0</v>
      </c>
      <c r="L186" s="27">
        <f>COGS!L186+'SG&amp;A'!L186</f>
        <v>0</v>
      </c>
      <c r="M186" s="27">
        <f>COGS!M186+'SG&amp;A'!M186</f>
        <v>0</v>
      </c>
      <c r="N186" s="27">
        <f>COGS!N186+'SG&amp;A'!N186</f>
        <v>0</v>
      </c>
      <c r="O186" s="27">
        <f>COGS!O186+'SG&amp;A'!O186</f>
        <v>0</v>
      </c>
      <c r="P186" s="27">
        <f>COGS!P186+'SG&amp;A'!P186</f>
        <v>0</v>
      </c>
      <c r="Q186" s="27">
        <f>COGS!Q186+'SG&amp;A'!Q186</f>
        <v>0</v>
      </c>
      <c r="R186" s="27">
        <f>COGS!R186+'SG&amp;A'!R186</f>
        <v>0</v>
      </c>
      <c r="S186" s="27">
        <f>COGS!S186+'SG&amp;A'!S186</f>
        <v>0</v>
      </c>
      <c r="T186" s="27">
        <f>COGS!T186+'SG&amp;A'!T186</f>
        <v>0</v>
      </c>
      <c r="U186" s="27">
        <f>COGS!U186+'SG&amp;A'!U186</f>
        <v>0</v>
      </c>
      <c r="V186" s="27">
        <f>COGS!V186+'SG&amp;A'!V186</f>
        <v>0</v>
      </c>
      <c r="W186" s="27">
        <f>COGS!W186+'SG&amp;A'!W186</f>
        <v>0</v>
      </c>
      <c r="X186" s="27">
        <f>COGS!X186+'SG&amp;A'!X186</f>
        <v>0</v>
      </c>
      <c r="Y186" s="27">
        <f>COGS!Y186+'SG&amp;A'!Y186</f>
        <v>0</v>
      </c>
      <c r="Z186" s="27">
        <f>COGS!Z186+'SG&amp;A'!Z186</f>
        <v>0</v>
      </c>
      <c r="AA186" s="27">
        <f>COGS!AA186+'SG&amp;A'!AA186</f>
        <v>0</v>
      </c>
      <c r="AB186" s="27">
        <f>COGS!AB186+'SG&amp;A'!AB186</f>
        <v>0</v>
      </c>
      <c r="AC186" s="27">
        <f>COGS!AC186+'SG&amp;A'!AC186</f>
        <v>0</v>
      </c>
      <c r="AD186" s="27">
        <f>COGS!AD186+'SG&amp;A'!AD186</f>
        <v>0</v>
      </c>
      <c r="AE186" s="27">
        <f>COGS!AE186+'SG&amp;A'!AE186</f>
        <v>0</v>
      </c>
      <c r="AF186" s="27">
        <f>COGS!AF186+'SG&amp;A'!AF186</f>
        <v>0</v>
      </c>
      <c r="AG186" s="27">
        <f>COGS!AG186+'SG&amp;A'!AG186</f>
        <v>0</v>
      </c>
      <c r="AH186" s="27">
        <f>COGS!AH186+'SG&amp;A'!AH186</f>
        <v>0</v>
      </c>
      <c r="AI186" s="27">
        <f>COGS!AI186+'SG&amp;A'!AI186</f>
        <v>0</v>
      </c>
      <c r="AJ186" s="27">
        <f>COGS!AJ186+'SG&amp;A'!AJ186</f>
        <v>0</v>
      </c>
      <c r="AK186" s="27">
        <f>COGS!AK186+'SG&amp;A'!AK186</f>
        <v>0</v>
      </c>
      <c r="AL186" s="27">
        <f>COGS!AL186+'SG&amp;A'!AL186</f>
        <v>0</v>
      </c>
      <c r="AM186" s="27">
        <f>COGS!AM186+'SG&amp;A'!AM186</f>
        <v>0</v>
      </c>
      <c r="AN186" s="27">
        <f>COGS!AN186+'SG&amp;A'!AN186</f>
        <v>0</v>
      </c>
      <c r="AO186" s="27">
        <f>COGS!AO186+'SG&amp;A'!AO186</f>
        <v>0</v>
      </c>
      <c r="AP186" s="27">
        <f>COGS!AP186+'SG&amp;A'!AP186</f>
        <v>0</v>
      </c>
      <c r="AQ186" s="27">
        <f>COGS!AQ186+'SG&amp;A'!AQ186</f>
        <v>0</v>
      </c>
      <c r="AR186" s="27">
        <f>COGS!AR186+'SG&amp;A'!AR186</f>
        <v>0</v>
      </c>
      <c r="AS186" s="27">
        <f>COGS!AS186+'SG&amp;A'!AS186</f>
        <v>0</v>
      </c>
      <c r="AT186" s="27">
        <f>COGS!AT186+'SG&amp;A'!AT186</f>
        <v>0</v>
      </c>
      <c r="AU186" s="27">
        <f>COGS!AU186+'SG&amp;A'!AU186</f>
        <v>0</v>
      </c>
      <c r="AV186" s="27">
        <f>COGS!AV186+'SG&amp;A'!AV186</f>
        <v>0</v>
      </c>
      <c r="AW186" s="27">
        <f>COGS!AW186+'SG&amp;A'!AW186</f>
        <v>0</v>
      </c>
      <c r="AX186" s="27">
        <f>COGS!AX186+'SG&amp;A'!AX186</f>
        <v>0</v>
      </c>
      <c r="AY186" s="27">
        <f>COGS!AY186+'SG&amp;A'!AY186</f>
        <v>0</v>
      </c>
      <c r="AZ186" s="27">
        <f>COGS!AZ186+'SG&amp;A'!AZ186</f>
        <v>0</v>
      </c>
      <c r="BA186" s="27">
        <f>COGS!BA186+'SG&amp;A'!BA186</f>
        <v>0</v>
      </c>
      <c r="BB186" s="27">
        <f>COGS!BB186+'SG&amp;A'!BB186</f>
        <v>0</v>
      </c>
      <c r="BC186" s="27">
        <f>COGS!BC186+'SG&amp;A'!BC186</f>
        <v>0</v>
      </c>
      <c r="BD186" s="27">
        <f>COGS!BD186+'SG&amp;A'!BD186</f>
        <v>0</v>
      </c>
      <c r="BE186" s="27">
        <f>COGS!BE186+'SG&amp;A'!BE186</f>
        <v>0</v>
      </c>
      <c r="BF186" s="27">
        <f>COGS!BF186+'SG&amp;A'!BF186</f>
        <v>0</v>
      </c>
      <c r="BG186" s="27">
        <f>COGS!BG186+'SG&amp;A'!BG186</f>
        <v>0</v>
      </c>
      <c r="BH186" s="27">
        <f>COGS!BH186+'SG&amp;A'!BH186</f>
        <v>0</v>
      </c>
      <c r="BI186" s="27">
        <f>COGS!BI186+'SG&amp;A'!BI186</f>
        <v>0</v>
      </c>
      <c r="BJ186" s="27">
        <f>COGS!BJ186+'SG&amp;A'!BJ186</f>
        <v>0</v>
      </c>
      <c r="BK186" s="27">
        <f>COGS!BK186+'SG&amp;A'!BK186</f>
        <v>0</v>
      </c>
      <c r="BL186" s="27">
        <f>COGS!BL186+'SG&amp;A'!BL186</f>
        <v>0</v>
      </c>
      <c r="BM186" s="27">
        <f>COGS!BM186+'SG&amp;A'!BM186</f>
        <v>0</v>
      </c>
      <c r="BN186" s="27">
        <f>COGS!BN186+'SG&amp;A'!BN186</f>
        <v>0</v>
      </c>
      <c r="BO186" s="27">
        <f>COGS!BO186+'SG&amp;A'!BO186</f>
        <v>0</v>
      </c>
      <c r="BP186" s="27">
        <f>COGS!BP186+'SG&amp;A'!BP186</f>
        <v>0</v>
      </c>
      <c r="BQ186" s="27">
        <f>COGS!BQ186+'SG&amp;A'!BQ186</f>
        <v>0</v>
      </c>
      <c r="BR186" s="27">
        <f>COGS!BR186+'SG&amp;A'!BR186</f>
        <v>0</v>
      </c>
      <c r="BS186" s="27">
        <f>COGS!BS186+'SG&amp;A'!BS186</f>
        <v>0</v>
      </c>
      <c r="BT186" s="27">
        <f>COGS!BT186+'SG&amp;A'!BT186</f>
        <v>0</v>
      </c>
      <c r="BU186" s="27">
        <f>COGS!BU186+'SG&amp;A'!BU186</f>
        <v>2.35264052</v>
      </c>
      <c r="BV186" s="27">
        <f>COGS!BV186+'SG&amp;A'!BV186</f>
        <v>8.1248353099999999</v>
      </c>
      <c r="BW186" s="27">
        <f>COGS!BW186+'SG&amp;A'!BW186</f>
        <v>76.044779720000008</v>
      </c>
      <c r="BX186" s="27">
        <f>COGS!BX186+'SG&amp;A'!BX186</f>
        <v>86.522255550000011</v>
      </c>
      <c r="BY186" s="27">
        <f>COGS!BY186+'SG&amp;A'!BY186</f>
        <v>12.986472449999997</v>
      </c>
      <c r="BZ186" s="27">
        <f>COGS!BZ186+'SG&amp;A'!BZ186</f>
        <v>-2.5356333299999974</v>
      </c>
      <c r="CA186" s="27">
        <f>COGS!CA186+'SG&amp;A'!CA186</f>
        <v>4.7424474499999993</v>
      </c>
      <c r="CB186" s="27">
        <f>COGS!CB186+'SG&amp;A'!CB186</f>
        <v>5.9695751800000023</v>
      </c>
      <c r="CC186" s="27">
        <f>COGS!CC186+'SG&amp;A'!CC186</f>
        <v>21.162861750000005</v>
      </c>
      <c r="CD186" s="27">
        <f>COGS!CD186+'SG&amp;A'!CD186</f>
        <v>4.9318805899999996</v>
      </c>
      <c r="CE186" s="27">
        <f>COGS!CE186+'SG&amp;A'!CE186</f>
        <v>5.2426778000000009</v>
      </c>
      <c r="CF186" s="27">
        <f>COGS!CF186+'SG&amp;A'!CF186</f>
        <v>5.1556460899999994</v>
      </c>
      <c r="CG186" s="27">
        <f>COGS!CG186+'SG&amp;A'!CG186</f>
        <v>5.9845653400000032</v>
      </c>
      <c r="CH186" s="27">
        <f>COGS!CH186+'SG&amp;A'!CH186</f>
        <v>21.314769820000002</v>
      </c>
      <c r="CI186" s="27">
        <f>COGS!CI186+'SG&amp;A'!CI186</f>
        <v>6.0036623899999997</v>
      </c>
      <c r="CJ186" s="27">
        <f>COGS!CJ186+'SG&amp;A'!CJ186</f>
        <v>6.6376845500000003</v>
      </c>
      <c r="CK186" s="27">
        <f>COGS!CK186+'SG&amp;A'!CK186</f>
        <v>4.9464664399999982</v>
      </c>
      <c r="CL186" s="27">
        <f>COGS!CL186+'SG&amp;A'!CL186</f>
        <v>2.6737386600000015</v>
      </c>
      <c r="CM186" s="27">
        <f>COGS!CM186+'SG&amp;A'!CM186</f>
        <v>20.261552040000002</v>
      </c>
      <c r="CN186" s="27">
        <f>COGS!CN186+'SG&amp;A'!CN186</f>
        <v>4.3132562200000004</v>
      </c>
      <c r="CO186" s="27">
        <f>COGS!CO186+'SG&amp;A'!CO186</f>
        <v>7.453478800000001</v>
      </c>
      <c r="CP186" s="27">
        <f>COGS!CP186+'SG&amp;A'!CP186</f>
        <v>4.2255119900000002</v>
      </c>
      <c r="CQ186" s="27">
        <f>COGS!CQ186+'SG&amp;A'!CQ186</f>
        <v>3.9407529899999982</v>
      </c>
      <c r="CR186" s="27">
        <f>COGS!CR186+'SG&amp;A'!CR186</f>
        <v>19.933</v>
      </c>
      <c r="CS186" s="27">
        <f>COGS!CS186+'SG&amp;A'!CS186</f>
        <v>-0.67829019999999995</v>
      </c>
      <c r="CT186" s="27">
        <f>COGS!CT186+'SG&amp;A'!CT186</f>
        <v>-0.1577097999999999</v>
      </c>
      <c r="CU186" s="27">
        <f>COGS!CU186+'SG&amp;A'!CU186</f>
        <v>0.77300000000000013</v>
      </c>
      <c r="CV186" s="27">
        <f>COGS!CV186+'SG&amp;A'!CV186</f>
        <v>5.3529999999999998</v>
      </c>
      <c r="CW186" s="27">
        <f>COGS!CW186+'SG&amp;A'!CW186</f>
        <v>5.29</v>
      </c>
      <c r="CX186" s="27">
        <f>COGS!CX186+'SG&amp;A'!CX186</f>
        <v>0.75200000000000011</v>
      </c>
      <c r="CY186" s="27">
        <f>COGS!CY186+'SG&amp;A'!CY186</f>
        <v>2.0329999999999999</v>
      </c>
      <c r="CZ186" s="27">
        <f>COGS!CZ186+'SG&amp;A'!CZ186</f>
        <v>1.9731000000000001</v>
      </c>
      <c r="DA186" s="27">
        <f>COGS!DA186+'SG&amp;A'!DA186</f>
        <v>2.5489999999999999</v>
      </c>
      <c r="DB186" s="27">
        <f>COGS!DB186+'SG&amp;A'!DB186</f>
        <v>7.3071000000000002</v>
      </c>
      <c r="DC186" s="27">
        <f>COGS!DC186+'SG&amp;A'!DC186</f>
        <v>2.5289999999999999</v>
      </c>
      <c r="DD186" s="27">
        <f>COGS!DD186+'SG&amp;A'!DD186</f>
        <v>2.6419999999999999</v>
      </c>
      <c r="DE186" s="27">
        <f>COGS!DE186+'SG&amp;A'!DE186</f>
        <v>3.4820000000000002</v>
      </c>
      <c r="DF186" s="27">
        <f>COGS!DF186+'SG&amp;A'!DF186</f>
        <v>12.218</v>
      </c>
      <c r="DG186" s="27">
        <f>COGS!DG186+'SG&amp;A'!DG186</f>
        <v>20.871000000000002</v>
      </c>
      <c r="DH186" s="27">
        <f>COGS!DH186+'SG&amp;A'!DH186</f>
        <v>2.9569999999999999</v>
      </c>
      <c r="DI186" s="27">
        <f>COGS!DI186+'SG&amp;A'!DI186</f>
        <v>2.4550000000000001</v>
      </c>
      <c r="DJ186" s="27">
        <f>COGS!DJ186+'SG&amp;A'!DJ186</f>
        <v>1.7869999999999999</v>
      </c>
      <c r="DK186" s="27">
        <f>COGS!DK186+'SG&amp;A'!DK186</f>
        <v>4.1120000000000001</v>
      </c>
      <c r="DL186" s="27">
        <f>COGS!DL186+'SG&amp;A'!DL186</f>
        <v>11.311</v>
      </c>
      <c r="DM186" s="27">
        <f>COGS!DM186+'SG&amp;A'!DM186</f>
        <v>2.927</v>
      </c>
      <c r="DN186" s="27">
        <f>COGS!DN186+'SG&amp;A'!DN186</f>
        <v>4.7809999999999997</v>
      </c>
      <c r="DO186" s="27">
        <f>COGS!DO186+'SG&amp;A'!DO186</f>
        <v>4.2750000000000004</v>
      </c>
      <c r="DP186" s="27">
        <f>COGS!DP186+'SG&amp;A'!DP186</f>
        <v>4.4630000000000001</v>
      </c>
      <c r="DQ186" s="27">
        <f>COGS!DQ186+'SG&amp;A'!DQ186</f>
        <v>16.445999999999998</v>
      </c>
      <c r="DR186" s="27">
        <f>COGS!DR186+'SG&amp;A'!DR186</f>
        <v>3.798</v>
      </c>
      <c r="DS186" s="27">
        <f>COGS!DS186+'SG&amp;A'!DS186</f>
        <v>5.5510000000000002</v>
      </c>
      <c r="DT186" s="27">
        <f>COGS!DT186+'SG&amp;A'!DT186</f>
        <v>5.407</v>
      </c>
      <c r="DU186" s="27">
        <f>COGS!DU186+'SG&amp;A'!DU186</f>
        <v>11.606999999999999</v>
      </c>
      <c r="DV186" s="27">
        <f>COGS!DV186+'SG&amp;A'!DV186</f>
        <v>26.363</v>
      </c>
      <c r="DW186" s="27">
        <f>COGS!DW186+'SG&amp;A'!DW186</f>
        <v>4.55</v>
      </c>
      <c r="DX186" s="27">
        <f>COGS!DX186+'SG&amp;A'!DX186</f>
        <v>7.0342431699999999</v>
      </c>
      <c r="DY186" s="27">
        <f>COGS!DY186+'SG&amp;A'!DY186</f>
        <v>8.1185079800000004</v>
      </c>
      <c r="DZ186" s="27">
        <f>COGS!DZ186+'SG&amp;A'!DZ186</f>
        <v>5.4477893500000025</v>
      </c>
      <c r="EA186" s="27">
        <f>COGS!EA186+'SG&amp;A'!EA186</f>
        <v>25.150540500000002</v>
      </c>
      <c r="EB186" s="27">
        <f>COGS!EB186+'SG&amp;A'!EB186</f>
        <v>8.6781098700000001</v>
      </c>
      <c r="EC186" s="27">
        <f>COGS!EC186+'SG&amp;A'!EC186</f>
        <v>8.9252929999999999</v>
      </c>
      <c r="ED186" s="27">
        <f>COGS!ED186+'SG&amp;A'!ED186</f>
        <v>3.726</v>
      </c>
      <c r="EE186" s="27">
        <f>COGS!EE186+'SG&amp;A'!EE186</f>
        <v>5.340291220000001</v>
      </c>
      <c r="EF186" s="27">
        <f>COGS!EF186+'SG&amp;A'!EF186</f>
        <v>26.669694089999997</v>
      </c>
      <c r="EG186" s="27">
        <f>COGS!EG186+'SG&amp;A'!EG186</f>
        <v>6.0840466000000006</v>
      </c>
      <c r="EH186" s="27">
        <f>COGS!EH186+'SG&amp;A'!EH186</f>
        <v>6.2268257600000005</v>
      </c>
      <c r="EI186" s="27">
        <f>COGS!EI186+'SG&amp;A'!EI186</f>
        <v>2.3209305199999992</v>
      </c>
    </row>
    <row r="187" spans="1:139" ht="15" thickBot="1" x14ac:dyDescent="0.35">
      <c r="A187" s="2" t="s">
        <v>305</v>
      </c>
      <c r="B187" s="28">
        <f>COGS!B187+'SG&amp;A'!B187</f>
        <v>0</v>
      </c>
      <c r="C187" s="28">
        <f>COGS!C187+'SG&amp;A'!C187</f>
        <v>0</v>
      </c>
      <c r="D187" s="28">
        <f>COGS!D187+'SG&amp;A'!D187</f>
        <v>0</v>
      </c>
      <c r="E187" s="28">
        <f>COGS!E187+'SG&amp;A'!E187</f>
        <v>0</v>
      </c>
      <c r="F187" s="28">
        <f>COGS!F187+'SG&amp;A'!F187</f>
        <v>0</v>
      </c>
      <c r="G187" s="28">
        <f>COGS!G187+'SG&amp;A'!G187</f>
        <v>0</v>
      </c>
      <c r="H187" s="28">
        <f>COGS!H187+'SG&amp;A'!H187</f>
        <v>0</v>
      </c>
      <c r="I187" s="28">
        <f>COGS!I187+'SG&amp;A'!I187</f>
        <v>0</v>
      </c>
      <c r="J187" s="28">
        <f>COGS!J187+'SG&amp;A'!J187</f>
        <v>0</v>
      </c>
      <c r="K187" s="28">
        <f>COGS!K187+'SG&amp;A'!K187</f>
        <v>0</v>
      </c>
      <c r="L187" s="28">
        <f>COGS!L187+'SG&amp;A'!L187</f>
        <v>0</v>
      </c>
      <c r="M187" s="28">
        <f>COGS!M187+'SG&amp;A'!M187</f>
        <v>0</v>
      </c>
      <c r="N187" s="28">
        <f>COGS!N187+'SG&amp;A'!N187</f>
        <v>0</v>
      </c>
      <c r="O187" s="28">
        <f>COGS!O187+'SG&amp;A'!O187</f>
        <v>0</v>
      </c>
      <c r="P187" s="28">
        <f>COGS!P187+'SG&amp;A'!P187</f>
        <v>0</v>
      </c>
      <c r="Q187" s="28">
        <f>COGS!Q187+'SG&amp;A'!Q187</f>
        <v>0</v>
      </c>
      <c r="R187" s="28">
        <f>COGS!R187+'SG&amp;A'!R187</f>
        <v>0</v>
      </c>
      <c r="S187" s="28">
        <f>COGS!S187+'SG&amp;A'!S187</f>
        <v>0</v>
      </c>
      <c r="T187" s="28">
        <f>COGS!T187+'SG&amp;A'!T187</f>
        <v>0</v>
      </c>
      <c r="U187" s="28">
        <f>COGS!U187+'SG&amp;A'!U187</f>
        <v>0</v>
      </c>
      <c r="V187" s="28">
        <f>COGS!V187+'SG&amp;A'!V187</f>
        <v>0</v>
      </c>
      <c r="W187" s="28">
        <f>COGS!W187+'SG&amp;A'!W187</f>
        <v>0</v>
      </c>
      <c r="X187" s="28">
        <f>COGS!X187+'SG&amp;A'!X187</f>
        <v>0</v>
      </c>
      <c r="Y187" s="28">
        <f>COGS!Y187+'SG&amp;A'!Y187</f>
        <v>0</v>
      </c>
      <c r="Z187" s="28">
        <f>COGS!Z187+'SG&amp;A'!Z187</f>
        <v>0</v>
      </c>
      <c r="AA187" s="28">
        <f>COGS!AA187+'SG&amp;A'!AA187</f>
        <v>0</v>
      </c>
      <c r="AB187" s="28">
        <f>COGS!AB187+'SG&amp;A'!AB187</f>
        <v>0</v>
      </c>
      <c r="AC187" s="28">
        <f>COGS!AC187+'SG&amp;A'!AC187</f>
        <v>0</v>
      </c>
      <c r="AD187" s="28">
        <f>COGS!AD187+'SG&amp;A'!AD187</f>
        <v>0</v>
      </c>
      <c r="AE187" s="28">
        <f>COGS!AE187+'SG&amp;A'!AE187</f>
        <v>0</v>
      </c>
      <c r="AF187" s="28">
        <f>COGS!AF187+'SG&amp;A'!AF187</f>
        <v>0</v>
      </c>
      <c r="AG187" s="28">
        <f>COGS!AG187+'SG&amp;A'!AG187</f>
        <v>0</v>
      </c>
      <c r="AH187" s="28">
        <f>COGS!AH187+'SG&amp;A'!AH187</f>
        <v>0</v>
      </c>
      <c r="AI187" s="28">
        <f>COGS!AI187+'SG&amp;A'!AI187</f>
        <v>0</v>
      </c>
      <c r="AJ187" s="28">
        <f>COGS!AJ187+'SG&amp;A'!AJ187</f>
        <v>0</v>
      </c>
      <c r="AK187" s="28">
        <f>COGS!AK187+'SG&amp;A'!AK187</f>
        <v>0</v>
      </c>
      <c r="AL187" s="28">
        <f>COGS!AL187+'SG&amp;A'!AL187</f>
        <v>0</v>
      </c>
      <c r="AM187" s="28">
        <f>COGS!AM187+'SG&amp;A'!AM187</f>
        <v>0</v>
      </c>
      <c r="AN187" s="28">
        <f>COGS!AN187+'SG&amp;A'!AN187</f>
        <v>0</v>
      </c>
      <c r="AO187" s="28">
        <f>COGS!AO187+'SG&amp;A'!AO187</f>
        <v>0</v>
      </c>
      <c r="AP187" s="28">
        <f>COGS!AP187+'SG&amp;A'!AP187</f>
        <v>0</v>
      </c>
      <c r="AQ187" s="28">
        <f>COGS!AQ187+'SG&amp;A'!AQ187</f>
        <v>0</v>
      </c>
      <c r="AR187" s="28">
        <f>COGS!AR187+'SG&amp;A'!AR187</f>
        <v>0</v>
      </c>
      <c r="AS187" s="28">
        <f>COGS!AS187+'SG&amp;A'!AS187</f>
        <v>0</v>
      </c>
      <c r="AT187" s="28">
        <f>COGS!AT187+'SG&amp;A'!AT187</f>
        <v>0</v>
      </c>
      <c r="AU187" s="28">
        <f>COGS!AU187+'SG&amp;A'!AU187</f>
        <v>0</v>
      </c>
      <c r="AV187" s="28">
        <f>COGS!AV187+'SG&amp;A'!AV187</f>
        <v>0</v>
      </c>
      <c r="AW187" s="28">
        <f>COGS!AW187+'SG&amp;A'!AW187</f>
        <v>0</v>
      </c>
      <c r="AX187" s="28">
        <f>COGS!AX187+'SG&amp;A'!AX187</f>
        <v>0</v>
      </c>
      <c r="AY187" s="28">
        <f>COGS!AY187+'SG&amp;A'!AY187</f>
        <v>0</v>
      </c>
      <c r="AZ187" s="28">
        <f>COGS!AZ187+'SG&amp;A'!AZ187</f>
        <v>0</v>
      </c>
      <c r="BA187" s="28">
        <f>COGS!BA187+'SG&amp;A'!BA187</f>
        <v>0</v>
      </c>
      <c r="BB187" s="28">
        <f>COGS!BB187+'SG&amp;A'!BB187</f>
        <v>0</v>
      </c>
      <c r="BC187" s="28">
        <f>COGS!BC187+'SG&amp;A'!BC187</f>
        <v>0</v>
      </c>
      <c r="BD187" s="28">
        <f>COGS!BD187+'SG&amp;A'!BD187</f>
        <v>0</v>
      </c>
      <c r="BE187" s="28">
        <f>COGS!BE187+'SG&amp;A'!BE187</f>
        <v>0</v>
      </c>
      <c r="BF187" s="28">
        <f>COGS!BF187+'SG&amp;A'!BF187</f>
        <v>0</v>
      </c>
      <c r="BG187" s="28">
        <f>COGS!BG187+'SG&amp;A'!BG187</f>
        <v>0</v>
      </c>
      <c r="BH187" s="28">
        <f>COGS!BH187+'SG&amp;A'!BH187</f>
        <v>0</v>
      </c>
      <c r="BI187" s="28">
        <f>COGS!BI187+'SG&amp;A'!BI187</f>
        <v>0</v>
      </c>
      <c r="BJ187" s="28">
        <f>COGS!BJ187+'SG&amp;A'!BJ187</f>
        <v>0</v>
      </c>
      <c r="BK187" s="28">
        <f>COGS!BK187+'SG&amp;A'!BK187</f>
        <v>0</v>
      </c>
      <c r="BL187" s="28">
        <f>COGS!BL187+'SG&amp;A'!BL187</f>
        <v>0</v>
      </c>
      <c r="BM187" s="28">
        <f>COGS!BM187+'SG&amp;A'!BM187</f>
        <v>0</v>
      </c>
      <c r="BN187" s="28">
        <f>COGS!BN187+'SG&amp;A'!BN187</f>
        <v>0</v>
      </c>
      <c r="BO187" s="28">
        <f>COGS!BO187+'SG&amp;A'!BO187</f>
        <v>0</v>
      </c>
      <c r="BP187" s="28">
        <f>COGS!BP187+'SG&amp;A'!BP187</f>
        <v>0</v>
      </c>
      <c r="BQ187" s="28">
        <f>COGS!BQ187+'SG&amp;A'!BQ187</f>
        <v>0</v>
      </c>
      <c r="BR187" s="28">
        <f>COGS!BR187+'SG&amp;A'!BR187</f>
        <v>0</v>
      </c>
      <c r="BS187" s="28">
        <f>COGS!BS187+'SG&amp;A'!BS187</f>
        <v>0</v>
      </c>
      <c r="BT187" s="28">
        <f>COGS!BT187+'SG&amp;A'!BT187</f>
        <v>0</v>
      </c>
      <c r="BU187" s="28">
        <f>COGS!BU187+'SG&amp;A'!BU187</f>
        <v>0</v>
      </c>
      <c r="BV187" s="28">
        <f>COGS!BV187+'SG&amp;A'!BV187</f>
        <v>0</v>
      </c>
      <c r="BW187" s="28">
        <f>COGS!BW187+'SG&amp;A'!BW187</f>
        <v>0</v>
      </c>
      <c r="BX187" s="28">
        <f>COGS!BX187+'SG&amp;A'!BX187</f>
        <v>0</v>
      </c>
      <c r="BY187" s="28">
        <f>COGS!BY187+'SG&amp;A'!BY187</f>
        <v>0</v>
      </c>
      <c r="BZ187" s="28">
        <f>COGS!BZ187+'SG&amp;A'!BZ187</f>
        <v>0</v>
      </c>
      <c r="CA187" s="28">
        <f>COGS!CA187+'SG&amp;A'!CA187</f>
        <v>0</v>
      </c>
      <c r="CB187" s="28">
        <f>COGS!CB187+'SG&amp;A'!CB187</f>
        <v>0</v>
      </c>
      <c r="CC187" s="28">
        <f>COGS!CC187+'SG&amp;A'!CC187</f>
        <v>0</v>
      </c>
      <c r="CD187" s="28">
        <f>COGS!CD187+'SG&amp;A'!CD187</f>
        <v>0</v>
      </c>
      <c r="CE187" s="28">
        <f>COGS!CE187+'SG&amp;A'!CE187</f>
        <v>0</v>
      </c>
      <c r="CF187" s="28">
        <f>COGS!CF187+'SG&amp;A'!CF187</f>
        <v>0</v>
      </c>
      <c r="CG187" s="28">
        <f>COGS!CG187+'SG&amp;A'!CG187</f>
        <v>0</v>
      </c>
      <c r="CH187" s="28">
        <f>COGS!CH187+'SG&amp;A'!CH187</f>
        <v>0</v>
      </c>
      <c r="CI187" s="28">
        <f>COGS!CI187+'SG&amp;A'!CI187</f>
        <v>0</v>
      </c>
      <c r="CJ187" s="28">
        <f>COGS!CJ187+'SG&amp;A'!CJ187</f>
        <v>0</v>
      </c>
      <c r="CK187" s="28">
        <f>COGS!CK187+'SG&amp;A'!CK187</f>
        <v>0</v>
      </c>
      <c r="CL187" s="28">
        <f>COGS!CL187+'SG&amp;A'!CL187</f>
        <v>0</v>
      </c>
      <c r="CM187" s="28">
        <f>COGS!CM187+'SG&amp;A'!CM187</f>
        <v>0</v>
      </c>
      <c r="CN187" s="28">
        <f>COGS!CN187+'SG&amp;A'!CN187</f>
        <v>0</v>
      </c>
      <c r="CO187" s="28">
        <f>COGS!CO187+'SG&amp;A'!CO187</f>
        <v>0</v>
      </c>
      <c r="CP187" s="28">
        <f>COGS!CP187+'SG&amp;A'!CP187</f>
        <v>0</v>
      </c>
      <c r="CQ187" s="28">
        <f>COGS!CQ187+'SG&amp;A'!CQ187</f>
        <v>0</v>
      </c>
      <c r="CR187" s="28">
        <f>COGS!CR187+'SG&amp;A'!CR187</f>
        <v>0</v>
      </c>
      <c r="CS187" s="28">
        <f>COGS!CS187+'SG&amp;A'!CS187</f>
        <v>0</v>
      </c>
      <c r="CT187" s="28">
        <f>COGS!CT187+'SG&amp;A'!CT187</f>
        <v>0</v>
      </c>
      <c r="CU187" s="28">
        <f>COGS!CU187+'SG&amp;A'!CU187</f>
        <v>0</v>
      </c>
      <c r="CV187" s="28">
        <f>COGS!CV187+'SG&amp;A'!CV187</f>
        <v>0</v>
      </c>
      <c r="CW187" s="28">
        <f>COGS!CW187+'SG&amp;A'!CW187</f>
        <v>0</v>
      </c>
      <c r="CX187" s="28">
        <f>COGS!CX187+'SG&amp;A'!CX187</f>
        <v>0</v>
      </c>
      <c r="CY187" s="28">
        <f>COGS!CY187+'SG&amp;A'!CY187</f>
        <v>0</v>
      </c>
      <c r="CZ187" s="28">
        <f>COGS!CZ187+'SG&amp;A'!CZ187</f>
        <v>0</v>
      </c>
      <c r="DA187" s="28">
        <f>COGS!DA187+'SG&amp;A'!DA187</f>
        <v>0</v>
      </c>
      <c r="DB187" s="28">
        <f>COGS!DB187+'SG&amp;A'!DB187</f>
        <v>0</v>
      </c>
      <c r="DC187" s="28">
        <f>COGS!DC187+'SG&amp;A'!DC187</f>
        <v>1.095</v>
      </c>
      <c r="DD187" s="28">
        <f>COGS!DD187+'SG&amp;A'!DD187</f>
        <v>0.63600000000000001</v>
      </c>
      <c r="DE187" s="28">
        <f>COGS!DE187+'SG&amp;A'!DE187</f>
        <v>0.37</v>
      </c>
      <c r="DF187" s="28">
        <f>COGS!DF187+'SG&amp;A'!DF187</f>
        <v>0.42</v>
      </c>
      <c r="DG187" s="28">
        <f>COGS!DG187+'SG&amp;A'!DG187</f>
        <v>2.5209999999999999</v>
      </c>
      <c r="DH187" s="28">
        <f>COGS!DH187+'SG&amp;A'!DH187</f>
        <v>0.42799999999999999</v>
      </c>
      <c r="DI187" s="28">
        <f>COGS!DI187+'SG&amp;A'!DI187</f>
        <v>0.69700000000000006</v>
      </c>
      <c r="DJ187" s="28">
        <f>COGS!DJ187+'SG&amp;A'!DJ187</f>
        <v>0.64300000000000002</v>
      </c>
      <c r="DK187" s="28">
        <f>COGS!DK187+'SG&amp;A'!DK187</f>
        <v>0.69599999999999995</v>
      </c>
      <c r="DL187" s="28">
        <f>COGS!DL187+'SG&amp;A'!DL187</f>
        <v>2.464</v>
      </c>
      <c r="DM187" s="28">
        <f>COGS!DM187+'SG&amp;A'!DM187</f>
        <v>0.72900000000000009</v>
      </c>
      <c r="DN187" s="28">
        <f>COGS!DN187+'SG&amp;A'!DN187</f>
        <v>0.84899999999999998</v>
      </c>
      <c r="DO187" s="28">
        <f>COGS!DO187+'SG&amp;A'!DO187</f>
        <v>0.72599999999999998</v>
      </c>
      <c r="DP187" s="28">
        <f>COGS!DP187+'SG&amp;A'!DP187</f>
        <v>0.61</v>
      </c>
      <c r="DQ187" s="28">
        <f>COGS!DQ187+'SG&amp;A'!DQ187</f>
        <v>2.9139999999999997</v>
      </c>
      <c r="DR187" s="28">
        <f>COGS!DR187+'SG&amp;A'!DR187</f>
        <v>0.72299999999999998</v>
      </c>
      <c r="DS187" s="28">
        <f>COGS!DS187+'SG&amp;A'!DS187</f>
        <v>0.95900000000000007</v>
      </c>
      <c r="DT187" s="28">
        <f>COGS!DT187+'SG&amp;A'!DT187</f>
        <v>0.58499999999999996</v>
      </c>
      <c r="DU187" s="28">
        <f>COGS!DU187+'SG&amp;A'!DU187</f>
        <v>0.754</v>
      </c>
      <c r="DV187" s="28">
        <f>COGS!DV187+'SG&amp;A'!DV187</f>
        <v>3.0209999999999995</v>
      </c>
      <c r="DW187" s="28">
        <f>COGS!DW187+'SG&amp;A'!DW187</f>
        <v>0.69</v>
      </c>
      <c r="DX187" s="28">
        <f>COGS!DX187+'SG&amp;A'!DX187</f>
        <v>0.85652608000000008</v>
      </c>
      <c r="DY187" s="28">
        <f>COGS!DY187+'SG&amp;A'!DY187</f>
        <v>0.82113006999999982</v>
      </c>
      <c r="DZ187" s="28">
        <f>COGS!DZ187+'SG&amp;A'!DZ187</f>
        <v>0.76492428000000001</v>
      </c>
      <c r="EA187" s="28">
        <f>COGS!EA187+'SG&amp;A'!EA187</f>
        <v>3.13258043</v>
      </c>
      <c r="EB187" s="28">
        <f>COGS!EB187+'SG&amp;A'!EB187</f>
        <v>0.71402465999999998</v>
      </c>
      <c r="EC187" s="28">
        <f>COGS!EC187+'SG&amp;A'!EC187</f>
        <v>0.94540041000000008</v>
      </c>
      <c r="ED187" s="28">
        <f>COGS!ED187+'SG&amp;A'!ED187</f>
        <v>0.73799999999999999</v>
      </c>
      <c r="EE187" s="28">
        <f>COGS!EE187+'SG&amp;A'!EE187</f>
        <v>24.169201910000002</v>
      </c>
      <c r="EF187" s="28">
        <f>COGS!EF187+'SG&amp;A'!EF187</f>
        <v>26.566626980000002</v>
      </c>
      <c r="EG187" s="28">
        <f>COGS!EG187+'SG&amp;A'!EG187</f>
        <v>1.4981599800000001</v>
      </c>
      <c r="EH187" s="28">
        <f>COGS!EH187+'SG&amp;A'!EH187</f>
        <v>1.7784139700000001</v>
      </c>
      <c r="EI187" s="28">
        <f>COGS!EI187+'SG&amp;A'!EI187</f>
        <v>1.6345020999999995</v>
      </c>
    </row>
    <row r="188" spans="1:139" ht="15" thickTop="1" x14ac:dyDescent="0.3">
      <c r="A188" s="1" t="s">
        <v>306</v>
      </c>
      <c r="B188" s="27">
        <f>COGS!B188+'SG&amp;A'!B188</f>
        <v>0</v>
      </c>
      <c r="C188" s="27">
        <f>COGS!C188+'SG&amp;A'!C188</f>
        <v>0</v>
      </c>
      <c r="D188" s="27">
        <f>COGS!D188+'SG&amp;A'!D188</f>
        <v>0</v>
      </c>
      <c r="E188" s="27">
        <f>COGS!E188+'SG&amp;A'!E188</f>
        <v>0</v>
      </c>
      <c r="F188" s="27">
        <f>COGS!F188+'SG&amp;A'!F188</f>
        <v>0</v>
      </c>
      <c r="G188" s="27">
        <f>COGS!G188+'SG&amp;A'!G188</f>
        <v>0</v>
      </c>
      <c r="H188" s="27">
        <f>COGS!H188+'SG&amp;A'!H188</f>
        <v>0</v>
      </c>
      <c r="I188" s="27">
        <f>COGS!I188+'SG&amp;A'!I188</f>
        <v>0</v>
      </c>
      <c r="J188" s="27">
        <f>COGS!J188+'SG&amp;A'!J188</f>
        <v>0</v>
      </c>
      <c r="K188" s="27">
        <f>COGS!K188+'SG&amp;A'!K188</f>
        <v>0</v>
      </c>
      <c r="L188" s="27">
        <f>COGS!L188+'SG&amp;A'!L188</f>
        <v>0</v>
      </c>
      <c r="M188" s="27">
        <f>COGS!M188+'SG&amp;A'!M188</f>
        <v>0</v>
      </c>
      <c r="N188" s="27">
        <f>COGS!N188+'SG&amp;A'!N188</f>
        <v>0</v>
      </c>
      <c r="O188" s="27">
        <f>COGS!O188+'SG&amp;A'!O188</f>
        <v>0</v>
      </c>
      <c r="P188" s="27">
        <f>COGS!P188+'SG&amp;A'!P188</f>
        <v>0</v>
      </c>
      <c r="Q188" s="27">
        <f>COGS!Q188+'SG&amp;A'!Q188</f>
        <v>0</v>
      </c>
      <c r="R188" s="27">
        <f>COGS!R188+'SG&amp;A'!R188</f>
        <v>0</v>
      </c>
      <c r="S188" s="27">
        <f>COGS!S188+'SG&amp;A'!S188</f>
        <v>0</v>
      </c>
      <c r="T188" s="27">
        <f>COGS!T188+'SG&amp;A'!T188</f>
        <v>0</v>
      </c>
      <c r="U188" s="27">
        <f>COGS!U188+'SG&amp;A'!U188</f>
        <v>0</v>
      </c>
      <c r="V188" s="27">
        <f>COGS!V188+'SG&amp;A'!V188</f>
        <v>0</v>
      </c>
      <c r="W188" s="27">
        <f>COGS!W188+'SG&amp;A'!W188</f>
        <v>0</v>
      </c>
      <c r="X188" s="27">
        <f>COGS!X188+'SG&amp;A'!X188</f>
        <v>0</v>
      </c>
      <c r="Y188" s="27">
        <f>COGS!Y188+'SG&amp;A'!Y188</f>
        <v>0</v>
      </c>
      <c r="Z188" s="27">
        <f>COGS!Z188+'SG&amp;A'!Z188</f>
        <v>0</v>
      </c>
      <c r="AA188" s="27">
        <f>COGS!AA188+'SG&amp;A'!AA188</f>
        <v>0</v>
      </c>
      <c r="AB188" s="27">
        <f>COGS!AB188+'SG&amp;A'!AB188</f>
        <v>0</v>
      </c>
      <c r="AC188" s="27">
        <f>COGS!AC188+'SG&amp;A'!AC188</f>
        <v>0</v>
      </c>
      <c r="AD188" s="27">
        <f>COGS!AD188+'SG&amp;A'!AD188</f>
        <v>0</v>
      </c>
      <c r="AE188" s="27">
        <f>COGS!AE188+'SG&amp;A'!AE188</f>
        <v>0</v>
      </c>
      <c r="AF188" s="27">
        <f>COGS!AF188+'SG&amp;A'!AF188</f>
        <v>0</v>
      </c>
      <c r="AG188" s="27">
        <f>COGS!AG188+'SG&amp;A'!AG188</f>
        <v>0</v>
      </c>
      <c r="AH188" s="27">
        <f>COGS!AH188+'SG&amp;A'!AH188</f>
        <v>0</v>
      </c>
      <c r="AI188" s="27">
        <f>COGS!AI188+'SG&amp;A'!AI188</f>
        <v>0</v>
      </c>
      <c r="AJ188" s="27">
        <f>COGS!AJ188+'SG&amp;A'!AJ188</f>
        <v>0</v>
      </c>
      <c r="AK188" s="27">
        <f>COGS!AK188+'SG&amp;A'!AK188</f>
        <v>0</v>
      </c>
      <c r="AL188" s="27">
        <f>COGS!AL188+'SG&amp;A'!AL188</f>
        <v>0</v>
      </c>
      <c r="AM188" s="27">
        <f>COGS!AM188+'SG&amp;A'!AM188</f>
        <v>0</v>
      </c>
      <c r="AN188" s="27">
        <f>COGS!AN188+'SG&amp;A'!AN188</f>
        <v>0</v>
      </c>
      <c r="AO188" s="27">
        <f>COGS!AO188+'SG&amp;A'!AO188</f>
        <v>0</v>
      </c>
      <c r="AP188" s="27">
        <f>COGS!AP188+'SG&amp;A'!AP188</f>
        <v>0</v>
      </c>
      <c r="AQ188" s="27">
        <f>COGS!AQ188+'SG&amp;A'!AQ188</f>
        <v>0</v>
      </c>
      <c r="AR188" s="27">
        <f>COGS!AR188+'SG&amp;A'!AR188</f>
        <v>0</v>
      </c>
      <c r="AS188" s="27">
        <f>COGS!AS188+'SG&amp;A'!AS188</f>
        <v>0</v>
      </c>
      <c r="AT188" s="27">
        <f>COGS!AT188+'SG&amp;A'!AT188</f>
        <v>0</v>
      </c>
      <c r="AU188" s="27">
        <f>COGS!AU188+'SG&amp;A'!AU188</f>
        <v>0</v>
      </c>
      <c r="AV188" s="27">
        <f>COGS!AV188+'SG&amp;A'!AV188</f>
        <v>0</v>
      </c>
      <c r="AW188" s="27">
        <f>COGS!AW188+'SG&amp;A'!AW188</f>
        <v>0</v>
      </c>
      <c r="AX188" s="27">
        <f>COGS!AX188+'SG&amp;A'!AX188</f>
        <v>0</v>
      </c>
      <c r="AY188" s="27">
        <f>COGS!AY188+'SG&amp;A'!AY188</f>
        <v>0</v>
      </c>
      <c r="AZ188" s="27">
        <f>COGS!AZ188+'SG&amp;A'!AZ188</f>
        <v>0</v>
      </c>
      <c r="BA188" s="27">
        <f>COGS!BA188+'SG&amp;A'!BA188</f>
        <v>0</v>
      </c>
      <c r="BB188" s="27">
        <f>COGS!BB188+'SG&amp;A'!BB188</f>
        <v>0</v>
      </c>
      <c r="BC188" s="27">
        <f>COGS!BC188+'SG&amp;A'!BC188</f>
        <v>0</v>
      </c>
      <c r="BD188" s="27">
        <f>COGS!BD188+'SG&amp;A'!BD188</f>
        <v>0</v>
      </c>
      <c r="BE188" s="27">
        <f>COGS!BE188+'SG&amp;A'!BE188</f>
        <v>0</v>
      </c>
      <c r="BF188" s="27">
        <f>COGS!BF188+'SG&amp;A'!BF188</f>
        <v>0</v>
      </c>
      <c r="BG188" s="27">
        <f>COGS!BG188+'SG&amp;A'!BG188</f>
        <v>0</v>
      </c>
      <c r="BH188" s="27">
        <f>COGS!BH188+'SG&amp;A'!BH188</f>
        <v>0</v>
      </c>
      <c r="BI188" s="27">
        <f>COGS!BI188+'SG&amp;A'!BI188</f>
        <v>0</v>
      </c>
      <c r="BJ188" s="27">
        <f>COGS!BJ188+'SG&amp;A'!BJ188</f>
        <v>0.98683789</v>
      </c>
      <c r="BK188" s="27">
        <f>COGS!BK188+'SG&amp;A'!BK188</f>
        <v>1.1112520300000002</v>
      </c>
      <c r="BL188" s="27">
        <f>COGS!BL188+'SG&amp;A'!BL188</f>
        <v>2.0373273800000002</v>
      </c>
      <c r="BM188" s="27">
        <f>COGS!BM188+'SG&amp;A'!BM188</f>
        <v>1.3451140099999996</v>
      </c>
      <c r="BN188" s="27">
        <f>COGS!BN188+'SG&amp;A'!BN188</f>
        <v>5.4805313099999999</v>
      </c>
      <c r="BO188" s="27">
        <f>COGS!BO188+'SG&amp;A'!BO188</f>
        <v>1.2314412699999999</v>
      </c>
      <c r="BP188" s="27">
        <f>COGS!BP188+'SG&amp;A'!BP188</f>
        <v>0.43012150000000005</v>
      </c>
      <c r="BQ188" s="27">
        <f>COGS!BQ188+'SG&amp;A'!BQ188</f>
        <v>0.86273124000000001</v>
      </c>
      <c r="BR188" s="27">
        <f>COGS!BR188+'SG&amp;A'!BR188</f>
        <v>1.2800323199999997</v>
      </c>
      <c r="BS188" s="27">
        <f>COGS!BS188+'SG&amp;A'!BS188</f>
        <v>3.8043263299999999</v>
      </c>
      <c r="BT188" s="27">
        <f>COGS!BT188+'SG&amp;A'!BT188</f>
        <v>0.87362441000000002</v>
      </c>
      <c r="BU188" s="27">
        <f>COGS!BU188+'SG&amp;A'!BU188</f>
        <v>0.88717239999999997</v>
      </c>
      <c r="BV188" s="27">
        <f>COGS!BV188+'SG&amp;A'!BV188</f>
        <v>1.40772925</v>
      </c>
      <c r="BW188" s="27">
        <f>COGS!BW188+'SG&amp;A'!BW188</f>
        <v>1.3442711600000004</v>
      </c>
      <c r="BX188" s="27">
        <f>COGS!BX188+'SG&amp;A'!BX188</f>
        <v>4.5127972200000004</v>
      </c>
      <c r="BY188" s="27">
        <f>COGS!BY188+'SG&amp;A'!BY188</f>
        <v>1.16658368</v>
      </c>
      <c r="BZ188" s="27">
        <f>COGS!BZ188+'SG&amp;A'!BZ188</f>
        <v>1.0728001000000003</v>
      </c>
      <c r="CA188" s="27">
        <f>COGS!CA188+'SG&amp;A'!CA188</f>
        <v>1.2591438599999996</v>
      </c>
      <c r="CB188" s="27">
        <f>COGS!CB188+'SG&amp;A'!CB188</f>
        <v>2.1519678999999994</v>
      </c>
      <c r="CC188" s="27">
        <f>COGS!CC188+'SG&amp;A'!CC188</f>
        <v>5.6504955399999997</v>
      </c>
      <c r="CD188" s="27">
        <f>COGS!CD188+'SG&amp;A'!CD188</f>
        <v>1.93943672</v>
      </c>
      <c r="CE188" s="27">
        <f>COGS!CE188+'SG&amp;A'!CE188</f>
        <v>1.7973314499999999</v>
      </c>
      <c r="CF188" s="27">
        <f>COGS!CF188+'SG&amp;A'!CF188</f>
        <v>1.0802057000000003</v>
      </c>
      <c r="CG188" s="27">
        <f>COGS!CG188+'SG&amp;A'!CG188</f>
        <v>5.5555460199999995</v>
      </c>
      <c r="CH188" s="27">
        <f>COGS!CH188+'SG&amp;A'!CH188</f>
        <v>10.37251989</v>
      </c>
      <c r="CI188" s="27">
        <f>COGS!CI188+'SG&amp;A'!CI188</f>
        <v>1.3229862299999999</v>
      </c>
      <c r="CJ188" s="27">
        <f>COGS!CJ188+'SG&amp;A'!CJ188</f>
        <v>1.5501963700000001</v>
      </c>
      <c r="CK188" s="27">
        <f>COGS!CK188+'SG&amp;A'!CK188</f>
        <v>1.5724067399999997</v>
      </c>
      <c r="CL188" s="27">
        <f>COGS!CL188+'SG&amp;A'!CL188</f>
        <v>1.8145915500000003</v>
      </c>
      <c r="CM188" s="27">
        <f>COGS!CM188+'SG&amp;A'!CM188</f>
        <v>6.26018089</v>
      </c>
      <c r="CN188" s="27">
        <f>COGS!CN188+'SG&amp;A'!CN188</f>
        <v>1.4172161299999999</v>
      </c>
      <c r="CO188" s="27">
        <f>COGS!CO188+'SG&amp;A'!CO188</f>
        <v>1.0822385999999999</v>
      </c>
      <c r="CP188" s="27">
        <f>COGS!CP188+'SG&amp;A'!CP188</f>
        <v>1.1288996100000004</v>
      </c>
      <c r="CQ188" s="27">
        <f>COGS!CQ188+'SG&amp;A'!CQ188</f>
        <v>1.3076456599999999</v>
      </c>
      <c r="CR188" s="27">
        <f>COGS!CR188+'SG&amp;A'!CR188</f>
        <v>4.9359999999999999</v>
      </c>
      <c r="CS188" s="27">
        <f>COGS!CS188+'SG&amp;A'!CS188</f>
        <v>1.07392987</v>
      </c>
      <c r="CT188" s="27">
        <f>COGS!CT188+'SG&amp;A'!CT188</f>
        <v>1.1937044699999999</v>
      </c>
      <c r="CU188" s="27">
        <f>COGS!CU188+'SG&amp;A'!CU188</f>
        <v>1.1278678900000008</v>
      </c>
      <c r="CV188" s="27">
        <f>COGS!CV188+'SG&amp;A'!CV188</f>
        <v>-2.3907089100000007</v>
      </c>
      <c r="CW188" s="27">
        <f>COGS!CW188+'SG&amp;A'!CW188</f>
        <v>1.0047933199999999</v>
      </c>
      <c r="CX188" s="27">
        <f>COGS!CX188+'SG&amp;A'!CX188</f>
        <v>1.0840000000000001</v>
      </c>
      <c r="CY188" s="27">
        <f>COGS!CY188+'SG&amp;A'!CY188</f>
        <v>2.2829999999999999</v>
      </c>
      <c r="CZ188" s="27">
        <f>COGS!CZ188+'SG&amp;A'!CZ188</f>
        <v>0.82600000000000007</v>
      </c>
      <c r="DA188" s="27">
        <f>COGS!DA188+'SG&amp;A'!DA188</f>
        <v>1.643</v>
      </c>
      <c r="DB188" s="27">
        <f>COGS!DB188+'SG&amp;A'!DB188</f>
        <v>5.8359999999999994</v>
      </c>
      <c r="DC188" s="27">
        <f>COGS!DC188+'SG&amp;A'!DC188</f>
        <v>1.296</v>
      </c>
      <c r="DD188" s="27">
        <f>COGS!DD188+'SG&amp;A'!DD188</f>
        <v>1.7916000000000001</v>
      </c>
      <c r="DE188" s="27">
        <f>COGS!DE188+'SG&amp;A'!DE188</f>
        <v>0.72699999999999998</v>
      </c>
      <c r="DF188" s="27">
        <f>COGS!DF188+'SG&amp;A'!DF188</f>
        <v>3.7989999999999999</v>
      </c>
      <c r="DG188" s="27">
        <f>COGS!DG188+'SG&amp;A'!DG188</f>
        <v>7.6135999999999999</v>
      </c>
      <c r="DH188" s="27">
        <f>COGS!DH188+'SG&amp;A'!DH188</f>
        <v>1.7589999999999999</v>
      </c>
      <c r="DI188" s="27">
        <f>COGS!DI188+'SG&amp;A'!DI188</f>
        <v>1.0940000000000001</v>
      </c>
      <c r="DJ188" s="27">
        <f>COGS!DJ188+'SG&amp;A'!DJ188</f>
        <v>1.3089999999999999</v>
      </c>
      <c r="DK188" s="27">
        <f>COGS!DK188+'SG&amp;A'!DK188</f>
        <v>1.873</v>
      </c>
      <c r="DL188" s="27">
        <f>COGS!DL188+'SG&amp;A'!DL188</f>
        <v>6.0350000000000001</v>
      </c>
      <c r="DM188" s="27">
        <f>COGS!DM188+'SG&amp;A'!DM188</f>
        <v>2.1779999999999999</v>
      </c>
      <c r="DN188" s="27">
        <f>COGS!DN188+'SG&amp;A'!DN188</f>
        <v>-0.39800000000000002</v>
      </c>
      <c r="DO188" s="27">
        <f>COGS!DO188+'SG&amp;A'!DO188</f>
        <v>1.653</v>
      </c>
      <c r="DP188" s="27">
        <f>COGS!DP188+'SG&amp;A'!DP188</f>
        <v>2.5350000000000001</v>
      </c>
      <c r="DQ188" s="27">
        <f>COGS!DQ188+'SG&amp;A'!DQ188</f>
        <v>5.968</v>
      </c>
      <c r="DR188" s="27">
        <f>COGS!DR188+'SG&amp;A'!DR188</f>
        <v>2.6829999999999998</v>
      </c>
      <c r="DS188" s="27">
        <f>COGS!DS188+'SG&amp;A'!DS188</f>
        <v>2.2650000000000001</v>
      </c>
      <c r="DT188" s="27">
        <f>COGS!DT188+'SG&amp;A'!DT188</f>
        <v>0.94500000000000006</v>
      </c>
      <c r="DU188" s="27">
        <f>COGS!DU188+'SG&amp;A'!DU188</f>
        <v>6.7080000000000002</v>
      </c>
      <c r="DV188" s="27">
        <f>COGS!DV188+'SG&amp;A'!DV188</f>
        <v>12.600999999999999</v>
      </c>
      <c r="DW188" s="27">
        <f>COGS!DW188+'SG&amp;A'!DW188</f>
        <v>1.8149999999999999</v>
      </c>
      <c r="DX188" s="27">
        <f>COGS!DX188+'SG&amp;A'!DX188</f>
        <v>2.10095257</v>
      </c>
      <c r="DY188" s="27">
        <f>COGS!DY188+'SG&amp;A'!DY188</f>
        <v>1.9413838599999997</v>
      </c>
      <c r="DZ188" s="27">
        <f>COGS!DZ188+'SG&amp;A'!DZ188</f>
        <v>2.6380708900000003</v>
      </c>
      <c r="EA188" s="27">
        <f>COGS!EA188+'SG&amp;A'!EA188</f>
        <v>8.49540732</v>
      </c>
      <c r="EB188" s="27">
        <f>COGS!EB188+'SG&amp;A'!EB188</f>
        <v>3.9237111799999997</v>
      </c>
      <c r="EC188" s="27">
        <f>COGS!EC188+'SG&amp;A'!EC188</f>
        <v>2.1884363499999999</v>
      </c>
      <c r="ED188" s="27">
        <f>COGS!ED188+'SG&amp;A'!ED188</f>
        <v>2.5750000000000002</v>
      </c>
      <c r="EE188" s="27">
        <f>COGS!EE188+'SG&amp;A'!EE188</f>
        <v>2.9493996899999999</v>
      </c>
      <c r="EF188" s="27">
        <f>COGS!EF188+'SG&amp;A'!EF188</f>
        <v>11.636547219999999</v>
      </c>
      <c r="EG188" s="27">
        <f>COGS!EG188+'SG&amp;A'!EG188</f>
        <v>1.6624354499999998</v>
      </c>
      <c r="EH188" s="27">
        <f>COGS!EH188+'SG&amp;A'!EH188</f>
        <v>1.2416736900000001</v>
      </c>
      <c r="EI188" s="27">
        <f>COGS!EI188+'SG&amp;A'!EI188</f>
        <v>3.3104451099999999</v>
      </c>
    </row>
    <row r="189" spans="1:139" ht="15" thickBot="1" x14ac:dyDescent="0.35">
      <c r="A189" s="2" t="s">
        <v>323</v>
      </c>
      <c r="B189" s="28">
        <f>COGS!B189+'SG&amp;A'!B189</f>
        <v>0</v>
      </c>
      <c r="C189" s="28">
        <f>COGS!C189+'SG&amp;A'!C189</f>
        <v>0</v>
      </c>
      <c r="D189" s="28">
        <f>COGS!D189+'SG&amp;A'!D189</f>
        <v>0</v>
      </c>
      <c r="E189" s="28">
        <f>COGS!E189+'SG&amp;A'!E189</f>
        <v>0</v>
      </c>
      <c r="F189" s="28">
        <f>COGS!F189+'SG&amp;A'!F189</f>
        <v>0</v>
      </c>
      <c r="G189" s="28">
        <f>COGS!G189+'SG&amp;A'!G189</f>
        <v>0</v>
      </c>
      <c r="H189" s="28">
        <f>COGS!H189+'SG&amp;A'!H189</f>
        <v>0</v>
      </c>
      <c r="I189" s="28">
        <f>COGS!I189+'SG&amp;A'!I189</f>
        <v>0</v>
      </c>
      <c r="J189" s="28">
        <f>COGS!J189+'SG&amp;A'!J189</f>
        <v>0</v>
      </c>
      <c r="K189" s="28">
        <f>COGS!K189+'SG&amp;A'!K189</f>
        <v>0</v>
      </c>
      <c r="L189" s="28">
        <f>COGS!L189+'SG&amp;A'!L189</f>
        <v>0</v>
      </c>
      <c r="M189" s="28">
        <f>COGS!M189+'SG&amp;A'!M189</f>
        <v>0</v>
      </c>
      <c r="N189" s="28">
        <f>COGS!N189+'SG&amp;A'!N189</f>
        <v>0</v>
      </c>
      <c r="O189" s="28">
        <f>COGS!O189+'SG&amp;A'!O189</f>
        <v>0</v>
      </c>
      <c r="P189" s="28">
        <f>COGS!P189+'SG&amp;A'!P189</f>
        <v>0</v>
      </c>
      <c r="Q189" s="28">
        <f>COGS!Q189+'SG&amp;A'!Q189</f>
        <v>0</v>
      </c>
      <c r="R189" s="28">
        <f>COGS!R189+'SG&amp;A'!R189</f>
        <v>0</v>
      </c>
      <c r="S189" s="28">
        <f>COGS!S189+'SG&amp;A'!S189</f>
        <v>0</v>
      </c>
      <c r="T189" s="28">
        <f>COGS!T189+'SG&amp;A'!T189</f>
        <v>0</v>
      </c>
      <c r="U189" s="28">
        <f>COGS!U189+'SG&amp;A'!U189</f>
        <v>0</v>
      </c>
      <c r="V189" s="28">
        <f>COGS!V189+'SG&amp;A'!V189</f>
        <v>0</v>
      </c>
      <c r="W189" s="28">
        <f>COGS!W189+'SG&amp;A'!W189</f>
        <v>0</v>
      </c>
      <c r="X189" s="28">
        <f>COGS!X189+'SG&amp;A'!X189</f>
        <v>0</v>
      </c>
      <c r="Y189" s="28">
        <f>COGS!Y189+'SG&amp;A'!Y189</f>
        <v>0</v>
      </c>
      <c r="Z189" s="28">
        <f>COGS!Z189+'SG&amp;A'!Z189</f>
        <v>0</v>
      </c>
      <c r="AA189" s="28">
        <f>COGS!AA189+'SG&amp;A'!AA189</f>
        <v>0</v>
      </c>
      <c r="AB189" s="28">
        <f>COGS!AB189+'SG&amp;A'!AB189</f>
        <v>0</v>
      </c>
      <c r="AC189" s="28">
        <f>COGS!AC189+'SG&amp;A'!AC189</f>
        <v>0</v>
      </c>
      <c r="AD189" s="28">
        <f>COGS!AD189+'SG&amp;A'!AD189</f>
        <v>0</v>
      </c>
      <c r="AE189" s="28">
        <f>COGS!AE189+'SG&amp;A'!AE189</f>
        <v>0</v>
      </c>
      <c r="AF189" s="28">
        <f>COGS!AF189+'SG&amp;A'!AF189</f>
        <v>0</v>
      </c>
      <c r="AG189" s="28">
        <f>COGS!AG189+'SG&amp;A'!AG189</f>
        <v>0</v>
      </c>
      <c r="AH189" s="28">
        <f>COGS!AH189+'SG&amp;A'!AH189</f>
        <v>0</v>
      </c>
      <c r="AI189" s="28">
        <f>COGS!AI189+'SG&amp;A'!AI189</f>
        <v>0</v>
      </c>
      <c r="AJ189" s="28">
        <f>COGS!AJ189+'SG&amp;A'!AJ189</f>
        <v>0</v>
      </c>
      <c r="AK189" s="28">
        <f>COGS!AK189+'SG&amp;A'!AK189</f>
        <v>0</v>
      </c>
      <c r="AL189" s="28">
        <f>COGS!AL189+'SG&amp;A'!AL189</f>
        <v>0</v>
      </c>
      <c r="AM189" s="28">
        <f>COGS!AM189+'SG&amp;A'!AM189</f>
        <v>0</v>
      </c>
      <c r="AN189" s="28">
        <f>COGS!AN189+'SG&amp;A'!AN189</f>
        <v>0</v>
      </c>
      <c r="AO189" s="28">
        <f>COGS!AO189+'SG&amp;A'!AO189</f>
        <v>0</v>
      </c>
      <c r="AP189" s="28">
        <f>COGS!AP189+'SG&amp;A'!AP189</f>
        <v>0</v>
      </c>
      <c r="AQ189" s="28">
        <f>COGS!AQ189+'SG&amp;A'!AQ189</f>
        <v>0</v>
      </c>
      <c r="AR189" s="28">
        <f>COGS!AR189+'SG&amp;A'!AR189</f>
        <v>0</v>
      </c>
      <c r="AS189" s="28">
        <f>COGS!AS189+'SG&amp;A'!AS189</f>
        <v>0</v>
      </c>
      <c r="AT189" s="28">
        <f>COGS!AT189+'SG&amp;A'!AT189</f>
        <v>0</v>
      </c>
      <c r="AU189" s="28">
        <f>COGS!AU189+'SG&amp;A'!AU189</f>
        <v>0</v>
      </c>
      <c r="AV189" s="28">
        <f>COGS!AV189+'SG&amp;A'!AV189</f>
        <v>0</v>
      </c>
      <c r="AW189" s="28">
        <f>COGS!AW189+'SG&amp;A'!AW189</f>
        <v>0</v>
      </c>
      <c r="AX189" s="28">
        <f>COGS!AX189+'SG&amp;A'!AX189</f>
        <v>0</v>
      </c>
      <c r="AY189" s="28">
        <f>COGS!AY189+'SG&amp;A'!AY189</f>
        <v>0</v>
      </c>
      <c r="AZ189" s="28">
        <f>COGS!AZ189+'SG&amp;A'!AZ189</f>
        <v>0</v>
      </c>
      <c r="BA189" s="28">
        <f>COGS!BA189+'SG&amp;A'!BA189</f>
        <v>0</v>
      </c>
      <c r="BB189" s="28">
        <f>COGS!BB189+'SG&amp;A'!BB189</f>
        <v>0</v>
      </c>
      <c r="BC189" s="28">
        <f>COGS!BC189+'SG&amp;A'!BC189</f>
        <v>0</v>
      </c>
      <c r="BD189" s="28">
        <f>COGS!BD189+'SG&amp;A'!BD189</f>
        <v>0</v>
      </c>
      <c r="BE189" s="28">
        <f>COGS!BE189+'SG&amp;A'!BE189</f>
        <v>0</v>
      </c>
      <c r="BF189" s="28">
        <f>COGS!BF189+'SG&amp;A'!BF189</f>
        <v>0</v>
      </c>
      <c r="BG189" s="28">
        <f>COGS!BG189+'SG&amp;A'!BG189</f>
        <v>0</v>
      </c>
      <c r="BH189" s="28">
        <f>COGS!BH189+'SG&amp;A'!BH189</f>
        <v>0</v>
      </c>
      <c r="BI189" s="28">
        <f>COGS!BI189+'SG&amp;A'!BI189</f>
        <v>0</v>
      </c>
      <c r="BJ189" s="28">
        <f>COGS!BJ189+'SG&amp;A'!BJ189</f>
        <v>0</v>
      </c>
      <c r="BK189" s="28">
        <f>COGS!BK189+'SG&amp;A'!BK189</f>
        <v>0</v>
      </c>
      <c r="BL189" s="28">
        <f>COGS!BL189+'SG&amp;A'!BL189</f>
        <v>0</v>
      </c>
      <c r="BM189" s="28">
        <f>COGS!BM189+'SG&amp;A'!BM189</f>
        <v>0</v>
      </c>
      <c r="BN189" s="28">
        <f>COGS!BN189+'SG&amp;A'!BN189</f>
        <v>0</v>
      </c>
      <c r="BO189" s="28">
        <f>COGS!BO189+'SG&amp;A'!BO189</f>
        <v>0</v>
      </c>
      <c r="BP189" s="28">
        <f>COGS!BP189+'SG&amp;A'!BP189</f>
        <v>0</v>
      </c>
      <c r="BQ189" s="28">
        <f>COGS!BQ189+'SG&amp;A'!BQ189</f>
        <v>0</v>
      </c>
      <c r="BR189" s="28">
        <f>COGS!BR189+'SG&amp;A'!BR189</f>
        <v>0</v>
      </c>
      <c r="BS189" s="28">
        <f>COGS!BS189+'SG&amp;A'!BS189</f>
        <v>0</v>
      </c>
      <c r="BT189" s="28">
        <f>COGS!BT189+'SG&amp;A'!BT189</f>
        <v>0</v>
      </c>
      <c r="BU189" s="28">
        <f>COGS!BU189+'SG&amp;A'!BU189</f>
        <v>0</v>
      </c>
      <c r="BV189" s="28">
        <f>COGS!BV189+'SG&amp;A'!BV189</f>
        <v>0</v>
      </c>
      <c r="BW189" s="28">
        <f>COGS!BW189+'SG&amp;A'!BW189</f>
        <v>0</v>
      </c>
      <c r="BX189" s="28">
        <f>COGS!BX189+'SG&amp;A'!BX189</f>
        <v>0</v>
      </c>
      <c r="BY189" s="28">
        <f>COGS!BY189+'SG&amp;A'!BY189</f>
        <v>0</v>
      </c>
      <c r="BZ189" s="28">
        <f>COGS!BZ189+'SG&amp;A'!BZ189</f>
        <v>0</v>
      </c>
      <c r="CA189" s="28">
        <f>COGS!CA189+'SG&amp;A'!CA189</f>
        <v>0</v>
      </c>
      <c r="CB189" s="28">
        <f>COGS!CB189+'SG&amp;A'!CB189</f>
        <v>0</v>
      </c>
      <c r="CC189" s="28">
        <f>COGS!CC189+'SG&amp;A'!CC189</f>
        <v>0</v>
      </c>
      <c r="CD189" s="28">
        <f>COGS!CD189+'SG&amp;A'!CD189</f>
        <v>0</v>
      </c>
      <c r="CE189" s="28">
        <f>COGS!CE189+'SG&amp;A'!CE189</f>
        <v>0</v>
      </c>
      <c r="CF189" s="28">
        <f>COGS!CF189+'SG&amp;A'!CF189</f>
        <v>0</v>
      </c>
      <c r="CG189" s="28">
        <f>COGS!CG189+'SG&amp;A'!CG189</f>
        <v>0</v>
      </c>
      <c r="CH189" s="28">
        <f>COGS!CH189+'SG&amp;A'!CH189</f>
        <v>0</v>
      </c>
      <c r="CI189" s="28">
        <f>COGS!CI189+'SG&amp;A'!CI189</f>
        <v>0</v>
      </c>
      <c r="CJ189" s="28">
        <f>COGS!CJ189+'SG&amp;A'!CJ189</f>
        <v>0</v>
      </c>
      <c r="CK189" s="28">
        <f>COGS!CK189+'SG&amp;A'!CK189</f>
        <v>0</v>
      </c>
      <c r="CL189" s="28">
        <f>COGS!CL189+'SG&amp;A'!CL189</f>
        <v>0</v>
      </c>
      <c r="CM189" s="28">
        <f>COGS!CM189+'SG&amp;A'!CM189</f>
        <v>0</v>
      </c>
      <c r="CN189" s="28">
        <f>COGS!CN189+'SG&amp;A'!CN189</f>
        <v>0</v>
      </c>
      <c r="CO189" s="28">
        <f>COGS!CO189+'SG&amp;A'!CO189</f>
        <v>0</v>
      </c>
      <c r="CP189" s="28">
        <f>COGS!CP189+'SG&amp;A'!CP189</f>
        <v>0</v>
      </c>
      <c r="CQ189" s="28">
        <f>COGS!CQ189+'SG&amp;A'!CQ189</f>
        <v>0</v>
      </c>
      <c r="CR189" s="28">
        <f>COGS!CR189+'SG&amp;A'!CR189</f>
        <v>0</v>
      </c>
      <c r="CS189" s="28">
        <f>COGS!CS189+'SG&amp;A'!CS189</f>
        <v>0</v>
      </c>
      <c r="CT189" s="28">
        <f>COGS!CT189+'SG&amp;A'!CT189</f>
        <v>0</v>
      </c>
      <c r="CU189" s="28">
        <f>COGS!CU189+'SG&amp;A'!CU189</f>
        <v>0</v>
      </c>
      <c r="CV189" s="28">
        <f>COGS!CV189+'SG&amp;A'!CV189</f>
        <v>0</v>
      </c>
      <c r="CW189" s="28">
        <f>COGS!CW189+'SG&amp;A'!CW189</f>
        <v>0</v>
      </c>
      <c r="CX189" s="28">
        <f>COGS!CX189+'SG&amp;A'!CX189</f>
        <v>0</v>
      </c>
      <c r="CY189" s="28">
        <f>COGS!CY189+'SG&amp;A'!CY189</f>
        <v>0</v>
      </c>
      <c r="CZ189" s="28">
        <f>COGS!CZ189+'SG&amp;A'!CZ189</f>
        <v>0</v>
      </c>
      <c r="DA189" s="28">
        <f>COGS!DA189+'SG&amp;A'!DA189</f>
        <v>0</v>
      </c>
      <c r="DB189" s="28">
        <f>COGS!DB189+'SG&amp;A'!DB189</f>
        <v>0</v>
      </c>
      <c r="DC189" s="28">
        <f>COGS!DC189+'SG&amp;A'!DC189</f>
        <v>0</v>
      </c>
      <c r="DD189" s="28">
        <f>COGS!DD189+'SG&amp;A'!DD189</f>
        <v>0</v>
      </c>
      <c r="DE189" s="28">
        <f>COGS!DE189+'SG&amp;A'!DE189</f>
        <v>0</v>
      </c>
      <c r="DF189" s="28">
        <f>COGS!DF189+'SG&amp;A'!DF189</f>
        <v>0</v>
      </c>
      <c r="DG189" s="28">
        <f>COGS!DG189+'SG&amp;A'!DG189</f>
        <v>0</v>
      </c>
      <c r="DH189" s="28">
        <f>COGS!DH189+'SG&amp;A'!DH189</f>
        <v>0</v>
      </c>
      <c r="DI189" s="28">
        <f>COGS!DI189+'SG&amp;A'!DI189</f>
        <v>5.0000000000000001E-3</v>
      </c>
      <c r="DJ189" s="28">
        <f>COGS!DJ189+'SG&amp;A'!DJ189</f>
        <v>-5.0000000000000001E-3</v>
      </c>
      <c r="DK189" s="28">
        <f>COGS!DK189+'SG&amp;A'!DK189</f>
        <v>0</v>
      </c>
      <c r="DL189" s="28">
        <f>COGS!DL189+'SG&amp;A'!DL189</f>
        <v>0</v>
      </c>
      <c r="DM189" s="28">
        <f>COGS!DM189+'SG&amp;A'!DM189</f>
        <v>0</v>
      </c>
      <c r="DN189" s="28">
        <f>COGS!DN189+'SG&amp;A'!DN189</f>
        <v>0</v>
      </c>
      <c r="DO189" s="28">
        <f>COGS!DO189+'SG&amp;A'!DO189</f>
        <v>0</v>
      </c>
      <c r="DP189" s="28">
        <f>COGS!DP189+'SG&amp;A'!DP189</f>
        <v>-0.05</v>
      </c>
      <c r="DQ189" s="28">
        <f>COGS!DQ189+'SG&amp;A'!DQ189</f>
        <v>-0.05</v>
      </c>
      <c r="DR189" s="28">
        <f>COGS!DR189+'SG&amp;A'!DR189</f>
        <v>3.0000000000000001E-3</v>
      </c>
      <c r="DS189" s="28">
        <f>COGS!DS189+'SG&amp;A'!DS189</f>
        <v>2E-3</v>
      </c>
      <c r="DT189" s="28">
        <f>COGS!DT189+'SG&amp;A'!DT189</f>
        <v>3.0000000000000001E-3</v>
      </c>
      <c r="DU189" s="28">
        <f>COGS!DU189+'SG&amp;A'!DU189</f>
        <v>0</v>
      </c>
      <c r="DV189" s="28">
        <f>COGS!DV189+'SG&amp;A'!DV189</f>
        <v>8.0000000000000002E-3</v>
      </c>
      <c r="DW189" s="28">
        <f>COGS!DW189+'SG&amp;A'!DW189</f>
        <v>0</v>
      </c>
      <c r="DX189" s="28">
        <f>COGS!DX189+'SG&amp;A'!DX189</f>
        <v>0</v>
      </c>
      <c r="DY189" s="28">
        <f>COGS!DY189+'SG&amp;A'!DY189</f>
        <v>2.8200399999999998E-3</v>
      </c>
      <c r="DZ189" s="28">
        <f>COGS!DZ189+'SG&amp;A'!DZ189</f>
        <v>3.5647500000000002E-3</v>
      </c>
      <c r="EA189" s="28">
        <f>COGS!EA189+'SG&amp;A'!EA189</f>
        <v>6.3847899999999996E-3</v>
      </c>
      <c r="EB189" s="28">
        <f>COGS!EB189+'SG&amp;A'!EB189</f>
        <v>2.3765000000000001E-3</v>
      </c>
      <c r="EC189" s="28">
        <f>COGS!EC189+'SG&amp;A'!EC189</f>
        <v>0</v>
      </c>
      <c r="ED189" s="28">
        <f>COGS!ED189+'SG&amp;A'!ED189</f>
        <v>0</v>
      </c>
      <c r="EE189" s="28">
        <f>COGS!EE189+'SG&amp;A'!EE189</f>
        <v>1.1882500000000009E-3</v>
      </c>
      <c r="EF189" s="28">
        <f>COGS!EF189+'SG&amp;A'!EF189</f>
        <v>3.5647500000000011E-3</v>
      </c>
      <c r="EG189" s="28">
        <f>COGS!EG189+'SG&amp;A'!EG189</f>
        <v>0</v>
      </c>
      <c r="EH189" s="28">
        <f>COGS!EH189+'SG&amp;A'!EH189</f>
        <v>0</v>
      </c>
      <c r="EI189" s="28">
        <f>COGS!EI189+'SG&amp;A'!EI189</f>
        <v>0</v>
      </c>
    </row>
    <row r="190" spans="1:139" ht="15" thickTop="1" x14ac:dyDescent="0.3">
      <c r="A190" s="1" t="s">
        <v>322</v>
      </c>
      <c r="B190" s="27">
        <f>COGS!B190+'SG&amp;A'!B190</f>
        <v>0</v>
      </c>
      <c r="C190" s="27">
        <f>COGS!C190+'SG&amp;A'!C190</f>
        <v>0</v>
      </c>
      <c r="D190" s="27">
        <f>COGS!D190+'SG&amp;A'!D190</f>
        <v>0</v>
      </c>
      <c r="E190" s="27">
        <f>COGS!E190+'SG&amp;A'!E190</f>
        <v>0</v>
      </c>
      <c r="F190" s="27">
        <f>COGS!F190+'SG&amp;A'!F190</f>
        <v>0</v>
      </c>
      <c r="G190" s="27">
        <f>COGS!G190+'SG&amp;A'!G190</f>
        <v>0</v>
      </c>
      <c r="H190" s="27">
        <f>COGS!H190+'SG&amp;A'!H190</f>
        <v>0</v>
      </c>
      <c r="I190" s="27">
        <f>COGS!I190+'SG&amp;A'!I190</f>
        <v>0</v>
      </c>
      <c r="J190" s="27">
        <f>COGS!J190+'SG&amp;A'!J190</f>
        <v>0</v>
      </c>
      <c r="K190" s="27">
        <f>COGS!K190+'SG&amp;A'!K190</f>
        <v>0</v>
      </c>
      <c r="L190" s="27">
        <f>COGS!L190+'SG&amp;A'!L190</f>
        <v>0</v>
      </c>
      <c r="M190" s="27">
        <f>COGS!M190+'SG&amp;A'!M190</f>
        <v>0</v>
      </c>
      <c r="N190" s="27">
        <f>COGS!N190+'SG&amp;A'!N190</f>
        <v>0</v>
      </c>
      <c r="O190" s="27">
        <f>COGS!O190+'SG&amp;A'!O190</f>
        <v>0</v>
      </c>
      <c r="P190" s="27">
        <f>COGS!P190+'SG&amp;A'!P190</f>
        <v>0</v>
      </c>
      <c r="Q190" s="27">
        <f>COGS!Q190+'SG&amp;A'!Q190</f>
        <v>0</v>
      </c>
      <c r="R190" s="27">
        <f>COGS!R190+'SG&amp;A'!R190</f>
        <v>0</v>
      </c>
      <c r="S190" s="27">
        <f>COGS!S190+'SG&amp;A'!S190</f>
        <v>0</v>
      </c>
      <c r="T190" s="27">
        <f>COGS!T190+'SG&amp;A'!T190</f>
        <v>0</v>
      </c>
      <c r="U190" s="27">
        <f>COGS!U190+'SG&amp;A'!U190</f>
        <v>0</v>
      </c>
      <c r="V190" s="27">
        <f>COGS!V190+'SG&amp;A'!V190</f>
        <v>0</v>
      </c>
      <c r="W190" s="27">
        <f>COGS!W190+'SG&amp;A'!W190</f>
        <v>0</v>
      </c>
      <c r="X190" s="27">
        <f>COGS!X190+'SG&amp;A'!X190</f>
        <v>0</v>
      </c>
      <c r="Y190" s="27">
        <f>COGS!Y190+'SG&amp;A'!Y190</f>
        <v>0</v>
      </c>
      <c r="Z190" s="27">
        <f>COGS!Z190+'SG&amp;A'!Z190</f>
        <v>0</v>
      </c>
      <c r="AA190" s="27">
        <f>COGS!AA190+'SG&amp;A'!AA190</f>
        <v>0</v>
      </c>
      <c r="AB190" s="27">
        <f>COGS!AB190+'SG&amp;A'!AB190</f>
        <v>0</v>
      </c>
      <c r="AC190" s="27">
        <f>COGS!AC190+'SG&amp;A'!AC190</f>
        <v>0</v>
      </c>
      <c r="AD190" s="27">
        <f>COGS!AD190+'SG&amp;A'!AD190</f>
        <v>0</v>
      </c>
      <c r="AE190" s="27">
        <f>COGS!AE190+'SG&amp;A'!AE190</f>
        <v>0</v>
      </c>
      <c r="AF190" s="27">
        <f>COGS!AF190+'SG&amp;A'!AF190</f>
        <v>0</v>
      </c>
      <c r="AG190" s="27">
        <f>COGS!AG190+'SG&amp;A'!AG190</f>
        <v>0</v>
      </c>
      <c r="AH190" s="27">
        <f>COGS!AH190+'SG&amp;A'!AH190</f>
        <v>0</v>
      </c>
      <c r="AI190" s="27">
        <f>COGS!AI190+'SG&amp;A'!AI190</f>
        <v>0</v>
      </c>
      <c r="AJ190" s="27">
        <f>COGS!AJ190+'SG&amp;A'!AJ190</f>
        <v>0</v>
      </c>
      <c r="AK190" s="27">
        <f>COGS!AK190+'SG&amp;A'!AK190</f>
        <v>0</v>
      </c>
      <c r="AL190" s="27">
        <f>COGS!AL190+'SG&amp;A'!AL190</f>
        <v>0</v>
      </c>
      <c r="AM190" s="27">
        <f>COGS!AM190+'SG&amp;A'!AM190</f>
        <v>0</v>
      </c>
      <c r="AN190" s="27">
        <f>COGS!AN190+'SG&amp;A'!AN190</f>
        <v>0</v>
      </c>
      <c r="AO190" s="27">
        <f>COGS!AO190+'SG&amp;A'!AO190</f>
        <v>0</v>
      </c>
      <c r="AP190" s="27">
        <f>COGS!AP190+'SG&amp;A'!AP190</f>
        <v>0</v>
      </c>
      <c r="AQ190" s="27">
        <f>COGS!AQ190+'SG&amp;A'!AQ190</f>
        <v>0</v>
      </c>
      <c r="AR190" s="27">
        <f>COGS!AR190+'SG&amp;A'!AR190</f>
        <v>0</v>
      </c>
      <c r="AS190" s="27">
        <f>COGS!AS190+'SG&amp;A'!AS190</f>
        <v>0</v>
      </c>
      <c r="AT190" s="27">
        <f>COGS!AT190+'SG&amp;A'!AT190</f>
        <v>0</v>
      </c>
      <c r="AU190" s="27">
        <f>COGS!AU190+'SG&amp;A'!AU190</f>
        <v>0</v>
      </c>
      <c r="AV190" s="27">
        <f>COGS!AV190+'SG&amp;A'!AV190</f>
        <v>0</v>
      </c>
      <c r="AW190" s="27">
        <f>COGS!AW190+'SG&amp;A'!AW190</f>
        <v>0</v>
      </c>
      <c r="AX190" s="27">
        <f>COGS!AX190+'SG&amp;A'!AX190</f>
        <v>0</v>
      </c>
      <c r="AY190" s="27">
        <f>COGS!AY190+'SG&amp;A'!AY190</f>
        <v>0</v>
      </c>
      <c r="AZ190" s="27">
        <f>COGS!AZ190+'SG&amp;A'!AZ190</f>
        <v>0</v>
      </c>
      <c r="BA190" s="27">
        <f>COGS!BA190+'SG&amp;A'!BA190</f>
        <v>0</v>
      </c>
      <c r="BB190" s="27">
        <f>COGS!BB190+'SG&amp;A'!BB190</f>
        <v>0</v>
      </c>
      <c r="BC190" s="27">
        <f>COGS!BC190+'SG&amp;A'!BC190</f>
        <v>0</v>
      </c>
      <c r="BD190" s="27">
        <f>COGS!BD190+'SG&amp;A'!BD190</f>
        <v>0</v>
      </c>
      <c r="BE190" s="27">
        <f>COGS!BE190+'SG&amp;A'!BE190</f>
        <v>0</v>
      </c>
      <c r="BF190" s="27">
        <f>COGS!BF190+'SG&amp;A'!BF190</f>
        <v>0</v>
      </c>
      <c r="BG190" s="27">
        <f>COGS!BG190+'SG&amp;A'!BG190</f>
        <v>0</v>
      </c>
      <c r="BH190" s="27">
        <f>COGS!BH190+'SG&amp;A'!BH190</f>
        <v>0</v>
      </c>
      <c r="BI190" s="27">
        <f>COGS!BI190+'SG&amp;A'!BI190</f>
        <v>0</v>
      </c>
      <c r="BJ190" s="27">
        <f>COGS!BJ190+'SG&amp;A'!BJ190</f>
        <v>0</v>
      </c>
      <c r="BK190" s="27">
        <f>COGS!BK190+'SG&amp;A'!BK190</f>
        <v>0</v>
      </c>
      <c r="BL190" s="27">
        <f>COGS!BL190+'SG&amp;A'!BL190</f>
        <v>0</v>
      </c>
      <c r="BM190" s="27">
        <f>COGS!BM190+'SG&amp;A'!BM190</f>
        <v>0</v>
      </c>
      <c r="BN190" s="27">
        <f>COGS!BN190+'SG&amp;A'!BN190</f>
        <v>0</v>
      </c>
      <c r="BO190" s="27">
        <f>COGS!BO190+'SG&amp;A'!BO190</f>
        <v>0</v>
      </c>
      <c r="BP190" s="27">
        <f>COGS!BP190+'SG&amp;A'!BP190</f>
        <v>0</v>
      </c>
      <c r="BQ190" s="27">
        <f>COGS!BQ190+'SG&amp;A'!BQ190</f>
        <v>0</v>
      </c>
      <c r="BR190" s="27">
        <f>COGS!BR190+'SG&amp;A'!BR190</f>
        <v>0</v>
      </c>
      <c r="BS190" s="27">
        <f>COGS!BS190+'SG&amp;A'!BS190</f>
        <v>0</v>
      </c>
      <c r="BT190" s="27">
        <f>COGS!BT190+'SG&amp;A'!BT190</f>
        <v>0</v>
      </c>
      <c r="BU190" s="27">
        <f>COGS!BU190+'SG&amp;A'!BU190</f>
        <v>0</v>
      </c>
      <c r="BV190" s="27">
        <f>COGS!BV190+'SG&amp;A'!BV190</f>
        <v>0</v>
      </c>
      <c r="BW190" s="27">
        <f>COGS!BW190+'SG&amp;A'!BW190</f>
        <v>0</v>
      </c>
      <c r="BX190" s="27">
        <f>COGS!BX190+'SG&amp;A'!BX190</f>
        <v>0</v>
      </c>
      <c r="BY190" s="27">
        <f>COGS!BY190+'SG&amp;A'!BY190</f>
        <v>0</v>
      </c>
      <c r="BZ190" s="27">
        <f>COGS!BZ190+'SG&amp;A'!BZ190</f>
        <v>0</v>
      </c>
      <c r="CA190" s="27">
        <f>COGS!CA190+'SG&amp;A'!CA190</f>
        <v>0</v>
      </c>
      <c r="CB190" s="27">
        <f>COGS!CB190+'SG&amp;A'!CB190</f>
        <v>0</v>
      </c>
      <c r="CC190" s="27">
        <f>COGS!CC190+'SG&amp;A'!CC190</f>
        <v>0</v>
      </c>
      <c r="CD190" s="27">
        <f>COGS!CD190+'SG&amp;A'!CD190</f>
        <v>0</v>
      </c>
      <c r="CE190" s="27">
        <f>COGS!CE190+'SG&amp;A'!CE190</f>
        <v>0</v>
      </c>
      <c r="CF190" s="27">
        <f>COGS!CF190+'SG&amp;A'!CF190</f>
        <v>0</v>
      </c>
      <c r="CG190" s="27">
        <f>COGS!CG190+'SG&amp;A'!CG190</f>
        <v>0</v>
      </c>
      <c r="CH190" s="27">
        <f>COGS!CH190+'SG&amp;A'!CH190</f>
        <v>0</v>
      </c>
      <c r="CI190" s="27">
        <f>COGS!CI190+'SG&amp;A'!CI190</f>
        <v>0</v>
      </c>
      <c r="CJ190" s="27">
        <f>COGS!CJ190+'SG&amp;A'!CJ190</f>
        <v>0</v>
      </c>
      <c r="CK190" s="27">
        <f>COGS!CK190+'SG&amp;A'!CK190</f>
        <v>0</v>
      </c>
      <c r="CL190" s="27">
        <f>COGS!CL190+'SG&amp;A'!CL190</f>
        <v>0</v>
      </c>
      <c r="CM190" s="27">
        <f>COGS!CM190+'SG&amp;A'!CM190</f>
        <v>0</v>
      </c>
      <c r="CN190" s="27">
        <f>COGS!CN190+'SG&amp;A'!CN190</f>
        <v>0</v>
      </c>
      <c r="CO190" s="27">
        <f>COGS!CO190+'SG&amp;A'!CO190</f>
        <v>0</v>
      </c>
      <c r="CP190" s="27">
        <f>COGS!CP190+'SG&amp;A'!CP190</f>
        <v>0</v>
      </c>
      <c r="CQ190" s="27">
        <f>COGS!CQ190+'SG&amp;A'!CQ190</f>
        <v>0</v>
      </c>
      <c r="CR190" s="27">
        <f>COGS!CR190+'SG&amp;A'!CR190</f>
        <v>0</v>
      </c>
      <c r="CS190" s="27">
        <f>COGS!CS190+'SG&amp;A'!CS190</f>
        <v>0</v>
      </c>
      <c r="CT190" s="27">
        <f>COGS!CT190+'SG&amp;A'!CT190</f>
        <v>0</v>
      </c>
      <c r="CU190" s="27">
        <f>COGS!CU190+'SG&amp;A'!CU190</f>
        <v>0</v>
      </c>
      <c r="CV190" s="27">
        <f>COGS!CV190+'SG&amp;A'!CV190</f>
        <v>0</v>
      </c>
      <c r="CW190" s="27">
        <f>COGS!CW190+'SG&amp;A'!CW190</f>
        <v>0</v>
      </c>
      <c r="CX190" s="27">
        <f>COGS!CX190+'SG&amp;A'!CX190</f>
        <v>0</v>
      </c>
      <c r="CY190" s="27">
        <f>COGS!CY190+'SG&amp;A'!CY190</f>
        <v>0</v>
      </c>
      <c r="CZ190" s="27">
        <f>COGS!CZ190+'SG&amp;A'!CZ190</f>
        <v>0</v>
      </c>
      <c r="DA190" s="27">
        <f>COGS!DA190+'SG&amp;A'!DA190</f>
        <v>0</v>
      </c>
      <c r="DB190" s="27">
        <f>COGS!DB190+'SG&amp;A'!DB190</f>
        <v>0</v>
      </c>
      <c r="DC190" s="27">
        <f>COGS!DC190+'SG&amp;A'!DC190</f>
        <v>0</v>
      </c>
      <c r="DD190" s="27">
        <f>COGS!DD190+'SG&amp;A'!DD190</f>
        <v>0</v>
      </c>
      <c r="DE190" s="27">
        <f>COGS!DE190+'SG&amp;A'!DE190</f>
        <v>0</v>
      </c>
      <c r="DF190" s="27">
        <f>COGS!DF190+'SG&amp;A'!DF190</f>
        <v>0</v>
      </c>
      <c r="DG190" s="27">
        <f>COGS!DG190+'SG&amp;A'!DG190</f>
        <v>0</v>
      </c>
      <c r="DH190" s="27">
        <f>COGS!DH190+'SG&amp;A'!DH190</f>
        <v>0</v>
      </c>
      <c r="DI190" s="27">
        <f>COGS!DI190+'SG&amp;A'!DI190</f>
        <v>0</v>
      </c>
      <c r="DJ190" s="27">
        <f>COGS!DJ190+'SG&amp;A'!DJ190</f>
        <v>0</v>
      </c>
      <c r="DK190" s="27">
        <f>COGS!DK190+'SG&amp;A'!DK190</f>
        <v>0</v>
      </c>
      <c r="DL190" s="27">
        <f>COGS!DL190+'SG&amp;A'!DL190</f>
        <v>0</v>
      </c>
      <c r="DM190" s="27">
        <f>COGS!DM190+'SG&amp;A'!DM190</f>
        <v>0</v>
      </c>
      <c r="DN190" s="27">
        <f>COGS!DN190+'SG&amp;A'!DN190</f>
        <v>0</v>
      </c>
      <c r="DO190" s="27">
        <f>COGS!DO190+'SG&amp;A'!DO190</f>
        <v>2E-3</v>
      </c>
      <c r="DP190" s="27">
        <f>COGS!DP190+'SG&amp;A'!DP190</f>
        <v>0.113</v>
      </c>
      <c r="DQ190" s="27">
        <f>COGS!DQ190+'SG&amp;A'!DQ190</f>
        <v>0.115</v>
      </c>
      <c r="DR190" s="27">
        <f>COGS!DR190+'SG&amp;A'!DR190</f>
        <v>0</v>
      </c>
      <c r="DS190" s="27">
        <f>COGS!DS190+'SG&amp;A'!DS190</f>
        <v>2.8000000000000001E-2</v>
      </c>
      <c r="DT190" s="27">
        <f>COGS!DT190+'SG&amp;A'!DT190</f>
        <v>2E-3</v>
      </c>
      <c r="DU190" s="27">
        <f>COGS!DU190+'SG&amp;A'!DU190</f>
        <v>1E-3</v>
      </c>
      <c r="DV190" s="27">
        <f>COGS!DV190+'SG&amp;A'!DV190</f>
        <v>3.1E-2</v>
      </c>
      <c r="DW190" s="27">
        <f>COGS!DW190+'SG&amp;A'!DW190</f>
        <v>5.0000000000000001E-4</v>
      </c>
      <c r="DX190" s="27">
        <f>COGS!DX190+'SG&amp;A'!DX190</f>
        <v>2.7473380000000002E-2</v>
      </c>
      <c r="DY190" s="27">
        <f>COGS!DY190+'SG&amp;A'!DY190</f>
        <v>8.1332999999999807E-4</v>
      </c>
      <c r="DZ190" s="27">
        <f>COGS!DZ190+'SG&amp;A'!DZ190</f>
        <v>2.9258000000000176E-4</v>
      </c>
      <c r="EA190" s="27">
        <f>COGS!EA190+'SG&amp;A'!EA190</f>
        <v>2.9079290000000001E-2</v>
      </c>
      <c r="EB190" s="27">
        <f>COGS!EB190+'SG&amp;A'!EB190</f>
        <v>-4.3149999999999999E-5</v>
      </c>
      <c r="EC190" s="27">
        <f>COGS!EC190+'SG&amp;A'!EC190</f>
        <v>2.5304390000000003E-2</v>
      </c>
      <c r="ED190" s="27">
        <f>COGS!ED190+'SG&amp;A'!ED190</f>
        <v>3.0000000000000001E-3</v>
      </c>
      <c r="EE190" s="27">
        <f>COGS!EE190+'SG&amp;A'!EE190</f>
        <v>5.3746999999999758E-4</v>
      </c>
      <c r="EF190" s="27">
        <f>COGS!EF190+'SG&amp;A'!EF190</f>
        <v>2.8798710000000002E-2</v>
      </c>
      <c r="EG190" s="27">
        <f>COGS!EG190+'SG&amp;A'!EG190</f>
        <v>-1E-8</v>
      </c>
      <c r="EH190" s="27">
        <f>COGS!EH190+'SG&amp;A'!EH190</f>
        <v>2.3927480000000001E-2</v>
      </c>
      <c r="EI190" s="27">
        <f>COGS!EI190+'SG&amp;A'!EI190</f>
        <v>0</v>
      </c>
    </row>
    <row r="191" spans="1:139" ht="15" thickBot="1" x14ac:dyDescent="0.35">
      <c r="A191" s="2" t="s">
        <v>370</v>
      </c>
      <c r="B191" s="28">
        <f>COGS!B191+'SG&amp;A'!B191</f>
        <v>0</v>
      </c>
      <c r="C191" s="28">
        <f>COGS!C191+'SG&amp;A'!C191</f>
        <v>0</v>
      </c>
      <c r="D191" s="28">
        <f>COGS!D191+'SG&amp;A'!D191</f>
        <v>0</v>
      </c>
      <c r="E191" s="28">
        <f>COGS!E191+'SG&amp;A'!E191</f>
        <v>0</v>
      </c>
      <c r="F191" s="28">
        <f>COGS!F191+'SG&amp;A'!F191</f>
        <v>0</v>
      </c>
      <c r="G191" s="28">
        <f>COGS!G191+'SG&amp;A'!G191</f>
        <v>0</v>
      </c>
      <c r="H191" s="28">
        <f>COGS!H191+'SG&amp;A'!H191</f>
        <v>0</v>
      </c>
      <c r="I191" s="28">
        <f>COGS!I191+'SG&amp;A'!I191</f>
        <v>0</v>
      </c>
      <c r="J191" s="28">
        <f>COGS!J191+'SG&amp;A'!J191</f>
        <v>0</v>
      </c>
      <c r="K191" s="28">
        <f>COGS!K191+'SG&amp;A'!K191</f>
        <v>0</v>
      </c>
      <c r="L191" s="28">
        <f>COGS!L191+'SG&amp;A'!L191</f>
        <v>0</v>
      </c>
      <c r="M191" s="28">
        <f>COGS!M191+'SG&amp;A'!M191</f>
        <v>0</v>
      </c>
      <c r="N191" s="28">
        <f>COGS!N191+'SG&amp;A'!N191</f>
        <v>0</v>
      </c>
      <c r="O191" s="28">
        <f>COGS!O191+'SG&amp;A'!O191</f>
        <v>0</v>
      </c>
      <c r="P191" s="28">
        <f>COGS!P191+'SG&amp;A'!P191</f>
        <v>0</v>
      </c>
      <c r="Q191" s="28">
        <f>COGS!Q191+'SG&amp;A'!Q191</f>
        <v>0</v>
      </c>
      <c r="R191" s="28">
        <f>COGS!R191+'SG&amp;A'!R191</f>
        <v>0</v>
      </c>
      <c r="S191" s="28">
        <f>COGS!S191+'SG&amp;A'!S191</f>
        <v>0</v>
      </c>
      <c r="T191" s="28">
        <f>COGS!T191+'SG&amp;A'!T191</f>
        <v>0</v>
      </c>
      <c r="U191" s="28">
        <f>COGS!U191+'SG&amp;A'!U191</f>
        <v>0</v>
      </c>
      <c r="V191" s="28">
        <f>COGS!V191+'SG&amp;A'!V191</f>
        <v>0</v>
      </c>
      <c r="W191" s="28">
        <f>COGS!W191+'SG&amp;A'!W191</f>
        <v>0</v>
      </c>
      <c r="X191" s="28">
        <f>COGS!X191+'SG&amp;A'!X191</f>
        <v>0</v>
      </c>
      <c r="Y191" s="28">
        <f>COGS!Y191+'SG&amp;A'!Y191</f>
        <v>0</v>
      </c>
      <c r="Z191" s="28">
        <f>COGS!Z191+'SG&amp;A'!Z191</f>
        <v>0</v>
      </c>
      <c r="AA191" s="28">
        <f>COGS!AA191+'SG&amp;A'!AA191</f>
        <v>0</v>
      </c>
      <c r="AB191" s="28">
        <f>COGS!AB191+'SG&amp;A'!AB191</f>
        <v>0</v>
      </c>
      <c r="AC191" s="28">
        <f>COGS!AC191+'SG&amp;A'!AC191</f>
        <v>0</v>
      </c>
      <c r="AD191" s="28">
        <f>COGS!AD191+'SG&amp;A'!AD191</f>
        <v>0</v>
      </c>
      <c r="AE191" s="28">
        <f>COGS!AE191+'SG&amp;A'!AE191</f>
        <v>0</v>
      </c>
      <c r="AF191" s="28">
        <f>COGS!AF191+'SG&amp;A'!AF191</f>
        <v>0</v>
      </c>
      <c r="AG191" s="28">
        <f>COGS!AG191+'SG&amp;A'!AG191</f>
        <v>0</v>
      </c>
      <c r="AH191" s="28">
        <f>COGS!AH191+'SG&amp;A'!AH191</f>
        <v>0</v>
      </c>
      <c r="AI191" s="28">
        <f>COGS!AI191+'SG&amp;A'!AI191</f>
        <v>0</v>
      </c>
      <c r="AJ191" s="28">
        <f>COGS!AJ191+'SG&amp;A'!AJ191</f>
        <v>0</v>
      </c>
      <c r="AK191" s="28">
        <f>COGS!AK191+'SG&amp;A'!AK191</f>
        <v>0</v>
      </c>
      <c r="AL191" s="28">
        <f>COGS!AL191+'SG&amp;A'!AL191</f>
        <v>0</v>
      </c>
      <c r="AM191" s="28">
        <f>COGS!AM191+'SG&amp;A'!AM191</f>
        <v>0</v>
      </c>
      <c r="AN191" s="28">
        <f>COGS!AN191+'SG&amp;A'!AN191</f>
        <v>0</v>
      </c>
      <c r="AO191" s="28">
        <f>COGS!AO191+'SG&amp;A'!AO191</f>
        <v>0</v>
      </c>
      <c r="AP191" s="28">
        <f>COGS!AP191+'SG&amp;A'!AP191</f>
        <v>0</v>
      </c>
      <c r="AQ191" s="28">
        <f>COGS!AQ191+'SG&amp;A'!AQ191</f>
        <v>0</v>
      </c>
      <c r="AR191" s="28">
        <f>COGS!AR191+'SG&amp;A'!AR191</f>
        <v>0</v>
      </c>
      <c r="AS191" s="28">
        <f>COGS!AS191+'SG&amp;A'!AS191</f>
        <v>0</v>
      </c>
      <c r="AT191" s="28">
        <f>COGS!AT191+'SG&amp;A'!AT191</f>
        <v>0</v>
      </c>
      <c r="AU191" s="28">
        <f>COGS!AU191+'SG&amp;A'!AU191</f>
        <v>0</v>
      </c>
      <c r="AV191" s="28">
        <f>COGS!AV191+'SG&amp;A'!AV191</f>
        <v>0</v>
      </c>
      <c r="AW191" s="28">
        <f>COGS!AW191+'SG&amp;A'!AW191</f>
        <v>0</v>
      </c>
      <c r="AX191" s="28">
        <f>COGS!AX191+'SG&amp;A'!AX191</f>
        <v>0</v>
      </c>
      <c r="AY191" s="28">
        <f>COGS!AY191+'SG&amp;A'!AY191</f>
        <v>0</v>
      </c>
      <c r="AZ191" s="28">
        <f>COGS!AZ191+'SG&amp;A'!AZ191</f>
        <v>0</v>
      </c>
      <c r="BA191" s="28">
        <f>COGS!BA191+'SG&amp;A'!BA191</f>
        <v>0</v>
      </c>
      <c r="BB191" s="28">
        <f>COGS!BB191+'SG&amp;A'!BB191</f>
        <v>0</v>
      </c>
      <c r="BC191" s="28">
        <f>COGS!BC191+'SG&amp;A'!BC191</f>
        <v>0</v>
      </c>
      <c r="BD191" s="28">
        <f>COGS!BD191+'SG&amp;A'!BD191</f>
        <v>0</v>
      </c>
      <c r="BE191" s="28">
        <f>COGS!BE191+'SG&amp;A'!BE191</f>
        <v>0</v>
      </c>
      <c r="BF191" s="28">
        <f>COGS!BF191+'SG&amp;A'!BF191</f>
        <v>0</v>
      </c>
      <c r="BG191" s="28">
        <f>COGS!BG191+'SG&amp;A'!BG191</f>
        <v>0</v>
      </c>
      <c r="BH191" s="28">
        <f>COGS!BH191+'SG&amp;A'!BH191</f>
        <v>0</v>
      </c>
      <c r="BI191" s="28">
        <f>COGS!BI191+'SG&amp;A'!BI191</f>
        <v>0</v>
      </c>
      <c r="BJ191" s="28">
        <f>COGS!BJ191+'SG&amp;A'!BJ191</f>
        <v>0.74162532999999997</v>
      </c>
      <c r="BK191" s="28">
        <f>COGS!BK191+'SG&amp;A'!BK191</f>
        <v>0.83045486999999996</v>
      </c>
      <c r="BL191" s="28">
        <f>COGS!BL191+'SG&amp;A'!BL191</f>
        <v>1.1123910400000003</v>
      </c>
      <c r="BM191" s="28">
        <f>COGS!BM191+'SG&amp;A'!BM191</f>
        <v>1.1762740399999998</v>
      </c>
      <c r="BN191" s="28">
        <f>COGS!BN191+'SG&amp;A'!BN191</f>
        <v>3.8607452799999997</v>
      </c>
      <c r="BO191" s="28">
        <f>COGS!BO191+'SG&amp;A'!BO191</f>
        <v>18.880094329999999</v>
      </c>
      <c r="BP191" s="28">
        <f>COGS!BP191+'SG&amp;A'!BP191</f>
        <v>-6.3740937800000008</v>
      </c>
      <c r="BQ191" s="28">
        <f>COGS!BQ191+'SG&amp;A'!BQ191</f>
        <v>7.2674173900000012</v>
      </c>
      <c r="BR191" s="28">
        <f>COGS!BR191+'SG&amp;A'!BR191</f>
        <v>5.0394617499999956</v>
      </c>
      <c r="BS191" s="28">
        <f>COGS!BS191+'SG&amp;A'!BS191</f>
        <v>24.812879689999995</v>
      </c>
      <c r="BT191" s="28">
        <f>COGS!BT191+'SG&amp;A'!BT191</f>
        <v>0</v>
      </c>
      <c r="BU191" s="28">
        <f>COGS!BU191+'SG&amp;A'!BU191</f>
        <v>0</v>
      </c>
      <c r="BV191" s="28">
        <f>COGS!BV191+'SG&amp;A'!BV191</f>
        <v>0</v>
      </c>
      <c r="BW191" s="28">
        <f>COGS!BW191+'SG&amp;A'!BW191</f>
        <v>0</v>
      </c>
      <c r="BX191" s="28">
        <f>COGS!BX191+'SG&amp;A'!BX191</f>
        <v>0</v>
      </c>
      <c r="BY191" s="28">
        <f>COGS!BY191+'SG&amp;A'!BY191</f>
        <v>0</v>
      </c>
      <c r="BZ191" s="28">
        <f>COGS!BZ191+'SG&amp;A'!BZ191</f>
        <v>0</v>
      </c>
      <c r="CA191" s="28">
        <f>COGS!CA191+'SG&amp;A'!CA191</f>
        <v>0</v>
      </c>
      <c r="CB191" s="28">
        <f>COGS!CB191+'SG&amp;A'!CB191</f>
        <v>0</v>
      </c>
      <c r="CC191" s="28">
        <f>COGS!CC191+'SG&amp;A'!CC191</f>
        <v>0</v>
      </c>
      <c r="CD191" s="28">
        <f>COGS!CD191+'SG&amp;A'!CD191</f>
        <v>0</v>
      </c>
      <c r="CE191" s="28">
        <f>COGS!CE191+'SG&amp;A'!CE191</f>
        <v>0</v>
      </c>
      <c r="CF191" s="28">
        <f>COGS!CF191+'SG&amp;A'!CF191</f>
        <v>0</v>
      </c>
      <c r="CG191" s="28">
        <f>COGS!CG191+'SG&amp;A'!CG191</f>
        <v>0</v>
      </c>
      <c r="CH191" s="28">
        <f>COGS!CH191+'SG&amp;A'!CH191</f>
        <v>0</v>
      </c>
      <c r="CI191" s="28">
        <f>COGS!CI191+'SG&amp;A'!CI191</f>
        <v>0</v>
      </c>
      <c r="CJ191" s="28">
        <f>COGS!CJ191+'SG&amp;A'!CJ191</f>
        <v>0</v>
      </c>
      <c r="CK191" s="28">
        <f>COGS!CK191+'SG&amp;A'!CK191</f>
        <v>0</v>
      </c>
      <c r="CL191" s="28">
        <f>COGS!CL191+'SG&amp;A'!CL191</f>
        <v>0</v>
      </c>
      <c r="CM191" s="28">
        <f>COGS!CM191+'SG&amp;A'!CM191</f>
        <v>0</v>
      </c>
      <c r="CN191" s="28">
        <f>COGS!CN191+'SG&amp;A'!CN191</f>
        <v>0</v>
      </c>
      <c r="CO191" s="28">
        <f>COGS!CO191+'SG&amp;A'!CO191</f>
        <v>0</v>
      </c>
      <c r="CP191" s="28">
        <f>COGS!CP191+'SG&amp;A'!CP191</f>
        <v>0</v>
      </c>
      <c r="CQ191" s="28">
        <f>COGS!CQ191+'SG&amp;A'!CQ191</f>
        <v>0</v>
      </c>
      <c r="CR191" s="28">
        <f>COGS!CR191+'SG&amp;A'!CR191</f>
        <v>0</v>
      </c>
      <c r="CS191" s="28">
        <f>COGS!CS191+'SG&amp;A'!CS191</f>
        <v>0</v>
      </c>
      <c r="CT191" s="28">
        <f>COGS!CT191+'SG&amp;A'!CT191</f>
        <v>0</v>
      </c>
      <c r="CU191" s="28">
        <f>COGS!CU191+'SG&amp;A'!CU191</f>
        <v>0</v>
      </c>
      <c r="CV191" s="28">
        <f>COGS!CV191+'SG&amp;A'!CV191</f>
        <v>0</v>
      </c>
      <c r="CW191" s="28">
        <f>COGS!CW191+'SG&amp;A'!CW191</f>
        <v>0</v>
      </c>
      <c r="CX191" s="28">
        <f>COGS!CX191+'SG&amp;A'!CX191</f>
        <v>0</v>
      </c>
      <c r="CY191" s="28">
        <f>COGS!CY191+'SG&amp;A'!CY191</f>
        <v>0</v>
      </c>
      <c r="CZ191" s="28">
        <f>COGS!CZ191+'SG&amp;A'!CZ191</f>
        <v>0</v>
      </c>
      <c r="DA191" s="28">
        <f>COGS!DA191+'SG&amp;A'!DA191</f>
        <v>0</v>
      </c>
      <c r="DB191" s="28">
        <f>COGS!DB191+'SG&amp;A'!DB191</f>
        <v>0</v>
      </c>
      <c r="DC191" s="28">
        <f>COGS!DC191+'SG&amp;A'!DC191</f>
        <v>0</v>
      </c>
      <c r="DD191" s="28">
        <f>COGS!DD191+'SG&amp;A'!DD191</f>
        <v>0</v>
      </c>
      <c r="DE191" s="28">
        <f>COGS!DE191+'SG&amp;A'!DE191</f>
        <v>0</v>
      </c>
      <c r="DF191" s="28">
        <f>COGS!DF191+'SG&amp;A'!DF191</f>
        <v>0</v>
      </c>
      <c r="DG191" s="28">
        <f>COGS!DG191+'SG&amp;A'!DG191</f>
        <v>0</v>
      </c>
      <c r="DH191" s="28">
        <f>COGS!DH191+'SG&amp;A'!DH191</f>
        <v>0</v>
      </c>
      <c r="DI191" s="28">
        <f>COGS!DI191+'SG&amp;A'!DI191</f>
        <v>0</v>
      </c>
      <c r="DJ191" s="28">
        <f>COGS!DJ191+'SG&amp;A'!DJ191</f>
        <v>0</v>
      </c>
      <c r="DK191" s="28">
        <f>COGS!DK191+'SG&amp;A'!DK191</f>
        <v>0</v>
      </c>
      <c r="DL191" s="28">
        <f>COGS!DL191+'SG&amp;A'!DL191</f>
        <v>0</v>
      </c>
      <c r="DM191" s="28">
        <f>COGS!DM191+'SG&amp;A'!DM191</f>
        <v>0</v>
      </c>
      <c r="DN191" s="28">
        <f>COGS!DN191+'SG&amp;A'!DN191</f>
        <v>0</v>
      </c>
      <c r="DO191" s="28">
        <f>COGS!DO191+'SG&amp;A'!DO191</f>
        <v>0</v>
      </c>
      <c r="DP191" s="28">
        <f>COGS!DP191+'SG&amp;A'!DP191</f>
        <v>0</v>
      </c>
      <c r="DQ191" s="28">
        <f>COGS!DQ191+'SG&amp;A'!DQ191</f>
        <v>0</v>
      </c>
      <c r="DR191" s="28">
        <f>COGS!DR191+'SG&amp;A'!DR191</f>
        <v>0</v>
      </c>
      <c r="DS191" s="28">
        <f>COGS!DS191+'SG&amp;A'!DS191</f>
        <v>0</v>
      </c>
      <c r="DT191" s="28">
        <f>COGS!DT191+'SG&amp;A'!DT191</f>
        <v>0</v>
      </c>
      <c r="DU191" s="28">
        <f>COGS!DU191+'SG&amp;A'!DU191</f>
        <v>0</v>
      </c>
      <c r="DV191" s="28">
        <f>COGS!DV191+'SG&amp;A'!DV191</f>
        <v>0</v>
      </c>
      <c r="DW191" s="28">
        <f>COGS!DW191+'SG&amp;A'!DW191</f>
        <v>0</v>
      </c>
      <c r="DX191" s="28">
        <f>COGS!DX191+'SG&amp;A'!DX191</f>
        <v>0</v>
      </c>
      <c r="DY191" s="28">
        <f>COGS!DY191+'SG&amp;A'!DY191</f>
        <v>0</v>
      </c>
      <c r="DZ191" s="28">
        <f>COGS!DZ191+'SG&amp;A'!DZ191</f>
        <v>0</v>
      </c>
      <c r="EA191" s="28">
        <f>COGS!EA191+'SG&amp;A'!EA191</f>
        <v>0</v>
      </c>
      <c r="EB191" s="28">
        <f>COGS!EB191+'SG&amp;A'!EB191</f>
        <v>0</v>
      </c>
      <c r="EC191" s="28">
        <f>COGS!EC191+'SG&amp;A'!EC191</f>
        <v>0</v>
      </c>
      <c r="ED191" s="28">
        <f>COGS!ED191+'SG&amp;A'!ED191</f>
        <v>0</v>
      </c>
      <c r="EE191" s="28">
        <f>COGS!EE191+'SG&amp;A'!EE191</f>
        <v>0</v>
      </c>
      <c r="EF191" s="28">
        <f>COGS!EF191+'SG&amp;A'!EF191</f>
        <v>0</v>
      </c>
      <c r="EG191" s="28">
        <f>COGS!EG191+'SG&amp;A'!EG191</f>
        <v>0</v>
      </c>
      <c r="EH191" s="28">
        <f>COGS!EH191+'SG&amp;A'!EH191</f>
        <v>0</v>
      </c>
      <c r="EI191" s="28">
        <f>COGS!EI191+'SG&amp;A'!EI191</f>
        <v>0</v>
      </c>
    </row>
    <row r="192" spans="1:139" ht="15" thickTop="1" x14ac:dyDescent="0.3">
      <c r="A192" s="1" t="s">
        <v>338</v>
      </c>
      <c r="B192" s="27">
        <f>COGS!B192+'SG&amp;A'!B192</f>
        <v>0</v>
      </c>
      <c r="C192" s="27">
        <f>COGS!C192+'SG&amp;A'!C192</f>
        <v>0</v>
      </c>
      <c r="D192" s="27">
        <f>COGS!D192+'SG&amp;A'!D192</f>
        <v>0</v>
      </c>
      <c r="E192" s="27">
        <f>COGS!E192+'SG&amp;A'!E192</f>
        <v>0</v>
      </c>
      <c r="F192" s="27">
        <f>COGS!F192+'SG&amp;A'!F192</f>
        <v>0</v>
      </c>
      <c r="G192" s="27">
        <f>COGS!G192+'SG&amp;A'!G192</f>
        <v>0</v>
      </c>
      <c r="H192" s="27">
        <f>COGS!H192+'SG&amp;A'!H192</f>
        <v>0</v>
      </c>
      <c r="I192" s="27">
        <f>COGS!I192+'SG&amp;A'!I192</f>
        <v>0</v>
      </c>
      <c r="J192" s="27">
        <f>COGS!J192+'SG&amp;A'!J192</f>
        <v>0</v>
      </c>
      <c r="K192" s="27">
        <f>COGS!K192+'SG&amp;A'!K192</f>
        <v>0</v>
      </c>
      <c r="L192" s="27">
        <f>COGS!L192+'SG&amp;A'!L192</f>
        <v>0</v>
      </c>
      <c r="M192" s="27">
        <f>COGS!M192+'SG&amp;A'!M192</f>
        <v>0</v>
      </c>
      <c r="N192" s="27">
        <f>COGS!N192+'SG&amp;A'!N192</f>
        <v>0</v>
      </c>
      <c r="O192" s="27">
        <f>COGS!O192+'SG&amp;A'!O192</f>
        <v>0</v>
      </c>
      <c r="P192" s="27">
        <f>COGS!P192+'SG&amp;A'!P192</f>
        <v>0</v>
      </c>
      <c r="Q192" s="27">
        <f>COGS!Q192+'SG&amp;A'!Q192</f>
        <v>0</v>
      </c>
      <c r="R192" s="27">
        <f>COGS!R192+'SG&amp;A'!R192</f>
        <v>0</v>
      </c>
      <c r="S192" s="27">
        <f>COGS!S192+'SG&amp;A'!S192</f>
        <v>0</v>
      </c>
      <c r="T192" s="27">
        <f>COGS!T192+'SG&amp;A'!T192</f>
        <v>0</v>
      </c>
      <c r="U192" s="27">
        <f>COGS!U192+'SG&amp;A'!U192</f>
        <v>0</v>
      </c>
      <c r="V192" s="27">
        <f>COGS!V192+'SG&amp;A'!V192</f>
        <v>0</v>
      </c>
      <c r="W192" s="27">
        <f>COGS!W192+'SG&amp;A'!W192</f>
        <v>0</v>
      </c>
      <c r="X192" s="27">
        <f>COGS!X192+'SG&amp;A'!X192</f>
        <v>0</v>
      </c>
      <c r="Y192" s="27">
        <f>COGS!Y192+'SG&amp;A'!Y192</f>
        <v>0</v>
      </c>
      <c r="Z192" s="27">
        <f>COGS!Z192+'SG&amp;A'!Z192</f>
        <v>0</v>
      </c>
      <c r="AA192" s="27">
        <f>COGS!AA192+'SG&amp;A'!AA192</f>
        <v>0</v>
      </c>
      <c r="AB192" s="27">
        <f>COGS!AB192+'SG&amp;A'!AB192</f>
        <v>0</v>
      </c>
      <c r="AC192" s="27">
        <f>COGS!AC192+'SG&amp;A'!AC192</f>
        <v>0</v>
      </c>
      <c r="AD192" s="27">
        <f>COGS!AD192+'SG&amp;A'!AD192</f>
        <v>0</v>
      </c>
      <c r="AE192" s="27">
        <f>COGS!AE192+'SG&amp;A'!AE192</f>
        <v>0</v>
      </c>
      <c r="AF192" s="27">
        <f>COGS!AF192+'SG&amp;A'!AF192</f>
        <v>0</v>
      </c>
      <c r="AG192" s="27">
        <f>COGS!AG192+'SG&amp;A'!AG192</f>
        <v>0</v>
      </c>
      <c r="AH192" s="27">
        <f>COGS!AH192+'SG&amp;A'!AH192</f>
        <v>0</v>
      </c>
      <c r="AI192" s="27">
        <f>COGS!AI192+'SG&amp;A'!AI192</f>
        <v>0</v>
      </c>
      <c r="AJ192" s="27">
        <f>COGS!AJ192+'SG&amp;A'!AJ192</f>
        <v>0</v>
      </c>
      <c r="AK192" s="27">
        <f>COGS!AK192+'SG&amp;A'!AK192</f>
        <v>0</v>
      </c>
      <c r="AL192" s="27">
        <f>COGS!AL192+'SG&amp;A'!AL192</f>
        <v>0</v>
      </c>
      <c r="AM192" s="27">
        <f>COGS!AM192+'SG&amp;A'!AM192</f>
        <v>0</v>
      </c>
      <c r="AN192" s="27">
        <f>COGS!AN192+'SG&amp;A'!AN192</f>
        <v>0</v>
      </c>
      <c r="AO192" s="27">
        <f>COGS!AO192+'SG&amp;A'!AO192</f>
        <v>0</v>
      </c>
      <c r="AP192" s="27">
        <f>COGS!AP192+'SG&amp;A'!AP192</f>
        <v>0</v>
      </c>
      <c r="AQ192" s="27">
        <f>COGS!AQ192+'SG&amp;A'!AQ192</f>
        <v>0</v>
      </c>
      <c r="AR192" s="27">
        <f>COGS!AR192+'SG&amp;A'!AR192</f>
        <v>0</v>
      </c>
      <c r="AS192" s="27">
        <f>COGS!AS192+'SG&amp;A'!AS192</f>
        <v>0</v>
      </c>
      <c r="AT192" s="27">
        <f>COGS!AT192+'SG&amp;A'!AT192</f>
        <v>0</v>
      </c>
      <c r="AU192" s="27">
        <f>COGS!AU192+'SG&amp;A'!AU192</f>
        <v>0</v>
      </c>
      <c r="AV192" s="27">
        <f>COGS!AV192+'SG&amp;A'!AV192</f>
        <v>0</v>
      </c>
      <c r="AW192" s="27">
        <f>COGS!AW192+'SG&amp;A'!AW192</f>
        <v>0</v>
      </c>
      <c r="AX192" s="27">
        <f>COGS!AX192+'SG&amp;A'!AX192</f>
        <v>0</v>
      </c>
      <c r="AY192" s="27">
        <f>COGS!AY192+'SG&amp;A'!AY192</f>
        <v>0</v>
      </c>
      <c r="AZ192" s="27">
        <f>COGS!AZ192+'SG&amp;A'!AZ192</f>
        <v>0</v>
      </c>
      <c r="BA192" s="27">
        <f>COGS!BA192+'SG&amp;A'!BA192</f>
        <v>0</v>
      </c>
      <c r="BB192" s="27">
        <f>COGS!BB192+'SG&amp;A'!BB192</f>
        <v>0</v>
      </c>
      <c r="BC192" s="27">
        <f>COGS!BC192+'SG&amp;A'!BC192</f>
        <v>0</v>
      </c>
      <c r="BD192" s="27">
        <f>COGS!BD192+'SG&amp;A'!BD192</f>
        <v>0</v>
      </c>
      <c r="BE192" s="27">
        <f>COGS!BE192+'SG&amp;A'!BE192</f>
        <v>0</v>
      </c>
      <c r="BF192" s="27">
        <f>COGS!BF192+'SG&amp;A'!BF192</f>
        <v>0</v>
      </c>
      <c r="BG192" s="27">
        <f>COGS!BG192+'SG&amp;A'!BG192</f>
        <v>0</v>
      </c>
      <c r="BH192" s="27">
        <f>COGS!BH192+'SG&amp;A'!BH192</f>
        <v>0</v>
      </c>
      <c r="BI192" s="27">
        <f>COGS!BI192+'SG&amp;A'!BI192</f>
        <v>0</v>
      </c>
      <c r="BJ192" s="27">
        <f>COGS!BJ192+'SG&amp;A'!BJ192</f>
        <v>1.7951169400000002</v>
      </c>
      <c r="BK192" s="27">
        <f>COGS!BK192+'SG&amp;A'!BK192</f>
        <v>1.5745671299999997</v>
      </c>
      <c r="BL192" s="27">
        <f>COGS!BL192+'SG&amp;A'!BL192</f>
        <v>1.5184043800000002</v>
      </c>
      <c r="BM192" s="27">
        <f>COGS!BM192+'SG&amp;A'!BM192</f>
        <v>1.7232686699999995</v>
      </c>
      <c r="BN192" s="27">
        <f>COGS!BN192+'SG&amp;A'!BN192</f>
        <v>6.6113571199999992</v>
      </c>
      <c r="BO192" s="27">
        <f>COGS!BO192+'SG&amp;A'!BO192</f>
        <v>1.6757250899999998</v>
      </c>
      <c r="BP192" s="27">
        <f>COGS!BP192+'SG&amp;A'!BP192</f>
        <v>1.4933053399999998</v>
      </c>
      <c r="BQ192" s="27">
        <f>COGS!BQ192+'SG&amp;A'!BQ192</f>
        <v>2.0431451699999998</v>
      </c>
      <c r="BR192" s="27">
        <f>COGS!BR192+'SG&amp;A'!BR192</f>
        <v>2.1559916899999996</v>
      </c>
      <c r="BS192" s="27">
        <f>COGS!BS192+'SG&amp;A'!BS192</f>
        <v>7.3681672899999997</v>
      </c>
      <c r="BT192" s="27">
        <f>COGS!BT192+'SG&amp;A'!BT192</f>
        <v>0</v>
      </c>
      <c r="BU192" s="27">
        <f>COGS!BU192+'SG&amp;A'!BU192</f>
        <v>0</v>
      </c>
      <c r="BV192" s="27">
        <f>COGS!BV192+'SG&amp;A'!BV192</f>
        <v>0</v>
      </c>
      <c r="BW192" s="27">
        <f>COGS!BW192+'SG&amp;A'!BW192</f>
        <v>0</v>
      </c>
      <c r="BX192" s="27">
        <f>COGS!BX192+'SG&amp;A'!BX192</f>
        <v>0</v>
      </c>
      <c r="BY192" s="27">
        <f>COGS!BY192+'SG&amp;A'!BY192</f>
        <v>0</v>
      </c>
      <c r="BZ192" s="27">
        <f>COGS!BZ192+'SG&amp;A'!BZ192</f>
        <v>0</v>
      </c>
      <c r="CA192" s="27">
        <f>COGS!CA192+'SG&amp;A'!CA192</f>
        <v>0</v>
      </c>
      <c r="CB192" s="27">
        <f>COGS!CB192+'SG&amp;A'!CB192</f>
        <v>0</v>
      </c>
      <c r="CC192" s="27">
        <f>COGS!CC192+'SG&amp;A'!CC192</f>
        <v>0</v>
      </c>
      <c r="CD192" s="27">
        <f>COGS!CD192+'SG&amp;A'!CD192</f>
        <v>0</v>
      </c>
      <c r="CE192" s="27">
        <f>COGS!CE192+'SG&amp;A'!CE192</f>
        <v>0</v>
      </c>
      <c r="CF192" s="27">
        <f>COGS!CF192+'SG&amp;A'!CF192</f>
        <v>0</v>
      </c>
      <c r="CG192" s="27">
        <f>COGS!CG192+'SG&amp;A'!CG192</f>
        <v>0</v>
      </c>
      <c r="CH192" s="27">
        <f>COGS!CH192+'SG&amp;A'!CH192</f>
        <v>0</v>
      </c>
      <c r="CI192" s="27">
        <f>COGS!CI192+'SG&amp;A'!CI192</f>
        <v>0</v>
      </c>
      <c r="CJ192" s="27">
        <f>COGS!CJ192+'SG&amp;A'!CJ192</f>
        <v>0</v>
      </c>
      <c r="CK192" s="27">
        <f>COGS!CK192+'SG&amp;A'!CK192</f>
        <v>0</v>
      </c>
      <c r="CL192" s="27">
        <f>COGS!CL192+'SG&amp;A'!CL192</f>
        <v>0</v>
      </c>
      <c r="CM192" s="27">
        <f>COGS!CM192+'SG&amp;A'!CM192</f>
        <v>0</v>
      </c>
      <c r="CN192" s="27">
        <f>COGS!CN192+'SG&amp;A'!CN192</f>
        <v>0</v>
      </c>
      <c r="CO192" s="27">
        <f>COGS!CO192+'SG&amp;A'!CO192</f>
        <v>0</v>
      </c>
      <c r="CP192" s="27">
        <f>COGS!CP192+'SG&amp;A'!CP192</f>
        <v>0</v>
      </c>
      <c r="CQ192" s="27">
        <f>COGS!CQ192+'SG&amp;A'!CQ192</f>
        <v>0.15</v>
      </c>
      <c r="CR192" s="27">
        <f>COGS!CR192+'SG&amp;A'!CR192</f>
        <v>0.15</v>
      </c>
      <c r="CS192" s="27">
        <f>COGS!CS192+'SG&amp;A'!CS192</f>
        <v>0</v>
      </c>
      <c r="CT192" s="27">
        <f>COGS!CT192+'SG&amp;A'!CT192</f>
        <v>1.2999999999999999E-2</v>
      </c>
      <c r="CU192" s="27">
        <f>COGS!CU192+'SG&amp;A'!CU192</f>
        <v>0.17399999999999999</v>
      </c>
      <c r="CV192" s="27">
        <f>COGS!CV192+'SG&amp;A'!CV192</f>
        <v>0.03</v>
      </c>
      <c r="CW192" s="27">
        <f>COGS!CW192+'SG&amp;A'!CW192</f>
        <v>0.217</v>
      </c>
      <c r="CX192" s="27">
        <f>COGS!CX192+'SG&amp;A'!CX192</f>
        <v>0.05</v>
      </c>
      <c r="CY192" s="27">
        <f>COGS!CY192+'SG&amp;A'!CY192</f>
        <v>4.4999999999999998E-2</v>
      </c>
      <c r="CZ192" s="27">
        <f>COGS!CZ192+'SG&amp;A'!CZ192</f>
        <v>0.157</v>
      </c>
      <c r="DA192" s="27">
        <f>COGS!DA192+'SG&amp;A'!DA192</f>
        <v>1.7999999999999999E-2</v>
      </c>
      <c r="DB192" s="27">
        <f>COGS!DB192+'SG&amp;A'!DB192</f>
        <v>0.27</v>
      </c>
      <c r="DC192" s="27">
        <f>COGS!DC192+'SG&amp;A'!DC192</f>
        <v>3.4000000000000002E-2</v>
      </c>
      <c r="DD192" s="27">
        <f>COGS!DD192+'SG&amp;A'!DD192</f>
        <v>2.5000000000000001E-2</v>
      </c>
      <c r="DE192" s="27">
        <f>COGS!DE192+'SG&amp;A'!DE192</f>
        <v>0.153</v>
      </c>
      <c r="DF192" s="27">
        <f>COGS!DF192+'SG&amp;A'!DF192</f>
        <v>1.2999999999999999E-2</v>
      </c>
      <c r="DG192" s="27">
        <f>COGS!DG192+'SG&amp;A'!DG192</f>
        <v>0.22500000000000001</v>
      </c>
      <c r="DH192" s="27">
        <f>COGS!DH192+'SG&amp;A'!DH192</f>
        <v>0.01</v>
      </c>
      <c r="DI192" s="27">
        <f>COGS!DI192+'SG&amp;A'!DI192</f>
        <v>1.4E-2</v>
      </c>
      <c r="DJ192" s="27">
        <f>COGS!DJ192+'SG&amp;A'!DJ192</f>
        <v>0.25900000000000001</v>
      </c>
      <c r="DK192" s="27">
        <f>COGS!DK192+'SG&amp;A'!DK192</f>
        <v>-1.7230000000000001</v>
      </c>
      <c r="DL192" s="27">
        <f>COGS!DL192+'SG&amp;A'!DL192</f>
        <v>-1.44</v>
      </c>
      <c r="DM192" s="27">
        <f>COGS!DM192+'SG&amp;A'!DM192</f>
        <v>1.3999999999999999E-2</v>
      </c>
      <c r="DN192" s="27">
        <f>COGS!DN192+'SG&amp;A'!DN192</f>
        <v>1.9000000000000003E-2</v>
      </c>
      <c r="DO192" s="27">
        <f>COGS!DO192+'SG&amp;A'!DO192</f>
        <v>0.33100000000000002</v>
      </c>
      <c r="DP192" s="27">
        <f>COGS!DP192+'SG&amp;A'!DP192</f>
        <v>0.47799999999999998</v>
      </c>
      <c r="DQ192" s="27">
        <f>COGS!DQ192+'SG&amp;A'!DQ192</f>
        <v>0.84199999999999997</v>
      </c>
      <c r="DR192" s="27">
        <f>COGS!DR192+'SG&amp;A'!DR192</f>
        <v>5.0999999999999997E-2</v>
      </c>
      <c r="DS192" s="27">
        <f>COGS!DS192+'SG&amp;A'!DS192</f>
        <v>1.7000000000000001E-2</v>
      </c>
      <c r="DT192" s="27">
        <f>COGS!DT192+'SG&amp;A'!DT192</f>
        <v>0.35299999999999998</v>
      </c>
      <c r="DU192" s="27">
        <f>COGS!DU192+'SG&amp;A'!DU192</f>
        <v>1.2999999999999999E-2</v>
      </c>
      <c r="DV192" s="27">
        <f>COGS!DV192+'SG&amp;A'!DV192</f>
        <v>0.434</v>
      </c>
      <c r="DW192" s="27">
        <f>COGS!DW192+'SG&amp;A'!DW192</f>
        <v>1.4E-2</v>
      </c>
      <c r="DX192" s="27">
        <f>COGS!DX192+'SG&amp;A'!DX192</f>
        <v>1.2954459999999999E-2</v>
      </c>
      <c r="DY192" s="27">
        <f>COGS!DY192+'SG&amp;A'!DY192</f>
        <v>0.36879136000000001</v>
      </c>
      <c r="DZ192" s="27">
        <f>COGS!DZ192+'SG&amp;A'!DZ192</f>
        <v>9.3386200000000492E-3</v>
      </c>
      <c r="EA192" s="27">
        <f>COGS!EA192+'SG&amp;A'!EA192</f>
        <v>0.4050844400000001</v>
      </c>
      <c r="EB192" s="27">
        <f>COGS!EB192+'SG&amp;A'!EB192</f>
        <v>2.0973720000000001E-2</v>
      </c>
      <c r="EC192" s="27">
        <f>COGS!EC192+'SG&amp;A'!EC192</f>
        <v>-5.0637700000000004E-3</v>
      </c>
      <c r="ED192" s="27">
        <f>COGS!ED192+'SG&amp;A'!ED192</f>
        <v>9.1999999999999998E-2</v>
      </c>
      <c r="EE192" s="27">
        <f>COGS!EE192+'SG&amp;A'!EE192</f>
        <v>0.39537465000000005</v>
      </c>
      <c r="EF192" s="27">
        <f>COGS!EF192+'SG&amp;A'!EF192</f>
        <v>0.50328460000000008</v>
      </c>
      <c r="EG192" s="27">
        <f>COGS!EG192+'SG&amp;A'!EG192</f>
        <v>0.15357393000000003</v>
      </c>
      <c r="EH192" s="27">
        <f>COGS!EH192+'SG&amp;A'!EH192</f>
        <v>-0.52204525999999996</v>
      </c>
      <c r="EI192" s="27">
        <f>COGS!EI192+'SG&amp;A'!EI192</f>
        <v>0.76166783999999998</v>
      </c>
    </row>
    <row r="193" spans="1:139" ht="15" thickBot="1" x14ac:dyDescent="0.35">
      <c r="A193" s="2" t="s">
        <v>331</v>
      </c>
      <c r="B193" s="28">
        <f>COGS!B193+'SG&amp;A'!B193</f>
        <v>0</v>
      </c>
      <c r="C193" s="28">
        <f>COGS!C193+'SG&amp;A'!C193</f>
        <v>0</v>
      </c>
      <c r="D193" s="28">
        <f>COGS!D193+'SG&amp;A'!D193</f>
        <v>0</v>
      </c>
      <c r="E193" s="28">
        <f>COGS!E193+'SG&amp;A'!E193</f>
        <v>0</v>
      </c>
      <c r="F193" s="28">
        <f>COGS!F193+'SG&amp;A'!F193</f>
        <v>0</v>
      </c>
      <c r="G193" s="28">
        <f>COGS!G193+'SG&amp;A'!G193</f>
        <v>0</v>
      </c>
      <c r="H193" s="28">
        <f>COGS!H193+'SG&amp;A'!H193</f>
        <v>0</v>
      </c>
      <c r="I193" s="28">
        <f>COGS!I193+'SG&amp;A'!I193</f>
        <v>0</v>
      </c>
      <c r="J193" s="28">
        <f>COGS!J193+'SG&amp;A'!J193</f>
        <v>0</v>
      </c>
      <c r="K193" s="28">
        <f>COGS!K193+'SG&amp;A'!K193</f>
        <v>0</v>
      </c>
      <c r="L193" s="28">
        <f>COGS!L193+'SG&amp;A'!L193</f>
        <v>0</v>
      </c>
      <c r="M193" s="28">
        <f>COGS!M193+'SG&amp;A'!M193</f>
        <v>0</v>
      </c>
      <c r="N193" s="28">
        <f>COGS!N193+'SG&amp;A'!N193</f>
        <v>0</v>
      </c>
      <c r="O193" s="28">
        <f>COGS!O193+'SG&amp;A'!O193</f>
        <v>0</v>
      </c>
      <c r="P193" s="28">
        <f>COGS!P193+'SG&amp;A'!P193</f>
        <v>0</v>
      </c>
      <c r="Q193" s="28">
        <f>COGS!Q193+'SG&amp;A'!Q193</f>
        <v>0</v>
      </c>
      <c r="R193" s="28">
        <f>COGS!R193+'SG&amp;A'!R193</f>
        <v>0</v>
      </c>
      <c r="S193" s="28">
        <f>COGS!S193+'SG&amp;A'!S193</f>
        <v>0</v>
      </c>
      <c r="T193" s="28">
        <f>COGS!T193+'SG&amp;A'!T193</f>
        <v>0</v>
      </c>
      <c r="U193" s="28">
        <f>COGS!U193+'SG&amp;A'!U193</f>
        <v>0</v>
      </c>
      <c r="V193" s="28">
        <f>COGS!V193+'SG&amp;A'!V193</f>
        <v>0</v>
      </c>
      <c r="W193" s="28">
        <f>COGS!W193+'SG&amp;A'!W193</f>
        <v>0</v>
      </c>
      <c r="X193" s="28">
        <f>COGS!X193+'SG&amp;A'!X193</f>
        <v>0</v>
      </c>
      <c r="Y193" s="28">
        <f>COGS!Y193+'SG&amp;A'!Y193</f>
        <v>0</v>
      </c>
      <c r="Z193" s="28">
        <f>COGS!Z193+'SG&amp;A'!Z193</f>
        <v>0</v>
      </c>
      <c r="AA193" s="28">
        <f>COGS!AA193+'SG&amp;A'!AA193</f>
        <v>0</v>
      </c>
      <c r="AB193" s="28">
        <f>COGS!AB193+'SG&amp;A'!AB193</f>
        <v>0</v>
      </c>
      <c r="AC193" s="28">
        <f>COGS!AC193+'SG&amp;A'!AC193</f>
        <v>0</v>
      </c>
      <c r="AD193" s="28">
        <f>COGS!AD193+'SG&amp;A'!AD193</f>
        <v>0</v>
      </c>
      <c r="AE193" s="28">
        <f>COGS!AE193+'SG&amp;A'!AE193</f>
        <v>0</v>
      </c>
      <c r="AF193" s="28">
        <f>COGS!AF193+'SG&amp;A'!AF193</f>
        <v>0</v>
      </c>
      <c r="AG193" s="28">
        <f>COGS!AG193+'SG&amp;A'!AG193</f>
        <v>0</v>
      </c>
      <c r="AH193" s="28">
        <f>COGS!AH193+'SG&amp;A'!AH193</f>
        <v>0</v>
      </c>
      <c r="AI193" s="28">
        <f>COGS!AI193+'SG&amp;A'!AI193</f>
        <v>0</v>
      </c>
      <c r="AJ193" s="28">
        <f>COGS!AJ193+'SG&amp;A'!AJ193</f>
        <v>0</v>
      </c>
      <c r="AK193" s="28">
        <f>COGS!AK193+'SG&amp;A'!AK193</f>
        <v>0</v>
      </c>
      <c r="AL193" s="28">
        <f>COGS!AL193+'SG&amp;A'!AL193</f>
        <v>0</v>
      </c>
      <c r="AM193" s="28">
        <f>COGS!AM193+'SG&amp;A'!AM193</f>
        <v>0</v>
      </c>
      <c r="AN193" s="28">
        <f>COGS!AN193+'SG&amp;A'!AN193</f>
        <v>0</v>
      </c>
      <c r="AO193" s="28">
        <f>COGS!AO193+'SG&amp;A'!AO193</f>
        <v>0</v>
      </c>
      <c r="AP193" s="28">
        <f>COGS!AP193+'SG&amp;A'!AP193</f>
        <v>0</v>
      </c>
      <c r="AQ193" s="28">
        <f>COGS!AQ193+'SG&amp;A'!AQ193</f>
        <v>0</v>
      </c>
      <c r="AR193" s="28">
        <f>COGS!AR193+'SG&amp;A'!AR193</f>
        <v>0</v>
      </c>
      <c r="AS193" s="28">
        <f>COGS!AS193+'SG&amp;A'!AS193</f>
        <v>0</v>
      </c>
      <c r="AT193" s="28">
        <f>COGS!AT193+'SG&amp;A'!AT193</f>
        <v>0</v>
      </c>
      <c r="AU193" s="28">
        <f>COGS!AU193+'SG&amp;A'!AU193</f>
        <v>0</v>
      </c>
      <c r="AV193" s="28">
        <f>COGS!AV193+'SG&amp;A'!AV193</f>
        <v>0</v>
      </c>
      <c r="AW193" s="28">
        <f>COGS!AW193+'SG&amp;A'!AW193</f>
        <v>0</v>
      </c>
      <c r="AX193" s="28">
        <f>COGS!AX193+'SG&amp;A'!AX193</f>
        <v>0</v>
      </c>
      <c r="AY193" s="28">
        <f>COGS!AY193+'SG&amp;A'!AY193</f>
        <v>0</v>
      </c>
      <c r="AZ193" s="28">
        <f>COGS!AZ193+'SG&amp;A'!AZ193</f>
        <v>0</v>
      </c>
      <c r="BA193" s="28">
        <f>COGS!BA193+'SG&amp;A'!BA193</f>
        <v>0</v>
      </c>
      <c r="BB193" s="28">
        <f>COGS!BB193+'SG&amp;A'!BB193</f>
        <v>0</v>
      </c>
      <c r="BC193" s="28">
        <f>COGS!BC193+'SG&amp;A'!BC193</f>
        <v>0</v>
      </c>
      <c r="BD193" s="28">
        <f>COGS!BD193+'SG&amp;A'!BD193</f>
        <v>0</v>
      </c>
      <c r="BE193" s="28">
        <f>COGS!BE193+'SG&amp;A'!BE193</f>
        <v>0</v>
      </c>
      <c r="BF193" s="28">
        <f>COGS!BF193+'SG&amp;A'!BF193</f>
        <v>0</v>
      </c>
      <c r="BG193" s="28">
        <f>COGS!BG193+'SG&amp;A'!BG193</f>
        <v>0</v>
      </c>
      <c r="BH193" s="28">
        <f>COGS!BH193+'SG&amp;A'!BH193</f>
        <v>0</v>
      </c>
      <c r="BI193" s="28">
        <f>COGS!BI193+'SG&amp;A'!BI193</f>
        <v>0</v>
      </c>
      <c r="BJ193" s="28">
        <f>COGS!BJ193+'SG&amp;A'!BJ193</f>
        <v>0.82075770999999997</v>
      </c>
      <c r="BK193" s="28">
        <f>COGS!BK193+'SG&amp;A'!BK193</f>
        <v>0.98085832000000017</v>
      </c>
      <c r="BL193" s="28">
        <f>COGS!BL193+'SG&amp;A'!BL193</f>
        <v>0.92942846999999962</v>
      </c>
      <c r="BM193" s="28">
        <f>COGS!BM193+'SG&amp;A'!BM193</f>
        <v>1.1724465200000003</v>
      </c>
      <c r="BN193" s="28">
        <f>COGS!BN193+'SG&amp;A'!BN193</f>
        <v>3.9034910200000001</v>
      </c>
      <c r="BO193" s="28">
        <f>COGS!BO193+'SG&amp;A'!BO193</f>
        <v>1.1399931300000001</v>
      </c>
      <c r="BP193" s="28">
        <f>COGS!BP193+'SG&amp;A'!BP193</f>
        <v>5.0819149999999924E-2</v>
      </c>
      <c r="BQ193" s="28">
        <f>COGS!BQ193+'SG&amp;A'!BQ193</f>
        <v>0.64679712</v>
      </c>
      <c r="BR193" s="28">
        <f>COGS!BR193+'SG&amp;A'!BR193</f>
        <v>0.89072080999999992</v>
      </c>
      <c r="BS193" s="28">
        <f>COGS!BS193+'SG&amp;A'!BS193</f>
        <v>2.7283302100000002</v>
      </c>
      <c r="BT193" s="28">
        <f>COGS!BT193+'SG&amp;A'!BT193</f>
        <v>1.1965238300000001</v>
      </c>
      <c r="BU193" s="28">
        <f>COGS!BU193+'SG&amp;A'!BU193</f>
        <v>1.0388620200000001</v>
      </c>
      <c r="BV193" s="28">
        <f>COGS!BV193+'SG&amp;A'!BV193</f>
        <v>0.60895869000000014</v>
      </c>
      <c r="BW193" s="28">
        <f>COGS!BW193+'SG&amp;A'!BW193</f>
        <v>0.91446695999999972</v>
      </c>
      <c r="BX193" s="28">
        <f>COGS!BX193+'SG&amp;A'!BX193</f>
        <v>3.7588115000000002</v>
      </c>
      <c r="BY193" s="28">
        <f>COGS!BY193+'SG&amp;A'!BY193</f>
        <v>0.82316691000000008</v>
      </c>
      <c r="BZ193" s="28">
        <f>COGS!BZ193+'SG&amp;A'!BZ193</f>
        <v>1.0991975699999998</v>
      </c>
      <c r="CA193" s="28">
        <f>COGS!CA193+'SG&amp;A'!CA193</f>
        <v>0.94659750999999992</v>
      </c>
      <c r="CB193" s="28">
        <f>COGS!CB193+'SG&amp;A'!CB193</f>
        <v>1.9109186200000001</v>
      </c>
      <c r="CC193" s="28">
        <f>COGS!CC193+'SG&amp;A'!CC193</f>
        <v>4.7798806100000002</v>
      </c>
      <c r="CD193" s="28">
        <f>COGS!CD193+'SG&amp;A'!CD193</f>
        <v>0.42900886999999999</v>
      </c>
      <c r="CE193" s="28">
        <f>COGS!CE193+'SG&amp;A'!CE193</f>
        <v>1.0062507699999999</v>
      </c>
      <c r="CF193" s="28">
        <f>COGS!CF193+'SG&amp;A'!CF193</f>
        <v>0.86547518999999984</v>
      </c>
      <c r="CG193" s="28">
        <f>COGS!CG193+'SG&amp;A'!CG193</f>
        <v>0.82176364000000046</v>
      </c>
      <c r="CH193" s="28">
        <f>COGS!CH193+'SG&amp;A'!CH193</f>
        <v>3.12249847</v>
      </c>
      <c r="CI193" s="28">
        <f>COGS!CI193+'SG&amp;A'!CI193</f>
        <v>0.50950607999999997</v>
      </c>
      <c r="CJ193" s="28">
        <f>COGS!CJ193+'SG&amp;A'!CJ193</f>
        <v>0.60116835999999996</v>
      </c>
      <c r="CK193" s="28">
        <f>COGS!CK193+'SG&amp;A'!CK193</f>
        <v>0.41378698999999997</v>
      </c>
      <c r="CL193" s="28">
        <f>COGS!CL193+'SG&amp;A'!CL193</f>
        <v>0.26755103000000013</v>
      </c>
      <c r="CM193" s="28">
        <f>COGS!CM193+'SG&amp;A'!CM193</f>
        <v>1.79201246</v>
      </c>
      <c r="CN193" s="28">
        <f>COGS!CN193+'SG&amp;A'!CN193</f>
        <v>0.41275169</v>
      </c>
      <c r="CO193" s="28">
        <f>COGS!CO193+'SG&amp;A'!CO193</f>
        <v>0.31121043000000004</v>
      </c>
      <c r="CP193" s="28">
        <f>COGS!CP193+'SG&amp;A'!CP193</f>
        <v>0.28268598999999994</v>
      </c>
      <c r="CQ193" s="28">
        <f>COGS!CQ193+'SG&amp;A'!CQ193</f>
        <v>3.8351889999999944E-2</v>
      </c>
      <c r="CR193" s="28">
        <f>COGS!CR193+'SG&amp;A'!CR193</f>
        <v>1.0449999999999999</v>
      </c>
      <c r="CS193" s="28">
        <f>COGS!CS193+'SG&amp;A'!CS193</f>
        <v>0.19913873000000001</v>
      </c>
      <c r="CT193" s="28">
        <f>COGS!CT193+'SG&amp;A'!CT193</f>
        <v>0.35127922999999994</v>
      </c>
      <c r="CU193" s="28">
        <f>COGS!CU193+'SG&amp;A'!CU193</f>
        <v>0.29467268000000002</v>
      </c>
      <c r="CV193" s="28">
        <f>COGS!CV193+'SG&amp;A'!CV193</f>
        <v>0.34528745999999999</v>
      </c>
      <c r="CW193" s="28">
        <f>COGS!CW193+'SG&amp;A'!CW193</f>
        <v>1.1903781</v>
      </c>
      <c r="CX193" s="28">
        <f>COGS!CX193+'SG&amp;A'!CX193</f>
        <v>0.318</v>
      </c>
      <c r="CY193" s="28">
        <f>COGS!CY193+'SG&amp;A'!CY193</f>
        <v>0.46300000000000002</v>
      </c>
      <c r="CZ193" s="28">
        <f>COGS!CZ193+'SG&amp;A'!CZ193</f>
        <v>0.28399999999999997</v>
      </c>
      <c r="DA193" s="28">
        <f>COGS!DA193+'SG&amp;A'!DA193</f>
        <v>0.25</v>
      </c>
      <c r="DB193" s="28">
        <f>COGS!DB193+'SG&amp;A'!DB193</f>
        <v>1.3149999999999999</v>
      </c>
      <c r="DC193" s="28">
        <f>COGS!DC193+'SG&amp;A'!DC193</f>
        <v>0.35299999999999998</v>
      </c>
      <c r="DD193" s="28">
        <f>COGS!DD193+'SG&amp;A'!DD193</f>
        <v>0.55800000000000005</v>
      </c>
      <c r="DE193" s="28">
        <f>COGS!DE193+'SG&amp;A'!DE193</f>
        <v>0.55000000000000004</v>
      </c>
      <c r="DF193" s="28">
        <f>COGS!DF193+'SG&amp;A'!DF193</f>
        <v>0.74</v>
      </c>
      <c r="DG193" s="28">
        <f>COGS!DG193+'SG&amp;A'!DG193</f>
        <v>2.2010000000000001</v>
      </c>
      <c r="DH193" s="28">
        <f>COGS!DH193+'SG&amp;A'!DH193</f>
        <v>0.28399999999999997</v>
      </c>
      <c r="DI193" s="28">
        <f>COGS!DI193+'SG&amp;A'!DI193</f>
        <v>0.52800000000000002</v>
      </c>
      <c r="DJ193" s="28">
        <f>COGS!DJ193+'SG&amp;A'!DJ193</f>
        <v>0.154</v>
      </c>
      <c r="DK193" s="28">
        <f>COGS!DK193+'SG&amp;A'!DK193</f>
        <v>0.19900000000000001</v>
      </c>
      <c r="DL193" s="28">
        <f>COGS!DL193+'SG&amp;A'!DL193</f>
        <v>1.165</v>
      </c>
      <c r="DM193" s="28">
        <f>COGS!DM193+'SG&amp;A'!DM193</f>
        <v>0.23</v>
      </c>
      <c r="DN193" s="28">
        <f>COGS!DN193+'SG&amp;A'!DN193</f>
        <v>0.38700000000000001</v>
      </c>
      <c r="DO193" s="28">
        <f>COGS!DO193+'SG&amp;A'!DO193</f>
        <v>0.186</v>
      </c>
      <c r="DP193" s="28">
        <f>COGS!DP193+'SG&amp;A'!DP193</f>
        <v>-3.0000000000000001E-3</v>
      </c>
      <c r="DQ193" s="28">
        <f>COGS!DQ193+'SG&amp;A'!DQ193</f>
        <v>0.79999999999999993</v>
      </c>
      <c r="DR193" s="28">
        <f>COGS!DR193+'SG&amp;A'!DR193</f>
        <v>0.41499999999999998</v>
      </c>
      <c r="DS193" s="28">
        <f>COGS!DS193+'SG&amp;A'!DS193</f>
        <v>0.42599999999999999</v>
      </c>
      <c r="DT193" s="28">
        <f>COGS!DT193+'SG&amp;A'!DT193</f>
        <v>0.25600000000000001</v>
      </c>
      <c r="DU193" s="28">
        <f>COGS!DU193+'SG&amp;A'!DU193</f>
        <v>0.748</v>
      </c>
      <c r="DV193" s="28">
        <f>COGS!DV193+'SG&amp;A'!DV193</f>
        <v>1.845</v>
      </c>
      <c r="DW193" s="28">
        <f>COGS!DW193+'SG&amp;A'!DW193</f>
        <v>0.47799999999999998</v>
      </c>
      <c r="DX193" s="28">
        <f>COGS!DX193+'SG&amp;A'!DX193</f>
        <v>0.39396087000000002</v>
      </c>
      <c r="DY193" s="28">
        <f>COGS!DY193+'SG&amp;A'!DY193</f>
        <v>0.46681723000000008</v>
      </c>
      <c r="DZ193" s="28">
        <f>COGS!DZ193+'SG&amp;A'!DZ193</f>
        <v>0.50738394999999992</v>
      </c>
      <c r="EA193" s="28">
        <f>COGS!EA193+'SG&amp;A'!EA193</f>
        <v>1.84616205</v>
      </c>
      <c r="EB193" s="28">
        <f>COGS!EB193+'SG&amp;A'!EB193</f>
        <v>0.71184231999999992</v>
      </c>
      <c r="EC193" s="28">
        <f>COGS!EC193+'SG&amp;A'!EC193</f>
        <v>0.50300347000000012</v>
      </c>
      <c r="ED193" s="28">
        <f>COGS!ED193+'SG&amp;A'!ED193</f>
        <v>2.2610000000000001</v>
      </c>
      <c r="EE193" s="28">
        <f>COGS!EE193+'SG&amp;A'!EE193</f>
        <v>-0.48226424000000023</v>
      </c>
      <c r="EF193" s="28">
        <f>COGS!EF193+'SG&amp;A'!EF193</f>
        <v>2.99358155</v>
      </c>
      <c r="EG193" s="28">
        <f>COGS!EG193+'SG&amp;A'!EG193</f>
        <v>0.71761989000000004</v>
      </c>
      <c r="EH193" s="28">
        <f>COGS!EH193+'SG&amp;A'!EH193</f>
        <v>0.43423830999999996</v>
      </c>
      <c r="EI193" s="28">
        <f>COGS!EI193+'SG&amp;A'!EI193</f>
        <v>0.81971875000000005</v>
      </c>
    </row>
    <row r="194" spans="1:139" ht="15" thickTop="1" x14ac:dyDescent="0.3">
      <c r="A194" s="1" t="s">
        <v>308</v>
      </c>
      <c r="B194" s="27">
        <f>COGS!B194+'SG&amp;A'!B194</f>
        <v>0</v>
      </c>
      <c r="C194" s="27">
        <f>COGS!C194+'SG&amp;A'!C194</f>
        <v>0</v>
      </c>
      <c r="D194" s="27">
        <f>COGS!D194+'SG&amp;A'!D194</f>
        <v>0</v>
      </c>
      <c r="E194" s="27">
        <f>COGS!E194+'SG&amp;A'!E194</f>
        <v>0</v>
      </c>
      <c r="F194" s="27">
        <f>COGS!F194+'SG&amp;A'!F194</f>
        <v>0</v>
      </c>
      <c r="G194" s="27">
        <f>COGS!G194+'SG&amp;A'!G194</f>
        <v>0</v>
      </c>
      <c r="H194" s="27">
        <f>COGS!H194+'SG&amp;A'!H194</f>
        <v>0</v>
      </c>
      <c r="I194" s="27">
        <f>COGS!I194+'SG&amp;A'!I194</f>
        <v>0</v>
      </c>
      <c r="J194" s="27">
        <f>COGS!J194+'SG&amp;A'!J194</f>
        <v>0</v>
      </c>
      <c r="K194" s="27">
        <f>COGS!K194+'SG&amp;A'!K194</f>
        <v>0</v>
      </c>
      <c r="L194" s="27">
        <f>COGS!L194+'SG&amp;A'!L194</f>
        <v>0</v>
      </c>
      <c r="M194" s="27">
        <f>COGS!M194+'SG&amp;A'!M194</f>
        <v>0</v>
      </c>
      <c r="N194" s="27">
        <f>COGS!N194+'SG&amp;A'!N194</f>
        <v>0</v>
      </c>
      <c r="O194" s="27">
        <f>COGS!O194+'SG&amp;A'!O194</f>
        <v>0</v>
      </c>
      <c r="P194" s="27">
        <f>COGS!P194+'SG&amp;A'!P194</f>
        <v>0</v>
      </c>
      <c r="Q194" s="27">
        <f>COGS!Q194+'SG&amp;A'!Q194</f>
        <v>0</v>
      </c>
      <c r="R194" s="27">
        <f>COGS!R194+'SG&amp;A'!R194</f>
        <v>0</v>
      </c>
      <c r="S194" s="27">
        <f>COGS!S194+'SG&amp;A'!S194</f>
        <v>0</v>
      </c>
      <c r="T194" s="27">
        <f>COGS!T194+'SG&amp;A'!T194</f>
        <v>0</v>
      </c>
      <c r="U194" s="27">
        <f>COGS!U194+'SG&amp;A'!U194</f>
        <v>0</v>
      </c>
      <c r="V194" s="27">
        <f>COGS!V194+'SG&amp;A'!V194</f>
        <v>0</v>
      </c>
      <c r="W194" s="27">
        <f>COGS!W194+'SG&amp;A'!W194</f>
        <v>0</v>
      </c>
      <c r="X194" s="27">
        <f>COGS!X194+'SG&amp;A'!X194</f>
        <v>0</v>
      </c>
      <c r="Y194" s="27">
        <f>COGS!Y194+'SG&amp;A'!Y194</f>
        <v>0</v>
      </c>
      <c r="Z194" s="27">
        <f>COGS!Z194+'SG&amp;A'!Z194</f>
        <v>0</v>
      </c>
      <c r="AA194" s="27">
        <f>COGS!AA194+'SG&amp;A'!AA194</f>
        <v>0</v>
      </c>
      <c r="AB194" s="27">
        <f>COGS!AB194+'SG&amp;A'!AB194</f>
        <v>0</v>
      </c>
      <c r="AC194" s="27">
        <f>COGS!AC194+'SG&amp;A'!AC194</f>
        <v>0</v>
      </c>
      <c r="AD194" s="27">
        <f>COGS!AD194+'SG&amp;A'!AD194</f>
        <v>0</v>
      </c>
      <c r="AE194" s="27">
        <f>COGS!AE194+'SG&amp;A'!AE194</f>
        <v>0</v>
      </c>
      <c r="AF194" s="27">
        <f>COGS!AF194+'SG&amp;A'!AF194</f>
        <v>0</v>
      </c>
      <c r="AG194" s="27">
        <f>COGS!AG194+'SG&amp;A'!AG194</f>
        <v>0</v>
      </c>
      <c r="AH194" s="27">
        <f>COGS!AH194+'SG&amp;A'!AH194</f>
        <v>0</v>
      </c>
      <c r="AI194" s="27">
        <f>COGS!AI194+'SG&amp;A'!AI194</f>
        <v>0</v>
      </c>
      <c r="AJ194" s="27">
        <f>COGS!AJ194+'SG&amp;A'!AJ194</f>
        <v>0</v>
      </c>
      <c r="AK194" s="27">
        <f>COGS!AK194+'SG&amp;A'!AK194</f>
        <v>0</v>
      </c>
      <c r="AL194" s="27">
        <f>COGS!AL194+'SG&amp;A'!AL194</f>
        <v>0</v>
      </c>
      <c r="AM194" s="27">
        <f>COGS!AM194+'SG&amp;A'!AM194</f>
        <v>0</v>
      </c>
      <c r="AN194" s="27">
        <f>COGS!AN194+'SG&amp;A'!AN194</f>
        <v>0</v>
      </c>
      <c r="AO194" s="27">
        <f>COGS!AO194+'SG&amp;A'!AO194</f>
        <v>0</v>
      </c>
      <c r="AP194" s="27">
        <f>COGS!AP194+'SG&amp;A'!AP194</f>
        <v>0</v>
      </c>
      <c r="AQ194" s="27">
        <f>COGS!AQ194+'SG&amp;A'!AQ194</f>
        <v>0</v>
      </c>
      <c r="AR194" s="27">
        <f>COGS!AR194+'SG&amp;A'!AR194</f>
        <v>0</v>
      </c>
      <c r="AS194" s="27">
        <f>COGS!AS194+'SG&amp;A'!AS194</f>
        <v>0</v>
      </c>
      <c r="AT194" s="27">
        <f>COGS!AT194+'SG&amp;A'!AT194</f>
        <v>0</v>
      </c>
      <c r="AU194" s="27">
        <f>COGS!AU194+'SG&amp;A'!AU194</f>
        <v>0</v>
      </c>
      <c r="AV194" s="27">
        <f>COGS!AV194+'SG&amp;A'!AV194</f>
        <v>0</v>
      </c>
      <c r="AW194" s="27">
        <f>COGS!AW194+'SG&amp;A'!AW194</f>
        <v>0</v>
      </c>
      <c r="AX194" s="27">
        <f>COGS!AX194+'SG&amp;A'!AX194</f>
        <v>0</v>
      </c>
      <c r="AY194" s="27">
        <f>COGS!AY194+'SG&amp;A'!AY194</f>
        <v>0</v>
      </c>
      <c r="AZ194" s="27">
        <f>COGS!AZ194+'SG&amp;A'!AZ194</f>
        <v>0</v>
      </c>
      <c r="BA194" s="27">
        <f>COGS!BA194+'SG&amp;A'!BA194</f>
        <v>0</v>
      </c>
      <c r="BB194" s="27">
        <f>COGS!BB194+'SG&amp;A'!BB194</f>
        <v>0</v>
      </c>
      <c r="BC194" s="27">
        <f>COGS!BC194+'SG&amp;A'!BC194</f>
        <v>0</v>
      </c>
      <c r="BD194" s="27">
        <f>COGS!BD194+'SG&amp;A'!BD194</f>
        <v>0</v>
      </c>
      <c r="BE194" s="27">
        <f>COGS!BE194+'SG&amp;A'!BE194</f>
        <v>0</v>
      </c>
      <c r="BF194" s="27">
        <f>COGS!BF194+'SG&amp;A'!BF194</f>
        <v>0</v>
      </c>
      <c r="BG194" s="27">
        <f>COGS!BG194+'SG&amp;A'!BG194</f>
        <v>0</v>
      </c>
      <c r="BH194" s="27">
        <f>COGS!BH194+'SG&amp;A'!BH194</f>
        <v>0</v>
      </c>
      <c r="BI194" s="27">
        <f>COGS!BI194+'SG&amp;A'!BI194</f>
        <v>0</v>
      </c>
      <c r="BJ194" s="27">
        <f>COGS!BJ194+'SG&amp;A'!BJ194</f>
        <v>-9.3623850000000008E-2</v>
      </c>
      <c r="BK194" s="27">
        <f>COGS!BK194+'SG&amp;A'!BK194</f>
        <v>-0.26102222000000003</v>
      </c>
      <c r="BL194" s="27">
        <f>COGS!BL194+'SG&amp;A'!BL194</f>
        <v>-0.32002411000000008</v>
      </c>
      <c r="BM194" s="27">
        <f>COGS!BM194+'SG&amp;A'!BM194</f>
        <v>-0.33280073999999993</v>
      </c>
      <c r="BN194" s="27">
        <f>COGS!BN194+'SG&amp;A'!BN194</f>
        <v>-1.00747092</v>
      </c>
      <c r="BO194" s="27">
        <f>COGS!BO194+'SG&amp;A'!BO194</f>
        <v>-3.8735647900000005</v>
      </c>
      <c r="BP194" s="27">
        <f>COGS!BP194+'SG&amp;A'!BP194</f>
        <v>1.3723646600000006</v>
      </c>
      <c r="BQ194" s="27">
        <f>COGS!BQ194+'SG&amp;A'!BQ194</f>
        <v>-1.4534839499999999</v>
      </c>
      <c r="BR194" s="27">
        <f>COGS!BR194+'SG&amp;A'!BR194</f>
        <v>-1.0078918800000007</v>
      </c>
      <c r="BS194" s="27">
        <f>COGS!BS194+'SG&amp;A'!BS194</f>
        <v>-4.9625759600000006</v>
      </c>
      <c r="BT194" s="27">
        <f>COGS!BT194+'SG&amp;A'!BT194</f>
        <v>0</v>
      </c>
      <c r="BU194" s="27">
        <f>COGS!BU194+'SG&amp;A'!BU194</f>
        <v>0.10000000000000003</v>
      </c>
      <c r="BV194" s="27">
        <f>COGS!BV194+'SG&amp;A'!BV194</f>
        <v>-0.10000000000000003</v>
      </c>
      <c r="BW194" s="27">
        <f>COGS!BW194+'SG&amp;A'!BW194</f>
        <v>-65.2</v>
      </c>
      <c r="BX194" s="27">
        <f>COGS!BX194+'SG&amp;A'!BX194</f>
        <v>-65.2</v>
      </c>
      <c r="BY194" s="27">
        <f>COGS!BY194+'SG&amp;A'!BY194</f>
        <v>0.10000000000000003</v>
      </c>
      <c r="BZ194" s="27">
        <f>COGS!BZ194+'SG&amp;A'!BZ194</f>
        <v>-0.30000000000000004</v>
      </c>
      <c r="CA194" s="27">
        <f>COGS!CA194+'SG&amp;A'!CA194</f>
        <v>9.9999999999999978E-2</v>
      </c>
      <c r="CB194" s="27">
        <f>COGS!CB194+'SG&amp;A'!CB194</f>
        <v>-9.9999999999999978E-2</v>
      </c>
      <c r="CC194" s="27">
        <f>COGS!CC194+'SG&amp;A'!CC194</f>
        <v>-0.19999999999999996</v>
      </c>
      <c r="CD194" s="27">
        <f>COGS!CD194+'SG&amp;A'!CD194</f>
        <v>-0.12195781999999988</v>
      </c>
      <c r="CE194" s="27">
        <f>COGS!CE194+'SG&amp;A'!CE194</f>
        <v>0.10000000000000009</v>
      </c>
      <c r="CF194" s="27">
        <f>COGS!CF194+'SG&amp;A'!CF194</f>
        <v>0.29999999999999993</v>
      </c>
      <c r="CG194" s="27">
        <f>COGS!CG194+'SG&amp;A'!CG194</f>
        <v>-0.10000000000000003</v>
      </c>
      <c r="CH194" s="27">
        <f>COGS!CH194+'SG&amp;A'!CH194</f>
        <v>0.17804218000000027</v>
      </c>
      <c r="CI194" s="27">
        <f>COGS!CI194+'SG&amp;A'!CI194</f>
        <v>0</v>
      </c>
      <c r="CJ194" s="27">
        <f>COGS!CJ194+'SG&amp;A'!CJ194</f>
        <v>7.0517000000000002E-3</v>
      </c>
      <c r="CK194" s="27">
        <f>COGS!CK194+'SG&amp;A'!CK194</f>
        <v>0</v>
      </c>
      <c r="CL194" s="27">
        <f>COGS!CL194+'SG&amp;A'!CL194</f>
        <v>0.20068309999999898</v>
      </c>
      <c r="CM194" s="27">
        <f>COGS!CM194+'SG&amp;A'!CM194</f>
        <v>0.20773479999999897</v>
      </c>
      <c r="CN194" s="27">
        <f>COGS!CN194+'SG&amp;A'!CN194</f>
        <v>0</v>
      </c>
      <c r="CO194" s="27">
        <f>COGS!CO194+'SG&amp;A'!CO194</f>
        <v>-2.8289950000000001E-2</v>
      </c>
      <c r="CP194" s="27">
        <f>COGS!CP194+'SG&amp;A'!CP194</f>
        <v>0</v>
      </c>
      <c r="CQ194" s="27">
        <f>COGS!CQ194+'SG&amp;A'!CQ194</f>
        <v>2.8289950000000001E-2</v>
      </c>
      <c r="CR194" s="27">
        <f>COGS!CR194+'SG&amp;A'!CR194</f>
        <v>0</v>
      </c>
      <c r="CS194" s="27">
        <f>COGS!CS194+'SG&amp;A'!CS194</f>
        <v>0</v>
      </c>
      <c r="CT194" s="27">
        <f>COGS!CT194+'SG&amp;A'!CT194</f>
        <v>0</v>
      </c>
      <c r="CU194" s="27">
        <f>COGS!CU194+'SG&amp;A'!CU194</f>
        <v>0</v>
      </c>
      <c r="CV194" s="27">
        <f>COGS!CV194+'SG&amp;A'!CV194</f>
        <v>0</v>
      </c>
      <c r="CW194" s="27">
        <f>COGS!CW194+'SG&amp;A'!CW194</f>
        <v>0</v>
      </c>
      <c r="CX194" s="27">
        <f>COGS!CX194+'SG&amp;A'!CX194</f>
        <v>0</v>
      </c>
      <c r="CY194" s="27">
        <f>COGS!CY194+'SG&amp;A'!CY194</f>
        <v>0</v>
      </c>
      <c r="CZ194" s="27">
        <f>COGS!CZ194+'SG&amp;A'!CZ194</f>
        <v>0</v>
      </c>
      <c r="DA194" s="27">
        <f>COGS!DA194+'SG&amp;A'!DA194</f>
        <v>0</v>
      </c>
      <c r="DB194" s="27">
        <f>COGS!DB194+'SG&amp;A'!DB194</f>
        <v>0</v>
      </c>
      <c r="DC194" s="27">
        <f>COGS!DC194+'SG&amp;A'!DC194</f>
        <v>0</v>
      </c>
      <c r="DD194" s="27">
        <f>COGS!DD194+'SG&amp;A'!DD194</f>
        <v>0</v>
      </c>
      <c r="DE194" s="27">
        <f>COGS!DE194+'SG&amp;A'!DE194</f>
        <v>0</v>
      </c>
      <c r="DF194" s="27">
        <f>COGS!DF194+'SG&amp;A'!DF194</f>
        <v>-0.57399999999999995</v>
      </c>
      <c r="DG194" s="27">
        <f>COGS!DG194+'SG&amp;A'!DG194</f>
        <v>-0.57399999999999995</v>
      </c>
      <c r="DH194" s="27">
        <f>COGS!DH194+'SG&amp;A'!DH194</f>
        <v>-4.1999999999999996E-2</v>
      </c>
      <c r="DI194" s="27">
        <f>COGS!DI194+'SG&amp;A'!DI194</f>
        <v>-4.0000000000000001E-3</v>
      </c>
      <c r="DJ194" s="27">
        <f>COGS!DJ194+'SG&amp;A'!DJ194</f>
        <v>0</v>
      </c>
      <c r="DK194" s="27">
        <f>COGS!DK194+'SG&amp;A'!DK194</f>
        <v>24.63</v>
      </c>
      <c r="DL194" s="27">
        <f>COGS!DL194+'SG&amp;A'!DL194</f>
        <v>24.584</v>
      </c>
      <c r="DM194" s="27">
        <f>COGS!DM194+'SG&amp;A'!DM194</f>
        <v>0</v>
      </c>
      <c r="DN194" s="27">
        <f>COGS!DN194+'SG&amp;A'!DN194</f>
        <v>0</v>
      </c>
      <c r="DO194" s="27">
        <f>COGS!DO194+'SG&amp;A'!DO194</f>
        <v>0</v>
      </c>
      <c r="DP194" s="27">
        <f>COGS!DP194+'SG&amp;A'!DP194</f>
        <v>0</v>
      </c>
      <c r="DQ194" s="27">
        <f>COGS!DQ194+'SG&amp;A'!DQ194</f>
        <v>0</v>
      </c>
      <c r="DR194" s="27">
        <f>COGS!DR194+'SG&amp;A'!DR194</f>
        <v>0</v>
      </c>
      <c r="DS194" s="27">
        <f>COGS!DS194+'SG&amp;A'!DS194</f>
        <v>0</v>
      </c>
      <c r="DT194" s="27">
        <f>COGS!DT194+'SG&amp;A'!DT194</f>
        <v>0</v>
      </c>
      <c r="DU194" s="27">
        <f>COGS!DU194+'SG&amp;A'!DU194</f>
        <v>0</v>
      </c>
      <c r="DV194" s="27">
        <f>COGS!DV194+'SG&amp;A'!DV194</f>
        <v>0</v>
      </c>
      <c r="DW194" s="27">
        <f>COGS!DW194+'SG&amp;A'!DW194</f>
        <v>0</v>
      </c>
      <c r="DX194" s="27">
        <f>COGS!DX194+'SG&amp;A'!DX194</f>
        <v>0</v>
      </c>
      <c r="DY194" s="27">
        <f>COGS!DY194+'SG&amp;A'!DY194</f>
        <v>0</v>
      </c>
      <c r="DZ194" s="27">
        <f>COGS!DZ194+'SG&amp;A'!DZ194</f>
        <v>0</v>
      </c>
      <c r="EA194" s="27">
        <f>COGS!EA194+'SG&amp;A'!EA194</f>
        <v>0</v>
      </c>
      <c r="EB194" s="27">
        <f>COGS!EB194+'SG&amp;A'!EB194</f>
        <v>0</v>
      </c>
      <c r="EC194" s="27">
        <f>COGS!EC194+'SG&amp;A'!EC194</f>
        <v>0</v>
      </c>
      <c r="ED194" s="27">
        <f>COGS!ED194+'SG&amp;A'!ED194</f>
        <v>0</v>
      </c>
      <c r="EE194" s="27">
        <f>COGS!EE194+'SG&amp;A'!EE194</f>
        <v>0</v>
      </c>
      <c r="EF194" s="27">
        <f>COGS!EF194+'SG&amp;A'!EF194</f>
        <v>0</v>
      </c>
      <c r="EG194" s="27">
        <f>COGS!EG194+'SG&amp;A'!EG194</f>
        <v>0</v>
      </c>
      <c r="EH194" s="27">
        <f>COGS!EH194+'SG&amp;A'!EH194</f>
        <v>0</v>
      </c>
      <c r="EI194" s="27">
        <f>COGS!EI194+'SG&amp;A'!EI194</f>
        <v>0</v>
      </c>
    </row>
    <row r="195" spans="1:139" x14ac:dyDescent="0.3">
      <c r="A195" s="5" t="s">
        <v>311</v>
      </c>
      <c r="B195" s="10">
        <f>SUM(B172:B194)</f>
        <v>0</v>
      </c>
      <c r="C195" s="10">
        <f t="shared" ref="C195:BN195" si="24">SUM(C172:C194)</f>
        <v>0</v>
      </c>
      <c r="D195" s="10">
        <f t="shared" si="24"/>
        <v>0</v>
      </c>
      <c r="E195" s="10">
        <f t="shared" si="24"/>
        <v>0</v>
      </c>
      <c r="F195" s="10">
        <f t="shared" si="24"/>
        <v>0</v>
      </c>
      <c r="G195" s="10">
        <f t="shared" si="24"/>
        <v>0</v>
      </c>
      <c r="H195" s="10">
        <f t="shared" si="24"/>
        <v>0</v>
      </c>
      <c r="I195" s="10">
        <f t="shared" si="24"/>
        <v>0</v>
      </c>
      <c r="J195" s="10">
        <f t="shared" si="24"/>
        <v>0</v>
      </c>
      <c r="K195" s="10">
        <f t="shared" si="24"/>
        <v>0</v>
      </c>
      <c r="L195" s="10">
        <f t="shared" si="24"/>
        <v>0</v>
      </c>
      <c r="M195" s="10">
        <f t="shared" si="24"/>
        <v>0</v>
      </c>
      <c r="N195" s="10">
        <f t="shared" si="24"/>
        <v>0</v>
      </c>
      <c r="O195" s="10">
        <f t="shared" si="24"/>
        <v>0</v>
      </c>
      <c r="P195" s="10">
        <f t="shared" si="24"/>
        <v>0</v>
      </c>
      <c r="Q195" s="10">
        <f t="shared" si="24"/>
        <v>0</v>
      </c>
      <c r="R195" s="10">
        <f t="shared" si="24"/>
        <v>0</v>
      </c>
      <c r="S195" s="10">
        <f t="shared" si="24"/>
        <v>0</v>
      </c>
      <c r="T195" s="10">
        <f t="shared" si="24"/>
        <v>0</v>
      </c>
      <c r="U195" s="10">
        <f t="shared" si="24"/>
        <v>0</v>
      </c>
      <c r="V195" s="10">
        <f t="shared" si="24"/>
        <v>0</v>
      </c>
      <c r="W195" s="10">
        <f t="shared" si="24"/>
        <v>0</v>
      </c>
      <c r="X195" s="10">
        <f t="shared" si="24"/>
        <v>0</v>
      </c>
      <c r="Y195" s="10">
        <f t="shared" si="24"/>
        <v>0</v>
      </c>
      <c r="Z195" s="10">
        <f t="shared" si="24"/>
        <v>0</v>
      </c>
      <c r="AA195" s="10">
        <f t="shared" si="24"/>
        <v>0</v>
      </c>
      <c r="AB195" s="10">
        <f t="shared" si="24"/>
        <v>0</v>
      </c>
      <c r="AC195" s="10">
        <f t="shared" si="24"/>
        <v>0</v>
      </c>
      <c r="AD195" s="10">
        <f t="shared" si="24"/>
        <v>0</v>
      </c>
      <c r="AE195" s="10">
        <f t="shared" si="24"/>
        <v>0</v>
      </c>
      <c r="AF195" s="10">
        <f t="shared" si="24"/>
        <v>0</v>
      </c>
      <c r="AG195" s="10">
        <f t="shared" si="24"/>
        <v>0</v>
      </c>
      <c r="AH195" s="10">
        <f t="shared" si="24"/>
        <v>0</v>
      </c>
      <c r="AI195" s="10">
        <f t="shared" si="24"/>
        <v>0</v>
      </c>
      <c r="AJ195" s="10">
        <f t="shared" si="24"/>
        <v>0</v>
      </c>
      <c r="AK195" s="10">
        <f t="shared" si="24"/>
        <v>0</v>
      </c>
      <c r="AL195" s="10">
        <f t="shared" si="24"/>
        <v>0</v>
      </c>
      <c r="AM195" s="10">
        <f t="shared" si="24"/>
        <v>0</v>
      </c>
      <c r="AN195" s="10">
        <f t="shared" si="24"/>
        <v>0</v>
      </c>
      <c r="AO195" s="10">
        <f t="shared" si="24"/>
        <v>0</v>
      </c>
      <c r="AP195" s="10">
        <f t="shared" si="24"/>
        <v>0</v>
      </c>
      <c r="AQ195" s="10">
        <f t="shared" si="24"/>
        <v>0</v>
      </c>
      <c r="AR195" s="10">
        <f t="shared" si="24"/>
        <v>0</v>
      </c>
      <c r="AS195" s="10">
        <f t="shared" si="24"/>
        <v>0</v>
      </c>
      <c r="AT195" s="10">
        <f t="shared" si="24"/>
        <v>0</v>
      </c>
      <c r="AU195" s="10">
        <f t="shared" si="24"/>
        <v>0</v>
      </c>
      <c r="AV195" s="10">
        <f t="shared" si="24"/>
        <v>0</v>
      </c>
      <c r="AW195" s="10">
        <f t="shared" si="24"/>
        <v>0</v>
      </c>
      <c r="AX195" s="10">
        <f t="shared" si="24"/>
        <v>0</v>
      </c>
      <c r="AY195" s="10">
        <f t="shared" si="24"/>
        <v>0</v>
      </c>
      <c r="AZ195" s="10">
        <f t="shared" si="24"/>
        <v>0</v>
      </c>
      <c r="BA195" s="10">
        <f t="shared" si="24"/>
        <v>0</v>
      </c>
      <c r="BB195" s="10">
        <f t="shared" si="24"/>
        <v>0</v>
      </c>
      <c r="BC195" s="10">
        <f t="shared" si="24"/>
        <v>0</v>
      </c>
      <c r="BD195" s="10">
        <f t="shared" si="24"/>
        <v>0</v>
      </c>
      <c r="BE195" s="10">
        <f t="shared" si="24"/>
        <v>0</v>
      </c>
      <c r="BF195" s="10">
        <f t="shared" si="24"/>
        <v>0</v>
      </c>
      <c r="BG195" s="10">
        <f t="shared" si="24"/>
        <v>0</v>
      </c>
      <c r="BH195" s="10">
        <f t="shared" si="24"/>
        <v>0</v>
      </c>
      <c r="BI195" s="10">
        <f t="shared" si="24"/>
        <v>0</v>
      </c>
      <c r="BJ195" s="29">
        <f t="shared" si="24"/>
        <v>14.45840613</v>
      </c>
      <c r="BK195" s="29">
        <f t="shared" si="24"/>
        <v>13.9810604</v>
      </c>
      <c r="BL195" s="29">
        <f t="shared" si="24"/>
        <v>17.781446920000004</v>
      </c>
      <c r="BM195" s="29">
        <f t="shared" si="24"/>
        <v>17.173366400000003</v>
      </c>
      <c r="BN195" s="29">
        <f t="shared" si="24"/>
        <v>63.394279850000004</v>
      </c>
      <c r="BO195" s="29">
        <f t="shared" ref="BO195:DT195" si="25">SUM(BO172:BO194)</f>
        <v>29.874958369999998</v>
      </c>
      <c r="BP195" s="29">
        <f t="shared" si="25"/>
        <v>3.9783827699999987</v>
      </c>
      <c r="BQ195" s="29">
        <f t="shared" si="25"/>
        <v>20.41838319</v>
      </c>
      <c r="BR195" s="29">
        <f t="shared" si="25"/>
        <v>16.186653010000001</v>
      </c>
      <c r="BS195" s="29">
        <f t="shared" si="25"/>
        <v>70.458377339999998</v>
      </c>
      <c r="BT195" s="29">
        <f t="shared" si="25"/>
        <v>12.9018453</v>
      </c>
      <c r="BU195" s="29">
        <f t="shared" si="25"/>
        <v>14.417704709999999</v>
      </c>
      <c r="BV195" s="29">
        <f t="shared" si="25"/>
        <v>18.810579909999998</v>
      </c>
      <c r="BW195" s="29">
        <f t="shared" si="25"/>
        <v>22.014681630000013</v>
      </c>
      <c r="BX195" s="29">
        <f t="shared" si="25"/>
        <v>68.144811550000028</v>
      </c>
      <c r="BY195" s="29">
        <f t="shared" si="25"/>
        <v>25.019555949999997</v>
      </c>
      <c r="BZ195" s="29">
        <f t="shared" si="25"/>
        <v>8.6725456500000018</v>
      </c>
      <c r="CA195" s="29">
        <f t="shared" si="25"/>
        <v>17.247351269999999</v>
      </c>
      <c r="CB195" s="29">
        <f t="shared" si="25"/>
        <v>23.014440520000001</v>
      </c>
      <c r="CC195" s="29">
        <f t="shared" si="25"/>
        <v>73.953893390000005</v>
      </c>
      <c r="CD195" s="29">
        <f t="shared" si="25"/>
        <v>17.345850270000003</v>
      </c>
      <c r="CE195" s="29">
        <f t="shared" si="25"/>
        <v>18.696737940000006</v>
      </c>
      <c r="CF195" s="29">
        <f t="shared" si="25"/>
        <v>18.090911810000001</v>
      </c>
      <c r="CG195" s="29">
        <f t="shared" si="25"/>
        <v>24.717406070000003</v>
      </c>
      <c r="CH195" s="29">
        <f t="shared" si="25"/>
        <v>78.850906090000009</v>
      </c>
      <c r="CI195" s="29">
        <f t="shared" si="25"/>
        <v>17.784837270000001</v>
      </c>
      <c r="CJ195" s="29">
        <f t="shared" si="25"/>
        <v>21.867623330000001</v>
      </c>
      <c r="CK195" s="29">
        <f t="shared" si="25"/>
        <v>21.371592189999994</v>
      </c>
      <c r="CL195" s="29">
        <f t="shared" si="25"/>
        <v>17.664934760000001</v>
      </c>
      <c r="CM195" s="29">
        <f t="shared" si="25"/>
        <v>78.688987549999993</v>
      </c>
      <c r="CN195" s="29">
        <f t="shared" si="25"/>
        <v>19.687608439999998</v>
      </c>
      <c r="CO195" s="29">
        <f t="shared" si="25"/>
        <v>20.138655749999998</v>
      </c>
      <c r="CP195" s="29">
        <f t="shared" si="25"/>
        <v>18.011002210000001</v>
      </c>
      <c r="CQ195" s="29">
        <f t="shared" si="25"/>
        <v>11.861733599999999</v>
      </c>
      <c r="CR195" s="29">
        <f t="shared" si="25"/>
        <v>69.698999999999998</v>
      </c>
      <c r="CS195" s="29">
        <f t="shared" si="25"/>
        <v>14.056560920000003</v>
      </c>
      <c r="CT195" s="29">
        <f t="shared" si="25"/>
        <v>13.566222000000002</v>
      </c>
      <c r="CU195" s="29">
        <f t="shared" si="25"/>
        <v>12.658355089999999</v>
      </c>
      <c r="CV195" s="29">
        <f t="shared" si="25"/>
        <v>15.516051600000001</v>
      </c>
      <c r="CW195" s="29">
        <f t="shared" si="25"/>
        <v>55.797189609999997</v>
      </c>
      <c r="CX195" s="29">
        <f t="shared" si="25"/>
        <v>14.678000000000001</v>
      </c>
      <c r="CY195" s="29">
        <f t="shared" si="25"/>
        <v>17.251000000000005</v>
      </c>
      <c r="CZ195" s="29">
        <f t="shared" si="25"/>
        <v>16.559100000000001</v>
      </c>
      <c r="DA195" s="29">
        <f t="shared" si="25"/>
        <v>18.191000000000003</v>
      </c>
      <c r="DB195" s="29">
        <f t="shared" si="25"/>
        <v>66.679099999999991</v>
      </c>
      <c r="DC195" s="29">
        <f t="shared" si="25"/>
        <v>19.125</v>
      </c>
      <c r="DD195" s="29">
        <f t="shared" si="25"/>
        <v>21.101599999999998</v>
      </c>
      <c r="DE195" s="29">
        <f t="shared" si="25"/>
        <v>24.720000000000002</v>
      </c>
      <c r="DF195" s="29">
        <f t="shared" si="25"/>
        <v>35.867000000000004</v>
      </c>
      <c r="DG195" s="29">
        <f t="shared" si="25"/>
        <v>100.81360000000002</v>
      </c>
      <c r="DH195" s="29">
        <f t="shared" si="25"/>
        <v>23.593</v>
      </c>
      <c r="DI195" s="29">
        <f t="shared" si="25"/>
        <v>20.996999999999993</v>
      </c>
      <c r="DJ195" s="29">
        <f t="shared" si="25"/>
        <v>24.413999999999998</v>
      </c>
      <c r="DK195" s="29">
        <f t="shared" si="25"/>
        <v>115.71199999999999</v>
      </c>
      <c r="DL195" s="29">
        <f t="shared" si="25"/>
        <v>184.71600000000001</v>
      </c>
      <c r="DM195" s="29">
        <f t="shared" si="25"/>
        <v>24.361999999999998</v>
      </c>
      <c r="DN195" s="29">
        <f t="shared" si="25"/>
        <v>40.758999999999993</v>
      </c>
      <c r="DO195" s="29">
        <f t="shared" si="25"/>
        <v>39.442</v>
      </c>
      <c r="DP195" s="29">
        <f t="shared" si="25"/>
        <v>30.876000000000001</v>
      </c>
      <c r="DQ195" s="29">
        <f t="shared" si="25"/>
        <v>135.43900000000002</v>
      </c>
      <c r="DR195" s="29">
        <f t="shared" si="25"/>
        <v>33.945999999999998</v>
      </c>
      <c r="DS195" s="29">
        <f t="shared" si="25"/>
        <v>35.433000000000014</v>
      </c>
      <c r="DT195" s="29">
        <f t="shared" si="25"/>
        <v>41.830000000000013</v>
      </c>
      <c r="DU195" s="29">
        <f t="shared" ref="DU195:EA195" si="26">SUM(DU172:DU194)</f>
        <v>42.309999999999988</v>
      </c>
      <c r="DV195" s="29">
        <f t="shared" si="26"/>
        <v>153.51900000000001</v>
      </c>
      <c r="DW195" s="29">
        <f t="shared" si="26"/>
        <v>47.991499999999995</v>
      </c>
      <c r="DX195" s="29">
        <f t="shared" si="26"/>
        <v>39.732634790000006</v>
      </c>
      <c r="DY195" s="29">
        <f t="shared" si="26"/>
        <v>52.546301209999996</v>
      </c>
      <c r="DZ195" s="29">
        <f t="shared" si="26"/>
        <v>45.614716310000006</v>
      </c>
      <c r="EA195" s="29">
        <f t="shared" si="26"/>
        <v>185.88515230999997</v>
      </c>
      <c r="EB195" s="29">
        <f>SUM(EB172:EB194)</f>
        <v>53.092450769999985</v>
      </c>
      <c r="EC195" s="29">
        <f>SUM(EC172:EC194)</f>
        <v>52.435293080000008</v>
      </c>
      <c r="ED195" s="29">
        <f>SUM(ED172:ED194)</f>
        <v>45.023000000000003</v>
      </c>
      <c r="EE195" s="29">
        <f>SUM(EE172:EE194)</f>
        <v>75.835498789999988</v>
      </c>
      <c r="EF195" s="29">
        <f t="shared" ref="EF195" si="27">SUM(EF172:EF194)</f>
        <v>226.38624263999998</v>
      </c>
      <c r="EG195" s="29">
        <f>SUM(EG172:EG194)</f>
        <v>43.926830169999995</v>
      </c>
      <c r="EH195" s="29">
        <f>SUM(EH172:EH194)</f>
        <v>46.922873289999998</v>
      </c>
      <c r="EI195" s="29">
        <f>SUM(EI172:EI194)</f>
        <v>64.927827989999997</v>
      </c>
    </row>
    <row r="198" spans="1:139" x14ac:dyDescent="0.3">
      <c r="A198" s="3" t="s">
        <v>334</v>
      </c>
      <c r="B198" s="6" t="s">
        <v>4</v>
      </c>
      <c r="C198" s="6" t="s">
        <v>5</v>
      </c>
      <c r="D198" s="6" t="s">
        <v>6</v>
      </c>
      <c r="E198" s="6" t="s">
        <v>7</v>
      </c>
      <c r="F198" s="6">
        <v>2018</v>
      </c>
      <c r="G198" s="6" t="s">
        <v>8</v>
      </c>
      <c r="H198" s="6" t="s">
        <v>9</v>
      </c>
      <c r="I198" s="6" t="s">
        <v>10</v>
      </c>
      <c r="J198" s="6" t="s">
        <v>11</v>
      </c>
      <c r="K198" s="6">
        <v>2019</v>
      </c>
      <c r="L198" s="6" t="s">
        <v>12</v>
      </c>
      <c r="M198" s="6" t="s">
        <v>13</v>
      </c>
      <c r="N198" s="6" t="s">
        <v>14</v>
      </c>
      <c r="O198" s="6" t="s">
        <v>15</v>
      </c>
      <c r="P198" s="6">
        <v>2000</v>
      </c>
      <c r="Q198" s="6" t="s">
        <v>16</v>
      </c>
      <c r="R198" s="6" t="s">
        <v>17</v>
      </c>
      <c r="S198" s="6" t="s">
        <v>18</v>
      </c>
      <c r="T198" s="6" t="s">
        <v>19</v>
      </c>
      <c r="U198" s="6">
        <v>2001</v>
      </c>
      <c r="V198" s="6" t="s">
        <v>20</v>
      </c>
      <c r="W198" s="6" t="s">
        <v>21</v>
      </c>
      <c r="X198" s="6" t="s">
        <v>22</v>
      </c>
      <c r="Y198" s="6" t="s">
        <v>23</v>
      </c>
      <c r="Z198" s="6">
        <v>2002</v>
      </c>
      <c r="AA198" s="6" t="s">
        <v>24</v>
      </c>
      <c r="AB198" s="6" t="s">
        <v>25</v>
      </c>
      <c r="AC198" s="6" t="s">
        <v>26</v>
      </c>
      <c r="AD198" s="6" t="s">
        <v>27</v>
      </c>
      <c r="AE198" s="6">
        <v>2003</v>
      </c>
      <c r="AF198" s="6" t="s">
        <v>28</v>
      </c>
      <c r="AG198" s="6" t="s">
        <v>29</v>
      </c>
      <c r="AH198" s="6" t="s">
        <v>30</v>
      </c>
      <c r="AI198" s="6" t="s">
        <v>31</v>
      </c>
      <c r="AJ198" s="6">
        <v>2004</v>
      </c>
      <c r="AK198" s="6" t="s">
        <v>32</v>
      </c>
      <c r="AL198" s="6" t="s">
        <v>33</v>
      </c>
      <c r="AM198" s="6" t="s">
        <v>34</v>
      </c>
      <c r="AN198" s="6" t="s">
        <v>35</v>
      </c>
      <c r="AO198" s="6">
        <v>2005</v>
      </c>
      <c r="AP198" s="6" t="s">
        <v>36</v>
      </c>
      <c r="AQ198" s="6" t="s">
        <v>37</v>
      </c>
      <c r="AR198" s="6" t="s">
        <v>38</v>
      </c>
      <c r="AS198" s="6" t="s">
        <v>39</v>
      </c>
      <c r="AT198" s="6">
        <v>2006</v>
      </c>
      <c r="AU198" s="6" t="s">
        <v>40</v>
      </c>
      <c r="AV198" s="6" t="s">
        <v>41</v>
      </c>
      <c r="AW198" s="6" t="s">
        <v>42</v>
      </c>
      <c r="AX198" s="6" t="s">
        <v>43</v>
      </c>
      <c r="AY198" s="6">
        <v>2007</v>
      </c>
      <c r="AZ198" s="6" t="s">
        <v>44</v>
      </c>
      <c r="BA198" s="6" t="s">
        <v>45</v>
      </c>
      <c r="BB198" s="6" t="s">
        <v>46</v>
      </c>
      <c r="BC198" s="6" t="s">
        <v>47</v>
      </c>
      <c r="BD198" s="6">
        <v>2008</v>
      </c>
      <c r="BE198" s="6" t="s">
        <v>48</v>
      </c>
      <c r="BF198" s="6" t="s">
        <v>49</v>
      </c>
      <c r="BG198" s="6" t="s">
        <v>50</v>
      </c>
      <c r="BH198" s="6" t="s">
        <v>51</v>
      </c>
      <c r="BI198" s="6">
        <v>2009</v>
      </c>
      <c r="BJ198" s="6" t="s">
        <v>52</v>
      </c>
      <c r="BK198" s="6" t="s">
        <v>53</v>
      </c>
      <c r="BL198" s="6" t="s">
        <v>54</v>
      </c>
      <c r="BM198" s="6" t="s">
        <v>55</v>
      </c>
      <c r="BN198" s="6">
        <v>2010</v>
      </c>
      <c r="BO198" s="6" t="s">
        <v>56</v>
      </c>
      <c r="BP198" s="6" t="s">
        <v>57</v>
      </c>
      <c r="BQ198" s="6" t="s">
        <v>58</v>
      </c>
      <c r="BR198" s="6" t="s">
        <v>59</v>
      </c>
      <c r="BS198" s="6">
        <v>2011</v>
      </c>
      <c r="BT198" s="6" t="s">
        <v>60</v>
      </c>
      <c r="BU198" s="6" t="s">
        <v>61</v>
      </c>
      <c r="BV198" s="6" t="s">
        <v>62</v>
      </c>
      <c r="BW198" s="6" t="s">
        <v>63</v>
      </c>
      <c r="BX198" s="6">
        <v>2012</v>
      </c>
      <c r="BY198" s="6" t="s">
        <v>64</v>
      </c>
      <c r="BZ198" s="6" t="s">
        <v>65</v>
      </c>
      <c r="CA198" s="6" t="s">
        <v>66</v>
      </c>
      <c r="CB198" s="6" t="s">
        <v>67</v>
      </c>
      <c r="CC198" s="6">
        <v>2013</v>
      </c>
      <c r="CD198" s="6" t="s">
        <v>68</v>
      </c>
      <c r="CE198" s="6" t="s">
        <v>69</v>
      </c>
      <c r="CF198" s="6" t="s">
        <v>70</v>
      </c>
      <c r="CG198" s="6" t="s">
        <v>71</v>
      </c>
      <c r="CH198" s="6">
        <v>2014</v>
      </c>
      <c r="CI198" s="6" t="s">
        <v>72</v>
      </c>
      <c r="CJ198" s="6" t="s">
        <v>73</v>
      </c>
      <c r="CK198" s="6" t="s">
        <v>74</v>
      </c>
      <c r="CL198" s="6" t="s">
        <v>75</v>
      </c>
      <c r="CM198" s="6">
        <v>2015</v>
      </c>
      <c r="CN198" s="6" t="s">
        <v>76</v>
      </c>
      <c r="CO198" s="6" t="s">
        <v>77</v>
      </c>
      <c r="CP198" s="6" t="s">
        <v>78</v>
      </c>
      <c r="CQ198" s="6" t="s">
        <v>79</v>
      </c>
      <c r="CR198" s="6">
        <v>2016</v>
      </c>
      <c r="CS198" s="6" t="s">
        <v>80</v>
      </c>
      <c r="CT198" s="6" t="s">
        <v>81</v>
      </c>
      <c r="CU198" s="6" t="s">
        <v>82</v>
      </c>
      <c r="CV198" s="6" t="s">
        <v>83</v>
      </c>
      <c r="CW198" s="6">
        <v>2017</v>
      </c>
      <c r="CX198" s="6" t="s">
        <v>84</v>
      </c>
      <c r="CY198" s="6" t="s">
        <v>85</v>
      </c>
      <c r="CZ198" s="6" t="s">
        <v>86</v>
      </c>
      <c r="DA198" s="6" t="s">
        <v>87</v>
      </c>
      <c r="DB198" s="6">
        <v>2018</v>
      </c>
      <c r="DC198" s="6" t="s">
        <v>88</v>
      </c>
      <c r="DD198" s="6" t="s">
        <v>89</v>
      </c>
      <c r="DE198" s="6" t="s">
        <v>90</v>
      </c>
      <c r="DF198" s="6" t="s">
        <v>91</v>
      </c>
      <c r="DG198" s="6">
        <v>2019</v>
      </c>
      <c r="DH198" s="6" t="s">
        <v>92</v>
      </c>
      <c r="DI198" s="6" t="s">
        <v>93</v>
      </c>
      <c r="DJ198" s="6" t="s">
        <v>94</v>
      </c>
      <c r="DK198" s="6" t="s">
        <v>95</v>
      </c>
      <c r="DL198" s="6">
        <v>2020</v>
      </c>
      <c r="DM198" s="6" t="s">
        <v>96</v>
      </c>
      <c r="DN198" s="6" t="s">
        <v>97</v>
      </c>
      <c r="DO198" s="6" t="s">
        <v>98</v>
      </c>
      <c r="DP198" s="6" t="s">
        <v>99</v>
      </c>
      <c r="DQ198" s="6">
        <v>2021</v>
      </c>
      <c r="DR198" s="6" t="s">
        <v>100</v>
      </c>
      <c r="DS198" s="6" t="s">
        <v>101</v>
      </c>
      <c r="DT198" s="6" t="s">
        <v>200</v>
      </c>
      <c r="DU198" s="6" t="s">
        <v>380</v>
      </c>
      <c r="DV198" s="6">
        <v>2022</v>
      </c>
      <c r="DW198" s="6" t="s">
        <v>379</v>
      </c>
      <c r="DX198" s="6" t="s">
        <v>402</v>
      </c>
      <c r="DY198" s="6" t="s">
        <v>414</v>
      </c>
      <c r="DZ198" s="6" t="s">
        <v>419</v>
      </c>
      <c r="EA198" s="6">
        <v>2023</v>
      </c>
      <c r="EB198" s="6" t="s">
        <v>424</v>
      </c>
      <c r="EC198" s="6" t="s">
        <v>429</v>
      </c>
      <c r="ED198" s="6" t="str">
        <f>$ED$1</f>
        <v>3T24</v>
      </c>
      <c r="EE198" s="6" t="str">
        <f>$EE$1</f>
        <v>4T24</v>
      </c>
      <c r="EF198" s="6">
        <f>$EF$1</f>
        <v>2024</v>
      </c>
      <c r="EG198" s="6" t="str">
        <f>EG$1</f>
        <v>1T25</v>
      </c>
      <c r="EH198" s="6" t="str">
        <f>EH$1</f>
        <v>2T25</v>
      </c>
      <c r="EI198" s="6" t="str">
        <f>EI$1</f>
        <v>3T25</v>
      </c>
    </row>
    <row r="199" spans="1:139" ht="15" thickBot="1" x14ac:dyDescent="0.35">
      <c r="A199" s="4" t="s">
        <v>335</v>
      </c>
      <c r="B199" s="7" t="s">
        <v>102</v>
      </c>
      <c r="C199" s="7" t="s">
        <v>103</v>
      </c>
      <c r="D199" s="7" t="s">
        <v>104</v>
      </c>
      <c r="E199" s="7" t="s">
        <v>105</v>
      </c>
      <c r="F199" s="7">
        <v>2018</v>
      </c>
      <c r="G199" s="7" t="s">
        <v>106</v>
      </c>
      <c r="H199" s="7" t="s">
        <v>107</v>
      </c>
      <c r="I199" s="7" t="s">
        <v>108</v>
      </c>
      <c r="J199" s="7" t="s">
        <v>109</v>
      </c>
      <c r="K199" s="7">
        <v>2019</v>
      </c>
      <c r="L199" s="7" t="s">
        <v>110</v>
      </c>
      <c r="M199" s="7" t="s">
        <v>111</v>
      </c>
      <c r="N199" s="7" t="s">
        <v>112</v>
      </c>
      <c r="O199" s="7" t="s">
        <v>113</v>
      </c>
      <c r="P199" s="7">
        <v>2000</v>
      </c>
      <c r="Q199" s="7" t="s">
        <v>114</v>
      </c>
      <c r="R199" s="7" t="s">
        <v>115</v>
      </c>
      <c r="S199" s="7" t="s">
        <v>116</v>
      </c>
      <c r="T199" s="7" t="s">
        <v>117</v>
      </c>
      <c r="U199" s="7">
        <v>2001</v>
      </c>
      <c r="V199" s="7" t="s">
        <v>118</v>
      </c>
      <c r="W199" s="7" t="s">
        <v>119</v>
      </c>
      <c r="X199" s="7" t="s">
        <v>120</v>
      </c>
      <c r="Y199" s="7" t="s">
        <v>121</v>
      </c>
      <c r="Z199" s="7">
        <v>2002</v>
      </c>
      <c r="AA199" s="7" t="s">
        <v>122</v>
      </c>
      <c r="AB199" s="7" t="s">
        <v>123</v>
      </c>
      <c r="AC199" s="7" t="s">
        <v>124</v>
      </c>
      <c r="AD199" s="7" t="s">
        <v>125</v>
      </c>
      <c r="AE199" s="7">
        <v>2003</v>
      </c>
      <c r="AF199" s="7" t="s">
        <v>126</v>
      </c>
      <c r="AG199" s="7" t="s">
        <v>127</v>
      </c>
      <c r="AH199" s="7" t="s">
        <v>128</v>
      </c>
      <c r="AI199" s="7" t="s">
        <v>129</v>
      </c>
      <c r="AJ199" s="7">
        <v>2004</v>
      </c>
      <c r="AK199" s="7" t="s">
        <v>130</v>
      </c>
      <c r="AL199" s="7" t="s">
        <v>131</v>
      </c>
      <c r="AM199" s="7" t="s">
        <v>132</v>
      </c>
      <c r="AN199" s="7" t="s">
        <v>133</v>
      </c>
      <c r="AO199" s="7">
        <v>2005</v>
      </c>
      <c r="AP199" s="7" t="s">
        <v>134</v>
      </c>
      <c r="AQ199" s="7" t="s">
        <v>135</v>
      </c>
      <c r="AR199" s="7" t="s">
        <v>136</v>
      </c>
      <c r="AS199" s="7" t="s">
        <v>137</v>
      </c>
      <c r="AT199" s="7">
        <v>2006</v>
      </c>
      <c r="AU199" s="7" t="s">
        <v>138</v>
      </c>
      <c r="AV199" s="7" t="s">
        <v>139</v>
      </c>
      <c r="AW199" s="7" t="s">
        <v>140</v>
      </c>
      <c r="AX199" s="7" t="s">
        <v>141</v>
      </c>
      <c r="AY199" s="7">
        <v>2007</v>
      </c>
      <c r="AZ199" s="7" t="s">
        <v>142</v>
      </c>
      <c r="BA199" s="7" t="s">
        <v>143</v>
      </c>
      <c r="BB199" s="7" t="s">
        <v>144</v>
      </c>
      <c r="BC199" s="7" t="s">
        <v>145</v>
      </c>
      <c r="BD199" s="7">
        <v>2008</v>
      </c>
      <c r="BE199" s="7" t="s">
        <v>146</v>
      </c>
      <c r="BF199" s="7" t="s">
        <v>147</v>
      </c>
      <c r="BG199" s="7" t="s">
        <v>148</v>
      </c>
      <c r="BH199" s="7" t="s">
        <v>149</v>
      </c>
      <c r="BI199" s="7">
        <v>2009</v>
      </c>
      <c r="BJ199" s="7" t="s">
        <v>150</v>
      </c>
      <c r="BK199" s="7" t="s">
        <v>151</v>
      </c>
      <c r="BL199" s="7" t="s">
        <v>152</v>
      </c>
      <c r="BM199" s="7" t="s">
        <v>153</v>
      </c>
      <c r="BN199" s="7">
        <v>2010</v>
      </c>
      <c r="BO199" s="7" t="s">
        <v>154</v>
      </c>
      <c r="BP199" s="7" t="s">
        <v>155</v>
      </c>
      <c r="BQ199" s="7" t="s">
        <v>156</v>
      </c>
      <c r="BR199" s="7" t="s">
        <v>157</v>
      </c>
      <c r="BS199" s="7">
        <v>2011</v>
      </c>
      <c r="BT199" s="7" t="s">
        <v>158</v>
      </c>
      <c r="BU199" s="7" t="s">
        <v>159</v>
      </c>
      <c r="BV199" s="7" t="s">
        <v>160</v>
      </c>
      <c r="BW199" s="7" t="s">
        <v>161</v>
      </c>
      <c r="BX199" s="7">
        <v>2012</v>
      </c>
      <c r="BY199" s="7" t="s">
        <v>162</v>
      </c>
      <c r="BZ199" s="7" t="s">
        <v>163</v>
      </c>
      <c r="CA199" s="7" t="s">
        <v>164</v>
      </c>
      <c r="CB199" s="7" t="s">
        <v>165</v>
      </c>
      <c r="CC199" s="7">
        <v>2013</v>
      </c>
      <c r="CD199" s="7" t="s">
        <v>166</v>
      </c>
      <c r="CE199" s="7" t="s">
        <v>167</v>
      </c>
      <c r="CF199" s="7" t="s">
        <v>168</v>
      </c>
      <c r="CG199" s="7" t="s">
        <v>169</v>
      </c>
      <c r="CH199" s="7">
        <v>2014</v>
      </c>
      <c r="CI199" s="7" t="s">
        <v>170</v>
      </c>
      <c r="CJ199" s="7" t="s">
        <v>171</v>
      </c>
      <c r="CK199" s="7" t="s">
        <v>172</v>
      </c>
      <c r="CL199" s="7" t="s">
        <v>173</v>
      </c>
      <c r="CM199" s="7">
        <v>2015</v>
      </c>
      <c r="CN199" s="7" t="s">
        <v>174</v>
      </c>
      <c r="CO199" s="7" t="s">
        <v>175</v>
      </c>
      <c r="CP199" s="7" t="s">
        <v>176</v>
      </c>
      <c r="CQ199" s="7" t="s">
        <v>177</v>
      </c>
      <c r="CR199" s="7">
        <v>2016</v>
      </c>
      <c r="CS199" s="7" t="s">
        <v>178</v>
      </c>
      <c r="CT199" s="7" t="s">
        <v>179</v>
      </c>
      <c r="CU199" s="7" t="s">
        <v>180</v>
      </c>
      <c r="CV199" s="7" t="s">
        <v>181</v>
      </c>
      <c r="CW199" s="7">
        <v>2017</v>
      </c>
      <c r="CX199" s="7" t="s">
        <v>182</v>
      </c>
      <c r="CY199" s="7" t="s">
        <v>183</v>
      </c>
      <c r="CZ199" s="7" t="s">
        <v>184</v>
      </c>
      <c r="DA199" s="7" t="s">
        <v>185</v>
      </c>
      <c r="DB199" s="7">
        <v>2018</v>
      </c>
      <c r="DC199" s="7" t="s">
        <v>186</v>
      </c>
      <c r="DD199" s="7" t="s">
        <v>187</v>
      </c>
      <c r="DE199" s="7" t="s">
        <v>188</v>
      </c>
      <c r="DF199" s="7" t="s">
        <v>189</v>
      </c>
      <c r="DG199" s="7">
        <v>2019</v>
      </c>
      <c r="DH199" s="7" t="s">
        <v>190</v>
      </c>
      <c r="DI199" s="7" t="s">
        <v>191</v>
      </c>
      <c r="DJ199" s="7" t="s">
        <v>192</v>
      </c>
      <c r="DK199" s="7" t="s">
        <v>193</v>
      </c>
      <c r="DL199" s="7">
        <v>2020</v>
      </c>
      <c r="DM199" s="7" t="s">
        <v>194</v>
      </c>
      <c r="DN199" s="7" t="s">
        <v>195</v>
      </c>
      <c r="DO199" s="7" t="s">
        <v>196</v>
      </c>
      <c r="DP199" s="7" t="s">
        <v>197</v>
      </c>
      <c r="DQ199" s="7">
        <v>2021</v>
      </c>
      <c r="DR199" s="7" t="s">
        <v>198</v>
      </c>
      <c r="DS199" s="7" t="s">
        <v>199</v>
      </c>
      <c r="DT199" s="7" t="s">
        <v>201</v>
      </c>
      <c r="DU199" s="7" t="s">
        <v>381</v>
      </c>
      <c r="DV199" s="7">
        <v>2022</v>
      </c>
      <c r="DW199" s="7" t="s">
        <v>382</v>
      </c>
      <c r="DX199" s="7" t="s">
        <v>403</v>
      </c>
      <c r="DY199" s="7" t="s">
        <v>415</v>
      </c>
      <c r="DZ199" s="7" t="s">
        <v>420</v>
      </c>
      <c r="EA199" s="7">
        <v>2023</v>
      </c>
      <c r="EB199" s="7" t="s">
        <v>425</v>
      </c>
      <c r="EC199" s="7" t="s">
        <v>430</v>
      </c>
      <c r="ED199" s="7" t="str">
        <f>$ED$2</f>
        <v>3Q24</v>
      </c>
      <c r="EE199" s="7" t="str">
        <f>$EE$2</f>
        <v>4Q24</v>
      </c>
      <c r="EF199" s="7">
        <f>$EF$2</f>
        <v>2024</v>
      </c>
      <c r="EG199" s="7" t="str">
        <f>EG$2</f>
        <v>1Q25</v>
      </c>
      <c r="EH199" s="7" t="str">
        <f>EH$2</f>
        <v>2Q25</v>
      </c>
      <c r="EI199" s="7" t="str">
        <f>EI$2</f>
        <v>3Q25</v>
      </c>
    </row>
    <row r="200" spans="1:139" ht="15" thickTop="1" x14ac:dyDescent="0.3">
      <c r="A200" s="1" t="s">
        <v>2</v>
      </c>
      <c r="B200" s="27">
        <f>COGS!B200</f>
        <v>0</v>
      </c>
      <c r="C200" s="27">
        <f>COGS!C200</f>
        <v>0</v>
      </c>
      <c r="D200" s="27">
        <f>COGS!D200</f>
        <v>0</v>
      </c>
      <c r="E200" s="27">
        <f>COGS!E200</f>
        <v>0</v>
      </c>
      <c r="F200" s="27">
        <f>COGS!F200</f>
        <v>0</v>
      </c>
      <c r="G200" s="27">
        <f>COGS!G200</f>
        <v>0</v>
      </c>
      <c r="H200" s="27">
        <f>COGS!H200</f>
        <v>0</v>
      </c>
      <c r="I200" s="27">
        <f>COGS!I200</f>
        <v>0</v>
      </c>
      <c r="J200" s="27">
        <f>COGS!J200</f>
        <v>0</v>
      </c>
      <c r="K200" s="27">
        <f>COGS!K200</f>
        <v>0</v>
      </c>
      <c r="L200" s="27">
        <f>COGS!L200</f>
        <v>0</v>
      </c>
      <c r="M200" s="27">
        <f>COGS!M200</f>
        <v>0</v>
      </c>
      <c r="N200" s="27">
        <f>COGS!N200</f>
        <v>0</v>
      </c>
      <c r="O200" s="27">
        <f>COGS!O200</f>
        <v>0</v>
      </c>
      <c r="P200" s="27">
        <f>COGS!P200</f>
        <v>0</v>
      </c>
      <c r="Q200" s="27">
        <f>COGS!Q200</f>
        <v>0</v>
      </c>
      <c r="R200" s="27">
        <f>COGS!R200</f>
        <v>0</v>
      </c>
      <c r="S200" s="27">
        <f>COGS!S200</f>
        <v>0</v>
      </c>
      <c r="T200" s="27">
        <f>COGS!T200</f>
        <v>0</v>
      </c>
      <c r="U200" s="27">
        <f>COGS!U200</f>
        <v>0</v>
      </c>
      <c r="V200" s="27">
        <f>COGS!V200</f>
        <v>0</v>
      </c>
      <c r="W200" s="27">
        <f>COGS!W200</f>
        <v>0</v>
      </c>
      <c r="X200" s="27">
        <f>COGS!X200</f>
        <v>0</v>
      </c>
      <c r="Y200" s="27">
        <f>COGS!Y200</f>
        <v>0</v>
      </c>
      <c r="Z200" s="27">
        <f>COGS!Z200</f>
        <v>0</v>
      </c>
      <c r="AA200" s="27">
        <f>COGS!AA200</f>
        <v>0</v>
      </c>
      <c r="AB200" s="27">
        <f>COGS!AB200</f>
        <v>0</v>
      </c>
      <c r="AC200" s="27">
        <f>COGS!AC200</f>
        <v>0</v>
      </c>
      <c r="AD200" s="27">
        <f>COGS!AD200</f>
        <v>0</v>
      </c>
      <c r="AE200" s="27">
        <f>COGS!AE200</f>
        <v>0</v>
      </c>
      <c r="AF200" s="27">
        <f>COGS!AF200</f>
        <v>0</v>
      </c>
      <c r="AG200" s="27">
        <f>COGS!AG200</f>
        <v>0</v>
      </c>
      <c r="AH200" s="27">
        <f>COGS!AH200</f>
        <v>0</v>
      </c>
      <c r="AI200" s="27">
        <f>COGS!AI200</f>
        <v>0</v>
      </c>
      <c r="AJ200" s="27">
        <f>COGS!AJ200</f>
        <v>0</v>
      </c>
      <c r="AK200" s="27">
        <f>COGS!AK200</f>
        <v>0</v>
      </c>
      <c r="AL200" s="27">
        <f>COGS!AL200</f>
        <v>0</v>
      </c>
      <c r="AM200" s="27">
        <f>COGS!AM200</f>
        <v>0</v>
      </c>
      <c r="AN200" s="27">
        <f>COGS!AN200</f>
        <v>0</v>
      </c>
      <c r="AO200" s="27">
        <f>COGS!AO200</f>
        <v>0</v>
      </c>
      <c r="AP200" s="27">
        <f>COGS!AP200</f>
        <v>0</v>
      </c>
      <c r="AQ200" s="27">
        <f>COGS!AQ200</f>
        <v>0</v>
      </c>
      <c r="AR200" s="27">
        <f>COGS!AR200</f>
        <v>0</v>
      </c>
      <c r="AS200" s="27">
        <f>COGS!AS200</f>
        <v>0</v>
      </c>
      <c r="AT200" s="27">
        <f>COGS!AT200</f>
        <v>0</v>
      </c>
      <c r="AU200" s="27">
        <f>COGS!AU200</f>
        <v>0</v>
      </c>
      <c r="AV200" s="27">
        <f>COGS!AV200</f>
        <v>0</v>
      </c>
      <c r="AW200" s="27">
        <f>COGS!AW200</f>
        <v>0</v>
      </c>
      <c r="AX200" s="27">
        <f>COGS!AX200</f>
        <v>0</v>
      </c>
      <c r="AY200" s="27">
        <f>COGS!AY200</f>
        <v>0</v>
      </c>
      <c r="AZ200" s="27">
        <f>COGS!AZ200</f>
        <v>0</v>
      </c>
      <c r="BA200" s="27">
        <f>COGS!BA200</f>
        <v>0</v>
      </c>
      <c r="BB200" s="27">
        <f>COGS!BB200</f>
        <v>0</v>
      </c>
      <c r="BC200" s="27">
        <f>COGS!BC200</f>
        <v>0</v>
      </c>
      <c r="BD200" s="27">
        <f>COGS!BD200</f>
        <v>0</v>
      </c>
      <c r="BE200" s="27">
        <f>COGS!BE200</f>
        <v>0</v>
      </c>
      <c r="BF200" s="27">
        <f>COGS!BF200</f>
        <v>0</v>
      </c>
      <c r="BG200" s="27">
        <f>COGS!BG200</f>
        <v>0</v>
      </c>
      <c r="BH200" s="27">
        <f>COGS!BH200</f>
        <v>0</v>
      </c>
      <c r="BI200" s="27">
        <f>COGS!BI200</f>
        <v>0</v>
      </c>
      <c r="BJ200" s="27">
        <f>COGS!BJ200</f>
        <v>0.97332046999999999</v>
      </c>
      <c r="BK200" s="27">
        <f>COGS!BK200</f>
        <v>0.97332046999999999</v>
      </c>
      <c r="BL200" s="27">
        <f>COGS!BL200</f>
        <v>0.97332046999999999</v>
      </c>
      <c r="BM200" s="27">
        <f>COGS!BM200</f>
        <v>0.97332046999999999</v>
      </c>
      <c r="BN200" s="27">
        <f>COGS!BN200</f>
        <v>3.89328188</v>
      </c>
      <c r="BO200" s="27">
        <f>COGS!BO200</f>
        <v>1.37193009</v>
      </c>
      <c r="BP200" s="27">
        <f>COGS!BP200</f>
        <v>1.37193009</v>
      </c>
      <c r="BQ200" s="27">
        <f>COGS!BQ200</f>
        <v>1.3719300900000004</v>
      </c>
      <c r="BR200" s="27">
        <f>COGS!BR200</f>
        <v>1.3719300899999995</v>
      </c>
      <c r="BS200" s="27">
        <f>COGS!BS200</f>
        <v>5.48772036</v>
      </c>
      <c r="BT200" s="27">
        <f>COGS!BT200</f>
        <v>1.6156572900000001</v>
      </c>
      <c r="BU200" s="27">
        <f>COGS!BU200</f>
        <v>1.6156572900000001</v>
      </c>
      <c r="BV200" s="27">
        <f>COGS!BV200</f>
        <v>2.3713214300000001</v>
      </c>
      <c r="BW200" s="27">
        <f>COGS!BW200</f>
        <v>1.62263073</v>
      </c>
      <c r="BX200" s="27">
        <f>COGS!BX200</f>
        <v>7.2252667400000004</v>
      </c>
      <c r="BY200" s="27">
        <f>COGS!BY200</f>
        <v>2.5831676699999999</v>
      </c>
      <c r="BZ200" s="27">
        <f>COGS!BZ200</f>
        <v>4.2087357700000005</v>
      </c>
      <c r="CA200" s="27">
        <f>COGS!CA200</f>
        <v>1.5812851999999999</v>
      </c>
      <c r="CB200" s="27">
        <f>COGS!CB200</f>
        <v>1.8408357299999984</v>
      </c>
      <c r="CC200" s="27">
        <f>COGS!CC200</f>
        <v>10.214024369999999</v>
      </c>
      <c r="CD200" s="27">
        <f>COGS!CD200</f>
        <v>1.4405527600000001</v>
      </c>
      <c r="CE200" s="27">
        <f>COGS!CE200</f>
        <v>1.5102718399999997</v>
      </c>
      <c r="CF200" s="27">
        <f>COGS!CF200</f>
        <v>1.4754123000000003</v>
      </c>
      <c r="CG200" s="27">
        <f>COGS!CG200</f>
        <v>0.9718842099999998</v>
      </c>
      <c r="CH200" s="27">
        <f>COGS!CH200</f>
        <v>5.3981211099999999</v>
      </c>
      <c r="CI200" s="27">
        <f>COGS!CI200</f>
        <v>1.5219498600000001</v>
      </c>
      <c r="CJ200" s="27">
        <f>COGS!CJ200</f>
        <v>1.5219498600000001</v>
      </c>
      <c r="CK200" s="27">
        <f>COGS!CK200</f>
        <v>1.5219498599999997</v>
      </c>
      <c r="CL200" s="27">
        <f>COGS!CL200</f>
        <v>1.03448096</v>
      </c>
      <c r="CM200" s="27">
        <f>COGS!CM200</f>
        <v>5.6003305399999999</v>
      </c>
      <c r="CN200" s="27">
        <f>COGS!CN200</f>
        <v>1.47195396</v>
      </c>
      <c r="CO200" s="27">
        <f>COGS!CO200</f>
        <v>1.47195396</v>
      </c>
      <c r="CP200" s="27">
        <f>COGS!CP200</f>
        <v>1.4719539599999996</v>
      </c>
      <c r="CQ200" s="27">
        <f>COGS!CQ200</f>
        <v>2.0751381200000001</v>
      </c>
      <c r="CR200" s="27">
        <f>COGS!CR200</f>
        <v>6.4909999999999997</v>
      </c>
      <c r="CS200" s="27">
        <f>COGS!CS200</f>
        <v>1.5289104599999999</v>
      </c>
      <c r="CT200" s="27">
        <f>COGS!CT200</f>
        <v>1.5289104599999999</v>
      </c>
      <c r="CU200" s="27">
        <f>COGS!CU200</f>
        <v>1.5289104600000003</v>
      </c>
      <c r="CV200" s="27">
        <f>COGS!CV200</f>
        <v>2.9257091399999995</v>
      </c>
      <c r="CW200" s="27">
        <f>COGS!CW200</f>
        <v>7.5124405199999993</v>
      </c>
      <c r="CX200" s="27">
        <f>COGS!CX200</f>
        <v>3.911</v>
      </c>
      <c r="CY200" s="27">
        <f>COGS!CY200</f>
        <v>3.911</v>
      </c>
      <c r="CZ200" s="27">
        <f>COGS!CZ200</f>
        <v>4.3369999999999997</v>
      </c>
      <c r="DA200" s="27">
        <f>COGS!DA200</f>
        <v>24.73</v>
      </c>
      <c r="DB200" s="27">
        <f>COGS!DB200</f>
        <v>36.888999999999996</v>
      </c>
      <c r="DC200" s="27">
        <f>COGS!DC200</f>
        <v>2.9950000000000001</v>
      </c>
      <c r="DD200" s="27">
        <f>COGS!DD200</f>
        <v>2.9950000000000001</v>
      </c>
      <c r="DE200" s="27">
        <f>COGS!DE200</f>
        <v>9.7560000000000002</v>
      </c>
      <c r="DF200" s="27">
        <f>COGS!DF200</f>
        <v>22.416</v>
      </c>
      <c r="DG200" s="27">
        <f>COGS!DG200</f>
        <v>38.161999999999999</v>
      </c>
      <c r="DH200" s="27">
        <f>COGS!DH200</f>
        <v>1.538</v>
      </c>
      <c r="DI200" s="27">
        <f>COGS!DI200</f>
        <v>1.5569999999999999</v>
      </c>
      <c r="DJ200" s="27">
        <f>COGS!DJ200</f>
        <v>1.5940000000000001</v>
      </c>
      <c r="DK200" s="27">
        <f>COGS!DK200</f>
        <v>10.852</v>
      </c>
      <c r="DL200" s="27">
        <f>COGS!DL200</f>
        <v>15.541</v>
      </c>
      <c r="DM200" s="27">
        <f>COGS!DM200</f>
        <v>0</v>
      </c>
      <c r="DN200" s="27">
        <f>COGS!DN200</f>
        <v>0</v>
      </c>
      <c r="DO200" s="27">
        <f>COGS!DO200</f>
        <v>0</v>
      </c>
      <c r="DP200" s="27">
        <f>COGS!DP200</f>
        <v>-5.5149999999999997</v>
      </c>
      <c r="DQ200" s="27">
        <f>COGS!DQ200</f>
        <v>-5.5149999999999997</v>
      </c>
      <c r="DR200" s="27">
        <f>COGS!DR200</f>
        <v>0</v>
      </c>
      <c r="DS200" s="27">
        <f>COGS!DS200</f>
        <v>0</v>
      </c>
      <c r="DT200" s="27">
        <f>COGS!DT200</f>
        <v>0</v>
      </c>
      <c r="DU200" s="27">
        <f>COGS!DU200</f>
        <v>0</v>
      </c>
      <c r="DV200" s="27">
        <f>COGS!DV200</f>
        <v>0</v>
      </c>
      <c r="DW200" s="27">
        <f>COGS!DW200</f>
        <v>0</v>
      </c>
      <c r="DX200" s="27">
        <f>COGS!DX200</f>
        <v>0</v>
      </c>
      <c r="DY200" s="27">
        <f>COGS!DY200</f>
        <v>0</v>
      </c>
      <c r="DZ200" s="27">
        <f>COGS!DZ200</f>
        <v>0</v>
      </c>
      <c r="EA200" s="27">
        <f>COGS!EA200</f>
        <v>0</v>
      </c>
      <c r="EB200" s="27">
        <f>COGS!EB200</f>
        <v>0</v>
      </c>
      <c r="EC200" s="27">
        <f>COGS!EC200</f>
        <v>0</v>
      </c>
      <c r="ED200" s="27">
        <f>COGS!ED200</f>
        <v>0</v>
      </c>
      <c r="EE200" s="27">
        <f>COGS!EE200</f>
        <v>0</v>
      </c>
      <c r="EF200" s="27">
        <f>COGS!EF200</f>
        <v>0</v>
      </c>
      <c r="EG200" s="27">
        <f>COGS!EG200</f>
        <v>0</v>
      </c>
      <c r="EH200" s="27">
        <f>COGS!EH200</f>
        <v>0</v>
      </c>
      <c r="EI200" s="27">
        <f>COGS!EI200</f>
        <v>0</v>
      </c>
    </row>
    <row r="201" spans="1:139" ht="15" thickBot="1" x14ac:dyDescent="0.35">
      <c r="A201" s="2" t="s">
        <v>454</v>
      </c>
      <c r="B201" s="28">
        <f>COGS!B201</f>
        <v>0</v>
      </c>
      <c r="C201" s="28">
        <f>COGS!C201</f>
        <v>0</v>
      </c>
      <c r="D201" s="28">
        <f>COGS!D201</f>
        <v>0</v>
      </c>
      <c r="E201" s="28">
        <f>COGS!E201</f>
        <v>0</v>
      </c>
      <c r="F201" s="28">
        <f>COGS!F201</f>
        <v>0</v>
      </c>
      <c r="G201" s="28">
        <f>COGS!G201</f>
        <v>0</v>
      </c>
      <c r="H201" s="28">
        <f>COGS!H201</f>
        <v>0</v>
      </c>
      <c r="I201" s="28">
        <f>COGS!I201</f>
        <v>0</v>
      </c>
      <c r="J201" s="28">
        <f>COGS!J201</f>
        <v>0</v>
      </c>
      <c r="K201" s="28">
        <f>COGS!K201</f>
        <v>0</v>
      </c>
      <c r="L201" s="28">
        <f>COGS!L201</f>
        <v>0</v>
      </c>
      <c r="M201" s="28">
        <f>COGS!M201</f>
        <v>0</v>
      </c>
      <c r="N201" s="28">
        <f>COGS!N201</f>
        <v>0</v>
      </c>
      <c r="O201" s="28">
        <f>COGS!O201</f>
        <v>0</v>
      </c>
      <c r="P201" s="28">
        <f>COGS!P201</f>
        <v>0</v>
      </c>
      <c r="Q201" s="28">
        <f>COGS!Q201</f>
        <v>0</v>
      </c>
      <c r="R201" s="28">
        <f>COGS!R201</f>
        <v>0</v>
      </c>
      <c r="S201" s="28">
        <f>COGS!S201</f>
        <v>0</v>
      </c>
      <c r="T201" s="28">
        <f>COGS!T201</f>
        <v>0</v>
      </c>
      <c r="U201" s="28">
        <f>COGS!U201</f>
        <v>0</v>
      </c>
      <c r="V201" s="28">
        <f>COGS!V201</f>
        <v>0</v>
      </c>
      <c r="W201" s="28">
        <f>COGS!W201</f>
        <v>0</v>
      </c>
      <c r="X201" s="28">
        <f>COGS!X201</f>
        <v>0</v>
      </c>
      <c r="Y201" s="28">
        <f>COGS!Y201</f>
        <v>0</v>
      </c>
      <c r="Z201" s="28">
        <f>COGS!Z201</f>
        <v>0</v>
      </c>
      <c r="AA201" s="28">
        <f>COGS!AA201</f>
        <v>0</v>
      </c>
      <c r="AB201" s="28">
        <f>COGS!AB201</f>
        <v>0</v>
      </c>
      <c r="AC201" s="28">
        <f>COGS!AC201</f>
        <v>0</v>
      </c>
      <c r="AD201" s="28">
        <f>COGS!AD201</f>
        <v>0</v>
      </c>
      <c r="AE201" s="28">
        <f>COGS!AE201</f>
        <v>0</v>
      </c>
      <c r="AF201" s="28">
        <f>COGS!AF201</f>
        <v>0</v>
      </c>
      <c r="AG201" s="28">
        <f>COGS!AG201</f>
        <v>0</v>
      </c>
      <c r="AH201" s="28">
        <f>COGS!AH201</f>
        <v>0</v>
      </c>
      <c r="AI201" s="28">
        <f>COGS!AI201</f>
        <v>0</v>
      </c>
      <c r="AJ201" s="28">
        <f>COGS!AJ201</f>
        <v>0</v>
      </c>
      <c r="AK201" s="28">
        <f>COGS!AK201</f>
        <v>0</v>
      </c>
      <c r="AL201" s="28">
        <f>COGS!AL201</f>
        <v>0</v>
      </c>
      <c r="AM201" s="28">
        <f>COGS!AM201</f>
        <v>0</v>
      </c>
      <c r="AN201" s="28">
        <f>COGS!AN201</f>
        <v>0</v>
      </c>
      <c r="AO201" s="28">
        <f>COGS!AO201</f>
        <v>0</v>
      </c>
      <c r="AP201" s="28">
        <f>COGS!AP201</f>
        <v>0</v>
      </c>
      <c r="AQ201" s="28">
        <f>COGS!AQ201</f>
        <v>0</v>
      </c>
      <c r="AR201" s="28">
        <f>COGS!AR201</f>
        <v>0</v>
      </c>
      <c r="AS201" s="28">
        <f>COGS!AS201</f>
        <v>0</v>
      </c>
      <c r="AT201" s="28">
        <f>COGS!AT201</f>
        <v>0</v>
      </c>
      <c r="AU201" s="28">
        <f>COGS!AU201</f>
        <v>0</v>
      </c>
      <c r="AV201" s="28">
        <f>COGS!AV201</f>
        <v>0</v>
      </c>
      <c r="AW201" s="28">
        <f>COGS!AW201</f>
        <v>0</v>
      </c>
      <c r="AX201" s="28">
        <f>COGS!AX201</f>
        <v>0</v>
      </c>
      <c r="AY201" s="28">
        <f>COGS!AY201</f>
        <v>0</v>
      </c>
      <c r="AZ201" s="28">
        <f>COGS!AZ201</f>
        <v>0</v>
      </c>
      <c r="BA201" s="28">
        <f>COGS!BA201</f>
        <v>0</v>
      </c>
      <c r="BB201" s="28">
        <f>COGS!BB201</f>
        <v>0</v>
      </c>
      <c r="BC201" s="28">
        <f>COGS!BC201</f>
        <v>0</v>
      </c>
      <c r="BD201" s="28">
        <f>COGS!BD201</f>
        <v>0</v>
      </c>
      <c r="BE201" s="28">
        <f>COGS!BE201</f>
        <v>0</v>
      </c>
      <c r="BF201" s="28">
        <f>COGS!BF201</f>
        <v>0</v>
      </c>
      <c r="BG201" s="28">
        <f>COGS!BG201</f>
        <v>0</v>
      </c>
      <c r="BH201" s="28">
        <f>COGS!BH201</f>
        <v>0</v>
      </c>
      <c r="BI201" s="28">
        <f>COGS!BI201</f>
        <v>0</v>
      </c>
      <c r="BJ201" s="28">
        <f>COGS!BJ201</f>
        <v>0.33760041000000002</v>
      </c>
      <c r="BK201" s="28">
        <f>COGS!BK201</f>
        <v>0.33760041000000002</v>
      </c>
      <c r="BL201" s="28">
        <f>COGS!BL201</f>
        <v>0.33760040999999991</v>
      </c>
      <c r="BM201" s="28">
        <f>COGS!BM201</f>
        <v>0.33760041000000013</v>
      </c>
      <c r="BN201" s="28">
        <f>COGS!BN201</f>
        <v>1.3504016400000001</v>
      </c>
      <c r="BO201" s="28">
        <f>COGS!BO201</f>
        <v>0.56941052999999997</v>
      </c>
      <c r="BP201" s="28">
        <f>COGS!BP201</f>
        <v>2.7701779900000001</v>
      </c>
      <c r="BQ201" s="28">
        <f>COGS!BQ201</f>
        <v>1.4177058499999995</v>
      </c>
      <c r="BR201" s="28">
        <f>COGS!BR201</f>
        <v>1.2802370100000018</v>
      </c>
      <c r="BS201" s="28">
        <f>COGS!BS201</f>
        <v>6.0375313800000008</v>
      </c>
      <c r="BT201" s="28">
        <f>COGS!BT201</f>
        <v>0.84110053000000007</v>
      </c>
      <c r="BU201" s="28">
        <f>COGS!BU201</f>
        <v>0.33458192999999992</v>
      </c>
      <c r="BV201" s="28">
        <f>COGS!BV201</f>
        <v>0.58453683000000001</v>
      </c>
      <c r="BW201" s="28">
        <f>COGS!BW201</f>
        <v>-1.38146317</v>
      </c>
      <c r="BX201" s="28">
        <f>COGS!BX201</f>
        <v>0.37875612000000003</v>
      </c>
      <c r="BY201" s="28">
        <f>COGS!BY201</f>
        <v>0.58453683000000001</v>
      </c>
      <c r="BZ201" s="28">
        <f>COGS!BZ201</f>
        <v>1.59912794</v>
      </c>
      <c r="CA201" s="28">
        <f>COGS!CA201</f>
        <v>0.84182498000000017</v>
      </c>
      <c r="CB201" s="28">
        <f>COGS!CB201</f>
        <v>0.59507447000000013</v>
      </c>
      <c r="CC201" s="28">
        <f>COGS!CC201</f>
        <v>3.6205642200000003</v>
      </c>
      <c r="CD201" s="28">
        <f>COGS!CD201</f>
        <v>0.47058638000000003</v>
      </c>
      <c r="CE201" s="28">
        <f>COGS!CE201</f>
        <v>0.6060703999999999</v>
      </c>
      <c r="CF201" s="28">
        <f>COGS!CF201</f>
        <v>0.47058639000000008</v>
      </c>
      <c r="CG201" s="28">
        <f>COGS!CG201</f>
        <v>0.36413031000000001</v>
      </c>
      <c r="CH201" s="28">
        <f>COGS!CH201</f>
        <v>1.91137348</v>
      </c>
      <c r="CI201" s="28">
        <f>COGS!CI201</f>
        <v>0.78602150999999998</v>
      </c>
      <c r="CJ201" s="28">
        <f>COGS!CJ201</f>
        <v>0.78602150999999998</v>
      </c>
      <c r="CK201" s="28">
        <f>COGS!CK201</f>
        <v>0.78602150999999976</v>
      </c>
      <c r="CL201" s="28">
        <f>COGS!CL201</f>
        <v>0.61082247000000034</v>
      </c>
      <c r="CM201" s="28">
        <f>COGS!CM201</f>
        <v>2.9688870000000001</v>
      </c>
      <c r="CN201" s="28">
        <f>COGS!CN201</f>
        <v>0.40457586000000001</v>
      </c>
      <c r="CO201" s="28">
        <f>COGS!CO201</f>
        <v>0.40457586000000001</v>
      </c>
      <c r="CP201" s="28">
        <f>COGS!CP201</f>
        <v>0.40457586000000001</v>
      </c>
      <c r="CQ201" s="28">
        <f>COGS!CQ201</f>
        <v>1.2922724199999998</v>
      </c>
      <c r="CR201" s="28">
        <f>COGS!CR201</f>
        <v>2.5059999999999998</v>
      </c>
      <c r="CS201" s="28">
        <f>COGS!CS201</f>
        <v>0.65499896999999996</v>
      </c>
      <c r="CT201" s="28">
        <f>COGS!CT201</f>
        <v>1.8433008900000001</v>
      </c>
      <c r="CU201" s="28">
        <f>COGS!CU201</f>
        <v>2.3729389099999998</v>
      </c>
      <c r="CV201" s="28">
        <f>COGS!CV201</f>
        <v>8.2760374999999993</v>
      </c>
      <c r="CW201" s="28">
        <f>COGS!CW201</f>
        <v>13.147276269999999</v>
      </c>
      <c r="CX201" s="28">
        <f>COGS!CX201</f>
        <v>2.8340000000000001</v>
      </c>
      <c r="CY201" s="28">
        <f>COGS!CY201</f>
        <v>2.8340000000000001</v>
      </c>
      <c r="CZ201" s="28">
        <f>COGS!CZ201</f>
        <v>3.0059999999999998</v>
      </c>
      <c r="DA201" s="28">
        <f>COGS!DA201</f>
        <v>2.6829999999999998</v>
      </c>
      <c r="DB201" s="28">
        <f>COGS!DB201</f>
        <v>11.356999999999999</v>
      </c>
      <c r="DC201" s="28">
        <f>COGS!DC201</f>
        <v>2.1709999999999998</v>
      </c>
      <c r="DD201" s="28">
        <f>COGS!DD201</f>
        <v>2.1709999999999998</v>
      </c>
      <c r="DE201" s="28">
        <f>COGS!DE201</f>
        <v>2.1709999999999998</v>
      </c>
      <c r="DF201" s="28">
        <f>COGS!DF201</f>
        <v>1.4999999999999999E-2</v>
      </c>
      <c r="DG201" s="28">
        <f>COGS!DG201</f>
        <v>6.5279999999999996</v>
      </c>
      <c r="DH201" s="28">
        <f>COGS!DH201</f>
        <v>2.4580000000000002</v>
      </c>
      <c r="DI201" s="28">
        <f>COGS!DI201</f>
        <v>2.1880000000000002</v>
      </c>
      <c r="DJ201" s="28">
        <f>COGS!DJ201</f>
        <v>1.6479999999999999</v>
      </c>
      <c r="DK201" s="28">
        <f>COGS!DK201</f>
        <v>-0.32400000000000001</v>
      </c>
      <c r="DL201" s="28">
        <f>COGS!DL201</f>
        <v>5.9700000000000006</v>
      </c>
      <c r="DM201" s="28">
        <f>COGS!DM201</f>
        <v>2.5009999999999999</v>
      </c>
      <c r="DN201" s="28">
        <f>COGS!DN201</f>
        <v>2.5489999999999999</v>
      </c>
      <c r="DO201" s="28">
        <f>COGS!DO201</f>
        <v>2.5249999999999999</v>
      </c>
      <c r="DP201" s="28">
        <f>COGS!DP201</f>
        <v>3.5539999999999998</v>
      </c>
      <c r="DQ201" s="28">
        <f>COGS!DQ201</f>
        <v>11.129</v>
      </c>
      <c r="DR201" s="28">
        <f>COGS!DR201</f>
        <v>2.3330000000000002</v>
      </c>
      <c r="DS201" s="28">
        <f>COGS!DS201</f>
        <v>3.3570000000000002</v>
      </c>
      <c r="DT201" s="28">
        <f>COGS!DT201</f>
        <v>3.4889999999999999</v>
      </c>
      <c r="DU201" s="28">
        <f>COGS!DU201</f>
        <v>3.0259999999999998</v>
      </c>
      <c r="DV201" s="28">
        <f>COGS!DV201</f>
        <v>12.205</v>
      </c>
      <c r="DW201" s="28">
        <f>COGS!DW201</f>
        <v>2.6549999999999998</v>
      </c>
      <c r="DX201" s="28">
        <f>COGS!DX201</f>
        <v>3.9809999999999999</v>
      </c>
      <c r="DY201" s="28">
        <f>COGS!DY201</f>
        <v>4.0856158200000001</v>
      </c>
      <c r="DZ201" s="28">
        <f>COGS!DZ201</f>
        <v>2.5596386500000006</v>
      </c>
      <c r="EA201" s="28">
        <f>COGS!EA201</f>
        <v>13.28125447</v>
      </c>
      <c r="EB201" s="28">
        <f>COGS!EB201</f>
        <v>4.9269755700000006</v>
      </c>
      <c r="EC201" s="28">
        <f>COGS!EC201</f>
        <v>1.7398922299999995</v>
      </c>
      <c r="ED201" s="28">
        <f>COGS!ED201</f>
        <v>1.5840000000000001</v>
      </c>
      <c r="EE201" s="28">
        <f>COGS!EE201</f>
        <v>2.2796690499999999</v>
      </c>
      <c r="EF201" s="28">
        <f>COGS!EF201</f>
        <v>10.530536850000001</v>
      </c>
      <c r="EG201" s="28">
        <f>COGS!EG201</f>
        <v>0.34797436999999998</v>
      </c>
      <c r="EH201" s="28">
        <f>COGS!EH201</f>
        <v>0.40862604000000002</v>
      </c>
      <c r="EI201" s="28">
        <f>COGS!EI201</f>
        <v>0.38069794000000007</v>
      </c>
    </row>
    <row r="202" spans="1:139" ht="15" thickTop="1" x14ac:dyDescent="0.3">
      <c r="A202" s="1" t="s">
        <v>442</v>
      </c>
      <c r="B202" s="27">
        <f>COGS!B202</f>
        <v>0</v>
      </c>
      <c r="C202" s="27">
        <f>COGS!C202</f>
        <v>0</v>
      </c>
      <c r="D202" s="27">
        <f>COGS!D202</f>
        <v>0</v>
      </c>
      <c r="E202" s="27">
        <f>COGS!E202</f>
        <v>0</v>
      </c>
      <c r="F202" s="27">
        <f>COGS!F202</f>
        <v>0</v>
      </c>
      <c r="G202" s="27">
        <f>COGS!G202</f>
        <v>0</v>
      </c>
      <c r="H202" s="27">
        <f>COGS!H202</f>
        <v>0</v>
      </c>
      <c r="I202" s="27">
        <f>COGS!I202</f>
        <v>0</v>
      </c>
      <c r="J202" s="27">
        <f>COGS!J202</f>
        <v>0</v>
      </c>
      <c r="K202" s="27">
        <f>COGS!K202</f>
        <v>0</v>
      </c>
      <c r="L202" s="27">
        <f>COGS!L202</f>
        <v>0</v>
      </c>
      <c r="M202" s="27">
        <f>COGS!M202</f>
        <v>0</v>
      </c>
      <c r="N202" s="27">
        <f>COGS!N202</f>
        <v>0</v>
      </c>
      <c r="O202" s="27">
        <f>COGS!O202</f>
        <v>0</v>
      </c>
      <c r="P202" s="27">
        <f>COGS!P202</f>
        <v>0</v>
      </c>
      <c r="Q202" s="27">
        <f>COGS!Q202</f>
        <v>0</v>
      </c>
      <c r="R202" s="27">
        <f>COGS!R202</f>
        <v>0</v>
      </c>
      <c r="S202" s="27">
        <f>COGS!S202</f>
        <v>0</v>
      </c>
      <c r="T202" s="27">
        <f>COGS!T202</f>
        <v>0</v>
      </c>
      <c r="U202" s="27">
        <f>COGS!U202</f>
        <v>0</v>
      </c>
      <c r="V202" s="27">
        <f>COGS!V202</f>
        <v>0</v>
      </c>
      <c r="W202" s="27">
        <f>COGS!W202</f>
        <v>0</v>
      </c>
      <c r="X202" s="27">
        <f>COGS!X202</f>
        <v>0</v>
      </c>
      <c r="Y202" s="27">
        <f>COGS!Y202</f>
        <v>0</v>
      </c>
      <c r="Z202" s="27">
        <f>COGS!Z202</f>
        <v>0</v>
      </c>
      <c r="AA202" s="27">
        <f>COGS!AA202</f>
        <v>0</v>
      </c>
      <c r="AB202" s="27">
        <f>COGS!AB202</f>
        <v>0</v>
      </c>
      <c r="AC202" s="27">
        <f>COGS!AC202</f>
        <v>0</v>
      </c>
      <c r="AD202" s="27">
        <f>COGS!AD202</f>
        <v>0</v>
      </c>
      <c r="AE202" s="27">
        <f>COGS!AE202</f>
        <v>0</v>
      </c>
      <c r="AF202" s="27">
        <f>COGS!AF202</f>
        <v>0</v>
      </c>
      <c r="AG202" s="27">
        <f>COGS!AG202</f>
        <v>0</v>
      </c>
      <c r="AH202" s="27">
        <f>COGS!AH202</f>
        <v>0</v>
      </c>
      <c r="AI202" s="27">
        <f>COGS!AI202</f>
        <v>0</v>
      </c>
      <c r="AJ202" s="27">
        <f>COGS!AJ202</f>
        <v>0</v>
      </c>
      <c r="AK202" s="27">
        <f>COGS!AK202</f>
        <v>0</v>
      </c>
      <c r="AL202" s="27">
        <f>COGS!AL202</f>
        <v>0</v>
      </c>
      <c r="AM202" s="27">
        <f>COGS!AM202</f>
        <v>0</v>
      </c>
      <c r="AN202" s="27">
        <f>COGS!AN202</f>
        <v>0</v>
      </c>
      <c r="AO202" s="27">
        <f>COGS!AO202</f>
        <v>0</v>
      </c>
      <c r="AP202" s="27">
        <f>COGS!AP202</f>
        <v>0</v>
      </c>
      <c r="AQ202" s="27">
        <f>COGS!AQ202</f>
        <v>0</v>
      </c>
      <c r="AR202" s="27">
        <f>COGS!AR202</f>
        <v>0</v>
      </c>
      <c r="AS202" s="27">
        <f>COGS!AS202</f>
        <v>0</v>
      </c>
      <c r="AT202" s="27">
        <f>COGS!AT202</f>
        <v>0</v>
      </c>
      <c r="AU202" s="27">
        <f>COGS!AU202</f>
        <v>0</v>
      </c>
      <c r="AV202" s="27">
        <f>COGS!AV202</f>
        <v>0</v>
      </c>
      <c r="AW202" s="27">
        <f>COGS!AW202</f>
        <v>0</v>
      </c>
      <c r="AX202" s="27">
        <f>COGS!AX202</f>
        <v>0</v>
      </c>
      <c r="AY202" s="27">
        <f>COGS!AY202</f>
        <v>0</v>
      </c>
      <c r="AZ202" s="27">
        <f>COGS!AZ202</f>
        <v>0</v>
      </c>
      <c r="BA202" s="27">
        <f>COGS!BA202</f>
        <v>0</v>
      </c>
      <c r="BB202" s="27">
        <f>COGS!BB202</f>
        <v>0</v>
      </c>
      <c r="BC202" s="27">
        <f>COGS!BC202</f>
        <v>0</v>
      </c>
      <c r="BD202" s="27">
        <f>COGS!BD202</f>
        <v>0</v>
      </c>
      <c r="BE202" s="27">
        <f>COGS!BE202</f>
        <v>0</v>
      </c>
      <c r="BF202" s="27">
        <f>COGS!BF202</f>
        <v>0</v>
      </c>
      <c r="BG202" s="27">
        <f>COGS!BG202</f>
        <v>0</v>
      </c>
      <c r="BH202" s="27">
        <f>COGS!BH202</f>
        <v>0</v>
      </c>
      <c r="BI202" s="27">
        <f>COGS!BI202</f>
        <v>0</v>
      </c>
      <c r="BJ202" s="27">
        <f>COGS!BJ202</f>
        <v>3.9856593999999999</v>
      </c>
      <c r="BK202" s="27">
        <f>COGS!BK202</f>
        <v>4.0279368700000013</v>
      </c>
      <c r="BL202" s="27">
        <f>COGS!BL202</f>
        <v>4.507461039999999</v>
      </c>
      <c r="BM202" s="27">
        <f>COGS!BM202</f>
        <v>6.7004546699999992</v>
      </c>
      <c r="BN202" s="27">
        <f>COGS!BN202</f>
        <v>19.221511979999999</v>
      </c>
      <c r="BO202" s="27">
        <f>COGS!BO202</f>
        <v>6.8464841100000005</v>
      </c>
      <c r="BP202" s="27">
        <f>COGS!BP202</f>
        <v>13.076249069999998</v>
      </c>
      <c r="BQ202" s="27">
        <f>COGS!BQ202</f>
        <v>9.8036771200000015</v>
      </c>
      <c r="BR202" s="27">
        <f>COGS!BR202</f>
        <v>11.449594469999999</v>
      </c>
      <c r="BS202" s="27">
        <f>COGS!BS202</f>
        <v>41.176004769999999</v>
      </c>
      <c r="BT202" s="27">
        <f>COGS!BT202</f>
        <v>9.3649398799999997</v>
      </c>
      <c r="BU202" s="27">
        <f>COGS!BU202</f>
        <v>7.3398085899999987</v>
      </c>
      <c r="BV202" s="27">
        <f>COGS!BV202</f>
        <v>12.864995819999999</v>
      </c>
      <c r="BW202" s="27">
        <f>COGS!BW202</f>
        <v>15.301545380000002</v>
      </c>
      <c r="BX202" s="27">
        <f>COGS!BX202</f>
        <v>44.871289669999996</v>
      </c>
      <c r="BY202" s="27">
        <f>COGS!BY202</f>
        <v>7.1758059999999997</v>
      </c>
      <c r="BZ202" s="27">
        <f>COGS!BZ202</f>
        <v>8.8235977100000014</v>
      </c>
      <c r="CA202" s="27">
        <f>COGS!CA202</f>
        <v>8.1779094199999971</v>
      </c>
      <c r="CB202" s="27">
        <f>COGS!CB202</f>
        <v>12.162452849999996</v>
      </c>
      <c r="CC202" s="27">
        <f>COGS!CC202</f>
        <v>36.339765979999996</v>
      </c>
      <c r="CD202" s="27">
        <f>COGS!CD202</f>
        <v>6.9063085400000004</v>
      </c>
      <c r="CE202" s="27">
        <f>COGS!CE202</f>
        <v>12.13952699</v>
      </c>
      <c r="CF202" s="27">
        <f>COGS!CF202</f>
        <v>10.48060658</v>
      </c>
      <c r="CG202" s="27">
        <f>COGS!CG202</f>
        <v>19.094200840000003</v>
      </c>
      <c r="CH202" s="27">
        <f>COGS!CH202</f>
        <v>48.620642950000004</v>
      </c>
      <c r="CI202" s="27">
        <f>COGS!CI202</f>
        <v>10.61068244</v>
      </c>
      <c r="CJ202" s="27">
        <f>COGS!CJ202</f>
        <v>12.904160480000003</v>
      </c>
      <c r="CK202" s="27">
        <f>COGS!CK202</f>
        <v>16.07681857</v>
      </c>
      <c r="CL202" s="27">
        <f>COGS!CL202</f>
        <v>10.493352329999999</v>
      </c>
      <c r="CM202" s="27">
        <f>COGS!CM202</f>
        <v>50.085013820000007</v>
      </c>
      <c r="CN202" s="27">
        <f>COGS!CN202</f>
        <v>8.2105076500000003</v>
      </c>
      <c r="CO202" s="27">
        <f>COGS!CO202</f>
        <v>16.135868850000001</v>
      </c>
      <c r="CP202" s="27">
        <f>COGS!CP202</f>
        <v>12.536961719999997</v>
      </c>
      <c r="CQ202" s="27">
        <f>COGS!CQ202</f>
        <v>18.549661780000001</v>
      </c>
      <c r="CR202" s="27">
        <f>COGS!CR202</f>
        <v>55.433</v>
      </c>
      <c r="CS202" s="27">
        <f>COGS!CS202</f>
        <v>9.1879709700000003</v>
      </c>
      <c r="CT202" s="27">
        <f>COGS!CT202</f>
        <v>10.1972115</v>
      </c>
      <c r="CU202" s="27">
        <f>COGS!CU202</f>
        <v>14.784260069999997</v>
      </c>
      <c r="CV202" s="27">
        <f>COGS!CV202</f>
        <v>13.239981369999997</v>
      </c>
      <c r="CW202" s="27">
        <f>COGS!CW202</f>
        <v>47.409423909999994</v>
      </c>
      <c r="CX202" s="27">
        <f>COGS!CX202</f>
        <v>7.44</v>
      </c>
      <c r="CY202" s="27">
        <f>COGS!CY202</f>
        <v>-7.6219999999999999</v>
      </c>
      <c r="CZ202" s="27">
        <f>COGS!CZ202</f>
        <v>6.9189999999999996</v>
      </c>
      <c r="DA202" s="27">
        <f>COGS!DA202</f>
        <v>8.2360000000000007</v>
      </c>
      <c r="DB202" s="27">
        <f>COGS!DB202</f>
        <v>14.973000000000001</v>
      </c>
      <c r="DC202" s="27">
        <f>COGS!DC202</f>
        <v>9.0239999999999991</v>
      </c>
      <c r="DD202" s="27">
        <f>COGS!DD202</f>
        <v>9.0239999999999991</v>
      </c>
      <c r="DE202" s="27">
        <f>COGS!DE202</f>
        <v>9.0239999999999991</v>
      </c>
      <c r="DF202" s="27">
        <f>COGS!DF202</f>
        <v>-18.149999999999999</v>
      </c>
      <c r="DG202" s="27">
        <f>COGS!DG202</f>
        <v>8.921999999999997</v>
      </c>
      <c r="DH202" s="27">
        <f>COGS!DH202</f>
        <v>6.8220000000000001</v>
      </c>
      <c r="DI202" s="27">
        <f>COGS!DI202</f>
        <v>6.1820000000000004</v>
      </c>
      <c r="DJ202" s="27">
        <f>COGS!DJ202</f>
        <v>4.9020000000000001</v>
      </c>
      <c r="DK202" s="27">
        <f>COGS!DK202</f>
        <v>-13.37</v>
      </c>
      <c r="DL202" s="27">
        <f>COGS!DL202</f>
        <v>4.5360000000000031</v>
      </c>
      <c r="DM202" s="27">
        <f>COGS!DM202</f>
        <v>3.9449999999999998</v>
      </c>
      <c r="DN202" s="27">
        <f>COGS!DN202</f>
        <v>3.8380000000000001</v>
      </c>
      <c r="DO202" s="27">
        <f>COGS!DO202</f>
        <v>3.8919999999999999</v>
      </c>
      <c r="DP202" s="27">
        <f>COGS!DP202</f>
        <v>-15.18</v>
      </c>
      <c r="DQ202" s="27">
        <f>COGS!DQ202</f>
        <v>-3.5050000000000008</v>
      </c>
      <c r="DR202" s="27">
        <f>COGS!DR202</f>
        <v>0</v>
      </c>
      <c r="DS202" s="27">
        <f>COGS!DS202</f>
        <v>0</v>
      </c>
      <c r="DT202" s="27">
        <f>COGS!DT202</f>
        <v>0</v>
      </c>
      <c r="DU202" s="27">
        <f>COGS!DU202</f>
        <v>0</v>
      </c>
      <c r="DV202" s="27">
        <f>COGS!DV202</f>
        <v>0</v>
      </c>
      <c r="DW202" s="27">
        <f>COGS!DW202</f>
        <v>0</v>
      </c>
      <c r="DX202" s="27">
        <f>COGS!DX202</f>
        <v>0</v>
      </c>
      <c r="DY202" s="27">
        <f>COGS!DY202</f>
        <v>0</v>
      </c>
      <c r="DZ202" s="27">
        <f>COGS!DZ202</f>
        <v>0</v>
      </c>
      <c r="EA202" s="27">
        <f>COGS!EA202</f>
        <v>0</v>
      </c>
      <c r="EB202" s="27">
        <f>COGS!EB202</f>
        <v>0</v>
      </c>
      <c r="EC202" s="27">
        <f>COGS!EC202</f>
        <v>2.1874224099999999</v>
      </c>
      <c r="ED202" s="27">
        <f>COGS!ED202</f>
        <v>3.8039999999999998</v>
      </c>
      <c r="EE202" s="27">
        <f>COGS!EE202</f>
        <v>4.6327460599999988</v>
      </c>
      <c r="EF202" s="27">
        <f>COGS!EF202</f>
        <v>10.624168469999999</v>
      </c>
      <c r="EG202" s="27">
        <f>COGS!EG202</f>
        <v>0.80559886000000003</v>
      </c>
      <c r="EH202" s="27">
        <f>COGS!EH202</f>
        <v>3.2077283400000005</v>
      </c>
      <c r="EI202" s="27">
        <f>COGS!EI202</f>
        <v>2.5618578499999995</v>
      </c>
    </row>
    <row r="203" spans="1:139" ht="15" thickBot="1" x14ac:dyDescent="0.35">
      <c r="A203" s="2" t="s">
        <v>3</v>
      </c>
      <c r="B203" s="28">
        <f>COGS!B203</f>
        <v>0</v>
      </c>
      <c r="C203" s="28">
        <f>COGS!C203</f>
        <v>0</v>
      </c>
      <c r="D203" s="28">
        <f>COGS!D203</f>
        <v>0</v>
      </c>
      <c r="E203" s="28">
        <f>COGS!E203</f>
        <v>0</v>
      </c>
      <c r="F203" s="28">
        <f>COGS!F203</f>
        <v>0</v>
      </c>
      <c r="G203" s="28">
        <f>COGS!G203</f>
        <v>0</v>
      </c>
      <c r="H203" s="28">
        <f>COGS!H203</f>
        <v>0</v>
      </c>
      <c r="I203" s="28">
        <f>COGS!I203</f>
        <v>0</v>
      </c>
      <c r="J203" s="28">
        <f>COGS!J203</f>
        <v>0</v>
      </c>
      <c r="K203" s="28">
        <f>COGS!K203</f>
        <v>0</v>
      </c>
      <c r="L203" s="28">
        <f>COGS!L203</f>
        <v>0</v>
      </c>
      <c r="M203" s="28">
        <f>COGS!M203</f>
        <v>0</v>
      </c>
      <c r="N203" s="28">
        <f>COGS!N203</f>
        <v>0</v>
      </c>
      <c r="O203" s="28">
        <f>COGS!O203</f>
        <v>0</v>
      </c>
      <c r="P203" s="28">
        <f>COGS!P203</f>
        <v>0</v>
      </c>
      <c r="Q203" s="28">
        <f>COGS!Q203</f>
        <v>0</v>
      </c>
      <c r="R203" s="28">
        <f>COGS!R203</f>
        <v>0</v>
      </c>
      <c r="S203" s="28">
        <f>COGS!S203</f>
        <v>0</v>
      </c>
      <c r="T203" s="28">
        <f>COGS!T203</f>
        <v>0</v>
      </c>
      <c r="U203" s="28">
        <f>COGS!U203</f>
        <v>0</v>
      </c>
      <c r="V203" s="28">
        <f>COGS!V203</f>
        <v>0</v>
      </c>
      <c r="W203" s="28">
        <f>COGS!W203</f>
        <v>0</v>
      </c>
      <c r="X203" s="28">
        <f>COGS!X203</f>
        <v>0</v>
      </c>
      <c r="Y203" s="28">
        <f>COGS!Y203</f>
        <v>0</v>
      </c>
      <c r="Z203" s="28">
        <f>COGS!Z203</f>
        <v>0</v>
      </c>
      <c r="AA203" s="28">
        <f>COGS!AA203</f>
        <v>0</v>
      </c>
      <c r="AB203" s="28">
        <f>COGS!AB203</f>
        <v>0</v>
      </c>
      <c r="AC203" s="28">
        <f>COGS!AC203</f>
        <v>0</v>
      </c>
      <c r="AD203" s="28">
        <f>COGS!AD203</f>
        <v>0</v>
      </c>
      <c r="AE203" s="28">
        <f>COGS!AE203</f>
        <v>0</v>
      </c>
      <c r="AF203" s="28">
        <f>COGS!AF203</f>
        <v>0</v>
      </c>
      <c r="AG203" s="28">
        <f>COGS!AG203</f>
        <v>0</v>
      </c>
      <c r="AH203" s="28">
        <f>COGS!AH203</f>
        <v>0</v>
      </c>
      <c r="AI203" s="28">
        <f>COGS!AI203</f>
        <v>0</v>
      </c>
      <c r="AJ203" s="28">
        <f>COGS!AJ203</f>
        <v>0</v>
      </c>
      <c r="AK203" s="28">
        <f>COGS!AK203</f>
        <v>0</v>
      </c>
      <c r="AL203" s="28">
        <f>COGS!AL203</f>
        <v>0</v>
      </c>
      <c r="AM203" s="28">
        <f>COGS!AM203</f>
        <v>0</v>
      </c>
      <c r="AN203" s="28">
        <f>COGS!AN203</f>
        <v>0</v>
      </c>
      <c r="AO203" s="28">
        <f>COGS!AO203</f>
        <v>0</v>
      </c>
      <c r="AP203" s="28">
        <f>COGS!AP203</f>
        <v>0</v>
      </c>
      <c r="AQ203" s="28">
        <f>COGS!AQ203</f>
        <v>0</v>
      </c>
      <c r="AR203" s="28">
        <f>COGS!AR203</f>
        <v>0</v>
      </c>
      <c r="AS203" s="28">
        <f>COGS!AS203</f>
        <v>0</v>
      </c>
      <c r="AT203" s="28">
        <f>COGS!AT203</f>
        <v>0</v>
      </c>
      <c r="AU203" s="28">
        <f>COGS!AU203</f>
        <v>0</v>
      </c>
      <c r="AV203" s="28">
        <f>COGS!AV203</f>
        <v>0</v>
      </c>
      <c r="AW203" s="28">
        <f>COGS!AW203</f>
        <v>0</v>
      </c>
      <c r="AX203" s="28">
        <f>COGS!AX203</f>
        <v>0</v>
      </c>
      <c r="AY203" s="28">
        <f>COGS!AY203</f>
        <v>0</v>
      </c>
      <c r="AZ203" s="28">
        <f>COGS!AZ203</f>
        <v>0</v>
      </c>
      <c r="BA203" s="28">
        <f>COGS!BA203</f>
        <v>0</v>
      </c>
      <c r="BB203" s="28">
        <f>COGS!BB203</f>
        <v>0</v>
      </c>
      <c r="BC203" s="28">
        <f>COGS!BC203</f>
        <v>0</v>
      </c>
      <c r="BD203" s="28">
        <f>COGS!BD203</f>
        <v>0</v>
      </c>
      <c r="BE203" s="28">
        <f>COGS!BE203</f>
        <v>0</v>
      </c>
      <c r="BF203" s="28">
        <f>COGS!BF203</f>
        <v>0</v>
      </c>
      <c r="BG203" s="28">
        <f>COGS!BG203</f>
        <v>0</v>
      </c>
      <c r="BH203" s="28">
        <f>COGS!BH203</f>
        <v>0</v>
      </c>
      <c r="BI203" s="28">
        <f>COGS!BI203</f>
        <v>0</v>
      </c>
      <c r="BJ203" s="28">
        <f>COGS!BJ203</f>
        <v>4.22518555</v>
      </c>
      <c r="BK203" s="28">
        <f>COGS!BK203</f>
        <v>4.22518555</v>
      </c>
      <c r="BL203" s="28">
        <f>COGS!BL203</f>
        <v>4.2251855500000017</v>
      </c>
      <c r="BM203" s="28">
        <f>COGS!BM203</f>
        <v>8.6952343899999995</v>
      </c>
      <c r="BN203" s="28">
        <f>COGS!BN203</f>
        <v>21.37079104</v>
      </c>
      <c r="BO203" s="28">
        <f>COGS!BO203</f>
        <v>5.0256087799999998</v>
      </c>
      <c r="BP203" s="28">
        <f>COGS!BP203</f>
        <v>6.3480615299999998</v>
      </c>
      <c r="BQ203" s="28">
        <f>COGS!BQ203</f>
        <v>6.610991740000002</v>
      </c>
      <c r="BR203" s="28">
        <f>COGS!BR203</f>
        <v>6.9710194199999966</v>
      </c>
      <c r="BS203" s="28">
        <f>COGS!BS203</f>
        <v>24.955681469999998</v>
      </c>
      <c r="BT203" s="28">
        <f>COGS!BT203</f>
        <v>4.2578023499999995</v>
      </c>
      <c r="BU203" s="28">
        <f>COGS!BU203</f>
        <v>4.2578023499999995</v>
      </c>
      <c r="BV203" s="28">
        <f>COGS!BV203</f>
        <v>4.2578023800000002</v>
      </c>
      <c r="BW203" s="28">
        <f>COGS!BW203</f>
        <v>9.6802272300000034</v>
      </c>
      <c r="BX203" s="28">
        <f>COGS!BX203</f>
        <v>22.453634310000002</v>
      </c>
      <c r="BY203" s="28">
        <f>COGS!BY203</f>
        <v>5.2692008599999998</v>
      </c>
      <c r="BZ203" s="28">
        <f>COGS!BZ203</f>
        <v>7.9719631500000006</v>
      </c>
      <c r="CA203" s="28">
        <f>COGS!CA203</f>
        <v>3.3168517899999994</v>
      </c>
      <c r="CB203" s="28">
        <f>COGS!CB203</f>
        <v>5.2865921099999991</v>
      </c>
      <c r="CC203" s="28">
        <f>COGS!CC203</f>
        <v>21.844607910000001</v>
      </c>
      <c r="CD203" s="28">
        <f>COGS!CD203</f>
        <v>6.6659191700000004</v>
      </c>
      <c r="CE203" s="28">
        <f>COGS!CE203</f>
        <v>14.731982029999999</v>
      </c>
      <c r="CF203" s="28">
        <f>COGS!CF203</f>
        <v>9.9447859199999957</v>
      </c>
      <c r="CG203" s="28">
        <f>COGS!CG203</f>
        <v>10.929890820000013</v>
      </c>
      <c r="CH203" s="28">
        <f>COGS!CH203</f>
        <v>42.272577940000005</v>
      </c>
      <c r="CI203" s="28">
        <f>COGS!CI203</f>
        <v>5.47423254</v>
      </c>
      <c r="CJ203" s="28">
        <f>COGS!CJ203</f>
        <v>5.5637702800000008</v>
      </c>
      <c r="CK203" s="28">
        <f>COGS!CK203</f>
        <v>5.7692582399999983</v>
      </c>
      <c r="CL203" s="28">
        <f>COGS!CL203</f>
        <v>5.9494809399999999</v>
      </c>
      <c r="CM203" s="28">
        <f>COGS!CM203</f>
        <v>22.756741999999999</v>
      </c>
      <c r="CN203" s="28">
        <f>COGS!CN203</f>
        <v>4.7186575199999998</v>
      </c>
      <c r="CO203" s="28">
        <f>COGS!CO203</f>
        <v>4.6655104199999995</v>
      </c>
      <c r="CP203" s="28">
        <f>COGS!CP203</f>
        <v>5.1936106900000008</v>
      </c>
      <c r="CQ203" s="28">
        <f>COGS!CQ203</f>
        <v>10.843221369999998</v>
      </c>
      <c r="CR203" s="28">
        <f>COGS!CR203</f>
        <v>25.420999999999999</v>
      </c>
      <c r="CS203" s="28">
        <f>COGS!CS203</f>
        <v>4.1376748499999998</v>
      </c>
      <c r="CT203" s="28">
        <f>COGS!CT203</f>
        <v>3.6411733800000006</v>
      </c>
      <c r="CU203" s="28">
        <f>COGS!CU203</f>
        <v>12.536276279999999</v>
      </c>
      <c r="CV203" s="28">
        <f>COGS!CV203</f>
        <v>13.030940509999997</v>
      </c>
      <c r="CW203" s="28">
        <f>COGS!CW203</f>
        <v>33.346065019999998</v>
      </c>
      <c r="CX203" s="28">
        <f>COGS!CX203</f>
        <v>7.0090000000000003</v>
      </c>
      <c r="CY203" s="28">
        <f>COGS!CY203</f>
        <v>7.0090000000000003</v>
      </c>
      <c r="CZ203" s="28">
        <f>COGS!CZ203</f>
        <v>7.8659999999999997</v>
      </c>
      <c r="DA203" s="28">
        <f>COGS!DA203</f>
        <v>44.302999999999997</v>
      </c>
      <c r="DB203" s="28">
        <f>COGS!DB203</f>
        <v>66.186999999999998</v>
      </c>
      <c r="DC203" s="28">
        <f>COGS!DC203</f>
        <v>3.722</v>
      </c>
      <c r="DD203" s="28">
        <f>COGS!DD203</f>
        <v>3.722</v>
      </c>
      <c r="DE203" s="28">
        <f>COGS!DE203</f>
        <v>5.4459999999999997</v>
      </c>
      <c r="DF203" s="28">
        <f>COGS!DF203</f>
        <v>33.930999999999997</v>
      </c>
      <c r="DG203" s="28">
        <f>COGS!DG203</f>
        <v>46.820999999999998</v>
      </c>
      <c r="DH203" s="28">
        <f>COGS!DH203</f>
        <v>2.17</v>
      </c>
      <c r="DI203" s="28">
        <f>COGS!DI203</f>
        <v>2.0609999999999999</v>
      </c>
      <c r="DJ203" s="28">
        <f>COGS!DJ203</f>
        <v>1.843</v>
      </c>
      <c r="DK203" s="28">
        <f>COGS!DK203</f>
        <v>9.3680000000000003</v>
      </c>
      <c r="DL203" s="28">
        <f>COGS!DL203</f>
        <v>15.442</v>
      </c>
      <c r="DM203" s="28">
        <f>COGS!DM203</f>
        <v>0</v>
      </c>
      <c r="DN203" s="28">
        <f>COGS!DN203</f>
        <v>0</v>
      </c>
      <c r="DO203" s="28">
        <f>COGS!DO203</f>
        <v>0</v>
      </c>
      <c r="DP203" s="28">
        <f>COGS!DP203</f>
        <v>-11.75</v>
      </c>
      <c r="DQ203" s="28">
        <f>COGS!DQ203</f>
        <v>-11.75</v>
      </c>
      <c r="DR203" s="28">
        <f>COGS!DR203</f>
        <v>0</v>
      </c>
      <c r="DS203" s="28">
        <f>COGS!DS203</f>
        <v>0</v>
      </c>
      <c r="DT203" s="28">
        <f>COGS!DT203</f>
        <v>0</v>
      </c>
      <c r="DU203" s="28">
        <f>COGS!DU203</f>
        <v>0</v>
      </c>
      <c r="DV203" s="28">
        <f>COGS!DV203</f>
        <v>0</v>
      </c>
      <c r="DW203" s="28">
        <f>COGS!DW203</f>
        <v>0</v>
      </c>
      <c r="DX203" s="28">
        <f>COGS!DX203</f>
        <v>0</v>
      </c>
      <c r="DY203" s="28">
        <f>COGS!DY203</f>
        <v>0</v>
      </c>
      <c r="DZ203" s="28">
        <f>COGS!DZ203</f>
        <v>0</v>
      </c>
      <c r="EA203" s="28">
        <f>COGS!EA203</f>
        <v>0</v>
      </c>
      <c r="EB203" s="28">
        <f>COGS!EB203</f>
        <v>0</v>
      </c>
      <c r="EC203" s="28">
        <f>COGS!EC203</f>
        <v>0</v>
      </c>
      <c r="ED203" s="28">
        <f>COGS!ED203</f>
        <v>0</v>
      </c>
      <c r="EE203" s="28">
        <f>COGS!EE203</f>
        <v>0</v>
      </c>
      <c r="EF203" s="28">
        <f>COGS!EF203</f>
        <v>0</v>
      </c>
      <c r="EG203" s="28">
        <f>COGS!EG203</f>
        <v>0</v>
      </c>
      <c r="EH203" s="28">
        <f>COGS!EH203</f>
        <v>0</v>
      </c>
      <c r="EI203" s="28">
        <f>COGS!EI203</f>
        <v>0</v>
      </c>
    </row>
    <row r="204" spans="1:139" ht="15" thickTop="1" x14ac:dyDescent="0.3">
      <c r="A204" s="1" t="s">
        <v>443</v>
      </c>
      <c r="B204" s="27">
        <f>COGS!B204</f>
        <v>0</v>
      </c>
      <c r="C204" s="27">
        <f>COGS!C204</f>
        <v>0</v>
      </c>
      <c r="D204" s="27">
        <f>COGS!D204</f>
        <v>0</v>
      </c>
      <c r="E204" s="27">
        <f>COGS!E204</f>
        <v>0</v>
      </c>
      <c r="F204" s="27">
        <f>COGS!F204</f>
        <v>0</v>
      </c>
      <c r="G204" s="27">
        <f>COGS!G204</f>
        <v>0</v>
      </c>
      <c r="H204" s="27">
        <f>COGS!H204</f>
        <v>0</v>
      </c>
      <c r="I204" s="27">
        <f>COGS!I204</f>
        <v>0</v>
      </c>
      <c r="J204" s="27">
        <f>COGS!J204</f>
        <v>0</v>
      </c>
      <c r="K204" s="27">
        <f>COGS!K204</f>
        <v>0</v>
      </c>
      <c r="L204" s="27">
        <f>COGS!L204</f>
        <v>0</v>
      </c>
      <c r="M204" s="27">
        <f>COGS!M204</f>
        <v>0</v>
      </c>
      <c r="N204" s="27">
        <f>COGS!N204</f>
        <v>0</v>
      </c>
      <c r="O204" s="27">
        <f>COGS!O204</f>
        <v>0</v>
      </c>
      <c r="P204" s="27">
        <f>COGS!P204</f>
        <v>0</v>
      </c>
      <c r="Q204" s="27">
        <f>COGS!Q204</f>
        <v>0</v>
      </c>
      <c r="R204" s="27">
        <f>COGS!R204</f>
        <v>0</v>
      </c>
      <c r="S204" s="27">
        <f>COGS!S204</f>
        <v>0</v>
      </c>
      <c r="T204" s="27">
        <f>COGS!T204</f>
        <v>0</v>
      </c>
      <c r="U204" s="27">
        <f>COGS!U204</f>
        <v>0</v>
      </c>
      <c r="V204" s="27">
        <f>COGS!V204</f>
        <v>0</v>
      </c>
      <c r="W204" s="27">
        <f>COGS!W204</f>
        <v>0</v>
      </c>
      <c r="X204" s="27">
        <f>COGS!X204</f>
        <v>0</v>
      </c>
      <c r="Y204" s="27">
        <f>COGS!Y204</f>
        <v>0</v>
      </c>
      <c r="Z204" s="27">
        <f>COGS!Z204</f>
        <v>0</v>
      </c>
      <c r="AA204" s="27">
        <f>COGS!AA204</f>
        <v>0</v>
      </c>
      <c r="AB204" s="27">
        <f>COGS!AB204</f>
        <v>0</v>
      </c>
      <c r="AC204" s="27">
        <f>COGS!AC204</f>
        <v>0</v>
      </c>
      <c r="AD204" s="27">
        <f>COGS!AD204</f>
        <v>0</v>
      </c>
      <c r="AE204" s="27">
        <f>COGS!AE204</f>
        <v>0</v>
      </c>
      <c r="AF204" s="27">
        <f>COGS!AF204</f>
        <v>0</v>
      </c>
      <c r="AG204" s="27">
        <f>COGS!AG204</f>
        <v>0</v>
      </c>
      <c r="AH204" s="27">
        <f>COGS!AH204</f>
        <v>0</v>
      </c>
      <c r="AI204" s="27">
        <f>COGS!AI204</f>
        <v>0</v>
      </c>
      <c r="AJ204" s="27">
        <f>COGS!AJ204</f>
        <v>0</v>
      </c>
      <c r="AK204" s="27">
        <f>COGS!AK204</f>
        <v>0</v>
      </c>
      <c r="AL204" s="27">
        <f>COGS!AL204</f>
        <v>0</v>
      </c>
      <c r="AM204" s="27">
        <f>COGS!AM204</f>
        <v>0</v>
      </c>
      <c r="AN204" s="27">
        <f>COGS!AN204</f>
        <v>0</v>
      </c>
      <c r="AO204" s="27">
        <f>COGS!AO204</f>
        <v>0</v>
      </c>
      <c r="AP204" s="27">
        <f>COGS!AP204</f>
        <v>0</v>
      </c>
      <c r="AQ204" s="27">
        <f>COGS!AQ204</f>
        <v>0</v>
      </c>
      <c r="AR204" s="27">
        <f>COGS!AR204</f>
        <v>0</v>
      </c>
      <c r="AS204" s="27">
        <f>COGS!AS204</f>
        <v>0</v>
      </c>
      <c r="AT204" s="27">
        <f>COGS!AT204</f>
        <v>0</v>
      </c>
      <c r="AU204" s="27">
        <f>COGS!AU204</f>
        <v>0</v>
      </c>
      <c r="AV204" s="27">
        <f>COGS!AV204</f>
        <v>0</v>
      </c>
      <c r="AW204" s="27">
        <f>COGS!AW204</f>
        <v>0</v>
      </c>
      <c r="AX204" s="27">
        <f>COGS!AX204</f>
        <v>0</v>
      </c>
      <c r="AY204" s="27">
        <f>COGS!AY204</f>
        <v>0</v>
      </c>
      <c r="AZ204" s="27">
        <f>COGS!AZ204</f>
        <v>0</v>
      </c>
      <c r="BA204" s="27">
        <f>COGS!BA204</f>
        <v>0</v>
      </c>
      <c r="BB204" s="27">
        <f>COGS!BB204</f>
        <v>0</v>
      </c>
      <c r="BC204" s="27">
        <f>COGS!BC204</f>
        <v>0</v>
      </c>
      <c r="BD204" s="27">
        <f>COGS!BD204</f>
        <v>0</v>
      </c>
      <c r="BE204" s="27">
        <f>COGS!BE204</f>
        <v>0</v>
      </c>
      <c r="BF204" s="27">
        <f>COGS!BF204</f>
        <v>0</v>
      </c>
      <c r="BG204" s="27">
        <f>COGS!BG204</f>
        <v>0</v>
      </c>
      <c r="BH204" s="27">
        <f>COGS!BH204</f>
        <v>0</v>
      </c>
      <c r="BI204" s="27">
        <f>COGS!BI204</f>
        <v>0</v>
      </c>
      <c r="BJ204" s="27">
        <f>COGS!BJ204</f>
        <v>0.58700668</v>
      </c>
      <c r="BK204" s="27">
        <f>COGS!BK204</f>
        <v>0.58700668</v>
      </c>
      <c r="BL204" s="27">
        <f>COGS!BL204</f>
        <v>0.58700668</v>
      </c>
      <c r="BM204" s="27">
        <f>COGS!BM204</f>
        <v>0.58700668</v>
      </c>
      <c r="BN204" s="27">
        <f>COGS!BN204</f>
        <v>2.34802672</v>
      </c>
      <c r="BO204" s="27">
        <f>COGS!BO204</f>
        <v>0.47766117000000002</v>
      </c>
      <c r="BP204" s="27">
        <f>COGS!BP204</f>
        <v>0.47766117000000002</v>
      </c>
      <c r="BQ204" s="27">
        <f>COGS!BQ204</f>
        <v>1.0358594800000001</v>
      </c>
      <c r="BR204" s="27">
        <f>COGS!BR204</f>
        <v>0.66372729000000019</v>
      </c>
      <c r="BS204" s="27">
        <f>COGS!BS204</f>
        <v>2.6549091100000002</v>
      </c>
      <c r="BT204" s="27">
        <f>COGS!BT204</f>
        <v>0.41651801999999999</v>
      </c>
      <c r="BU204" s="27">
        <f>COGS!BU204</f>
        <v>0.41651801999999999</v>
      </c>
      <c r="BV204" s="27">
        <f>COGS!BV204</f>
        <v>0.41651801999999988</v>
      </c>
      <c r="BW204" s="27">
        <f>COGS!BW204</f>
        <v>-1.0652589499999998</v>
      </c>
      <c r="BX204" s="27">
        <f>COGS!BX204</f>
        <v>0.1842951100000001</v>
      </c>
      <c r="BY204" s="27">
        <f>COGS!BY204</f>
        <v>0.41651801999999999</v>
      </c>
      <c r="BZ204" s="27">
        <f>COGS!BZ204</f>
        <v>1.0274517299999999</v>
      </c>
      <c r="CA204" s="27">
        <f>COGS!CA204</f>
        <v>0.72198485999999962</v>
      </c>
      <c r="CB204" s="27">
        <f>COGS!CB204</f>
        <v>0.72198486000000006</v>
      </c>
      <c r="CC204" s="27">
        <f>COGS!CC204</f>
        <v>2.8879394699999996</v>
      </c>
      <c r="CD204" s="27">
        <f>COGS!CD204</f>
        <v>2.8959860399999999</v>
      </c>
      <c r="CE204" s="27">
        <f>COGS!CE204</f>
        <v>3.4006257600000001</v>
      </c>
      <c r="CF204" s="27">
        <f>COGS!CF204</f>
        <v>3.1483058999999991</v>
      </c>
      <c r="CG204" s="27">
        <f>COGS!CG204</f>
        <v>-3.9513798399999991</v>
      </c>
      <c r="CH204" s="27">
        <f>COGS!CH204</f>
        <v>5.49353786</v>
      </c>
      <c r="CI204" s="27">
        <f>COGS!CI204</f>
        <v>2.5501902400000001</v>
      </c>
      <c r="CJ204" s="27">
        <f>COGS!CJ204</f>
        <v>2.0172994299999996</v>
      </c>
      <c r="CK204" s="27">
        <f>COGS!CK204</f>
        <v>1.8233914100000002</v>
      </c>
      <c r="CL204" s="27">
        <f>COGS!CL204</f>
        <v>1.76343052</v>
      </c>
      <c r="CM204" s="27">
        <f>COGS!CM204</f>
        <v>8.1543115999999998</v>
      </c>
      <c r="CN204" s="27">
        <f>COGS!CN204</f>
        <v>1.4144974800000001</v>
      </c>
      <c r="CO204" s="27">
        <f>COGS!CO204</f>
        <v>1.4144974800000001</v>
      </c>
      <c r="CP204" s="27">
        <f>COGS!CP204</f>
        <v>1.4144974800000005</v>
      </c>
      <c r="CQ204" s="27">
        <f>COGS!CQ204</f>
        <v>1.614507559999999</v>
      </c>
      <c r="CR204" s="27">
        <f>COGS!CR204</f>
        <v>5.8579999999999997</v>
      </c>
      <c r="CS204" s="27">
        <f>COGS!CS204</f>
        <v>1.4970797499999999</v>
      </c>
      <c r="CT204" s="27">
        <f>COGS!CT204</f>
        <v>1.4970797400000004</v>
      </c>
      <c r="CU204" s="27">
        <f>COGS!CU204</f>
        <v>1.5510895299999998</v>
      </c>
      <c r="CV204" s="27">
        <f>COGS!CV204</f>
        <v>2.3023106800000006</v>
      </c>
      <c r="CW204" s="27">
        <f>COGS!CW204</f>
        <v>6.8475597000000006</v>
      </c>
      <c r="CX204" s="27">
        <f>COGS!CX204</f>
        <v>1.796</v>
      </c>
      <c r="CY204" s="27">
        <f>COGS!CY204</f>
        <v>1.796</v>
      </c>
      <c r="CZ204" s="27">
        <f>COGS!CZ204</f>
        <v>1.6879999999999999</v>
      </c>
      <c r="DA204" s="27">
        <f>COGS!DA204</f>
        <v>7.13</v>
      </c>
      <c r="DB204" s="27">
        <f>COGS!DB204</f>
        <v>12.41</v>
      </c>
      <c r="DC204" s="27">
        <f>COGS!DC204</f>
        <v>12.984999999999999</v>
      </c>
      <c r="DD204" s="27">
        <f>COGS!DD204</f>
        <v>12.984999999999999</v>
      </c>
      <c r="DE204" s="27">
        <f>COGS!DE204</f>
        <v>12.984999999999999</v>
      </c>
      <c r="DF204" s="27">
        <f>COGS!DF204</f>
        <v>12.725</v>
      </c>
      <c r="DG204" s="27">
        <f>COGS!DG204</f>
        <v>51.68</v>
      </c>
      <c r="DH204" s="27">
        <f>COGS!DH204</f>
        <v>5.81</v>
      </c>
      <c r="DI204" s="27">
        <f>COGS!DI204</f>
        <v>5.4669999999999996</v>
      </c>
      <c r="DJ204" s="27">
        <f>COGS!DJ204</f>
        <v>4.782</v>
      </c>
      <c r="DK204" s="27">
        <f>COGS!DK204</f>
        <v>4.782</v>
      </c>
      <c r="DL204" s="27">
        <f>COGS!DL204</f>
        <v>20.840999999999998</v>
      </c>
      <c r="DM204" s="27">
        <f>COGS!DM204</f>
        <v>9.2579999999999991</v>
      </c>
      <c r="DN204" s="27">
        <f>COGS!DN204</f>
        <v>7.9219999999999997</v>
      </c>
      <c r="DO204" s="27">
        <f>COGS!DO204</f>
        <v>8.59</v>
      </c>
      <c r="DP204" s="27">
        <f>COGS!DP204</f>
        <v>-19.242999999999999</v>
      </c>
      <c r="DQ204" s="27">
        <f>COGS!DQ204</f>
        <v>6.527000000000001</v>
      </c>
      <c r="DR204" s="27">
        <f>COGS!DR204</f>
        <v>3.5379999999999998</v>
      </c>
      <c r="DS204" s="27">
        <f>COGS!DS204</f>
        <v>6.0449999999999999</v>
      </c>
      <c r="DT204" s="27">
        <f>COGS!DT204</f>
        <v>3.6659999999999999</v>
      </c>
      <c r="DU204" s="27">
        <f>COGS!DU204</f>
        <v>2.0219999999999998</v>
      </c>
      <c r="DV204" s="27">
        <f>COGS!DV204</f>
        <v>15.271000000000001</v>
      </c>
      <c r="DW204" s="27">
        <f>COGS!DW204</f>
        <v>2.069</v>
      </c>
      <c r="DX204" s="27">
        <f>COGS!DX204</f>
        <v>4.0460000000000003</v>
      </c>
      <c r="DY204" s="27">
        <f>COGS!DY204</f>
        <v>3.5259486500000015</v>
      </c>
      <c r="DZ204" s="27">
        <f>COGS!DZ204</f>
        <v>-0.8794703000000007</v>
      </c>
      <c r="EA204" s="27">
        <f>COGS!EA204</f>
        <v>8.7614783500000009</v>
      </c>
      <c r="EB204" s="27">
        <f>COGS!EB204</f>
        <v>1.4681225900000001</v>
      </c>
      <c r="EC204" s="27">
        <f>COGS!EC204</f>
        <v>3.7073335200000006</v>
      </c>
      <c r="ED204" s="27">
        <f>COGS!ED204</f>
        <v>3.2450000000000001</v>
      </c>
      <c r="EE204" s="27">
        <f>COGS!EE204</f>
        <v>10.329380619999998</v>
      </c>
      <c r="EF204" s="27">
        <f>COGS!EF204</f>
        <v>18.749836729999998</v>
      </c>
      <c r="EG204" s="27">
        <f>COGS!EG204</f>
        <v>1.36716181</v>
      </c>
      <c r="EH204" s="27">
        <f>COGS!EH204</f>
        <v>2.89469361</v>
      </c>
      <c r="EI204" s="27">
        <f>COGS!EI204</f>
        <v>2.2688931700000001</v>
      </c>
    </row>
    <row r="205" spans="1:139" ht="15" thickBot="1" x14ac:dyDescent="0.35">
      <c r="A205" s="2" t="s">
        <v>481</v>
      </c>
      <c r="B205" s="28">
        <f>COGS!B205</f>
        <v>0</v>
      </c>
      <c r="C205" s="28">
        <f>COGS!C205</f>
        <v>0</v>
      </c>
      <c r="D205" s="28">
        <f>COGS!D205</f>
        <v>0</v>
      </c>
      <c r="E205" s="28">
        <f>COGS!E205</f>
        <v>0</v>
      </c>
      <c r="F205" s="28">
        <f>COGS!F205</f>
        <v>0</v>
      </c>
      <c r="G205" s="28">
        <f>COGS!G205</f>
        <v>0</v>
      </c>
      <c r="H205" s="28">
        <f>COGS!H205</f>
        <v>0</v>
      </c>
      <c r="I205" s="28">
        <f>COGS!I205</f>
        <v>0</v>
      </c>
      <c r="J205" s="28">
        <f>COGS!J205</f>
        <v>0</v>
      </c>
      <c r="K205" s="28">
        <f>COGS!K205</f>
        <v>0</v>
      </c>
      <c r="L205" s="28">
        <f>COGS!L205</f>
        <v>0</v>
      </c>
      <c r="M205" s="28">
        <f>COGS!M205</f>
        <v>0</v>
      </c>
      <c r="N205" s="28">
        <f>COGS!N205</f>
        <v>0</v>
      </c>
      <c r="O205" s="28">
        <f>COGS!O205</f>
        <v>0</v>
      </c>
      <c r="P205" s="28">
        <f>COGS!P205</f>
        <v>0</v>
      </c>
      <c r="Q205" s="28">
        <f>COGS!Q205</f>
        <v>0</v>
      </c>
      <c r="R205" s="28">
        <f>COGS!R205</f>
        <v>0</v>
      </c>
      <c r="S205" s="28">
        <f>COGS!S205</f>
        <v>0</v>
      </c>
      <c r="T205" s="28">
        <f>COGS!T205</f>
        <v>0</v>
      </c>
      <c r="U205" s="28">
        <f>COGS!U205</f>
        <v>0</v>
      </c>
      <c r="V205" s="28">
        <f>COGS!V205</f>
        <v>0</v>
      </c>
      <c r="W205" s="28">
        <f>COGS!W205</f>
        <v>0</v>
      </c>
      <c r="X205" s="28">
        <f>COGS!X205</f>
        <v>0</v>
      </c>
      <c r="Y205" s="28">
        <f>COGS!Y205</f>
        <v>0</v>
      </c>
      <c r="Z205" s="28">
        <f>COGS!Z205</f>
        <v>0</v>
      </c>
      <c r="AA205" s="28">
        <f>COGS!AA205</f>
        <v>0</v>
      </c>
      <c r="AB205" s="28">
        <f>COGS!AB205</f>
        <v>0</v>
      </c>
      <c r="AC205" s="28">
        <f>COGS!AC205</f>
        <v>0</v>
      </c>
      <c r="AD205" s="28">
        <f>COGS!AD205</f>
        <v>0</v>
      </c>
      <c r="AE205" s="28">
        <f>COGS!AE205</f>
        <v>0</v>
      </c>
      <c r="AF205" s="28">
        <f>COGS!AF205</f>
        <v>0</v>
      </c>
      <c r="AG205" s="28">
        <f>COGS!AG205</f>
        <v>0</v>
      </c>
      <c r="AH205" s="28">
        <f>COGS!AH205</f>
        <v>0</v>
      </c>
      <c r="AI205" s="28">
        <f>COGS!AI205</f>
        <v>0</v>
      </c>
      <c r="AJ205" s="28">
        <f>COGS!AJ205</f>
        <v>0</v>
      </c>
      <c r="AK205" s="28">
        <f>COGS!AK205</f>
        <v>0</v>
      </c>
      <c r="AL205" s="28">
        <f>COGS!AL205</f>
        <v>0</v>
      </c>
      <c r="AM205" s="28">
        <f>COGS!AM205</f>
        <v>0</v>
      </c>
      <c r="AN205" s="28">
        <f>COGS!AN205</f>
        <v>0</v>
      </c>
      <c r="AO205" s="28">
        <f>COGS!AO205</f>
        <v>0</v>
      </c>
      <c r="AP205" s="28">
        <f>COGS!AP205</f>
        <v>0</v>
      </c>
      <c r="AQ205" s="28">
        <f>COGS!AQ205</f>
        <v>0</v>
      </c>
      <c r="AR205" s="28">
        <f>COGS!AR205</f>
        <v>0</v>
      </c>
      <c r="AS205" s="28">
        <f>COGS!AS205</f>
        <v>0</v>
      </c>
      <c r="AT205" s="28">
        <f>COGS!AT205</f>
        <v>0</v>
      </c>
      <c r="AU205" s="28">
        <f>COGS!AU205</f>
        <v>0</v>
      </c>
      <c r="AV205" s="28">
        <f>COGS!AV205</f>
        <v>0</v>
      </c>
      <c r="AW205" s="28">
        <f>COGS!AW205</f>
        <v>0</v>
      </c>
      <c r="AX205" s="28">
        <f>COGS!AX205</f>
        <v>0</v>
      </c>
      <c r="AY205" s="28">
        <f>COGS!AY205</f>
        <v>0</v>
      </c>
      <c r="AZ205" s="28">
        <f>COGS!AZ205</f>
        <v>0</v>
      </c>
      <c r="BA205" s="28">
        <f>COGS!BA205</f>
        <v>0</v>
      </c>
      <c r="BB205" s="28">
        <f>COGS!BB205</f>
        <v>0</v>
      </c>
      <c r="BC205" s="28">
        <f>COGS!BC205</f>
        <v>0</v>
      </c>
      <c r="BD205" s="28">
        <f>COGS!BD205</f>
        <v>0</v>
      </c>
      <c r="BE205" s="28">
        <f>COGS!BE205</f>
        <v>0</v>
      </c>
      <c r="BF205" s="28">
        <f>COGS!BF205</f>
        <v>0</v>
      </c>
      <c r="BG205" s="28">
        <f>COGS!BG205</f>
        <v>0</v>
      </c>
      <c r="BH205" s="28">
        <f>COGS!BH205</f>
        <v>0</v>
      </c>
      <c r="BI205" s="28">
        <f>COGS!BI205</f>
        <v>0</v>
      </c>
      <c r="BJ205" s="28">
        <f>COGS!BJ205</f>
        <v>0</v>
      </c>
      <c r="BK205" s="28">
        <f>COGS!BK205</f>
        <v>0</v>
      </c>
      <c r="BL205" s="28">
        <f>COGS!BL205</f>
        <v>0</v>
      </c>
      <c r="BM205" s="28">
        <f>COGS!BM205</f>
        <v>0</v>
      </c>
      <c r="BN205" s="28">
        <f>COGS!BN205</f>
        <v>0</v>
      </c>
      <c r="BO205" s="28">
        <f>COGS!BO205</f>
        <v>0</v>
      </c>
      <c r="BP205" s="28">
        <f>COGS!BP205</f>
        <v>0</v>
      </c>
      <c r="BQ205" s="28">
        <f>COGS!BQ205</f>
        <v>0</v>
      </c>
      <c r="BR205" s="28">
        <f>COGS!BR205</f>
        <v>0</v>
      </c>
      <c r="BS205" s="28">
        <f>COGS!BS205</f>
        <v>0</v>
      </c>
      <c r="BT205" s="28">
        <f>COGS!BT205</f>
        <v>0</v>
      </c>
      <c r="BU205" s="28">
        <f>COGS!BU205</f>
        <v>0</v>
      </c>
      <c r="BV205" s="28">
        <f>COGS!BV205</f>
        <v>0</v>
      </c>
      <c r="BW205" s="28">
        <f>COGS!BW205</f>
        <v>0</v>
      </c>
      <c r="BX205" s="28">
        <f>COGS!BX205</f>
        <v>0</v>
      </c>
      <c r="BY205" s="28">
        <f>COGS!BY205</f>
        <v>0</v>
      </c>
      <c r="BZ205" s="28">
        <f>COGS!BZ205</f>
        <v>0</v>
      </c>
      <c r="CA205" s="28">
        <f>COGS!CA205</f>
        <v>0</v>
      </c>
      <c r="CB205" s="28">
        <f>COGS!CB205</f>
        <v>0</v>
      </c>
      <c r="CC205" s="28">
        <f>COGS!CC205</f>
        <v>0</v>
      </c>
      <c r="CD205" s="28">
        <f>COGS!CD205</f>
        <v>0</v>
      </c>
      <c r="CE205" s="28">
        <f>COGS!CE205</f>
        <v>0.45662218999999998</v>
      </c>
      <c r="CF205" s="28">
        <f>COGS!CF205</f>
        <v>0.68493329999999997</v>
      </c>
      <c r="CG205" s="28">
        <f>COGS!CG205</f>
        <v>0.41649973000000001</v>
      </c>
      <c r="CH205" s="28">
        <f>COGS!CH205</f>
        <v>1.55805522</v>
      </c>
      <c r="CI205" s="28">
        <f>COGS!CI205</f>
        <v>0.98053559999999995</v>
      </c>
      <c r="CJ205" s="28">
        <f>COGS!CJ205</f>
        <v>0.98053559999999995</v>
      </c>
      <c r="CK205" s="28">
        <f>COGS!CK205</f>
        <v>0.98053559999999973</v>
      </c>
      <c r="CL205" s="28">
        <f>COGS!CL205</f>
        <v>-0.61992943999999972</v>
      </c>
      <c r="CM205" s="28">
        <f>COGS!CM205</f>
        <v>2.3216773599999998</v>
      </c>
      <c r="CN205" s="28">
        <f>COGS!CN205</f>
        <v>1.0365654</v>
      </c>
      <c r="CO205" s="28">
        <f>COGS!CO205</f>
        <v>1.0365654</v>
      </c>
      <c r="CP205" s="28">
        <f>COGS!CP205</f>
        <v>1.0365654000000004</v>
      </c>
      <c r="CQ205" s="28">
        <f>COGS!CQ205</f>
        <v>3.4803037999999997</v>
      </c>
      <c r="CR205" s="28">
        <f>COGS!CR205</f>
        <v>6.59</v>
      </c>
      <c r="CS205" s="28">
        <f>COGS!CS205</f>
        <v>2.71984878</v>
      </c>
      <c r="CT205" s="28">
        <f>COGS!CT205</f>
        <v>2.71984878</v>
      </c>
      <c r="CU205" s="28">
        <f>COGS!CU205</f>
        <v>2.7198487800000009</v>
      </c>
      <c r="CV205" s="28">
        <f>COGS!CV205</f>
        <v>-6.5075694200000012</v>
      </c>
      <c r="CW205" s="28">
        <f>COGS!CW205</f>
        <v>1.6519769199999992</v>
      </c>
      <c r="CX205" s="28">
        <f>COGS!CX205</f>
        <v>2.9489999999999998</v>
      </c>
      <c r="CY205" s="28">
        <f>COGS!CY205</f>
        <v>2.9489999999999998</v>
      </c>
      <c r="CZ205" s="28">
        <f>COGS!CZ205</f>
        <v>3.1179999999999999</v>
      </c>
      <c r="DA205" s="28">
        <f>COGS!DA205</f>
        <v>-18.129000000000001</v>
      </c>
      <c r="DB205" s="28">
        <f>COGS!DB205</f>
        <v>-9.1130000000000013</v>
      </c>
      <c r="DC205" s="28">
        <f>COGS!DC205</f>
        <v>2.7330000000000001</v>
      </c>
      <c r="DD205" s="28">
        <f>COGS!DD205</f>
        <v>2.7330000000000001</v>
      </c>
      <c r="DE205" s="28">
        <f>COGS!DE205</f>
        <v>2.7330000000000001</v>
      </c>
      <c r="DF205" s="28">
        <f>COGS!DF205</f>
        <v>9.3149999999999995</v>
      </c>
      <c r="DG205" s="28">
        <f>COGS!DG205</f>
        <v>17.513999999999999</v>
      </c>
      <c r="DH205" s="28">
        <f>COGS!DH205</f>
        <v>4.6619999999999999</v>
      </c>
      <c r="DI205" s="28">
        <f>COGS!DI205</f>
        <v>4.2530000000000001</v>
      </c>
      <c r="DJ205" s="28">
        <f>COGS!DJ205</f>
        <v>3.4329999999999998</v>
      </c>
      <c r="DK205" s="28">
        <f>COGS!DK205</f>
        <v>3.145</v>
      </c>
      <c r="DL205" s="28">
        <f>COGS!DL205</f>
        <v>15.492999999999999</v>
      </c>
      <c r="DM205" s="28">
        <f>COGS!DM205</f>
        <v>6.9550000000000001</v>
      </c>
      <c r="DN205" s="28">
        <f>COGS!DN205</f>
        <v>6.9550000000000001</v>
      </c>
      <c r="DO205" s="28">
        <f>COGS!DO205</f>
        <v>6.9550000000000001</v>
      </c>
      <c r="DP205" s="28">
        <f>COGS!DP205</f>
        <v>11.34</v>
      </c>
      <c r="DQ205" s="28">
        <f>COGS!DQ205</f>
        <v>32.204999999999998</v>
      </c>
      <c r="DR205" s="28">
        <f>COGS!DR205</f>
        <v>5.77</v>
      </c>
      <c r="DS205" s="28">
        <f>COGS!DS205</f>
        <v>8.8260000000000005</v>
      </c>
      <c r="DT205" s="28">
        <f>COGS!DT205</f>
        <v>9.7739999999999991</v>
      </c>
      <c r="DU205" s="28">
        <f>COGS!DU205</f>
        <v>3.8940000000000001</v>
      </c>
      <c r="DV205" s="28">
        <f>COGS!DV205</f>
        <v>28.263999999999996</v>
      </c>
      <c r="DW205" s="28">
        <f>COGS!DW205</f>
        <v>6.3209999999999997</v>
      </c>
      <c r="DX205" s="28">
        <f>COGS!DX205</f>
        <v>10.066000000000001</v>
      </c>
      <c r="DY205" s="28">
        <f>COGS!DY205</f>
        <v>9.3489950600000018</v>
      </c>
      <c r="DZ205" s="28">
        <f>COGS!DZ205</f>
        <v>6.1259967799999977</v>
      </c>
      <c r="EA205" s="28">
        <f>COGS!EA205</f>
        <v>31.861991839999998</v>
      </c>
      <c r="EB205" s="28">
        <f>COGS!EB205</f>
        <v>8.2246074299999989</v>
      </c>
      <c r="EC205" s="28">
        <f>COGS!EC205</f>
        <v>8.2246074299999989</v>
      </c>
      <c r="ED205" s="28">
        <f>COGS!ED205</f>
        <v>8.2249999999999996</v>
      </c>
      <c r="EE205" s="28">
        <f>COGS!EE205</f>
        <v>8.2246074299999989</v>
      </c>
      <c r="EF205" s="28">
        <f>COGS!EF205</f>
        <v>32.898822289999998</v>
      </c>
      <c r="EG205" s="28">
        <f>COGS!EG205</f>
        <v>7.95544224</v>
      </c>
      <c r="EH205" s="28">
        <f>COGS!EH205</f>
        <v>7.95544224</v>
      </c>
      <c r="EI205" s="28">
        <f>COGS!EI205</f>
        <v>7.9554422399999982</v>
      </c>
    </row>
    <row r="206" spans="1:139" ht="15" thickTop="1" x14ac:dyDescent="0.3">
      <c r="A206" s="1" t="s">
        <v>445</v>
      </c>
      <c r="B206" s="27">
        <f>COGS!B206</f>
        <v>0</v>
      </c>
      <c r="C206" s="27">
        <f>COGS!C206</f>
        <v>0</v>
      </c>
      <c r="D206" s="27">
        <f>COGS!D206</f>
        <v>0</v>
      </c>
      <c r="E206" s="27">
        <f>COGS!E206</f>
        <v>0</v>
      </c>
      <c r="F206" s="27">
        <f>COGS!F206</f>
        <v>0</v>
      </c>
      <c r="G206" s="27">
        <f>COGS!G206</f>
        <v>0</v>
      </c>
      <c r="H206" s="27">
        <f>COGS!H206</f>
        <v>0</v>
      </c>
      <c r="I206" s="27">
        <f>COGS!I206</f>
        <v>0</v>
      </c>
      <c r="J206" s="27">
        <f>COGS!J206</f>
        <v>0</v>
      </c>
      <c r="K206" s="27">
        <f>COGS!K206</f>
        <v>0</v>
      </c>
      <c r="L206" s="27">
        <f>COGS!L206</f>
        <v>0</v>
      </c>
      <c r="M206" s="27">
        <f>COGS!M206</f>
        <v>0</v>
      </c>
      <c r="N206" s="27">
        <f>COGS!N206</f>
        <v>0</v>
      </c>
      <c r="O206" s="27">
        <f>COGS!O206</f>
        <v>0</v>
      </c>
      <c r="P206" s="27">
        <f>COGS!P206</f>
        <v>0</v>
      </c>
      <c r="Q206" s="27">
        <f>COGS!Q206</f>
        <v>0</v>
      </c>
      <c r="R206" s="27">
        <f>COGS!R206</f>
        <v>0</v>
      </c>
      <c r="S206" s="27">
        <f>COGS!S206</f>
        <v>0</v>
      </c>
      <c r="T206" s="27">
        <f>COGS!T206</f>
        <v>0</v>
      </c>
      <c r="U206" s="27">
        <f>COGS!U206</f>
        <v>0</v>
      </c>
      <c r="V206" s="27">
        <f>COGS!V206</f>
        <v>0</v>
      </c>
      <c r="W206" s="27">
        <f>COGS!W206</f>
        <v>0</v>
      </c>
      <c r="X206" s="27">
        <f>COGS!X206</f>
        <v>0</v>
      </c>
      <c r="Y206" s="27">
        <f>COGS!Y206</f>
        <v>0</v>
      </c>
      <c r="Z206" s="27">
        <f>COGS!Z206</f>
        <v>0</v>
      </c>
      <c r="AA206" s="27">
        <f>COGS!AA206</f>
        <v>0</v>
      </c>
      <c r="AB206" s="27">
        <f>COGS!AB206</f>
        <v>0</v>
      </c>
      <c r="AC206" s="27">
        <f>COGS!AC206</f>
        <v>0</v>
      </c>
      <c r="AD206" s="27">
        <f>COGS!AD206</f>
        <v>0</v>
      </c>
      <c r="AE206" s="27">
        <f>COGS!AE206</f>
        <v>0</v>
      </c>
      <c r="AF206" s="27">
        <f>COGS!AF206</f>
        <v>0</v>
      </c>
      <c r="AG206" s="27">
        <f>COGS!AG206</f>
        <v>0</v>
      </c>
      <c r="AH206" s="27">
        <f>COGS!AH206</f>
        <v>0</v>
      </c>
      <c r="AI206" s="27">
        <f>COGS!AI206</f>
        <v>0</v>
      </c>
      <c r="AJ206" s="27">
        <f>COGS!AJ206</f>
        <v>0</v>
      </c>
      <c r="AK206" s="27">
        <f>COGS!AK206</f>
        <v>0</v>
      </c>
      <c r="AL206" s="27">
        <f>COGS!AL206</f>
        <v>0</v>
      </c>
      <c r="AM206" s="27">
        <f>COGS!AM206</f>
        <v>0</v>
      </c>
      <c r="AN206" s="27">
        <f>COGS!AN206</f>
        <v>0</v>
      </c>
      <c r="AO206" s="27">
        <f>COGS!AO206</f>
        <v>0</v>
      </c>
      <c r="AP206" s="27">
        <f>COGS!AP206</f>
        <v>0</v>
      </c>
      <c r="AQ206" s="27">
        <f>COGS!AQ206</f>
        <v>0</v>
      </c>
      <c r="AR206" s="27">
        <f>COGS!AR206</f>
        <v>0</v>
      </c>
      <c r="AS206" s="27">
        <f>COGS!AS206</f>
        <v>0</v>
      </c>
      <c r="AT206" s="27">
        <f>COGS!AT206</f>
        <v>0</v>
      </c>
      <c r="AU206" s="27">
        <f>COGS!AU206</f>
        <v>0</v>
      </c>
      <c r="AV206" s="27">
        <f>COGS!AV206</f>
        <v>0</v>
      </c>
      <c r="AW206" s="27">
        <f>COGS!AW206</f>
        <v>0</v>
      </c>
      <c r="AX206" s="27">
        <f>COGS!AX206</f>
        <v>0</v>
      </c>
      <c r="AY206" s="27">
        <f>COGS!AY206</f>
        <v>0</v>
      </c>
      <c r="AZ206" s="27">
        <f>COGS!AZ206</f>
        <v>0</v>
      </c>
      <c r="BA206" s="27">
        <f>COGS!BA206</f>
        <v>0</v>
      </c>
      <c r="BB206" s="27">
        <f>COGS!BB206</f>
        <v>0</v>
      </c>
      <c r="BC206" s="27">
        <f>COGS!BC206</f>
        <v>0</v>
      </c>
      <c r="BD206" s="27">
        <f>COGS!BD206</f>
        <v>0</v>
      </c>
      <c r="BE206" s="27">
        <f>COGS!BE206</f>
        <v>0</v>
      </c>
      <c r="BF206" s="27">
        <f>COGS!BF206</f>
        <v>0</v>
      </c>
      <c r="BG206" s="27">
        <f>COGS!BG206</f>
        <v>0</v>
      </c>
      <c r="BH206" s="27">
        <f>COGS!BH206</f>
        <v>0</v>
      </c>
      <c r="BI206" s="27">
        <f>COGS!BI206</f>
        <v>0</v>
      </c>
      <c r="BJ206" s="27">
        <f>COGS!BJ206</f>
        <v>0</v>
      </c>
      <c r="BK206" s="27">
        <f>COGS!BK206</f>
        <v>0</v>
      </c>
      <c r="BL206" s="27">
        <f>COGS!BL206</f>
        <v>0</v>
      </c>
      <c r="BM206" s="27">
        <f>COGS!BM206</f>
        <v>0</v>
      </c>
      <c r="BN206" s="27">
        <f>COGS!BN206</f>
        <v>0</v>
      </c>
      <c r="BO206" s="27">
        <f>COGS!BO206</f>
        <v>0</v>
      </c>
      <c r="BP206" s="27">
        <f>COGS!BP206</f>
        <v>0</v>
      </c>
      <c r="BQ206" s="27">
        <f>COGS!BQ206</f>
        <v>0</v>
      </c>
      <c r="BR206" s="27">
        <f>COGS!BR206</f>
        <v>0</v>
      </c>
      <c r="BS206" s="27">
        <f>COGS!BS206</f>
        <v>0</v>
      </c>
      <c r="BT206" s="27">
        <f>COGS!BT206</f>
        <v>0</v>
      </c>
      <c r="BU206" s="27">
        <f>COGS!BU206</f>
        <v>0</v>
      </c>
      <c r="BV206" s="27">
        <f>COGS!BV206</f>
        <v>0</v>
      </c>
      <c r="BW206" s="27">
        <f>COGS!BW206</f>
        <v>0</v>
      </c>
      <c r="BX206" s="27">
        <f>COGS!BX206</f>
        <v>0</v>
      </c>
      <c r="BY206" s="27">
        <f>COGS!BY206</f>
        <v>0</v>
      </c>
      <c r="BZ206" s="27">
        <f>COGS!BZ206</f>
        <v>0</v>
      </c>
      <c r="CA206" s="27">
        <f>COGS!CA206</f>
        <v>0</v>
      </c>
      <c r="CB206" s="27">
        <f>COGS!CB206</f>
        <v>0</v>
      </c>
      <c r="CC206" s="27">
        <f>COGS!CC206</f>
        <v>0</v>
      </c>
      <c r="CD206" s="27">
        <f>COGS!CD206</f>
        <v>0</v>
      </c>
      <c r="CE206" s="27">
        <f>COGS!CE206</f>
        <v>0</v>
      </c>
      <c r="CF206" s="27">
        <f>COGS!CF206</f>
        <v>0</v>
      </c>
      <c r="CG206" s="27">
        <f>COGS!CG206</f>
        <v>0</v>
      </c>
      <c r="CH206" s="27">
        <f>COGS!CH206</f>
        <v>0</v>
      </c>
      <c r="CI206" s="27">
        <f>COGS!CI206</f>
        <v>0</v>
      </c>
      <c r="CJ206" s="27">
        <f>COGS!CJ206</f>
        <v>0</v>
      </c>
      <c r="CK206" s="27">
        <f>COGS!CK206</f>
        <v>0</v>
      </c>
      <c r="CL206" s="27">
        <f>COGS!CL206</f>
        <v>0</v>
      </c>
      <c r="CM206" s="27">
        <f>COGS!CM206</f>
        <v>0</v>
      </c>
      <c r="CN206" s="27">
        <f>COGS!CN206</f>
        <v>0</v>
      </c>
      <c r="CO206" s="27">
        <f>COGS!CO206</f>
        <v>0</v>
      </c>
      <c r="CP206" s="27">
        <f>COGS!CP206</f>
        <v>0</v>
      </c>
      <c r="CQ206" s="27">
        <f>COGS!CQ206</f>
        <v>2.431</v>
      </c>
      <c r="CR206" s="27">
        <f>COGS!CR206</f>
        <v>2.431</v>
      </c>
      <c r="CS206" s="27">
        <f>COGS!CS206</f>
        <v>0.89798834999999999</v>
      </c>
      <c r="CT206" s="27">
        <f>COGS!CT206</f>
        <v>1.10055711</v>
      </c>
      <c r="CU206" s="27">
        <f>COGS!CU206</f>
        <v>0.89798835000000021</v>
      </c>
      <c r="CV206" s="27">
        <f>COGS!CV206</f>
        <v>5.8158363899999976</v>
      </c>
      <c r="CW206" s="27">
        <f>COGS!CW206</f>
        <v>8.7123701999999987</v>
      </c>
      <c r="CX206" s="27">
        <f>COGS!CX206</f>
        <v>1.024</v>
      </c>
      <c r="CY206" s="27">
        <f>COGS!CY206</f>
        <v>1.024</v>
      </c>
      <c r="CZ206" s="27">
        <f>COGS!CZ206</f>
        <v>5.4139999999999997</v>
      </c>
      <c r="DA206" s="27">
        <f>COGS!DA206</f>
        <v>2.85</v>
      </c>
      <c r="DB206" s="27">
        <f>COGS!DB206</f>
        <v>10.311999999999999</v>
      </c>
      <c r="DC206" s="27">
        <f>COGS!DC206</f>
        <v>5.3159999999999998</v>
      </c>
      <c r="DD206" s="27">
        <f>COGS!DD206</f>
        <v>5.3159999999999998</v>
      </c>
      <c r="DE206" s="27">
        <f>COGS!DE206</f>
        <v>5.3159999999999998</v>
      </c>
      <c r="DF206" s="27">
        <f>COGS!DF206</f>
        <v>4.5739999999999998</v>
      </c>
      <c r="DG206" s="27">
        <f>COGS!DG206</f>
        <v>20.521999999999998</v>
      </c>
      <c r="DH206" s="27">
        <f>COGS!DH206</f>
        <v>2.069</v>
      </c>
      <c r="DI206" s="27">
        <f>COGS!DI206</f>
        <v>1.8620000000000001</v>
      </c>
      <c r="DJ206" s="27">
        <f>COGS!DJ206</f>
        <v>1.448</v>
      </c>
      <c r="DK206" s="27">
        <f>COGS!DK206</f>
        <v>3.774</v>
      </c>
      <c r="DL206" s="27">
        <f>COGS!DL206</f>
        <v>9.1529999999999987</v>
      </c>
      <c r="DM206" s="27">
        <f>COGS!DM206</f>
        <v>2.3319999999999999</v>
      </c>
      <c r="DN206" s="27">
        <f>COGS!DN206</f>
        <v>2.4470000000000001</v>
      </c>
      <c r="DO206" s="27">
        <f>COGS!DO206</f>
        <v>2.3889999999999998</v>
      </c>
      <c r="DP206" s="27">
        <f>COGS!DP206</f>
        <v>-8.1300000000000008</v>
      </c>
      <c r="DQ206" s="27">
        <f>COGS!DQ206</f>
        <v>-0.96200000000000152</v>
      </c>
      <c r="DR206" s="27">
        <f>COGS!DR206</f>
        <v>2.7149999999999999</v>
      </c>
      <c r="DS206" s="27">
        <f>COGS!DS206</f>
        <v>2.89</v>
      </c>
      <c r="DT206" s="27">
        <f>COGS!DT206</f>
        <v>1.466</v>
      </c>
      <c r="DU206" s="27">
        <f>COGS!DU206</f>
        <v>-10.975</v>
      </c>
      <c r="DV206" s="27">
        <f>COGS!DV206</f>
        <v>-3.903999999999999</v>
      </c>
      <c r="DW206" s="27">
        <f>COGS!DW206</f>
        <v>1.7909999999999999</v>
      </c>
      <c r="DX206" s="27">
        <f>COGS!DX206</f>
        <v>1.8759999999999999</v>
      </c>
      <c r="DY206" s="27">
        <f>COGS!DY206</f>
        <v>2.4253108500000002</v>
      </c>
      <c r="DZ206" s="27">
        <f>COGS!DZ206</f>
        <v>-0.56793919000000037</v>
      </c>
      <c r="EA206" s="27">
        <f>COGS!EA206</f>
        <v>5.5243716599999999</v>
      </c>
      <c r="EB206" s="27">
        <f>COGS!EB206</f>
        <v>0.77021311999999997</v>
      </c>
      <c r="EC206" s="27">
        <f>COGS!EC206</f>
        <v>0.71767080999999999</v>
      </c>
      <c r="ED206" s="27">
        <f>COGS!ED206</f>
        <v>0.85699999999999998</v>
      </c>
      <c r="EE206" s="27">
        <f>COGS!EE206</f>
        <v>-1.5878859999999999</v>
      </c>
      <c r="EF206" s="27">
        <f>COGS!EF206</f>
        <v>0.75699793000000004</v>
      </c>
      <c r="EG206" s="27">
        <f>COGS!EG206</f>
        <v>0.78067672999999993</v>
      </c>
      <c r="EH206" s="27">
        <f>COGS!EH206</f>
        <v>0.66342352999999998</v>
      </c>
      <c r="EI206" s="27">
        <f>COGS!EI206</f>
        <v>0.92531553999999983</v>
      </c>
    </row>
    <row r="207" spans="1:139" ht="15" thickBot="1" x14ac:dyDescent="0.35">
      <c r="A207" s="2" t="s">
        <v>444</v>
      </c>
      <c r="B207" s="28">
        <f>COGS!B207</f>
        <v>0</v>
      </c>
      <c r="C207" s="28">
        <f>COGS!C207</f>
        <v>0</v>
      </c>
      <c r="D207" s="28">
        <f>COGS!D207</f>
        <v>0</v>
      </c>
      <c r="E207" s="28">
        <f>COGS!E207</f>
        <v>0</v>
      </c>
      <c r="F207" s="28">
        <f>COGS!F207</f>
        <v>0</v>
      </c>
      <c r="G207" s="28">
        <f>COGS!G207</f>
        <v>0</v>
      </c>
      <c r="H207" s="28">
        <f>COGS!H207</f>
        <v>0</v>
      </c>
      <c r="I207" s="28">
        <f>COGS!I207</f>
        <v>0</v>
      </c>
      <c r="J207" s="28">
        <f>COGS!J207</f>
        <v>0</v>
      </c>
      <c r="K207" s="28">
        <f>COGS!K207</f>
        <v>0</v>
      </c>
      <c r="L207" s="28">
        <f>COGS!L207</f>
        <v>0</v>
      </c>
      <c r="M207" s="28">
        <f>COGS!M207</f>
        <v>0</v>
      </c>
      <c r="N207" s="28">
        <f>COGS!N207</f>
        <v>0</v>
      </c>
      <c r="O207" s="28">
        <f>COGS!O207</f>
        <v>0</v>
      </c>
      <c r="P207" s="28">
        <f>COGS!P207</f>
        <v>0</v>
      </c>
      <c r="Q207" s="28">
        <f>COGS!Q207</f>
        <v>0</v>
      </c>
      <c r="R207" s="28">
        <f>COGS!R207</f>
        <v>0</v>
      </c>
      <c r="S207" s="28">
        <f>COGS!S207</f>
        <v>0</v>
      </c>
      <c r="T207" s="28">
        <f>COGS!T207</f>
        <v>0</v>
      </c>
      <c r="U207" s="28">
        <f>COGS!U207</f>
        <v>0</v>
      </c>
      <c r="V207" s="28">
        <f>COGS!V207</f>
        <v>0</v>
      </c>
      <c r="W207" s="28">
        <f>COGS!W207</f>
        <v>0</v>
      </c>
      <c r="X207" s="28">
        <f>COGS!X207</f>
        <v>0</v>
      </c>
      <c r="Y207" s="28">
        <f>COGS!Y207</f>
        <v>0</v>
      </c>
      <c r="Z207" s="28">
        <f>COGS!Z207</f>
        <v>0</v>
      </c>
      <c r="AA207" s="28">
        <f>COGS!AA207</f>
        <v>0</v>
      </c>
      <c r="AB207" s="28">
        <f>COGS!AB207</f>
        <v>0</v>
      </c>
      <c r="AC207" s="28">
        <f>COGS!AC207</f>
        <v>0</v>
      </c>
      <c r="AD207" s="28">
        <f>COGS!AD207</f>
        <v>0</v>
      </c>
      <c r="AE207" s="28">
        <f>COGS!AE207</f>
        <v>0</v>
      </c>
      <c r="AF207" s="28">
        <f>COGS!AF207</f>
        <v>0</v>
      </c>
      <c r="AG207" s="28">
        <f>COGS!AG207</f>
        <v>0</v>
      </c>
      <c r="AH207" s="28">
        <f>COGS!AH207</f>
        <v>0</v>
      </c>
      <c r="AI207" s="28">
        <f>COGS!AI207</f>
        <v>0</v>
      </c>
      <c r="AJ207" s="28">
        <f>COGS!AJ207</f>
        <v>0</v>
      </c>
      <c r="AK207" s="28">
        <f>COGS!AK207</f>
        <v>0</v>
      </c>
      <c r="AL207" s="28">
        <f>COGS!AL207</f>
        <v>0</v>
      </c>
      <c r="AM207" s="28">
        <f>COGS!AM207</f>
        <v>0</v>
      </c>
      <c r="AN207" s="28">
        <f>COGS!AN207</f>
        <v>0</v>
      </c>
      <c r="AO207" s="28">
        <f>COGS!AO207</f>
        <v>0</v>
      </c>
      <c r="AP207" s="28">
        <f>COGS!AP207</f>
        <v>0</v>
      </c>
      <c r="AQ207" s="28">
        <f>COGS!AQ207</f>
        <v>0</v>
      </c>
      <c r="AR207" s="28">
        <f>COGS!AR207</f>
        <v>0</v>
      </c>
      <c r="AS207" s="28">
        <f>COGS!AS207</f>
        <v>0</v>
      </c>
      <c r="AT207" s="28">
        <f>COGS!AT207</f>
        <v>0</v>
      </c>
      <c r="AU207" s="28">
        <f>COGS!AU207</f>
        <v>0</v>
      </c>
      <c r="AV207" s="28">
        <f>COGS!AV207</f>
        <v>0</v>
      </c>
      <c r="AW207" s="28">
        <f>COGS!AW207</f>
        <v>0</v>
      </c>
      <c r="AX207" s="28">
        <f>COGS!AX207</f>
        <v>0</v>
      </c>
      <c r="AY207" s="28">
        <f>COGS!AY207</f>
        <v>0</v>
      </c>
      <c r="AZ207" s="28">
        <f>COGS!AZ207</f>
        <v>0</v>
      </c>
      <c r="BA207" s="28">
        <f>COGS!BA207</f>
        <v>0</v>
      </c>
      <c r="BB207" s="28">
        <f>COGS!BB207</f>
        <v>0</v>
      </c>
      <c r="BC207" s="28">
        <f>COGS!BC207</f>
        <v>0</v>
      </c>
      <c r="BD207" s="28">
        <f>COGS!BD207</f>
        <v>0</v>
      </c>
      <c r="BE207" s="28">
        <f>COGS!BE207</f>
        <v>0</v>
      </c>
      <c r="BF207" s="28">
        <f>COGS!BF207</f>
        <v>0</v>
      </c>
      <c r="BG207" s="28">
        <f>COGS!BG207</f>
        <v>0</v>
      </c>
      <c r="BH207" s="28">
        <f>COGS!BH207</f>
        <v>0</v>
      </c>
      <c r="BI207" s="28">
        <f>COGS!BI207</f>
        <v>0</v>
      </c>
      <c r="BJ207" s="28">
        <f>COGS!BJ207</f>
        <v>0</v>
      </c>
      <c r="BK207" s="28">
        <f>COGS!BK207</f>
        <v>0</v>
      </c>
      <c r="BL207" s="28">
        <f>COGS!BL207</f>
        <v>0</v>
      </c>
      <c r="BM207" s="28">
        <f>COGS!BM207</f>
        <v>0</v>
      </c>
      <c r="BN207" s="28">
        <f>COGS!BN207</f>
        <v>0</v>
      </c>
      <c r="BO207" s="28">
        <f>COGS!BO207</f>
        <v>0</v>
      </c>
      <c r="BP207" s="28">
        <f>COGS!BP207</f>
        <v>0</v>
      </c>
      <c r="BQ207" s="28">
        <f>COGS!BQ207</f>
        <v>0</v>
      </c>
      <c r="BR207" s="28">
        <f>COGS!BR207</f>
        <v>0</v>
      </c>
      <c r="BS207" s="28">
        <f>COGS!BS207</f>
        <v>0</v>
      </c>
      <c r="BT207" s="28">
        <f>COGS!BT207</f>
        <v>0</v>
      </c>
      <c r="BU207" s="28">
        <f>COGS!BU207</f>
        <v>0</v>
      </c>
      <c r="BV207" s="28">
        <f>COGS!BV207</f>
        <v>0</v>
      </c>
      <c r="BW207" s="28">
        <f>COGS!BW207</f>
        <v>0</v>
      </c>
      <c r="BX207" s="28">
        <f>COGS!BX207</f>
        <v>0</v>
      </c>
      <c r="BY207" s="28">
        <f>COGS!BY207</f>
        <v>0</v>
      </c>
      <c r="BZ207" s="28">
        <f>COGS!BZ207</f>
        <v>0</v>
      </c>
      <c r="CA207" s="28">
        <f>COGS!CA207</f>
        <v>0</v>
      </c>
      <c r="CB207" s="28">
        <f>COGS!CB207</f>
        <v>0</v>
      </c>
      <c r="CC207" s="28">
        <f>COGS!CC207</f>
        <v>0</v>
      </c>
      <c r="CD207" s="28">
        <f>COGS!CD207</f>
        <v>0</v>
      </c>
      <c r="CE207" s="28">
        <f>COGS!CE207</f>
        <v>0</v>
      </c>
      <c r="CF207" s="28">
        <f>COGS!CF207</f>
        <v>0</v>
      </c>
      <c r="CG207" s="28">
        <f>COGS!CG207</f>
        <v>0</v>
      </c>
      <c r="CH207" s="28">
        <f>COGS!CH207</f>
        <v>0</v>
      </c>
      <c r="CI207" s="28">
        <f>COGS!CI207</f>
        <v>0</v>
      </c>
      <c r="CJ207" s="28">
        <f>COGS!CJ207</f>
        <v>0</v>
      </c>
      <c r="CK207" s="28">
        <f>COGS!CK207</f>
        <v>0</v>
      </c>
      <c r="CL207" s="28">
        <f>COGS!CL207</f>
        <v>0</v>
      </c>
      <c r="CM207" s="28">
        <f>COGS!CM207</f>
        <v>0</v>
      </c>
      <c r="CN207" s="28">
        <f>COGS!CN207</f>
        <v>0</v>
      </c>
      <c r="CO207" s="28">
        <f>COGS!CO207</f>
        <v>0</v>
      </c>
      <c r="CP207" s="28">
        <f>COGS!CP207</f>
        <v>0</v>
      </c>
      <c r="CQ207" s="28">
        <f>COGS!CQ207</f>
        <v>0</v>
      </c>
      <c r="CR207" s="28">
        <f>COGS!CR207</f>
        <v>0</v>
      </c>
      <c r="CS207" s="28">
        <f>COGS!CS207</f>
        <v>0</v>
      </c>
      <c r="CT207" s="28">
        <f>COGS!CT207</f>
        <v>0</v>
      </c>
      <c r="CU207" s="28">
        <f>COGS!CU207</f>
        <v>0</v>
      </c>
      <c r="CV207" s="28">
        <f>COGS!CV207</f>
        <v>0</v>
      </c>
      <c r="CW207" s="28">
        <f>COGS!CW207</f>
        <v>0</v>
      </c>
      <c r="CX207" s="28">
        <f>COGS!CX207</f>
        <v>0</v>
      </c>
      <c r="CY207" s="28">
        <f>COGS!CY207</f>
        <v>0</v>
      </c>
      <c r="CZ207" s="28">
        <f>COGS!CZ207</f>
        <v>0</v>
      </c>
      <c r="DA207" s="28">
        <f>COGS!DA207</f>
        <v>0</v>
      </c>
      <c r="DB207" s="28">
        <f>COGS!DB207</f>
        <v>0</v>
      </c>
      <c r="DC207" s="28">
        <f>COGS!DC207</f>
        <v>0</v>
      </c>
      <c r="DD207" s="28">
        <f>COGS!DD207</f>
        <v>3.62</v>
      </c>
      <c r="DE207" s="28">
        <f>COGS!DE207</f>
        <v>10.858000000000001</v>
      </c>
      <c r="DF207" s="28">
        <f>COGS!DF207</f>
        <v>-5.0940000000000003</v>
      </c>
      <c r="DG207" s="28">
        <f>COGS!DG207</f>
        <v>9.3840000000000003</v>
      </c>
      <c r="DH207" s="28">
        <f>COGS!DH207</f>
        <v>4.7080000000000002</v>
      </c>
      <c r="DI207" s="28">
        <f>COGS!DI207</f>
        <v>4.9009999999999998</v>
      </c>
      <c r="DJ207" s="28">
        <f>COGS!DJ207</f>
        <v>5.29</v>
      </c>
      <c r="DK207" s="28">
        <f>COGS!DK207</f>
        <v>5.8159999999999998</v>
      </c>
      <c r="DL207" s="28">
        <f>COGS!DL207</f>
        <v>20.715</v>
      </c>
      <c r="DM207" s="28">
        <f>COGS!DM207</f>
        <v>4.3570000000000002</v>
      </c>
      <c r="DN207" s="28">
        <f>COGS!DN207</f>
        <v>4.5279999999999996</v>
      </c>
      <c r="DO207" s="28">
        <f>COGS!DO207</f>
        <v>4.4429999999999996</v>
      </c>
      <c r="DP207" s="28">
        <f>COGS!DP207</f>
        <v>8.8140000000000001</v>
      </c>
      <c r="DQ207" s="28">
        <f>COGS!DQ207</f>
        <v>22.141999999999999</v>
      </c>
      <c r="DR207" s="28">
        <f>COGS!DR207</f>
        <v>5.8710000000000004</v>
      </c>
      <c r="DS207" s="28">
        <f>COGS!DS207</f>
        <v>7.3620000000000001</v>
      </c>
      <c r="DT207" s="28">
        <f>COGS!DT207</f>
        <v>8.6129999999999995</v>
      </c>
      <c r="DU207" s="28">
        <f>COGS!DU207</f>
        <v>10.635</v>
      </c>
      <c r="DV207" s="28">
        <f>COGS!DV207</f>
        <v>32.481000000000002</v>
      </c>
      <c r="DW207" s="28">
        <f>COGS!DW207</f>
        <v>2.96</v>
      </c>
      <c r="DX207" s="28">
        <f>COGS!DX207</f>
        <v>7.593</v>
      </c>
      <c r="DY207" s="28">
        <f>COGS!DY207</f>
        <v>10.09350001</v>
      </c>
      <c r="DZ207" s="28">
        <f>COGS!DZ207</f>
        <v>-6.7038980700000002</v>
      </c>
      <c r="EA207" s="28">
        <f>COGS!EA207</f>
        <v>13.942601939999999</v>
      </c>
      <c r="EB207" s="28">
        <f>COGS!EB207</f>
        <v>3.2781978500000002</v>
      </c>
      <c r="EC207" s="28">
        <f>COGS!EC207</f>
        <v>6.5827697599999997</v>
      </c>
      <c r="ED207" s="28">
        <f>COGS!ED207</f>
        <v>7.3639999999999999</v>
      </c>
      <c r="EE207" s="28">
        <f>COGS!EE207</f>
        <v>-0.766245120000001</v>
      </c>
      <c r="EF207" s="28">
        <f>COGS!EF207</f>
        <v>16.45872249</v>
      </c>
      <c r="EG207" s="28">
        <f>COGS!EG207</f>
        <v>2.2142643</v>
      </c>
      <c r="EH207" s="28">
        <f>COGS!EH207</f>
        <v>3.8521523799999997</v>
      </c>
      <c r="EI207" s="28">
        <f>COGS!EI207</f>
        <v>4.1342404800000008</v>
      </c>
    </row>
    <row r="208" spans="1:139" ht="15" thickTop="1" x14ac:dyDescent="0.3">
      <c r="A208" s="1" t="s">
        <v>456</v>
      </c>
      <c r="B208" s="27">
        <f>COGS!B208</f>
        <v>0</v>
      </c>
      <c r="C208" s="27">
        <f>COGS!C208</f>
        <v>0</v>
      </c>
      <c r="D208" s="27">
        <f>COGS!D208</f>
        <v>0</v>
      </c>
      <c r="E208" s="27">
        <f>COGS!E208</f>
        <v>0</v>
      </c>
      <c r="F208" s="27">
        <f>COGS!F208</f>
        <v>0</v>
      </c>
      <c r="G208" s="27">
        <f>COGS!G208</f>
        <v>0</v>
      </c>
      <c r="H208" s="27">
        <f>COGS!H208</f>
        <v>0</v>
      </c>
      <c r="I208" s="27">
        <f>COGS!I208</f>
        <v>0</v>
      </c>
      <c r="J208" s="27">
        <f>COGS!J208</f>
        <v>0</v>
      </c>
      <c r="K208" s="27">
        <f>COGS!K208</f>
        <v>0</v>
      </c>
      <c r="L208" s="27">
        <f>COGS!L208</f>
        <v>0</v>
      </c>
      <c r="M208" s="27">
        <f>COGS!M208</f>
        <v>0</v>
      </c>
      <c r="N208" s="27">
        <f>COGS!N208</f>
        <v>0</v>
      </c>
      <c r="O208" s="27">
        <f>COGS!O208</f>
        <v>0</v>
      </c>
      <c r="P208" s="27">
        <f>COGS!P208</f>
        <v>0</v>
      </c>
      <c r="Q208" s="27">
        <f>COGS!Q208</f>
        <v>0</v>
      </c>
      <c r="R208" s="27">
        <f>COGS!R208</f>
        <v>0</v>
      </c>
      <c r="S208" s="27">
        <f>COGS!S208</f>
        <v>0</v>
      </c>
      <c r="T208" s="27">
        <f>COGS!T208</f>
        <v>0</v>
      </c>
      <c r="U208" s="27">
        <f>COGS!U208</f>
        <v>0</v>
      </c>
      <c r="V208" s="27">
        <f>COGS!V208</f>
        <v>0</v>
      </c>
      <c r="W208" s="27">
        <f>COGS!W208</f>
        <v>0</v>
      </c>
      <c r="X208" s="27">
        <f>COGS!X208</f>
        <v>0</v>
      </c>
      <c r="Y208" s="27">
        <f>COGS!Y208</f>
        <v>0</v>
      </c>
      <c r="Z208" s="27">
        <f>COGS!Z208</f>
        <v>0</v>
      </c>
      <c r="AA208" s="27">
        <f>COGS!AA208</f>
        <v>0</v>
      </c>
      <c r="AB208" s="27">
        <f>COGS!AB208</f>
        <v>0</v>
      </c>
      <c r="AC208" s="27">
        <f>COGS!AC208</f>
        <v>0</v>
      </c>
      <c r="AD208" s="27">
        <f>COGS!AD208</f>
        <v>0</v>
      </c>
      <c r="AE208" s="27">
        <f>COGS!AE208</f>
        <v>0</v>
      </c>
      <c r="AF208" s="27">
        <f>COGS!AF208</f>
        <v>0</v>
      </c>
      <c r="AG208" s="27">
        <f>COGS!AG208</f>
        <v>0</v>
      </c>
      <c r="AH208" s="27">
        <f>COGS!AH208</f>
        <v>0</v>
      </c>
      <c r="AI208" s="27">
        <f>COGS!AI208</f>
        <v>0</v>
      </c>
      <c r="AJ208" s="27">
        <f>COGS!AJ208</f>
        <v>0</v>
      </c>
      <c r="AK208" s="27">
        <f>COGS!AK208</f>
        <v>0</v>
      </c>
      <c r="AL208" s="27">
        <f>COGS!AL208</f>
        <v>0</v>
      </c>
      <c r="AM208" s="27">
        <f>COGS!AM208</f>
        <v>0</v>
      </c>
      <c r="AN208" s="27">
        <f>COGS!AN208</f>
        <v>0</v>
      </c>
      <c r="AO208" s="27">
        <f>COGS!AO208</f>
        <v>0</v>
      </c>
      <c r="AP208" s="27">
        <f>COGS!AP208</f>
        <v>0</v>
      </c>
      <c r="AQ208" s="27">
        <f>COGS!AQ208</f>
        <v>0</v>
      </c>
      <c r="AR208" s="27">
        <f>COGS!AR208</f>
        <v>0</v>
      </c>
      <c r="AS208" s="27">
        <f>COGS!AS208</f>
        <v>0</v>
      </c>
      <c r="AT208" s="27">
        <f>COGS!AT208</f>
        <v>0</v>
      </c>
      <c r="AU208" s="27">
        <f>COGS!AU208</f>
        <v>0</v>
      </c>
      <c r="AV208" s="27">
        <f>COGS!AV208</f>
        <v>0</v>
      </c>
      <c r="AW208" s="27">
        <f>COGS!AW208</f>
        <v>0</v>
      </c>
      <c r="AX208" s="27">
        <f>COGS!AX208</f>
        <v>0</v>
      </c>
      <c r="AY208" s="27">
        <f>COGS!AY208</f>
        <v>0</v>
      </c>
      <c r="AZ208" s="27">
        <f>COGS!AZ208</f>
        <v>0</v>
      </c>
      <c r="BA208" s="27">
        <f>COGS!BA208</f>
        <v>0</v>
      </c>
      <c r="BB208" s="27">
        <f>COGS!BB208</f>
        <v>0</v>
      </c>
      <c r="BC208" s="27">
        <f>COGS!BC208</f>
        <v>0</v>
      </c>
      <c r="BD208" s="27">
        <f>COGS!BD208</f>
        <v>0</v>
      </c>
      <c r="BE208" s="27">
        <f>COGS!BE208</f>
        <v>0</v>
      </c>
      <c r="BF208" s="27">
        <f>COGS!BF208</f>
        <v>0</v>
      </c>
      <c r="BG208" s="27">
        <f>COGS!BG208</f>
        <v>0</v>
      </c>
      <c r="BH208" s="27">
        <f>COGS!BH208</f>
        <v>0</v>
      </c>
      <c r="BI208" s="27">
        <f>COGS!BI208</f>
        <v>0</v>
      </c>
      <c r="BJ208" s="27">
        <f>COGS!BJ208</f>
        <v>0</v>
      </c>
      <c r="BK208" s="27">
        <f>COGS!BK208</f>
        <v>0</v>
      </c>
      <c r="BL208" s="27">
        <f>COGS!BL208</f>
        <v>0</v>
      </c>
      <c r="BM208" s="27">
        <f>COGS!BM208</f>
        <v>0</v>
      </c>
      <c r="BN208" s="27">
        <f>COGS!BN208</f>
        <v>0</v>
      </c>
      <c r="BO208" s="27">
        <f>COGS!BO208</f>
        <v>0</v>
      </c>
      <c r="BP208" s="27">
        <f>COGS!BP208</f>
        <v>0</v>
      </c>
      <c r="BQ208" s="27">
        <f>COGS!BQ208</f>
        <v>0</v>
      </c>
      <c r="BR208" s="27">
        <f>COGS!BR208</f>
        <v>0</v>
      </c>
      <c r="BS208" s="27">
        <f>COGS!BS208</f>
        <v>0</v>
      </c>
      <c r="BT208" s="27">
        <f>COGS!BT208</f>
        <v>0</v>
      </c>
      <c r="BU208" s="27">
        <f>COGS!BU208</f>
        <v>0</v>
      </c>
      <c r="BV208" s="27">
        <f>COGS!BV208</f>
        <v>0</v>
      </c>
      <c r="BW208" s="27">
        <f>COGS!BW208</f>
        <v>0</v>
      </c>
      <c r="BX208" s="27">
        <f>COGS!BX208</f>
        <v>0</v>
      </c>
      <c r="BY208" s="27">
        <f>COGS!BY208</f>
        <v>0</v>
      </c>
      <c r="BZ208" s="27">
        <f>COGS!BZ208</f>
        <v>0</v>
      </c>
      <c r="CA208" s="27">
        <f>COGS!CA208</f>
        <v>0</v>
      </c>
      <c r="CB208" s="27">
        <f>COGS!CB208</f>
        <v>0</v>
      </c>
      <c r="CC208" s="27">
        <f>COGS!CC208</f>
        <v>0</v>
      </c>
      <c r="CD208" s="27">
        <f>COGS!CD208</f>
        <v>0</v>
      </c>
      <c r="CE208" s="27">
        <f>COGS!CE208</f>
        <v>0</v>
      </c>
      <c r="CF208" s="27">
        <f>COGS!CF208</f>
        <v>0</v>
      </c>
      <c r="CG208" s="27">
        <f>COGS!CG208</f>
        <v>0</v>
      </c>
      <c r="CH208" s="27">
        <f>COGS!CH208</f>
        <v>0</v>
      </c>
      <c r="CI208" s="27">
        <f>COGS!CI208</f>
        <v>0</v>
      </c>
      <c r="CJ208" s="27">
        <f>COGS!CJ208</f>
        <v>0</v>
      </c>
      <c r="CK208" s="27">
        <f>COGS!CK208</f>
        <v>0</v>
      </c>
      <c r="CL208" s="27">
        <f>COGS!CL208</f>
        <v>0</v>
      </c>
      <c r="CM208" s="27">
        <f>COGS!CM208</f>
        <v>0</v>
      </c>
      <c r="CN208" s="27">
        <f>COGS!CN208</f>
        <v>0</v>
      </c>
      <c r="CO208" s="27">
        <f>COGS!CO208</f>
        <v>0</v>
      </c>
      <c r="CP208" s="27">
        <f>COGS!CP208</f>
        <v>0</v>
      </c>
      <c r="CQ208" s="27">
        <f>COGS!CQ208</f>
        <v>0</v>
      </c>
      <c r="CR208" s="27">
        <f>COGS!CR208</f>
        <v>0</v>
      </c>
      <c r="CS208" s="27">
        <f>COGS!CS208</f>
        <v>0</v>
      </c>
      <c r="CT208" s="27">
        <f>COGS!CT208</f>
        <v>0</v>
      </c>
      <c r="CU208" s="27">
        <f>COGS!CU208</f>
        <v>0</v>
      </c>
      <c r="CV208" s="27">
        <f>COGS!CV208</f>
        <v>0</v>
      </c>
      <c r="CW208" s="27">
        <f>COGS!CW208</f>
        <v>0</v>
      </c>
      <c r="CX208" s="27">
        <f>COGS!CX208</f>
        <v>0</v>
      </c>
      <c r="CY208" s="27">
        <f>COGS!CY208</f>
        <v>0</v>
      </c>
      <c r="CZ208" s="27">
        <f>COGS!CZ208</f>
        <v>0</v>
      </c>
      <c r="DA208" s="27">
        <f>COGS!DA208</f>
        <v>0</v>
      </c>
      <c r="DB208" s="27">
        <f>COGS!DB208</f>
        <v>0</v>
      </c>
      <c r="DC208" s="27">
        <f>COGS!DC208</f>
        <v>0</v>
      </c>
      <c r="DD208" s="27">
        <f>COGS!DD208</f>
        <v>0</v>
      </c>
      <c r="DE208" s="27">
        <f>COGS!DE208</f>
        <v>0</v>
      </c>
      <c r="DF208" s="27">
        <f>COGS!DF208</f>
        <v>1.3380000000000001</v>
      </c>
      <c r="DG208" s="27">
        <f>COGS!DG208</f>
        <v>1.3380000000000001</v>
      </c>
      <c r="DH208" s="27">
        <f>COGS!DH208</f>
        <v>0.83199999999999996</v>
      </c>
      <c r="DI208" s="27">
        <f>COGS!DI208</f>
        <v>0.84099999999999997</v>
      </c>
      <c r="DJ208" s="27">
        <f>COGS!DJ208</f>
        <v>0.86099999999999999</v>
      </c>
      <c r="DK208" s="27">
        <f>COGS!DK208</f>
        <v>1.381</v>
      </c>
      <c r="DL208" s="27">
        <f>COGS!DL208</f>
        <v>3.915</v>
      </c>
      <c r="DM208" s="27">
        <f>COGS!DM208</f>
        <v>1.518</v>
      </c>
      <c r="DN208" s="27">
        <f>COGS!DN208</f>
        <v>1.534</v>
      </c>
      <c r="DO208" s="27">
        <f>COGS!DO208</f>
        <v>1.526</v>
      </c>
      <c r="DP208" s="27">
        <f>COGS!DP208</f>
        <v>2.8860000000000001</v>
      </c>
      <c r="DQ208" s="27">
        <f>COGS!DQ208</f>
        <v>7.4640000000000004</v>
      </c>
      <c r="DR208" s="27">
        <f>COGS!DR208</f>
        <v>2.1120000000000001</v>
      </c>
      <c r="DS208" s="27">
        <f>COGS!DS208</f>
        <v>4.0369999999999999</v>
      </c>
      <c r="DT208" s="27">
        <f>COGS!DT208</f>
        <v>2.3820000000000001</v>
      </c>
      <c r="DU208" s="27">
        <f>COGS!DU208</f>
        <v>3.048</v>
      </c>
      <c r="DV208" s="27">
        <f>COGS!DV208</f>
        <v>11.579000000000001</v>
      </c>
      <c r="DW208" s="27">
        <f>COGS!DW208</f>
        <v>2.7749999999999999</v>
      </c>
      <c r="DX208" s="27">
        <f>COGS!DX208</f>
        <v>4.415</v>
      </c>
      <c r="DY208" s="27">
        <f>COGS!DY208</f>
        <v>4.1785578500000007</v>
      </c>
      <c r="DZ208" s="27">
        <f>COGS!DZ208</f>
        <v>5.3436084900000003</v>
      </c>
      <c r="EA208" s="27">
        <f>COGS!EA208</f>
        <v>16.71216634</v>
      </c>
      <c r="EB208" s="27">
        <f>COGS!EB208</f>
        <v>2.78799303</v>
      </c>
      <c r="EC208" s="27">
        <f>COGS!EC208</f>
        <v>4.8408388499999999</v>
      </c>
      <c r="ED208" s="27">
        <f>COGS!ED208</f>
        <v>4.5209999999999999</v>
      </c>
      <c r="EE208" s="27">
        <f>COGS!EE208</f>
        <v>1.367068049999999</v>
      </c>
      <c r="EF208" s="27">
        <f>COGS!EF208</f>
        <v>13.516899929999999</v>
      </c>
      <c r="EG208" s="27">
        <f>COGS!EG208</f>
        <v>2.7754357400000003</v>
      </c>
      <c r="EH208" s="27">
        <f>COGS!EH208</f>
        <v>4.3285313700000003</v>
      </c>
      <c r="EI208" s="27">
        <f>COGS!EI208</f>
        <v>4.4300245299999998</v>
      </c>
    </row>
    <row r="209" spans="1:139" ht="15" thickBot="1" x14ac:dyDescent="0.35">
      <c r="A209" s="2" t="s">
        <v>446</v>
      </c>
      <c r="B209" s="28">
        <f>COGS!B209</f>
        <v>0</v>
      </c>
      <c r="C209" s="28">
        <f>COGS!C209</f>
        <v>0</v>
      </c>
      <c r="D209" s="28">
        <f>COGS!D209</f>
        <v>0</v>
      </c>
      <c r="E209" s="28">
        <f>COGS!E209</f>
        <v>0</v>
      </c>
      <c r="F209" s="28">
        <f>COGS!F209</f>
        <v>0</v>
      </c>
      <c r="G209" s="28">
        <f>COGS!G209</f>
        <v>0</v>
      </c>
      <c r="H209" s="28">
        <f>COGS!H209</f>
        <v>0</v>
      </c>
      <c r="I209" s="28">
        <f>COGS!I209</f>
        <v>0</v>
      </c>
      <c r="J209" s="28">
        <f>COGS!J209</f>
        <v>0</v>
      </c>
      <c r="K209" s="28">
        <f>COGS!K209</f>
        <v>0</v>
      </c>
      <c r="L209" s="28">
        <f>COGS!L209</f>
        <v>0</v>
      </c>
      <c r="M209" s="28">
        <f>COGS!M209</f>
        <v>0</v>
      </c>
      <c r="N209" s="28">
        <f>COGS!N209</f>
        <v>0</v>
      </c>
      <c r="O209" s="28">
        <f>COGS!O209</f>
        <v>0</v>
      </c>
      <c r="P209" s="28">
        <f>COGS!P209</f>
        <v>0</v>
      </c>
      <c r="Q209" s="28">
        <f>COGS!Q209</f>
        <v>0</v>
      </c>
      <c r="R209" s="28">
        <f>COGS!R209</f>
        <v>0</v>
      </c>
      <c r="S209" s="28">
        <f>COGS!S209</f>
        <v>0</v>
      </c>
      <c r="T209" s="28">
        <f>COGS!T209</f>
        <v>0</v>
      </c>
      <c r="U209" s="28">
        <f>COGS!U209</f>
        <v>0</v>
      </c>
      <c r="V209" s="28">
        <f>COGS!V209</f>
        <v>0</v>
      </c>
      <c r="W209" s="28">
        <f>COGS!W209</f>
        <v>0</v>
      </c>
      <c r="X209" s="28">
        <f>COGS!X209</f>
        <v>0</v>
      </c>
      <c r="Y209" s="28">
        <f>COGS!Y209</f>
        <v>0</v>
      </c>
      <c r="Z209" s="28">
        <f>COGS!Z209</f>
        <v>0</v>
      </c>
      <c r="AA209" s="28">
        <f>COGS!AA209</f>
        <v>0</v>
      </c>
      <c r="AB209" s="28">
        <f>COGS!AB209</f>
        <v>0</v>
      </c>
      <c r="AC209" s="28">
        <f>COGS!AC209</f>
        <v>0</v>
      </c>
      <c r="AD209" s="28">
        <f>COGS!AD209</f>
        <v>0</v>
      </c>
      <c r="AE209" s="28">
        <f>COGS!AE209</f>
        <v>0</v>
      </c>
      <c r="AF209" s="28">
        <f>COGS!AF209</f>
        <v>0</v>
      </c>
      <c r="AG209" s="28">
        <f>COGS!AG209</f>
        <v>0</v>
      </c>
      <c r="AH209" s="28">
        <f>COGS!AH209</f>
        <v>0</v>
      </c>
      <c r="AI209" s="28">
        <f>COGS!AI209</f>
        <v>0</v>
      </c>
      <c r="AJ209" s="28">
        <f>COGS!AJ209</f>
        <v>0</v>
      </c>
      <c r="AK209" s="28">
        <f>COGS!AK209</f>
        <v>0</v>
      </c>
      <c r="AL209" s="28">
        <f>COGS!AL209</f>
        <v>0</v>
      </c>
      <c r="AM209" s="28">
        <f>COGS!AM209</f>
        <v>0</v>
      </c>
      <c r="AN209" s="28">
        <f>COGS!AN209</f>
        <v>0</v>
      </c>
      <c r="AO209" s="28">
        <f>COGS!AO209</f>
        <v>0</v>
      </c>
      <c r="AP209" s="28">
        <f>COGS!AP209</f>
        <v>0</v>
      </c>
      <c r="AQ209" s="28">
        <f>COGS!AQ209</f>
        <v>0</v>
      </c>
      <c r="AR209" s="28">
        <f>COGS!AR209</f>
        <v>0</v>
      </c>
      <c r="AS209" s="28">
        <f>COGS!AS209</f>
        <v>0</v>
      </c>
      <c r="AT209" s="28">
        <f>COGS!AT209</f>
        <v>0</v>
      </c>
      <c r="AU209" s="28">
        <f>COGS!AU209</f>
        <v>0</v>
      </c>
      <c r="AV209" s="28">
        <f>COGS!AV209</f>
        <v>0</v>
      </c>
      <c r="AW209" s="28">
        <f>COGS!AW209</f>
        <v>0</v>
      </c>
      <c r="AX209" s="28">
        <f>COGS!AX209</f>
        <v>0</v>
      </c>
      <c r="AY209" s="28">
        <f>COGS!AY209</f>
        <v>0</v>
      </c>
      <c r="AZ209" s="28">
        <f>COGS!AZ209</f>
        <v>0</v>
      </c>
      <c r="BA209" s="28">
        <f>COGS!BA209</f>
        <v>0</v>
      </c>
      <c r="BB209" s="28">
        <f>COGS!BB209</f>
        <v>0</v>
      </c>
      <c r="BC209" s="28">
        <f>COGS!BC209</f>
        <v>0</v>
      </c>
      <c r="BD209" s="28">
        <f>COGS!BD209</f>
        <v>0</v>
      </c>
      <c r="BE209" s="28">
        <f>COGS!BE209</f>
        <v>0</v>
      </c>
      <c r="BF209" s="28">
        <f>COGS!BF209</f>
        <v>0</v>
      </c>
      <c r="BG209" s="28">
        <f>COGS!BG209</f>
        <v>0</v>
      </c>
      <c r="BH209" s="28">
        <f>COGS!BH209</f>
        <v>0</v>
      </c>
      <c r="BI209" s="28">
        <f>COGS!BI209</f>
        <v>0</v>
      </c>
      <c r="BJ209" s="28">
        <f>COGS!BJ209</f>
        <v>0</v>
      </c>
      <c r="BK209" s="28">
        <f>COGS!BK209</f>
        <v>0</v>
      </c>
      <c r="BL209" s="28">
        <f>COGS!BL209</f>
        <v>0</v>
      </c>
      <c r="BM209" s="28">
        <f>COGS!BM209</f>
        <v>0</v>
      </c>
      <c r="BN209" s="28">
        <f>COGS!BN209</f>
        <v>0</v>
      </c>
      <c r="BO209" s="28">
        <f>COGS!BO209</f>
        <v>0</v>
      </c>
      <c r="BP209" s="28">
        <f>COGS!BP209</f>
        <v>0</v>
      </c>
      <c r="BQ209" s="28">
        <f>COGS!BQ209</f>
        <v>0</v>
      </c>
      <c r="BR209" s="28">
        <f>COGS!BR209</f>
        <v>0</v>
      </c>
      <c r="BS209" s="28">
        <f>COGS!BS209</f>
        <v>0</v>
      </c>
      <c r="BT209" s="28">
        <f>COGS!BT209</f>
        <v>0</v>
      </c>
      <c r="BU209" s="28">
        <f>COGS!BU209</f>
        <v>0</v>
      </c>
      <c r="BV209" s="28">
        <f>COGS!BV209</f>
        <v>0</v>
      </c>
      <c r="BW209" s="28">
        <f>COGS!BW209</f>
        <v>0</v>
      </c>
      <c r="BX209" s="28">
        <f>COGS!BX209</f>
        <v>0</v>
      </c>
      <c r="BY209" s="28">
        <f>COGS!BY209</f>
        <v>0</v>
      </c>
      <c r="BZ209" s="28">
        <f>COGS!BZ209</f>
        <v>0</v>
      </c>
      <c r="CA209" s="28">
        <f>COGS!CA209</f>
        <v>0</v>
      </c>
      <c r="CB209" s="28">
        <f>COGS!CB209</f>
        <v>0</v>
      </c>
      <c r="CC209" s="28">
        <f>COGS!CC209</f>
        <v>0</v>
      </c>
      <c r="CD209" s="28">
        <f>COGS!CD209</f>
        <v>0</v>
      </c>
      <c r="CE209" s="28">
        <f>COGS!CE209</f>
        <v>0</v>
      </c>
      <c r="CF209" s="28">
        <f>COGS!CF209</f>
        <v>0</v>
      </c>
      <c r="CG209" s="28">
        <f>COGS!CG209</f>
        <v>0</v>
      </c>
      <c r="CH209" s="28">
        <f>COGS!CH209</f>
        <v>0</v>
      </c>
      <c r="CI209" s="28">
        <f>COGS!CI209</f>
        <v>0</v>
      </c>
      <c r="CJ209" s="28">
        <f>COGS!CJ209</f>
        <v>0</v>
      </c>
      <c r="CK209" s="28">
        <f>COGS!CK209</f>
        <v>0</v>
      </c>
      <c r="CL209" s="28">
        <f>COGS!CL209</f>
        <v>0</v>
      </c>
      <c r="CM209" s="28">
        <f>COGS!CM209</f>
        <v>0</v>
      </c>
      <c r="CN209" s="28">
        <f>COGS!CN209</f>
        <v>0</v>
      </c>
      <c r="CO209" s="28">
        <f>COGS!CO209</f>
        <v>0</v>
      </c>
      <c r="CP209" s="28">
        <f>COGS!CP209</f>
        <v>0</v>
      </c>
      <c r="CQ209" s="28">
        <f>COGS!CQ209</f>
        <v>0</v>
      </c>
      <c r="CR209" s="28">
        <f>COGS!CR209</f>
        <v>0</v>
      </c>
      <c r="CS209" s="28">
        <f>COGS!CS209</f>
        <v>0</v>
      </c>
      <c r="CT209" s="28">
        <f>COGS!CT209</f>
        <v>0</v>
      </c>
      <c r="CU209" s="28">
        <f>COGS!CU209</f>
        <v>0</v>
      </c>
      <c r="CV209" s="28">
        <f>COGS!CV209</f>
        <v>0</v>
      </c>
      <c r="CW209" s="28">
        <f>COGS!CW209</f>
        <v>0</v>
      </c>
      <c r="CX209" s="28">
        <f>COGS!CX209</f>
        <v>0</v>
      </c>
      <c r="CY209" s="28">
        <f>COGS!CY209</f>
        <v>0</v>
      </c>
      <c r="CZ209" s="28">
        <f>COGS!CZ209</f>
        <v>0</v>
      </c>
      <c r="DA209" s="28">
        <f>COGS!DA209</f>
        <v>0</v>
      </c>
      <c r="DB209" s="28">
        <f>COGS!DB209</f>
        <v>0</v>
      </c>
      <c r="DC209" s="28">
        <f>COGS!DC209</f>
        <v>0</v>
      </c>
      <c r="DD209" s="28">
        <f>COGS!DD209</f>
        <v>0</v>
      </c>
      <c r="DE209" s="28">
        <f>COGS!DE209</f>
        <v>0</v>
      </c>
      <c r="DF209" s="28">
        <f>COGS!DF209</f>
        <v>0</v>
      </c>
      <c r="DG209" s="28">
        <f>COGS!DG209</f>
        <v>0</v>
      </c>
      <c r="DH209" s="28">
        <f>COGS!DH209</f>
        <v>0</v>
      </c>
      <c r="DI209" s="28">
        <f>COGS!DI209</f>
        <v>0</v>
      </c>
      <c r="DJ209" s="28">
        <f>COGS!DJ209</f>
        <v>0</v>
      </c>
      <c r="DK209" s="28">
        <f>COGS!DK209</f>
        <v>0.17100000000000001</v>
      </c>
      <c r="DL209" s="28">
        <f>COGS!DL209</f>
        <v>0.17100000000000001</v>
      </c>
      <c r="DM209" s="28">
        <f>COGS!DM209</f>
        <v>1.206</v>
      </c>
      <c r="DN209" s="28">
        <f>COGS!DN209</f>
        <v>1.2090000000000001</v>
      </c>
      <c r="DO209" s="28">
        <f>COGS!DO209</f>
        <v>1.2070000000000001</v>
      </c>
      <c r="DP209" s="28">
        <f>COGS!DP209</f>
        <v>2.3450000000000002</v>
      </c>
      <c r="DQ209" s="28">
        <f>COGS!DQ209</f>
        <v>5.9670000000000005</v>
      </c>
      <c r="DR209" s="28">
        <f>COGS!DR209</f>
        <v>1.7929999999999999</v>
      </c>
      <c r="DS209" s="28">
        <f>COGS!DS209</f>
        <v>2.7</v>
      </c>
      <c r="DT209" s="28">
        <f>COGS!DT209</f>
        <v>2.726</v>
      </c>
      <c r="DU209" s="28">
        <f>COGS!DU209</f>
        <v>10.196999999999999</v>
      </c>
      <c r="DV209" s="28">
        <f>COGS!DV209</f>
        <v>17.416</v>
      </c>
      <c r="DW209" s="28">
        <f>COGS!DW209</f>
        <v>0.95199999999999996</v>
      </c>
      <c r="DX209" s="28">
        <f>COGS!DX209</f>
        <v>1.68</v>
      </c>
      <c r="DY209" s="28">
        <f>COGS!DY209</f>
        <v>2.8763595500000001</v>
      </c>
      <c r="DZ209" s="28">
        <f>COGS!DZ209</f>
        <v>6.4144553100000001</v>
      </c>
      <c r="EA209" s="28">
        <f>COGS!EA209</f>
        <v>11.922814859999999</v>
      </c>
      <c r="EB209" s="28">
        <f>COGS!EB209</f>
        <v>3.28011586</v>
      </c>
      <c r="EC209" s="28">
        <f>COGS!EC209</f>
        <v>5.8775462000000012</v>
      </c>
      <c r="ED209" s="28">
        <f>COGS!ED209</f>
        <v>7.7050000000000001</v>
      </c>
      <c r="EE209" s="28">
        <f>COGS!EE209</f>
        <v>1.1104899800000005</v>
      </c>
      <c r="EF209" s="28">
        <f>COGS!EF209</f>
        <v>17.973152040000002</v>
      </c>
      <c r="EG209" s="28">
        <f>COGS!EG209</f>
        <v>3.26653986</v>
      </c>
      <c r="EH209" s="28">
        <f>COGS!EH209</f>
        <v>5.1511259100000002</v>
      </c>
      <c r="EI209" s="28">
        <f>COGS!EI209</f>
        <v>4.8953972000000014</v>
      </c>
    </row>
    <row r="210" spans="1:139" ht="15" thickTop="1" x14ac:dyDescent="0.3">
      <c r="A210" s="1" t="s">
        <v>447</v>
      </c>
      <c r="B210" s="27">
        <f>COGS!B210</f>
        <v>0</v>
      </c>
      <c r="C210" s="27">
        <f>COGS!C210</f>
        <v>0</v>
      </c>
      <c r="D210" s="27">
        <f>COGS!D210</f>
        <v>0</v>
      </c>
      <c r="E210" s="27">
        <f>COGS!E210</f>
        <v>0</v>
      </c>
      <c r="F210" s="27">
        <f>COGS!F210</f>
        <v>0</v>
      </c>
      <c r="G210" s="27">
        <f>COGS!G210</f>
        <v>0</v>
      </c>
      <c r="H210" s="27">
        <f>COGS!H210</f>
        <v>0</v>
      </c>
      <c r="I210" s="27">
        <f>COGS!I210</f>
        <v>0</v>
      </c>
      <c r="J210" s="27">
        <f>COGS!J210</f>
        <v>0</v>
      </c>
      <c r="K210" s="27">
        <f>COGS!K210</f>
        <v>0</v>
      </c>
      <c r="L210" s="27">
        <f>COGS!L210</f>
        <v>0</v>
      </c>
      <c r="M210" s="27">
        <f>COGS!M210</f>
        <v>0</v>
      </c>
      <c r="N210" s="27">
        <f>COGS!N210</f>
        <v>0</v>
      </c>
      <c r="O210" s="27">
        <f>COGS!O210</f>
        <v>0</v>
      </c>
      <c r="P210" s="27">
        <f>COGS!P210</f>
        <v>0</v>
      </c>
      <c r="Q210" s="27">
        <f>COGS!Q210</f>
        <v>0</v>
      </c>
      <c r="R210" s="27">
        <f>COGS!R210</f>
        <v>0</v>
      </c>
      <c r="S210" s="27">
        <f>COGS!S210</f>
        <v>0</v>
      </c>
      <c r="T210" s="27">
        <f>COGS!T210</f>
        <v>0</v>
      </c>
      <c r="U210" s="27">
        <f>COGS!U210</f>
        <v>0</v>
      </c>
      <c r="V210" s="27">
        <f>COGS!V210</f>
        <v>0</v>
      </c>
      <c r="W210" s="27">
        <f>COGS!W210</f>
        <v>0</v>
      </c>
      <c r="X210" s="27">
        <f>COGS!X210</f>
        <v>0</v>
      </c>
      <c r="Y210" s="27">
        <f>COGS!Y210</f>
        <v>0</v>
      </c>
      <c r="Z210" s="27">
        <f>COGS!Z210</f>
        <v>0</v>
      </c>
      <c r="AA210" s="27">
        <f>COGS!AA210</f>
        <v>0</v>
      </c>
      <c r="AB210" s="27">
        <f>COGS!AB210</f>
        <v>0</v>
      </c>
      <c r="AC210" s="27">
        <f>COGS!AC210</f>
        <v>0</v>
      </c>
      <c r="AD210" s="27">
        <f>COGS!AD210</f>
        <v>0</v>
      </c>
      <c r="AE210" s="27">
        <f>COGS!AE210</f>
        <v>0</v>
      </c>
      <c r="AF210" s="27">
        <f>COGS!AF210</f>
        <v>0</v>
      </c>
      <c r="AG210" s="27">
        <f>COGS!AG210</f>
        <v>0</v>
      </c>
      <c r="AH210" s="27">
        <f>COGS!AH210</f>
        <v>0</v>
      </c>
      <c r="AI210" s="27">
        <f>COGS!AI210</f>
        <v>0</v>
      </c>
      <c r="AJ210" s="27">
        <f>COGS!AJ210</f>
        <v>0</v>
      </c>
      <c r="AK210" s="27">
        <f>COGS!AK210</f>
        <v>0</v>
      </c>
      <c r="AL210" s="27">
        <f>COGS!AL210</f>
        <v>0</v>
      </c>
      <c r="AM210" s="27">
        <f>COGS!AM210</f>
        <v>0</v>
      </c>
      <c r="AN210" s="27">
        <f>COGS!AN210</f>
        <v>0</v>
      </c>
      <c r="AO210" s="27">
        <f>COGS!AO210</f>
        <v>0</v>
      </c>
      <c r="AP210" s="27">
        <f>COGS!AP210</f>
        <v>0</v>
      </c>
      <c r="AQ210" s="27">
        <f>COGS!AQ210</f>
        <v>0</v>
      </c>
      <c r="AR210" s="27">
        <f>COGS!AR210</f>
        <v>0</v>
      </c>
      <c r="AS210" s="27">
        <f>COGS!AS210</f>
        <v>0</v>
      </c>
      <c r="AT210" s="27">
        <f>COGS!AT210</f>
        <v>0</v>
      </c>
      <c r="AU210" s="27">
        <f>COGS!AU210</f>
        <v>0</v>
      </c>
      <c r="AV210" s="27">
        <f>COGS!AV210</f>
        <v>0</v>
      </c>
      <c r="AW210" s="27">
        <f>COGS!AW210</f>
        <v>0</v>
      </c>
      <c r="AX210" s="27">
        <f>COGS!AX210</f>
        <v>0</v>
      </c>
      <c r="AY210" s="27">
        <f>COGS!AY210</f>
        <v>0</v>
      </c>
      <c r="AZ210" s="27">
        <f>COGS!AZ210</f>
        <v>0</v>
      </c>
      <c r="BA210" s="27">
        <f>COGS!BA210</f>
        <v>0</v>
      </c>
      <c r="BB210" s="27">
        <f>COGS!BB210</f>
        <v>0</v>
      </c>
      <c r="BC210" s="27">
        <f>COGS!BC210</f>
        <v>0</v>
      </c>
      <c r="BD210" s="27">
        <f>COGS!BD210</f>
        <v>0</v>
      </c>
      <c r="BE210" s="27">
        <f>COGS!BE210</f>
        <v>0</v>
      </c>
      <c r="BF210" s="27">
        <f>COGS!BF210</f>
        <v>0</v>
      </c>
      <c r="BG210" s="27">
        <f>COGS!BG210</f>
        <v>0</v>
      </c>
      <c r="BH210" s="27">
        <f>COGS!BH210</f>
        <v>0</v>
      </c>
      <c r="BI210" s="27">
        <f>COGS!BI210</f>
        <v>0</v>
      </c>
      <c r="BJ210" s="27">
        <f>COGS!BJ210</f>
        <v>0</v>
      </c>
      <c r="BK210" s="27">
        <f>COGS!BK210</f>
        <v>0</v>
      </c>
      <c r="BL210" s="27">
        <f>COGS!BL210</f>
        <v>0</v>
      </c>
      <c r="BM210" s="27">
        <f>COGS!BM210</f>
        <v>0</v>
      </c>
      <c r="BN210" s="27">
        <f>COGS!BN210</f>
        <v>0</v>
      </c>
      <c r="BO210" s="27">
        <f>COGS!BO210</f>
        <v>0</v>
      </c>
      <c r="BP210" s="27">
        <f>COGS!BP210</f>
        <v>0</v>
      </c>
      <c r="BQ210" s="27">
        <f>COGS!BQ210</f>
        <v>0</v>
      </c>
      <c r="BR210" s="27">
        <f>COGS!BR210</f>
        <v>0</v>
      </c>
      <c r="BS210" s="27">
        <f>COGS!BS210</f>
        <v>0</v>
      </c>
      <c r="BT210" s="27">
        <f>COGS!BT210</f>
        <v>0</v>
      </c>
      <c r="BU210" s="27">
        <f>COGS!BU210</f>
        <v>0</v>
      </c>
      <c r="BV210" s="27">
        <f>COGS!BV210</f>
        <v>0</v>
      </c>
      <c r="BW210" s="27">
        <f>COGS!BW210</f>
        <v>0</v>
      </c>
      <c r="BX210" s="27">
        <f>COGS!BX210</f>
        <v>0</v>
      </c>
      <c r="BY210" s="27">
        <f>COGS!BY210</f>
        <v>0</v>
      </c>
      <c r="BZ210" s="27">
        <f>COGS!BZ210</f>
        <v>0</v>
      </c>
      <c r="CA210" s="27">
        <f>COGS!CA210</f>
        <v>0</v>
      </c>
      <c r="CB210" s="27">
        <f>COGS!CB210</f>
        <v>0</v>
      </c>
      <c r="CC210" s="27">
        <f>COGS!CC210</f>
        <v>0</v>
      </c>
      <c r="CD210" s="27">
        <f>COGS!CD210</f>
        <v>0</v>
      </c>
      <c r="CE210" s="27">
        <f>COGS!CE210</f>
        <v>0</v>
      </c>
      <c r="CF210" s="27">
        <f>COGS!CF210</f>
        <v>0</v>
      </c>
      <c r="CG210" s="27">
        <f>COGS!CG210</f>
        <v>0</v>
      </c>
      <c r="CH210" s="27">
        <f>COGS!CH210</f>
        <v>0</v>
      </c>
      <c r="CI210" s="27">
        <f>COGS!CI210</f>
        <v>0</v>
      </c>
      <c r="CJ210" s="27">
        <f>COGS!CJ210</f>
        <v>0</v>
      </c>
      <c r="CK210" s="27">
        <f>COGS!CK210</f>
        <v>0</v>
      </c>
      <c r="CL210" s="27">
        <f>COGS!CL210</f>
        <v>0</v>
      </c>
      <c r="CM210" s="27">
        <f>COGS!CM210</f>
        <v>0</v>
      </c>
      <c r="CN210" s="27">
        <f>COGS!CN210</f>
        <v>0</v>
      </c>
      <c r="CO210" s="27">
        <f>COGS!CO210</f>
        <v>0</v>
      </c>
      <c r="CP210" s="27">
        <f>COGS!CP210</f>
        <v>0</v>
      </c>
      <c r="CQ210" s="27">
        <f>COGS!CQ210</f>
        <v>0</v>
      </c>
      <c r="CR210" s="27">
        <f>COGS!CR210</f>
        <v>0</v>
      </c>
      <c r="CS210" s="27">
        <f>COGS!CS210</f>
        <v>0</v>
      </c>
      <c r="CT210" s="27">
        <f>COGS!CT210</f>
        <v>0</v>
      </c>
      <c r="CU210" s="27">
        <f>COGS!CU210</f>
        <v>0</v>
      </c>
      <c r="CV210" s="27">
        <f>COGS!CV210</f>
        <v>0</v>
      </c>
      <c r="CW210" s="27">
        <f>COGS!CW210</f>
        <v>0</v>
      </c>
      <c r="CX210" s="27">
        <f>COGS!CX210</f>
        <v>0</v>
      </c>
      <c r="CY210" s="27">
        <f>COGS!CY210</f>
        <v>0</v>
      </c>
      <c r="CZ210" s="27">
        <f>COGS!CZ210</f>
        <v>0</v>
      </c>
      <c r="DA210" s="27">
        <f>COGS!DA210</f>
        <v>0</v>
      </c>
      <c r="DB210" s="27">
        <f>COGS!DB210</f>
        <v>0</v>
      </c>
      <c r="DC210" s="27">
        <f>COGS!DC210</f>
        <v>0</v>
      </c>
      <c r="DD210" s="27">
        <f>COGS!DD210</f>
        <v>0</v>
      </c>
      <c r="DE210" s="27">
        <f>COGS!DE210</f>
        <v>0</v>
      </c>
      <c r="DF210" s="27">
        <f>COGS!DF210</f>
        <v>0</v>
      </c>
      <c r="DG210" s="27">
        <f>COGS!DG210</f>
        <v>0</v>
      </c>
      <c r="DH210" s="27">
        <f>COGS!DH210</f>
        <v>0</v>
      </c>
      <c r="DI210" s="27">
        <f>COGS!DI210</f>
        <v>0</v>
      </c>
      <c r="DJ210" s="27">
        <f>COGS!DJ210</f>
        <v>0</v>
      </c>
      <c r="DK210" s="27">
        <f>COGS!DK210</f>
        <v>0</v>
      </c>
      <c r="DL210" s="27">
        <f>COGS!DL210</f>
        <v>0</v>
      </c>
      <c r="DM210" s="27">
        <f>COGS!DM210</f>
        <v>0</v>
      </c>
      <c r="DN210" s="27">
        <f>COGS!DN210</f>
        <v>0</v>
      </c>
      <c r="DO210" s="27">
        <f>COGS!DO210</f>
        <v>0</v>
      </c>
      <c r="DP210" s="27">
        <f>COGS!DP210</f>
        <v>0</v>
      </c>
      <c r="DQ210" s="27">
        <f>COGS!DQ210</f>
        <v>0</v>
      </c>
      <c r="DR210" s="27">
        <f>COGS!DR210</f>
        <v>0</v>
      </c>
      <c r="DS210" s="27">
        <f>COGS!DS210</f>
        <v>0</v>
      </c>
      <c r="DT210" s="27">
        <f>COGS!DT210</f>
        <v>0</v>
      </c>
      <c r="DU210" s="27">
        <f>COGS!DU210</f>
        <v>0</v>
      </c>
      <c r="DV210" s="27">
        <f>COGS!DV210</f>
        <v>0</v>
      </c>
      <c r="DW210" s="27">
        <f>COGS!DW210</f>
        <v>0</v>
      </c>
      <c r="DX210" s="27">
        <f>COGS!DX210</f>
        <v>0</v>
      </c>
      <c r="DY210" s="27">
        <f>COGS!DY210</f>
        <v>0</v>
      </c>
      <c r="DZ210" s="27">
        <f>COGS!DZ210</f>
        <v>0</v>
      </c>
      <c r="EA210" s="27">
        <f>COGS!EA210</f>
        <v>0</v>
      </c>
      <c r="EB210" s="27">
        <f>COGS!EB210</f>
        <v>0</v>
      </c>
      <c r="EC210" s="27">
        <f>COGS!EC210</f>
        <v>0</v>
      </c>
      <c r="ED210" s="27">
        <f>COGS!ED210</f>
        <v>0</v>
      </c>
      <c r="EE210" s="27">
        <f>COGS!EE210</f>
        <v>0</v>
      </c>
      <c r="EF210" s="27">
        <f>COGS!EF210</f>
        <v>0</v>
      </c>
      <c r="EG210" s="27">
        <f>COGS!EG210</f>
        <v>0.4824695</v>
      </c>
      <c r="EH210" s="27">
        <f>COGS!EH210</f>
        <v>0.90545865999999997</v>
      </c>
      <c r="EI210" s="27">
        <f>COGS!EI210</f>
        <v>1.1156970900000001</v>
      </c>
    </row>
    <row r="211" spans="1:139" ht="15" thickBot="1" x14ac:dyDescent="0.35">
      <c r="A211" s="2" t="s">
        <v>448</v>
      </c>
      <c r="B211" s="28">
        <f>COGS!B211</f>
        <v>0</v>
      </c>
      <c r="C211" s="28">
        <f>COGS!C211</f>
        <v>0</v>
      </c>
      <c r="D211" s="28">
        <f>COGS!D211</f>
        <v>0</v>
      </c>
      <c r="E211" s="28">
        <f>COGS!E211</f>
        <v>0</v>
      </c>
      <c r="F211" s="28">
        <f>COGS!F211</f>
        <v>0</v>
      </c>
      <c r="G211" s="28">
        <f>COGS!G211</f>
        <v>0</v>
      </c>
      <c r="H211" s="28">
        <f>COGS!H211</f>
        <v>0</v>
      </c>
      <c r="I211" s="28">
        <f>COGS!I211</f>
        <v>0</v>
      </c>
      <c r="J211" s="28">
        <f>COGS!J211</f>
        <v>0</v>
      </c>
      <c r="K211" s="28">
        <f>COGS!K211</f>
        <v>0</v>
      </c>
      <c r="L211" s="28">
        <f>COGS!L211</f>
        <v>0</v>
      </c>
      <c r="M211" s="28">
        <f>COGS!M211</f>
        <v>0</v>
      </c>
      <c r="N211" s="28">
        <f>COGS!N211</f>
        <v>0</v>
      </c>
      <c r="O211" s="28">
        <f>COGS!O211</f>
        <v>0</v>
      </c>
      <c r="P211" s="28">
        <f>COGS!P211</f>
        <v>0</v>
      </c>
      <c r="Q211" s="28">
        <f>COGS!Q211</f>
        <v>0</v>
      </c>
      <c r="R211" s="28">
        <f>COGS!R211</f>
        <v>0</v>
      </c>
      <c r="S211" s="28">
        <f>COGS!S211</f>
        <v>0</v>
      </c>
      <c r="T211" s="28">
        <f>COGS!T211</f>
        <v>0</v>
      </c>
      <c r="U211" s="28">
        <f>COGS!U211</f>
        <v>0</v>
      </c>
      <c r="V211" s="28">
        <f>COGS!V211</f>
        <v>0</v>
      </c>
      <c r="W211" s="28">
        <f>COGS!W211</f>
        <v>0</v>
      </c>
      <c r="X211" s="28">
        <f>COGS!X211</f>
        <v>0</v>
      </c>
      <c r="Y211" s="28">
        <f>COGS!Y211</f>
        <v>0</v>
      </c>
      <c r="Z211" s="28">
        <f>COGS!Z211</f>
        <v>0</v>
      </c>
      <c r="AA211" s="28">
        <f>COGS!AA211</f>
        <v>0</v>
      </c>
      <c r="AB211" s="28">
        <f>COGS!AB211</f>
        <v>0</v>
      </c>
      <c r="AC211" s="28">
        <f>COGS!AC211</f>
        <v>0</v>
      </c>
      <c r="AD211" s="28">
        <f>COGS!AD211</f>
        <v>0</v>
      </c>
      <c r="AE211" s="28">
        <f>COGS!AE211</f>
        <v>0</v>
      </c>
      <c r="AF211" s="28">
        <f>COGS!AF211</f>
        <v>0</v>
      </c>
      <c r="AG211" s="28">
        <f>COGS!AG211</f>
        <v>0</v>
      </c>
      <c r="AH211" s="28">
        <f>COGS!AH211</f>
        <v>0</v>
      </c>
      <c r="AI211" s="28">
        <f>COGS!AI211</f>
        <v>0</v>
      </c>
      <c r="AJ211" s="28">
        <f>COGS!AJ211</f>
        <v>0</v>
      </c>
      <c r="AK211" s="28">
        <f>COGS!AK211</f>
        <v>0</v>
      </c>
      <c r="AL211" s="28">
        <f>COGS!AL211</f>
        <v>0</v>
      </c>
      <c r="AM211" s="28">
        <f>COGS!AM211</f>
        <v>0</v>
      </c>
      <c r="AN211" s="28">
        <f>COGS!AN211</f>
        <v>0</v>
      </c>
      <c r="AO211" s="28">
        <f>COGS!AO211</f>
        <v>0</v>
      </c>
      <c r="AP211" s="28">
        <f>COGS!AP211</f>
        <v>0</v>
      </c>
      <c r="AQ211" s="28">
        <f>COGS!AQ211</f>
        <v>0</v>
      </c>
      <c r="AR211" s="28">
        <f>COGS!AR211</f>
        <v>0</v>
      </c>
      <c r="AS211" s="28">
        <f>COGS!AS211</f>
        <v>0</v>
      </c>
      <c r="AT211" s="28">
        <f>COGS!AT211</f>
        <v>0</v>
      </c>
      <c r="AU211" s="28">
        <f>COGS!AU211</f>
        <v>0</v>
      </c>
      <c r="AV211" s="28">
        <f>COGS!AV211</f>
        <v>0</v>
      </c>
      <c r="AW211" s="28">
        <f>COGS!AW211</f>
        <v>0</v>
      </c>
      <c r="AX211" s="28">
        <f>COGS!AX211</f>
        <v>0</v>
      </c>
      <c r="AY211" s="28">
        <f>COGS!AY211</f>
        <v>0</v>
      </c>
      <c r="AZ211" s="28">
        <f>COGS!AZ211</f>
        <v>0</v>
      </c>
      <c r="BA211" s="28">
        <f>COGS!BA211</f>
        <v>0</v>
      </c>
      <c r="BB211" s="28">
        <f>COGS!BB211</f>
        <v>0</v>
      </c>
      <c r="BC211" s="28">
        <f>COGS!BC211</f>
        <v>0</v>
      </c>
      <c r="BD211" s="28">
        <f>COGS!BD211</f>
        <v>0</v>
      </c>
      <c r="BE211" s="28">
        <f>COGS!BE211</f>
        <v>0</v>
      </c>
      <c r="BF211" s="28">
        <f>COGS!BF211</f>
        <v>0</v>
      </c>
      <c r="BG211" s="28">
        <f>COGS!BG211</f>
        <v>0</v>
      </c>
      <c r="BH211" s="28">
        <f>COGS!BH211</f>
        <v>0</v>
      </c>
      <c r="BI211" s="28">
        <f>COGS!BI211</f>
        <v>0</v>
      </c>
      <c r="BJ211" s="28">
        <f>COGS!BJ211</f>
        <v>0</v>
      </c>
      <c r="BK211" s="28">
        <f>COGS!BK211</f>
        <v>0</v>
      </c>
      <c r="BL211" s="28">
        <f>COGS!BL211</f>
        <v>0</v>
      </c>
      <c r="BM211" s="28">
        <f>COGS!BM211</f>
        <v>0</v>
      </c>
      <c r="BN211" s="28">
        <f>COGS!BN211</f>
        <v>0</v>
      </c>
      <c r="BO211" s="28">
        <f>COGS!BO211</f>
        <v>0</v>
      </c>
      <c r="BP211" s="28">
        <f>COGS!BP211</f>
        <v>0</v>
      </c>
      <c r="BQ211" s="28">
        <f>COGS!BQ211</f>
        <v>0</v>
      </c>
      <c r="BR211" s="28">
        <f>COGS!BR211</f>
        <v>0</v>
      </c>
      <c r="BS211" s="28">
        <f>COGS!BS211</f>
        <v>0</v>
      </c>
      <c r="BT211" s="28">
        <f>COGS!BT211</f>
        <v>0</v>
      </c>
      <c r="BU211" s="28">
        <f>COGS!BU211</f>
        <v>0</v>
      </c>
      <c r="BV211" s="28">
        <f>COGS!BV211</f>
        <v>0</v>
      </c>
      <c r="BW211" s="28">
        <f>COGS!BW211</f>
        <v>0</v>
      </c>
      <c r="BX211" s="28">
        <f>COGS!BX211</f>
        <v>0</v>
      </c>
      <c r="BY211" s="28">
        <f>COGS!BY211</f>
        <v>0</v>
      </c>
      <c r="BZ211" s="28">
        <f>COGS!BZ211</f>
        <v>0</v>
      </c>
      <c r="CA211" s="28">
        <f>COGS!CA211</f>
        <v>0</v>
      </c>
      <c r="CB211" s="28">
        <f>COGS!CB211</f>
        <v>0</v>
      </c>
      <c r="CC211" s="28">
        <f>COGS!CC211</f>
        <v>0</v>
      </c>
      <c r="CD211" s="28">
        <f>COGS!CD211</f>
        <v>0</v>
      </c>
      <c r="CE211" s="28">
        <f>COGS!CE211</f>
        <v>0</v>
      </c>
      <c r="CF211" s="28">
        <f>COGS!CF211</f>
        <v>0</v>
      </c>
      <c r="CG211" s="28">
        <f>COGS!CG211</f>
        <v>0</v>
      </c>
      <c r="CH211" s="28">
        <f>COGS!CH211</f>
        <v>0</v>
      </c>
      <c r="CI211" s="28">
        <f>COGS!CI211</f>
        <v>0</v>
      </c>
      <c r="CJ211" s="28">
        <f>COGS!CJ211</f>
        <v>0</v>
      </c>
      <c r="CK211" s="28">
        <f>COGS!CK211</f>
        <v>0</v>
      </c>
      <c r="CL211" s="28">
        <f>COGS!CL211</f>
        <v>0</v>
      </c>
      <c r="CM211" s="28">
        <f>COGS!CM211</f>
        <v>0</v>
      </c>
      <c r="CN211" s="28">
        <f>COGS!CN211</f>
        <v>0</v>
      </c>
      <c r="CO211" s="28">
        <f>COGS!CO211</f>
        <v>0</v>
      </c>
      <c r="CP211" s="28">
        <f>COGS!CP211</f>
        <v>0</v>
      </c>
      <c r="CQ211" s="28">
        <f>COGS!CQ211</f>
        <v>0</v>
      </c>
      <c r="CR211" s="28">
        <f>COGS!CR211</f>
        <v>0</v>
      </c>
      <c r="CS211" s="28">
        <f>COGS!CS211</f>
        <v>0</v>
      </c>
      <c r="CT211" s="28">
        <f>COGS!CT211</f>
        <v>0</v>
      </c>
      <c r="CU211" s="28">
        <f>COGS!CU211</f>
        <v>0</v>
      </c>
      <c r="CV211" s="28">
        <f>COGS!CV211</f>
        <v>0</v>
      </c>
      <c r="CW211" s="28">
        <f>COGS!CW211</f>
        <v>0</v>
      </c>
      <c r="CX211" s="28">
        <f>COGS!CX211</f>
        <v>0</v>
      </c>
      <c r="CY211" s="28">
        <f>COGS!CY211</f>
        <v>0</v>
      </c>
      <c r="CZ211" s="28">
        <f>COGS!CZ211</f>
        <v>0</v>
      </c>
      <c r="DA211" s="28">
        <f>COGS!DA211</f>
        <v>0</v>
      </c>
      <c r="DB211" s="28">
        <f>COGS!DB211</f>
        <v>0</v>
      </c>
      <c r="DC211" s="28">
        <f>COGS!DC211</f>
        <v>0</v>
      </c>
      <c r="DD211" s="28">
        <f>COGS!DD211</f>
        <v>0</v>
      </c>
      <c r="DE211" s="28">
        <f>COGS!DE211</f>
        <v>0</v>
      </c>
      <c r="DF211" s="28">
        <f>COGS!DF211</f>
        <v>0</v>
      </c>
      <c r="DG211" s="28">
        <f>COGS!DG211</f>
        <v>0</v>
      </c>
      <c r="DH211" s="28">
        <f>COGS!DH211</f>
        <v>0</v>
      </c>
      <c r="DI211" s="28">
        <f>COGS!DI211</f>
        <v>0</v>
      </c>
      <c r="DJ211" s="28">
        <f>COGS!DJ211</f>
        <v>0</v>
      </c>
      <c r="DK211" s="28">
        <f>COGS!DK211</f>
        <v>0</v>
      </c>
      <c r="DL211" s="28">
        <f>COGS!DL211</f>
        <v>0</v>
      </c>
      <c r="DM211" s="28">
        <f>COGS!DM211</f>
        <v>0</v>
      </c>
      <c r="DN211" s="28">
        <f>COGS!DN211</f>
        <v>0</v>
      </c>
      <c r="DO211" s="28">
        <f>COGS!DO211</f>
        <v>0</v>
      </c>
      <c r="DP211" s="28">
        <f>COGS!DP211</f>
        <v>0</v>
      </c>
      <c r="DQ211" s="28">
        <f>COGS!DQ211</f>
        <v>0</v>
      </c>
      <c r="DR211" s="28">
        <f>COGS!DR211</f>
        <v>0</v>
      </c>
      <c r="DS211" s="28">
        <f>COGS!DS211</f>
        <v>0</v>
      </c>
      <c r="DT211" s="28">
        <f>COGS!DT211</f>
        <v>0</v>
      </c>
      <c r="DU211" s="28">
        <f>COGS!DU211</f>
        <v>0</v>
      </c>
      <c r="DV211" s="28">
        <f>COGS!DV211</f>
        <v>0</v>
      </c>
      <c r="DW211" s="28">
        <f>COGS!DW211</f>
        <v>0</v>
      </c>
      <c r="DX211" s="28">
        <f>COGS!DX211</f>
        <v>0</v>
      </c>
      <c r="DY211" s="28">
        <f>COGS!DY211</f>
        <v>0</v>
      </c>
      <c r="DZ211" s="28">
        <f>COGS!DZ211</f>
        <v>0</v>
      </c>
      <c r="EA211" s="28">
        <f>COGS!EA211</f>
        <v>0</v>
      </c>
      <c r="EB211" s="28">
        <f>COGS!EB211</f>
        <v>1.13845642</v>
      </c>
      <c r="EC211" s="28">
        <f>COGS!EC211</f>
        <v>1.4831621800000001</v>
      </c>
      <c r="ED211" s="28">
        <f>COGS!ED211</f>
        <v>1.6180000000000001</v>
      </c>
      <c r="EE211" s="28">
        <f>COGS!EE211</f>
        <v>-0.36163006000000003</v>
      </c>
      <c r="EF211" s="28">
        <f>COGS!EF211</f>
        <v>3.87798854</v>
      </c>
      <c r="EG211" s="28">
        <f>COGS!EG211</f>
        <v>1.1173972599999999</v>
      </c>
      <c r="EH211" s="28">
        <f>COGS!EH211</f>
        <v>2.8421385499999996</v>
      </c>
      <c r="EI211" s="28">
        <f>COGS!EI211</f>
        <v>3.5499470900000003</v>
      </c>
    </row>
    <row r="212" spans="1:139" ht="15" thickTop="1" x14ac:dyDescent="0.3">
      <c r="A212" s="1" t="s">
        <v>449</v>
      </c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>
        <f>COGS!BJ212</f>
        <v>0</v>
      </c>
      <c r="BK212" s="27">
        <f>COGS!BK212</f>
        <v>0</v>
      </c>
      <c r="BL212" s="27">
        <f>COGS!BL212</f>
        <v>0</v>
      </c>
      <c r="BM212" s="27">
        <f>COGS!BM212</f>
        <v>0</v>
      </c>
      <c r="BN212" s="27">
        <f>COGS!BN212</f>
        <v>0</v>
      </c>
      <c r="BO212" s="27">
        <f>COGS!BO212</f>
        <v>0</v>
      </c>
      <c r="BP212" s="27">
        <f>COGS!BP212</f>
        <v>0</v>
      </c>
      <c r="BQ212" s="27">
        <f>COGS!BQ212</f>
        <v>0</v>
      </c>
      <c r="BR212" s="27">
        <f>COGS!BR212</f>
        <v>0</v>
      </c>
      <c r="BS212" s="27">
        <f>COGS!BS212</f>
        <v>0</v>
      </c>
      <c r="BT212" s="27">
        <f>COGS!BT212</f>
        <v>0</v>
      </c>
      <c r="BU212" s="27">
        <f>COGS!BU212</f>
        <v>0</v>
      </c>
      <c r="BV212" s="27">
        <f>COGS!BV212</f>
        <v>0</v>
      </c>
      <c r="BW212" s="27">
        <f>COGS!BW212</f>
        <v>0</v>
      </c>
      <c r="BX212" s="27">
        <f>COGS!BX212</f>
        <v>0</v>
      </c>
      <c r="BY212" s="27">
        <f>COGS!BY212</f>
        <v>0</v>
      </c>
      <c r="BZ212" s="27">
        <f>COGS!BZ212</f>
        <v>0</v>
      </c>
      <c r="CA212" s="27">
        <f>COGS!CA212</f>
        <v>0</v>
      </c>
      <c r="CB212" s="27">
        <f>COGS!CB212</f>
        <v>0</v>
      </c>
      <c r="CC212" s="27">
        <f>COGS!CC212</f>
        <v>0</v>
      </c>
      <c r="CD212" s="27">
        <f>COGS!CD212</f>
        <v>0</v>
      </c>
      <c r="CE212" s="27">
        <f>COGS!CE212</f>
        <v>0</v>
      </c>
      <c r="CF212" s="27">
        <f>COGS!CF212</f>
        <v>0</v>
      </c>
      <c r="CG212" s="27">
        <f>COGS!CG212</f>
        <v>0</v>
      </c>
      <c r="CH212" s="27">
        <f>COGS!CH212</f>
        <v>0</v>
      </c>
      <c r="CI212" s="27">
        <f>COGS!CI212</f>
        <v>0</v>
      </c>
      <c r="CJ212" s="27">
        <f>COGS!CJ212</f>
        <v>0</v>
      </c>
      <c r="CK212" s="27">
        <f>COGS!CK212</f>
        <v>0</v>
      </c>
      <c r="CL212" s="27">
        <f>COGS!CL212</f>
        <v>0</v>
      </c>
      <c r="CM212" s="27">
        <f>COGS!CM212</f>
        <v>0</v>
      </c>
      <c r="CN212" s="27">
        <f>COGS!CN212</f>
        <v>0</v>
      </c>
      <c r="CO212" s="27">
        <f>COGS!CO212</f>
        <v>0</v>
      </c>
      <c r="CP212" s="27">
        <f>COGS!CP212</f>
        <v>0</v>
      </c>
      <c r="CQ212" s="27">
        <f>COGS!CQ212</f>
        <v>0</v>
      </c>
      <c r="CR212" s="27">
        <f>COGS!CR212</f>
        <v>0</v>
      </c>
      <c r="CS212" s="27">
        <f>COGS!CS212</f>
        <v>0</v>
      </c>
      <c r="CT212" s="27">
        <f>COGS!CT212</f>
        <v>0</v>
      </c>
      <c r="CU212" s="27">
        <f>COGS!CU212</f>
        <v>0</v>
      </c>
      <c r="CV212" s="27">
        <f>COGS!CV212</f>
        <v>0</v>
      </c>
      <c r="CW212" s="27">
        <f>COGS!CW212</f>
        <v>0</v>
      </c>
      <c r="CX212" s="27">
        <f>COGS!CX212</f>
        <v>0</v>
      </c>
      <c r="CY212" s="27">
        <f>COGS!CY212</f>
        <v>0</v>
      </c>
      <c r="CZ212" s="27">
        <f>COGS!CZ212</f>
        <v>0</v>
      </c>
      <c r="DA212" s="27">
        <f>COGS!DA212</f>
        <v>0</v>
      </c>
      <c r="DB212" s="27">
        <f>COGS!DB212</f>
        <v>0</v>
      </c>
      <c r="DC212" s="27">
        <f>COGS!DC212</f>
        <v>0</v>
      </c>
      <c r="DD212" s="27">
        <f>COGS!DD212</f>
        <v>0</v>
      </c>
      <c r="DE212" s="27">
        <f>COGS!DE212</f>
        <v>0</v>
      </c>
      <c r="DF212" s="27">
        <f>COGS!DF212</f>
        <v>0</v>
      </c>
      <c r="DG212" s="27">
        <f>COGS!DG212</f>
        <v>0</v>
      </c>
      <c r="DH212" s="27">
        <f>COGS!DH212</f>
        <v>0</v>
      </c>
      <c r="DI212" s="27">
        <f>COGS!DI212</f>
        <v>0</v>
      </c>
      <c r="DJ212" s="27">
        <f>COGS!DJ212</f>
        <v>0</v>
      </c>
      <c r="DK212" s="27">
        <f>COGS!DK212</f>
        <v>0</v>
      </c>
      <c r="DL212" s="27">
        <f>COGS!DL212</f>
        <v>0</v>
      </c>
      <c r="DM212" s="27">
        <f>COGS!DM212</f>
        <v>0</v>
      </c>
      <c r="DN212" s="27">
        <f>COGS!DN212</f>
        <v>0</v>
      </c>
      <c r="DO212" s="27">
        <f>COGS!DO212</f>
        <v>0</v>
      </c>
      <c r="DP212" s="27">
        <f>COGS!DP212</f>
        <v>0</v>
      </c>
      <c r="DQ212" s="27">
        <f>COGS!DQ212</f>
        <v>0</v>
      </c>
      <c r="DR212" s="27">
        <f>COGS!DR212</f>
        <v>0</v>
      </c>
      <c r="DS212" s="27">
        <f>COGS!DS212</f>
        <v>0</v>
      </c>
      <c r="DT212" s="27">
        <f>COGS!DT212</f>
        <v>0</v>
      </c>
      <c r="DU212" s="27">
        <f>COGS!DU212</f>
        <v>0</v>
      </c>
      <c r="DV212" s="27">
        <f>COGS!DV212</f>
        <v>0</v>
      </c>
      <c r="DW212" s="27">
        <f>COGS!DW212</f>
        <v>0</v>
      </c>
      <c r="DX212" s="27">
        <f>COGS!DX212</f>
        <v>0</v>
      </c>
      <c r="DY212" s="27">
        <f>COGS!DY212</f>
        <v>0</v>
      </c>
      <c r="DZ212" s="27">
        <f>COGS!DZ212</f>
        <v>0</v>
      </c>
      <c r="EA212" s="27">
        <f>COGS!EA212</f>
        <v>0</v>
      </c>
      <c r="EB212" s="27">
        <f>COGS!EB212</f>
        <v>0</v>
      </c>
      <c r="EC212" s="27">
        <f>COGS!EC212</f>
        <v>0</v>
      </c>
      <c r="ED212" s="27">
        <f>COGS!ED212</f>
        <v>0</v>
      </c>
      <c r="EE212" s="27">
        <f>COGS!EE212</f>
        <v>0</v>
      </c>
      <c r="EF212" s="27">
        <f>COGS!EF212</f>
        <v>0</v>
      </c>
      <c r="EG212" s="27">
        <f>COGS!EG212</f>
        <v>0</v>
      </c>
      <c r="EH212" s="27">
        <f>COGS!EH212</f>
        <v>0</v>
      </c>
      <c r="EI212" s="27">
        <f>COGS!EI212</f>
        <v>0</v>
      </c>
    </row>
    <row r="213" spans="1:139" x14ac:dyDescent="0.3">
      <c r="A213" s="2" t="s">
        <v>460</v>
      </c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>
        <f>COGS!EE213</f>
        <v>0</v>
      </c>
      <c r="EF213" s="28">
        <f>COGS!EF213</f>
        <v>0</v>
      </c>
      <c r="EG213" s="28">
        <f>COGS!EG213</f>
        <v>0</v>
      </c>
      <c r="EH213" s="28">
        <f>COGS!EH213</f>
        <v>0</v>
      </c>
      <c r="EI213" s="28">
        <f>COGS!EI213</f>
        <v>0</v>
      </c>
    </row>
    <row r="214" spans="1:139" x14ac:dyDescent="0.3">
      <c r="A214" s="5" t="s">
        <v>311</v>
      </c>
      <c r="B214" s="29">
        <f>SUM(B200:B211)</f>
        <v>0</v>
      </c>
      <c r="C214" s="29">
        <f t="shared" ref="C214:BI214" si="28">SUM(C200:C211)</f>
        <v>0</v>
      </c>
      <c r="D214" s="29">
        <f t="shared" si="28"/>
        <v>0</v>
      </c>
      <c r="E214" s="29">
        <f t="shared" si="28"/>
        <v>0</v>
      </c>
      <c r="F214" s="29">
        <f t="shared" si="28"/>
        <v>0</v>
      </c>
      <c r="G214" s="29">
        <f t="shared" si="28"/>
        <v>0</v>
      </c>
      <c r="H214" s="29">
        <f t="shared" si="28"/>
        <v>0</v>
      </c>
      <c r="I214" s="29">
        <f t="shared" si="28"/>
        <v>0</v>
      </c>
      <c r="J214" s="29">
        <f t="shared" si="28"/>
        <v>0</v>
      </c>
      <c r="K214" s="29">
        <f t="shared" si="28"/>
        <v>0</v>
      </c>
      <c r="L214" s="29">
        <f t="shared" si="28"/>
        <v>0</v>
      </c>
      <c r="M214" s="29">
        <f t="shared" si="28"/>
        <v>0</v>
      </c>
      <c r="N214" s="29">
        <f t="shared" si="28"/>
        <v>0</v>
      </c>
      <c r="O214" s="29">
        <f t="shared" si="28"/>
        <v>0</v>
      </c>
      <c r="P214" s="29">
        <f t="shared" si="28"/>
        <v>0</v>
      </c>
      <c r="Q214" s="29">
        <f t="shared" si="28"/>
        <v>0</v>
      </c>
      <c r="R214" s="29">
        <f t="shared" si="28"/>
        <v>0</v>
      </c>
      <c r="S214" s="29">
        <f t="shared" si="28"/>
        <v>0</v>
      </c>
      <c r="T214" s="29">
        <f t="shared" si="28"/>
        <v>0</v>
      </c>
      <c r="U214" s="29">
        <f t="shared" si="28"/>
        <v>0</v>
      </c>
      <c r="V214" s="29">
        <f t="shared" si="28"/>
        <v>0</v>
      </c>
      <c r="W214" s="29">
        <f t="shared" si="28"/>
        <v>0</v>
      </c>
      <c r="X214" s="29">
        <f t="shared" si="28"/>
        <v>0</v>
      </c>
      <c r="Y214" s="29">
        <f t="shared" si="28"/>
        <v>0</v>
      </c>
      <c r="Z214" s="29">
        <f t="shared" si="28"/>
        <v>0</v>
      </c>
      <c r="AA214" s="29">
        <f t="shared" si="28"/>
        <v>0</v>
      </c>
      <c r="AB214" s="29">
        <f t="shared" si="28"/>
        <v>0</v>
      </c>
      <c r="AC214" s="29">
        <f t="shared" si="28"/>
        <v>0</v>
      </c>
      <c r="AD214" s="29">
        <f t="shared" si="28"/>
        <v>0</v>
      </c>
      <c r="AE214" s="29">
        <f t="shared" si="28"/>
        <v>0</v>
      </c>
      <c r="AF214" s="29">
        <f t="shared" si="28"/>
        <v>0</v>
      </c>
      <c r="AG214" s="29">
        <f t="shared" si="28"/>
        <v>0</v>
      </c>
      <c r="AH214" s="29">
        <f t="shared" si="28"/>
        <v>0</v>
      </c>
      <c r="AI214" s="29">
        <f t="shared" si="28"/>
        <v>0</v>
      </c>
      <c r="AJ214" s="29">
        <f t="shared" si="28"/>
        <v>0</v>
      </c>
      <c r="AK214" s="29">
        <f t="shared" si="28"/>
        <v>0</v>
      </c>
      <c r="AL214" s="29">
        <f t="shared" si="28"/>
        <v>0</v>
      </c>
      <c r="AM214" s="29">
        <f t="shared" si="28"/>
        <v>0</v>
      </c>
      <c r="AN214" s="29">
        <f t="shared" si="28"/>
        <v>0</v>
      </c>
      <c r="AO214" s="29">
        <f t="shared" si="28"/>
        <v>0</v>
      </c>
      <c r="AP214" s="29">
        <f t="shared" si="28"/>
        <v>0</v>
      </c>
      <c r="AQ214" s="29">
        <f t="shared" si="28"/>
        <v>0</v>
      </c>
      <c r="AR214" s="29">
        <f t="shared" si="28"/>
        <v>0</v>
      </c>
      <c r="AS214" s="29">
        <f t="shared" si="28"/>
        <v>0</v>
      </c>
      <c r="AT214" s="29">
        <f t="shared" si="28"/>
        <v>0</v>
      </c>
      <c r="AU214" s="29">
        <f t="shared" si="28"/>
        <v>0</v>
      </c>
      <c r="AV214" s="29">
        <f t="shared" si="28"/>
        <v>0</v>
      </c>
      <c r="AW214" s="29">
        <f t="shared" si="28"/>
        <v>0</v>
      </c>
      <c r="AX214" s="29">
        <f t="shared" si="28"/>
        <v>0</v>
      </c>
      <c r="AY214" s="29">
        <f t="shared" si="28"/>
        <v>0</v>
      </c>
      <c r="AZ214" s="29">
        <f t="shared" si="28"/>
        <v>0</v>
      </c>
      <c r="BA214" s="29">
        <f t="shared" si="28"/>
        <v>0</v>
      </c>
      <c r="BB214" s="29">
        <f t="shared" si="28"/>
        <v>0</v>
      </c>
      <c r="BC214" s="29">
        <f t="shared" si="28"/>
        <v>0</v>
      </c>
      <c r="BD214" s="29">
        <f t="shared" si="28"/>
        <v>0</v>
      </c>
      <c r="BE214" s="29">
        <f t="shared" si="28"/>
        <v>0</v>
      </c>
      <c r="BF214" s="29">
        <f t="shared" si="28"/>
        <v>0</v>
      </c>
      <c r="BG214" s="29">
        <f t="shared" si="28"/>
        <v>0</v>
      </c>
      <c r="BH214" s="29">
        <f t="shared" si="28"/>
        <v>0</v>
      </c>
      <c r="BI214" s="29">
        <f t="shared" si="28"/>
        <v>0</v>
      </c>
      <c r="BJ214" s="29">
        <f>SUM(BJ200:BJ212)</f>
        <v>10.10877251</v>
      </c>
      <c r="BK214" s="29">
        <f t="shared" ref="BK214:DV214" si="29">SUM(BK200:BK212)</f>
        <v>10.151049980000002</v>
      </c>
      <c r="BL214" s="29">
        <f t="shared" si="29"/>
        <v>10.630574149999999</v>
      </c>
      <c r="BM214" s="29">
        <f t="shared" si="29"/>
        <v>17.293616620000002</v>
      </c>
      <c r="BN214" s="29">
        <f t="shared" si="29"/>
        <v>48.18401326</v>
      </c>
      <c r="BO214" s="29">
        <f t="shared" si="29"/>
        <v>14.291094679999999</v>
      </c>
      <c r="BP214" s="29">
        <f t="shared" si="29"/>
        <v>24.044079849999996</v>
      </c>
      <c r="BQ214" s="29">
        <f t="shared" si="29"/>
        <v>20.240164280000002</v>
      </c>
      <c r="BR214" s="29">
        <f t="shared" si="29"/>
        <v>21.736508279999999</v>
      </c>
      <c r="BS214" s="29">
        <f t="shared" si="29"/>
        <v>80.311847090000001</v>
      </c>
      <c r="BT214" s="29">
        <f t="shared" si="29"/>
        <v>16.496018070000002</v>
      </c>
      <c r="BU214" s="29">
        <f t="shared" si="29"/>
        <v>13.964368179999999</v>
      </c>
      <c r="BV214" s="29">
        <f t="shared" si="29"/>
        <v>20.495174480000003</v>
      </c>
      <c r="BW214" s="29">
        <f t="shared" si="29"/>
        <v>24.157681220000004</v>
      </c>
      <c r="BX214" s="29">
        <f t="shared" si="29"/>
        <v>75.113241949999988</v>
      </c>
      <c r="BY214" s="29">
        <f t="shared" si="29"/>
        <v>16.02922938</v>
      </c>
      <c r="BZ214" s="29">
        <f t="shared" si="29"/>
        <v>23.630876300000001</v>
      </c>
      <c r="CA214" s="29">
        <f t="shared" si="29"/>
        <v>14.639856249999996</v>
      </c>
      <c r="CB214" s="29">
        <f t="shared" si="29"/>
        <v>20.606940019999993</v>
      </c>
      <c r="CC214" s="29">
        <f t="shared" si="29"/>
        <v>74.906901950000005</v>
      </c>
      <c r="CD214" s="29">
        <f t="shared" si="29"/>
        <v>18.37935289</v>
      </c>
      <c r="CE214" s="29">
        <f t="shared" si="29"/>
        <v>32.845099209999994</v>
      </c>
      <c r="CF214" s="29">
        <f t="shared" si="29"/>
        <v>26.204630389999998</v>
      </c>
      <c r="CG214" s="29">
        <f t="shared" si="29"/>
        <v>27.825226070000021</v>
      </c>
      <c r="CH214" s="29">
        <f t="shared" si="29"/>
        <v>105.25430856000001</v>
      </c>
      <c r="CI214" s="29">
        <f t="shared" si="29"/>
        <v>21.92361219</v>
      </c>
      <c r="CJ214" s="29">
        <f t="shared" si="29"/>
        <v>23.773737160000007</v>
      </c>
      <c r="CK214" s="29">
        <f t="shared" si="29"/>
        <v>26.957975189999999</v>
      </c>
      <c r="CL214" s="29">
        <f t="shared" si="29"/>
        <v>19.23163778</v>
      </c>
      <c r="CM214" s="29">
        <f t="shared" si="29"/>
        <v>91.886962320000009</v>
      </c>
      <c r="CN214" s="29">
        <f t="shared" si="29"/>
        <v>17.256757870000001</v>
      </c>
      <c r="CO214" s="29">
        <f t="shared" si="29"/>
        <v>25.128971970000006</v>
      </c>
      <c r="CP214" s="29">
        <f t="shared" si="29"/>
        <v>22.058165110000001</v>
      </c>
      <c r="CQ214" s="29">
        <f t="shared" si="29"/>
        <v>40.286105049999996</v>
      </c>
      <c r="CR214" s="29">
        <f t="shared" si="29"/>
        <v>104.73</v>
      </c>
      <c r="CS214" s="29">
        <f t="shared" si="29"/>
        <v>20.624472129999997</v>
      </c>
      <c r="CT214" s="29">
        <f t="shared" si="29"/>
        <v>22.52808186</v>
      </c>
      <c r="CU214" s="29">
        <f t="shared" si="29"/>
        <v>36.391312379999995</v>
      </c>
      <c r="CV214" s="29">
        <f t="shared" si="29"/>
        <v>39.083246169999995</v>
      </c>
      <c r="CW214" s="29">
        <f t="shared" si="29"/>
        <v>118.62711253999998</v>
      </c>
      <c r="CX214" s="29">
        <f t="shared" si="29"/>
        <v>26.963000000000001</v>
      </c>
      <c r="CY214" s="29">
        <f t="shared" si="29"/>
        <v>11.901</v>
      </c>
      <c r="CZ214" s="29">
        <f t="shared" si="29"/>
        <v>32.347999999999999</v>
      </c>
      <c r="DA214" s="29">
        <f t="shared" si="29"/>
        <v>71.802999999999983</v>
      </c>
      <c r="DB214" s="29">
        <f t="shared" si="29"/>
        <v>143.01500000000001</v>
      </c>
      <c r="DC214" s="29">
        <f t="shared" si="29"/>
        <v>38.945999999999998</v>
      </c>
      <c r="DD214" s="29">
        <f t="shared" si="29"/>
        <v>42.565999999999995</v>
      </c>
      <c r="DE214" s="29">
        <f t="shared" si="29"/>
        <v>58.289000000000001</v>
      </c>
      <c r="DF214" s="29">
        <f t="shared" si="29"/>
        <v>61.070000000000007</v>
      </c>
      <c r="DG214" s="29">
        <f t="shared" si="29"/>
        <v>200.87100000000001</v>
      </c>
      <c r="DH214" s="29">
        <f t="shared" si="29"/>
        <v>31.069000000000003</v>
      </c>
      <c r="DI214" s="29">
        <f t="shared" si="29"/>
        <v>29.312000000000001</v>
      </c>
      <c r="DJ214" s="29">
        <f t="shared" si="29"/>
        <v>25.800999999999998</v>
      </c>
      <c r="DK214" s="29">
        <f t="shared" si="29"/>
        <v>25.594999999999999</v>
      </c>
      <c r="DL214" s="29">
        <f t="shared" si="29"/>
        <v>111.77700000000002</v>
      </c>
      <c r="DM214" s="29">
        <f t="shared" si="29"/>
        <v>32.072000000000003</v>
      </c>
      <c r="DN214" s="29">
        <f t="shared" si="29"/>
        <v>30.981999999999999</v>
      </c>
      <c r="DO214" s="29">
        <f t="shared" si="29"/>
        <v>31.526999999999997</v>
      </c>
      <c r="DP214" s="29">
        <f t="shared" si="29"/>
        <v>-30.878999999999998</v>
      </c>
      <c r="DQ214" s="29">
        <f t="shared" si="29"/>
        <v>63.701999999999998</v>
      </c>
      <c r="DR214" s="29">
        <f t="shared" si="29"/>
        <v>24.131999999999998</v>
      </c>
      <c r="DS214" s="29">
        <f t="shared" si="29"/>
        <v>35.217000000000006</v>
      </c>
      <c r="DT214" s="29">
        <f t="shared" si="29"/>
        <v>32.116</v>
      </c>
      <c r="DU214" s="29">
        <f t="shared" si="29"/>
        <v>21.847000000000001</v>
      </c>
      <c r="DV214" s="29">
        <f t="shared" si="29"/>
        <v>113.31200000000001</v>
      </c>
      <c r="DW214" s="29">
        <f t="shared" ref="DW214:ED214" si="30">SUM(DW200:DW212)</f>
        <v>19.522999999999996</v>
      </c>
      <c r="DX214" s="29">
        <f t="shared" si="30"/>
        <v>33.657000000000004</v>
      </c>
      <c r="DY214" s="29">
        <f t="shared" si="30"/>
        <v>36.534287790000008</v>
      </c>
      <c r="DZ214" s="29">
        <f t="shared" si="30"/>
        <v>12.292391669999997</v>
      </c>
      <c r="EA214" s="29">
        <f t="shared" si="30"/>
        <v>102.00667946</v>
      </c>
      <c r="EB214" s="29">
        <f t="shared" si="30"/>
        <v>25.874681869999996</v>
      </c>
      <c r="EC214" s="29">
        <f t="shared" si="30"/>
        <v>35.361243390000006</v>
      </c>
      <c r="ED214" s="29">
        <f t="shared" si="30"/>
        <v>38.923000000000002</v>
      </c>
      <c r="EE214" s="29">
        <f t="shared" ref="EE214:EF214" si="31">SUM(EE200:EE212)</f>
        <v>25.228200009999995</v>
      </c>
      <c r="EF214" s="29">
        <f t="shared" si="31"/>
        <v>125.38712527</v>
      </c>
      <c r="EG214" s="29">
        <f>SUM(EG200:EG213)</f>
        <v>21.112960670000003</v>
      </c>
      <c r="EH214" s="29">
        <f>SUM(EH200:EH213)</f>
        <v>32.209320630000001</v>
      </c>
      <c r="EI214" s="29">
        <f>SUM(EI200:EI213)</f>
        <v>32.21751313</v>
      </c>
    </row>
    <row r="217" spans="1:139" x14ac:dyDescent="0.3">
      <c r="A217" s="3" t="s">
        <v>336</v>
      </c>
      <c r="B217" s="6" t="s">
        <v>4</v>
      </c>
      <c r="C217" s="6" t="s">
        <v>5</v>
      </c>
      <c r="D217" s="6" t="s">
        <v>6</v>
      </c>
      <c r="E217" s="6" t="s">
        <v>7</v>
      </c>
      <c r="F217" s="6">
        <v>2018</v>
      </c>
      <c r="G217" s="6" t="s">
        <v>8</v>
      </c>
      <c r="H217" s="6" t="s">
        <v>9</v>
      </c>
      <c r="I217" s="6" t="s">
        <v>10</v>
      </c>
      <c r="J217" s="6" t="s">
        <v>11</v>
      </c>
      <c r="K217" s="6">
        <v>2019</v>
      </c>
      <c r="L217" s="6" t="s">
        <v>12</v>
      </c>
      <c r="M217" s="6" t="s">
        <v>13</v>
      </c>
      <c r="N217" s="6" t="s">
        <v>14</v>
      </c>
      <c r="O217" s="6" t="s">
        <v>15</v>
      </c>
      <c r="P217" s="6">
        <v>2000</v>
      </c>
      <c r="Q217" s="6" t="s">
        <v>16</v>
      </c>
      <c r="R217" s="6" t="s">
        <v>17</v>
      </c>
      <c r="S217" s="6" t="s">
        <v>18</v>
      </c>
      <c r="T217" s="6" t="s">
        <v>19</v>
      </c>
      <c r="U217" s="6">
        <v>2001</v>
      </c>
      <c r="V217" s="6" t="s">
        <v>20</v>
      </c>
      <c r="W217" s="6" t="s">
        <v>21</v>
      </c>
      <c r="X217" s="6" t="s">
        <v>22</v>
      </c>
      <c r="Y217" s="6" t="s">
        <v>23</v>
      </c>
      <c r="Z217" s="6">
        <v>2002</v>
      </c>
      <c r="AA217" s="6" t="s">
        <v>24</v>
      </c>
      <c r="AB217" s="6" t="s">
        <v>25</v>
      </c>
      <c r="AC217" s="6" t="s">
        <v>26</v>
      </c>
      <c r="AD217" s="6" t="s">
        <v>27</v>
      </c>
      <c r="AE217" s="6">
        <v>2003</v>
      </c>
      <c r="AF217" s="6" t="s">
        <v>28</v>
      </c>
      <c r="AG217" s="6" t="s">
        <v>29</v>
      </c>
      <c r="AH217" s="6" t="s">
        <v>30</v>
      </c>
      <c r="AI217" s="6" t="s">
        <v>31</v>
      </c>
      <c r="AJ217" s="6">
        <v>2004</v>
      </c>
      <c r="AK217" s="6" t="s">
        <v>32</v>
      </c>
      <c r="AL217" s="6" t="s">
        <v>33</v>
      </c>
      <c r="AM217" s="6" t="s">
        <v>34</v>
      </c>
      <c r="AN217" s="6" t="s">
        <v>35</v>
      </c>
      <c r="AO217" s="6">
        <v>2005</v>
      </c>
      <c r="AP217" s="6" t="s">
        <v>36</v>
      </c>
      <c r="AQ217" s="6" t="s">
        <v>37</v>
      </c>
      <c r="AR217" s="6" t="s">
        <v>38</v>
      </c>
      <c r="AS217" s="6" t="s">
        <v>39</v>
      </c>
      <c r="AT217" s="6">
        <v>2006</v>
      </c>
      <c r="AU217" s="6" t="s">
        <v>40</v>
      </c>
      <c r="AV217" s="6" t="s">
        <v>41</v>
      </c>
      <c r="AW217" s="6" t="s">
        <v>42</v>
      </c>
      <c r="AX217" s="6" t="s">
        <v>43</v>
      </c>
      <c r="AY217" s="6">
        <v>2007</v>
      </c>
      <c r="AZ217" s="6" t="s">
        <v>44</v>
      </c>
      <c r="BA217" s="6" t="s">
        <v>45</v>
      </c>
      <c r="BB217" s="6" t="s">
        <v>46</v>
      </c>
      <c r="BC217" s="6" t="s">
        <v>47</v>
      </c>
      <c r="BD217" s="6">
        <v>2008</v>
      </c>
      <c r="BE217" s="6" t="s">
        <v>48</v>
      </c>
      <c r="BF217" s="6" t="s">
        <v>49</v>
      </c>
      <c r="BG217" s="6" t="s">
        <v>50</v>
      </c>
      <c r="BH217" s="6" t="s">
        <v>51</v>
      </c>
      <c r="BI217" s="6">
        <v>2009</v>
      </c>
      <c r="BJ217" s="6" t="s">
        <v>52</v>
      </c>
      <c r="BK217" s="6" t="s">
        <v>53</v>
      </c>
      <c r="BL217" s="6" t="s">
        <v>54</v>
      </c>
      <c r="BM217" s="6" t="s">
        <v>55</v>
      </c>
      <c r="BN217" s="6">
        <v>2010</v>
      </c>
      <c r="BO217" s="6" t="s">
        <v>56</v>
      </c>
      <c r="BP217" s="6" t="s">
        <v>57</v>
      </c>
      <c r="BQ217" s="6" t="s">
        <v>58</v>
      </c>
      <c r="BR217" s="6" t="s">
        <v>59</v>
      </c>
      <c r="BS217" s="6">
        <v>2011</v>
      </c>
      <c r="BT217" s="6" t="s">
        <v>60</v>
      </c>
      <c r="BU217" s="6" t="s">
        <v>61</v>
      </c>
      <c r="BV217" s="6" t="s">
        <v>62</v>
      </c>
      <c r="BW217" s="6" t="s">
        <v>63</v>
      </c>
      <c r="BX217" s="6">
        <v>2012</v>
      </c>
      <c r="BY217" s="6" t="s">
        <v>64</v>
      </c>
      <c r="BZ217" s="6" t="s">
        <v>65</v>
      </c>
      <c r="CA217" s="6" t="s">
        <v>66</v>
      </c>
      <c r="CB217" s="6" t="s">
        <v>67</v>
      </c>
      <c r="CC217" s="6">
        <v>2013</v>
      </c>
      <c r="CD217" s="6" t="s">
        <v>68</v>
      </c>
      <c r="CE217" s="6" t="s">
        <v>69</v>
      </c>
      <c r="CF217" s="6" t="s">
        <v>70</v>
      </c>
      <c r="CG217" s="6" t="s">
        <v>71</v>
      </c>
      <c r="CH217" s="6">
        <v>2014</v>
      </c>
      <c r="CI217" s="6" t="s">
        <v>72</v>
      </c>
      <c r="CJ217" s="6" t="s">
        <v>73</v>
      </c>
      <c r="CK217" s="6" t="s">
        <v>74</v>
      </c>
      <c r="CL217" s="6" t="s">
        <v>75</v>
      </c>
      <c r="CM217" s="6">
        <v>2015</v>
      </c>
      <c r="CN217" s="6" t="s">
        <v>76</v>
      </c>
      <c r="CO217" s="6" t="s">
        <v>77</v>
      </c>
      <c r="CP217" s="6" t="s">
        <v>78</v>
      </c>
      <c r="CQ217" s="6" t="s">
        <v>79</v>
      </c>
      <c r="CR217" s="6">
        <v>2016</v>
      </c>
      <c r="CS217" s="6" t="s">
        <v>80</v>
      </c>
      <c r="CT217" s="6" t="s">
        <v>81</v>
      </c>
      <c r="CU217" s="6" t="s">
        <v>82</v>
      </c>
      <c r="CV217" s="6" t="s">
        <v>83</v>
      </c>
      <c r="CW217" s="6">
        <v>2017</v>
      </c>
      <c r="CX217" s="6" t="s">
        <v>84</v>
      </c>
      <c r="CY217" s="6" t="s">
        <v>85</v>
      </c>
      <c r="CZ217" s="6" t="s">
        <v>86</v>
      </c>
      <c r="DA217" s="6" t="s">
        <v>87</v>
      </c>
      <c r="DB217" s="6">
        <v>2018</v>
      </c>
      <c r="DC217" s="6" t="s">
        <v>88</v>
      </c>
      <c r="DD217" s="6" t="s">
        <v>89</v>
      </c>
      <c r="DE217" s="6" t="s">
        <v>90</v>
      </c>
      <c r="DF217" s="6" t="s">
        <v>91</v>
      </c>
      <c r="DG217" s="6">
        <v>2019</v>
      </c>
      <c r="DH217" s="6" t="s">
        <v>92</v>
      </c>
      <c r="DI217" s="6" t="s">
        <v>93</v>
      </c>
      <c r="DJ217" s="6" t="s">
        <v>94</v>
      </c>
      <c r="DK217" s="6" t="s">
        <v>95</v>
      </c>
      <c r="DL217" s="6">
        <v>2020</v>
      </c>
      <c r="DM217" s="6" t="s">
        <v>96</v>
      </c>
      <c r="DN217" s="6" t="s">
        <v>97</v>
      </c>
      <c r="DO217" s="6" t="s">
        <v>98</v>
      </c>
      <c r="DP217" s="6" t="s">
        <v>99</v>
      </c>
      <c r="DQ217" s="6">
        <v>2021</v>
      </c>
      <c r="DR217" s="6" t="s">
        <v>100</v>
      </c>
      <c r="DS217" s="6" t="s">
        <v>101</v>
      </c>
      <c r="DT217" s="6" t="s">
        <v>200</v>
      </c>
      <c r="DU217" s="6" t="s">
        <v>380</v>
      </c>
      <c r="DV217" s="6">
        <v>2022</v>
      </c>
      <c r="DW217" s="6" t="s">
        <v>379</v>
      </c>
      <c r="DX217" s="6" t="s">
        <v>402</v>
      </c>
      <c r="DY217" s="6" t="s">
        <v>402</v>
      </c>
      <c r="DZ217" s="6" t="s">
        <v>419</v>
      </c>
      <c r="EA217" s="6">
        <v>2023</v>
      </c>
      <c r="EB217" s="6" t="s">
        <v>424</v>
      </c>
      <c r="EC217" s="6" t="s">
        <v>429</v>
      </c>
      <c r="ED217" s="6" t="str">
        <f>$ED$1</f>
        <v>3T24</v>
      </c>
      <c r="EE217" s="6" t="str">
        <f>$EE$1</f>
        <v>4T24</v>
      </c>
      <c r="EF217" s="6">
        <f>$EF$1</f>
        <v>2024</v>
      </c>
      <c r="EG217" s="6" t="str">
        <f>EG$1</f>
        <v>1T25</v>
      </c>
      <c r="EH217" s="6" t="str">
        <f>EH$1</f>
        <v>2T25</v>
      </c>
      <c r="EI217" s="6" t="str">
        <f>EI$1</f>
        <v>3T25</v>
      </c>
    </row>
    <row r="218" spans="1:139" ht="15" thickBot="1" x14ac:dyDescent="0.35">
      <c r="A218" s="4" t="s">
        <v>337</v>
      </c>
      <c r="B218" s="7" t="s">
        <v>102</v>
      </c>
      <c r="C218" s="7" t="s">
        <v>103</v>
      </c>
      <c r="D218" s="7" t="s">
        <v>104</v>
      </c>
      <c r="E218" s="7" t="s">
        <v>105</v>
      </c>
      <c r="F218" s="7">
        <v>2018</v>
      </c>
      <c r="G218" s="7" t="s">
        <v>106</v>
      </c>
      <c r="H218" s="7" t="s">
        <v>107</v>
      </c>
      <c r="I218" s="7" t="s">
        <v>108</v>
      </c>
      <c r="J218" s="7" t="s">
        <v>109</v>
      </c>
      <c r="K218" s="7">
        <v>2019</v>
      </c>
      <c r="L218" s="7" t="s">
        <v>110</v>
      </c>
      <c r="M218" s="7" t="s">
        <v>111</v>
      </c>
      <c r="N218" s="7" t="s">
        <v>112</v>
      </c>
      <c r="O218" s="7" t="s">
        <v>113</v>
      </c>
      <c r="P218" s="7">
        <v>2000</v>
      </c>
      <c r="Q218" s="7" t="s">
        <v>114</v>
      </c>
      <c r="R218" s="7" t="s">
        <v>115</v>
      </c>
      <c r="S218" s="7" t="s">
        <v>116</v>
      </c>
      <c r="T218" s="7" t="s">
        <v>117</v>
      </c>
      <c r="U218" s="7">
        <v>2001</v>
      </c>
      <c r="V218" s="7" t="s">
        <v>118</v>
      </c>
      <c r="W218" s="7" t="s">
        <v>119</v>
      </c>
      <c r="X218" s="7" t="s">
        <v>120</v>
      </c>
      <c r="Y218" s="7" t="s">
        <v>121</v>
      </c>
      <c r="Z218" s="7">
        <v>2002</v>
      </c>
      <c r="AA218" s="7" t="s">
        <v>122</v>
      </c>
      <c r="AB218" s="7" t="s">
        <v>123</v>
      </c>
      <c r="AC218" s="7" t="s">
        <v>124</v>
      </c>
      <c r="AD218" s="7" t="s">
        <v>125</v>
      </c>
      <c r="AE218" s="7">
        <v>2003</v>
      </c>
      <c r="AF218" s="7" t="s">
        <v>126</v>
      </c>
      <c r="AG218" s="7" t="s">
        <v>127</v>
      </c>
      <c r="AH218" s="7" t="s">
        <v>128</v>
      </c>
      <c r="AI218" s="7" t="s">
        <v>129</v>
      </c>
      <c r="AJ218" s="7">
        <v>2004</v>
      </c>
      <c r="AK218" s="7" t="s">
        <v>130</v>
      </c>
      <c r="AL218" s="7" t="s">
        <v>131</v>
      </c>
      <c r="AM218" s="7" t="s">
        <v>132</v>
      </c>
      <c r="AN218" s="7" t="s">
        <v>133</v>
      </c>
      <c r="AO218" s="7">
        <v>2005</v>
      </c>
      <c r="AP218" s="7" t="s">
        <v>134</v>
      </c>
      <c r="AQ218" s="7" t="s">
        <v>135</v>
      </c>
      <c r="AR218" s="7" t="s">
        <v>136</v>
      </c>
      <c r="AS218" s="7" t="s">
        <v>137</v>
      </c>
      <c r="AT218" s="7">
        <v>2006</v>
      </c>
      <c r="AU218" s="7" t="s">
        <v>138</v>
      </c>
      <c r="AV218" s="7" t="s">
        <v>139</v>
      </c>
      <c r="AW218" s="7" t="s">
        <v>140</v>
      </c>
      <c r="AX218" s="7" t="s">
        <v>141</v>
      </c>
      <c r="AY218" s="7">
        <v>2007</v>
      </c>
      <c r="AZ218" s="7" t="s">
        <v>142</v>
      </c>
      <c r="BA218" s="7" t="s">
        <v>143</v>
      </c>
      <c r="BB218" s="7" t="s">
        <v>144</v>
      </c>
      <c r="BC218" s="7" t="s">
        <v>145</v>
      </c>
      <c r="BD218" s="7">
        <v>2008</v>
      </c>
      <c r="BE218" s="7" t="s">
        <v>146</v>
      </c>
      <c r="BF218" s="7" t="s">
        <v>147</v>
      </c>
      <c r="BG218" s="7" t="s">
        <v>148</v>
      </c>
      <c r="BH218" s="7" t="s">
        <v>149</v>
      </c>
      <c r="BI218" s="7">
        <v>2009</v>
      </c>
      <c r="BJ218" s="7" t="s">
        <v>150</v>
      </c>
      <c r="BK218" s="7" t="s">
        <v>151</v>
      </c>
      <c r="BL218" s="7" t="s">
        <v>152</v>
      </c>
      <c r="BM218" s="7" t="s">
        <v>153</v>
      </c>
      <c r="BN218" s="7">
        <v>2010</v>
      </c>
      <c r="BO218" s="7" t="s">
        <v>154</v>
      </c>
      <c r="BP218" s="7" t="s">
        <v>155</v>
      </c>
      <c r="BQ218" s="7" t="s">
        <v>156</v>
      </c>
      <c r="BR218" s="7" t="s">
        <v>157</v>
      </c>
      <c r="BS218" s="7">
        <v>2011</v>
      </c>
      <c r="BT218" s="7" t="s">
        <v>158</v>
      </c>
      <c r="BU218" s="7" t="s">
        <v>159</v>
      </c>
      <c r="BV218" s="7" t="s">
        <v>160</v>
      </c>
      <c r="BW218" s="7" t="s">
        <v>161</v>
      </c>
      <c r="BX218" s="7">
        <v>2012</v>
      </c>
      <c r="BY218" s="7" t="s">
        <v>162</v>
      </c>
      <c r="BZ218" s="7" t="s">
        <v>163</v>
      </c>
      <c r="CA218" s="7" t="s">
        <v>164</v>
      </c>
      <c r="CB218" s="7" t="s">
        <v>165</v>
      </c>
      <c r="CC218" s="7">
        <v>2013</v>
      </c>
      <c r="CD218" s="7" t="s">
        <v>166</v>
      </c>
      <c r="CE218" s="7" t="s">
        <v>167</v>
      </c>
      <c r="CF218" s="7" t="s">
        <v>168</v>
      </c>
      <c r="CG218" s="7" t="s">
        <v>169</v>
      </c>
      <c r="CH218" s="7">
        <v>2014</v>
      </c>
      <c r="CI218" s="7" t="s">
        <v>170</v>
      </c>
      <c r="CJ218" s="7" t="s">
        <v>171</v>
      </c>
      <c r="CK218" s="7" t="s">
        <v>172</v>
      </c>
      <c r="CL218" s="7" t="s">
        <v>173</v>
      </c>
      <c r="CM218" s="7">
        <v>2015</v>
      </c>
      <c r="CN218" s="7" t="s">
        <v>174</v>
      </c>
      <c r="CO218" s="7" t="s">
        <v>175</v>
      </c>
      <c r="CP218" s="7" t="s">
        <v>176</v>
      </c>
      <c r="CQ218" s="7" t="s">
        <v>177</v>
      </c>
      <c r="CR218" s="7">
        <v>2016</v>
      </c>
      <c r="CS218" s="7" t="s">
        <v>178</v>
      </c>
      <c r="CT218" s="7" t="s">
        <v>179</v>
      </c>
      <c r="CU218" s="7" t="s">
        <v>180</v>
      </c>
      <c r="CV218" s="7" t="s">
        <v>181</v>
      </c>
      <c r="CW218" s="7">
        <v>2017</v>
      </c>
      <c r="CX218" s="7" t="s">
        <v>182</v>
      </c>
      <c r="CY218" s="7" t="s">
        <v>183</v>
      </c>
      <c r="CZ218" s="7" t="s">
        <v>184</v>
      </c>
      <c r="DA218" s="7" t="s">
        <v>185</v>
      </c>
      <c r="DB218" s="7">
        <v>2018</v>
      </c>
      <c r="DC218" s="7" t="s">
        <v>186</v>
      </c>
      <c r="DD218" s="7" t="s">
        <v>187</v>
      </c>
      <c r="DE218" s="7" t="s">
        <v>188</v>
      </c>
      <c r="DF218" s="7" t="s">
        <v>189</v>
      </c>
      <c r="DG218" s="7">
        <v>2019</v>
      </c>
      <c r="DH218" s="7" t="s">
        <v>190</v>
      </c>
      <c r="DI218" s="7" t="s">
        <v>191</v>
      </c>
      <c r="DJ218" s="7" t="s">
        <v>192</v>
      </c>
      <c r="DK218" s="7" t="s">
        <v>193</v>
      </c>
      <c r="DL218" s="7">
        <v>2020</v>
      </c>
      <c r="DM218" s="7" t="s">
        <v>194</v>
      </c>
      <c r="DN218" s="7" t="s">
        <v>195</v>
      </c>
      <c r="DO218" s="7" t="s">
        <v>196</v>
      </c>
      <c r="DP218" s="7" t="s">
        <v>197</v>
      </c>
      <c r="DQ218" s="7">
        <v>2021</v>
      </c>
      <c r="DR218" s="7" t="s">
        <v>198</v>
      </c>
      <c r="DS218" s="7" t="s">
        <v>199</v>
      </c>
      <c r="DT218" s="7" t="s">
        <v>201</v>
      </c>
      <c r="DU218" s="7" t="s">
        <v>381</v>
      </c>
      <c r="DV218" s="7">
        <v>2022</v>
      </c>
      <c r="DW218" s="7" t="s">
        <v>382</v>
      </c>
      <c r="DX218" s="7" t="s">
        <v>403</v>
      </c>
      <c r="DY218" s="7" t="s">
        <v>415</v>
      </c>
      <c r="DZ218" s="7" t="s">
        <v>420</v>
      </c>
      <c r="EA218" s="7">
        <v>2023</v>
      </c>
      <c r="EB218" s="7" t="s">
        <v>425</v>
      </c>
      <c r="EC218" s="7" t="s">
        <v>430</v>
      </c>
      <c r="ED218" s="7" t="str">
        <f>$ED$2</f>
        <v>3Q24</v>
      </c>
      <c r="EE218" s="7" t="str">
        <f>$EE$2</f>
        <v>4Q24</v>
      </c>
      <c r="EF218" s="7">
        <f>$EF$2</f>
        <v>2024</v>
      </c>
      <c r="EG218" s="7" t="str">
        <f>EG$2</f>
        <v>1Q25</v>
      </c>
      <c r="EH218" s="7" t="str">
        <f>EH$2</f>
        <v>2Q25</v>
      </c>
      <c r="EI218" s="7" t="str">
        <f>EI$2</f>
        <v>3Q25</v>
      </c>
    </row>
    <row r="219" spans="1:139" ht="15" thickTop="1" x14ac:dyDescent="0.3">
      <c r="A219" s="1" t="s">
        <v>2</v>
      </c>
      <c r="B219" s="27">
        <f>COGS!B219</f>
        <v>0</v>
      </c>
      <c r="C219" s="27">
        <f>COGS!C219</f>
        <v>0</v>
      </c>
      <c r="D219" s="27">
        <f>COGS!D219</f>
        <v>0</v>
      </c>
      <c r="E219" s="27">
        <f>COGS!E219</f>
        <v>0</v>
      </c>
      <c r="F219" s="27">
        <f>COGS!F219</f>
        <v>0</v>
      </c>
      <c r="G219" s="27">
        <f>COGS!G219</f>
        <v>0</v>
      </c>
      <c r="H219" s="27">
        <f>COGS!H219</f>
        <v>0</v>
      </c>
      <c r="I219" s="27">
        <f>COGS!I219</f>
        <v>0</v>
      </c>
      <c r="J219" s="27">
        <f>COGS!J219</f>
        <v>0</v>
      </c>
      <c r="K219" s="27">
        <f>COGS!K219</f>
        <v>0</v>
      </c>
      <c r="L219" s="27">
        <f>COGS!L219</f>
        <v>0</v>
      </c>
      <c r="M219" s="27">
        <f>COGS!M219</f>
        <v>0</v>
      </c>
      <c r="N219" s="27">
        <f>COGS!N219</f>
        <v>0</v>
      </c>
      <c r="O219" s="27">
        <f>COGS!O219</f>
        <v>0</v>
      </c>
      <c r="P219" s="27">
        <f>COGS!P219</f>
        <v>0</v>
      </c>
      <c r="Q219" s="27">
        <f>COGS!Q219</f>
        <v>0</v>
      </c>
      <c r="R219" s="27">
        <f>COGS!R219</f>
        <v>0</v>
      </c>
      <c r="S219" s="27">
        <f>COGS!S219</f>
        <v>0</v>
      </c>
      <c r="T219" s="27">
        <f>COGS!T219</f>
        <v>0</v>
      </c>
      <c r="U219" s="27">
        <f>COGS!U219</f>
        <v>0</v>
      </c>
      <c r="V219" s="27">
        <f>COGS!V219</f>
        <v>0</v>
      </c>
      <c r="W219" s="27">
        <f>COGS!W219</f>
        <v>0</v>
      </c>
      <c r="X219" s="27">
        <f>COGS!X219</f>
        <v>0</v>
      </c>
      <c r="Y219" s="27">
        <f>COGS!Y219</f>
        <v>0</v>
      </c>
      <c r="Z219" s="27">
        <f>COGS!Z219</f>
        <v>0</v>
      </c>
      <c r="AA219" s="27">
        <f>COGS!AA219</f>
        <v>0</v>
      </c>
      <c r="AB219" s="27">
        <f>COGS!AB219</f>
        <v>0</v>
      </c>
      <c r="AC219" s="27">
        <f>COGS!AC219</f>
        <v>0</v>
      </c>
      <c r="AD219" s="27">
        <f>COGS!AD219</f>
        <v>0</v>
      </c>
      <c r="AE219" s="27">
        <f>COGS!AE219</f>
        <v>0</v>
      </c>
      <c r="AF219" s="27">
        <f>COGS!AF219</f>
        <v>0</v>
      </c>
      <c r="AG219" s="27">
        <f>COGS!AG219</f>
        <v>0</v>
      </c>
      <c r="AH219" s="27">
        <f>COGS!AH219</f>
        <v>0</v>
      </c>
      <c r="AI219" s="27">
        <f>COGS!AI219</f>
        <v>0</v>
      </c>
      <c r="AJ219" s="27">
        <f>COGS!AJ219</f>
        <v>0</v>
      </c>
      <c r="AK219" s="27">
        <f>COGS!AK219</f>
        <v>0</v>
      </c>
      <c r="AL219" s="27">
        <f>COGS!AL219</f>
        <v>0</v>
      </c>
      <c r="AM219" s="27">
        <f>COGS!AM219</f>
        <v>0</v>
      </c>
      <c r="AN219" s="27">
        <f>COGS!AN219</f>
        <v>0</v>
      </c>
      <c r="AO219" s="27">
        <f>COGS!AO219</f>
        <v>0</v>
      </c>
      <c r="AP219" s="27">
        <f>COGS!AP219</f>
        <v>0</v>
      </c>
      <c r="AQ219" s="27">
        <f>COGS!AQ219</f>
        <v>0</v>
      </c>
      <c r="AR219" s="27">
        <f>COGS!AR219</f>
        <v>0</v>
      </c>
      <c r="AS219" s="27">
        <f>COGS!AS219</f>
        <v>0</v>
      </c>
      <c r="AT219" s="27">
        <f>COGS!AT219</f>
        <v>0</v>
      </c>
      <c r="AU219" s="27">
        <f>COGS!AU219</f>
        <v>0</v>
      </c>
      <c r="AV219" s="27">
        <f>COGS!AV219</f>
        <v>0</v>
      </c>
      <c r="AW219" s="27">
        <f>COGS!AW219</f>
        <v>0</v>
      </c>
      <c r="AX219" s="27">
        <f>COGS!AX219</f>
        <v>0</v>
      </c>
      <c r="AY219" s="27">
        <f>COGS!AY219</f>
        <v>0</v>
      </c>
      <c r="AZ219" s="27">
        <f>COGS!AZ219</f>
        <v>0</v>
      </c>
      <c r="BA219" s="27">
        <f>COGS!BA219</f>
        <v>0</v>
      </c>
      <c r="BB219" s="27">
        <f>COGS!BB219</f>
        <v>0</v>
      </c>
      <c r="BC219" s="27">
        <f>COGS!BC219</f>
        <v>0</v>
      </c>
      <c r="BD219" s="27">
        <f>COGS!BD219</f>
        <v>0</v>
      </c>
      <c r="BE219" s="27">
        <f>COGS!BE219</f>
        <v>0</v>
      </c>
      <c r="BF219" s="27">
        <f>COGS!BF219</f>
        <v>0</v>
      </c>
      <c r="BG219" s="27">
        <f>COGS!BG219</f>
        <v>0</v>
      </c>
      <c r="BH219" s="27">
        <f>COGS!BH219</f>
        <v>0</v>
      </c>
      <c r="BI219" s="27">
        <f>COGS!BI219</f>
        <v>0</v>
      </c>
      <c r="BJ219" s="27">
        <f>COGS!BJ219</f>
        <v>16.399999999999999</v>
      </c>
      <c r="BK219" s="27">
        <f>COGS!BK219</f>
        <v>2.2999999999999998</v>
      </c>
      <c r="BL219" s="27">
        <f>COGS!BL219</f>
        <v>2.1</v>
      </c>
      <c r="BM219" s="27">
        <f>COGS!BM219</f>
        <v>1.4</v>
      </c>
      <c r="BN219" s="27">
        <f>COGS!BN219</f>
        <v>22.2</v>
      </c>
      <c r="BO219" s="27">
        <f>COGS!BO219</f>
        <v>2.2999999999999998</v>
      </c>
      <c r="BP219" s="27">
        <f>COGS!BP219</f>
        <v>6</v>
      </c>
      <c r="BQ219" s="27">
        <f>COGS!BQ219</f>
        <v>8.8000000000000007</v>
      </c>
      <c r="BR219" s="27">
        <f>COGS!BR219</f>
        <v>6.5</v>
      </c>
      <c r="BS219" s="27">
        <f>COGS!BS219</f>
        <v>23.6</v>
      </c>
      <c r="BT219" s="27">
        <f>COGS!BT219</f>
        <v>2.5</v>
      </c>
      <c r="BU219" s="27">
        <f>COGS!BU219</f>
        <v>7.6</v>
      </c>
      <c r="BV219" s="27">
        <f>COGS!BV219</f>
        <v>8.8000000000000007</v>
      </c>
      <c r="BW219" s="27">
        <f>COGS!BW219</f>
        <v>9.6999999999999993</v>
      </c>
      <c r="BX219" s="27">
        <f>COGS!BX219</f>
        <v>28.599999999999998</v>
      </c>
      <c r="BY219" s="27">
        <f>COGS!BY219</f>
        <v>2.4</v>
      </c>
      <c r="BZ219" s="27">
        <f>COGS!BZ219</f>
        <v>16.3</v>
      </c>
      <c r="CA219" s="27">
        <f>COGS!CA219</f>
        <v>5.3</v>
      </c>
      <c r="CB219" s="27">
        <f>COGS!CB219</f>
        <v>3.8</v>
      </c>
      <c r="CC219" s="27">
        <f>COGS!CC219</f>
        <v>27.8</v>
      </c>
      <c r="CD219" s="27">
        <f>COGS!CD219</f>
        <v>7</v>
      </c>
      <c r="CE219" s="27">
        <f>COGS!CE219</f>
        <v>12.274789839999997</v>
      </c>
      <c r="CF219" s="27">
        <f>COGS!CF219</f>
        <v>10.5</v>
      </c>
      <c r="CG219" s="27">
        <f>COGS!CG219</f>
        <v>13.3</v>
      </c>
      <c r="CH219" s="27">
        <f>COGS!CH219</f>
        <v>43.074789839999994</v>
      </c>
      <c r="CI219" s="27">
        <f>COGS!CI219</f>
        <v>15</v>
      </c>
      <c r="CJ219" s="27">
        <f>COGS!CJ219</f>
        <v>19.100000000000001</v>
      </c>
      <c r="CK219" s="27">
        <f>COGS!CK219</f>
        <v>14.3</v>
      </c>
      <c r="CL219" s="27">
        <f>COGS!CL219</f>
        <v>4.7</v>
      </c>
      <c r="CM219" s="27">
        <f>COGS!CM219</f>
        <v>53.100000000000009</v>
      </c>
      <c r="CN219" s="27">
        <f>COGS!CN219</f>
        <v>7.7</v>
      </c>
      <c r="CO219" s="27">
        <f>COGS!CO219</f>
        <v>1</v>
      </c>
      <c r="CP219" s="27">
        <f>COGS!CP219</f>
        <v>1.7000000000000002</v>
      </c>
      <c r="CQ219" s="27">
        <f>COGS!CQ219</f>
        <v>1.4000000000000012</v>
      </c>
      <c r="CR219" s="27">
        <f>COGS!CR219</f>
        <v>11.8</v>
      </c>
      <c r="CS219" s="27">
        <f>COGS!CS219</f>
        <v>2.0492851599999997</v>
      </c>
      <c r="CT219" s="27">
        <f>COGS!CT219</f>
        <v>4.7288119900000005</v>
      </c>
      <c r="CU219" s="27">
        <f>COGS!CU219</f>
        <v>7.3344831899999985</v>
      </c>
      <c r="CV219" s="27">
        <f>COGS!CV219</f>
        <v>7.6062813800000004</v>
      </c>
      <c r="CW219" s="27">
        <f>COGS!CW219</f>
        <v>21.71886172</v>
      </c>
      <c r="CX219" s="27">
        <f>COGS!CX219</f>
        <v>3.0089999999999999</v>
      </c>
      <c r="CY219" s="27">
        <f>COGS!CY219</f>
        <v>3.17</v>
      </c>
      <c r="CZ219" s="27">
        <f>COGS!CZ219</f>
        <v>5.3730000000000002</v>
      </c>
      <c r="DA219" s="27">
        <f>COGS!DA219</f>
        <v>8.2089999999999996</v>
      </c>
      <c r="DB219" s="27">
        <f>COGS!DB219</f>
        <v>19.760999999999999</v>
      </c>
      <c r="DC219" s="27">
        <f>COGS!DC219</f>
        <v>0.79300000000000004</v>
      </c>
      <c r="DD219" s="27">
        <f>COGS!DD219</f>
        <v>0.71199999999999997</v>
      </c>
      <c r="DE219" s="27">
        <f>COGS!DE219</f>
        <v>0.378</v>
      </c>
      <c r="DF219" s="27">
        <f>COGS!DF219</f>
        <v>0.27800000000000002</v>
      </c>
      <c r="DG219" s="27">
        <f>COGS!DG219</f>
        <v>2.161</v>
      </c>
      <c r="DH219" s="27">
        <f>COGS!DH219</f>
        <v>1.6459999999999999</v>
      </c>
      <c r="DI219" s="27">
        <f>COGS!DI219</f>
        <v>0.94899999999999995</v>
      </c>
      <c r="DJ219" s="27">
        <f>COGS!DJ219</f>
        <v>1.0580000000000001</v>
      </c>
      <c r="DK219" s="27">
        <f>COGS!DK219</f>
        <v>1.6519999999999999</v>
      </c>
      <c r="DL219" s="27">
        <f>COGS!DL219</f>
        <v>5.3049999999999997</v>
      </c>
      <c r="DM219" s="27">
        <f>COGS!DM219</f>
        <v>1.0880000000000001</v>
      </c>
      <c r="DN219" s="27">
        <f>COGS!DN219</f>
        <v>3.8130000000000002</v>
      </c>
      <c r="DO219" s="27">
        <f>COGS!DO219</f>
        <v>5.3780000000000001</v>
      </c>
      <c r="DP219" s="27">
        <f>COGS!DP219</f>
        <v>3.9209999999999998</v>
      </c>
      <c r="DQ219" s="27">
        <f>COGS!DQ219</f>
        <v>14.2</v>
      </c>
      <c r="DR219" s="27">
        <f>COGS!DR219</f>
        <v>0</v>
      </c>
      <c r="DS219" s="27">
        <f>COGS!DS219</f>
        <v>0</v>
      </c>
      <c r="DT219" s="27">
        <f>COGS!DT219</f>
        <v>0</v>
      </c>
      <c r="DU219" s="27">
        <f>COGS!DU219</f>
        <v>0</v>
      </c>
      <c r="DV219" s="27">
        <f>COGS!DV219</f>
        <v>0</v>
      </c>
      <c r="DW219" s="27">
        <f>COGS!DW219</f>
        <v>0</v>
      </c>
      <c r="DX219" s="27">
        <f>COGS!DX219</f>
        <v>0</v>
      </c>
      <c r="DY219" s="27">
        <f>COGS!DY219</f>
        <v>0</v>
      </c>
      <c r="DZ219" s="27">
        <f>COGS!DZ219</f>
        <v>0</v>
      </c>
      <c r="EA219" s="27">
        <f>COGS!EA219</f>
        <v>0</v>
      </c>
      <c r="EB219" s="27">
        <f>COGS!EB219</f>
        <v>0</v>
      </c>
      <c r="EC219" s="27">
        <f>COGS!EC219</f>
        <v>0</v>
      </c>
      <c r="ED219" s="27">
        <f>COGS!ED219</f>
        <v>0</v>
      </c>
      <c r="EE219" s="27">
        <f>COGS!EE219</f>
        <v>0</v>
      </c>
      <c r="EF219" s="27">
        <f>COGS!EF219</f>
        <v>0</v>
      </c>
      <c r="EG219" s="27">
        <f>COGS!EG219</f>
        <v>0</v>
      </c>
      <c r="EH219" s="27">
        <f>COGS!EH219</f>
        <v>0</v>
      </c>
      <c r="EI219" s="27">
        <f>COGS!EI219</f>
        <v>0</v>
      </c>
    </row>
    <row r="220" spans="1:139" ht="15" thickBot="1" x14ac:dyDescent="0.35">
      <c r="A220" s="2" t="s">
        <v>454</v>
      </c>
      <c r="B220" s="28">
        <f>COGS!B220</f>
        <v>0</v>
      </c>
      <c r="C220" s="28">
        <f>COGS!C220</f>
        <v>0</v>
      </c>
      <c r="D220" s="28">
        <f>COGS!D220</f>
        <v>0</v>
      </c>
      <c r="E220" s="28">
        <f>COGS!E220</f>
        <v>0</v>
      </c>
      <c r="F220" s="28">
        <f>COGS!F220</f>
        <v>0</v>
      </c>
      <c r="G220" s="28">
        <f>COGS!G220</f>
        <v>0</v>
      </c>
      <c r="H220" s="28">
        <f>COGS!H220</f>
        <v>0</v>
      </c>
      <c r="I220" s="28">
        <f>COGS!I220</f>
        <v>0</v>
      </c>
      <c r="J220" s="28">
        <f>COGS!J220</f>
        <v>0</v>
      </c>
      <c r="K220" s="28">
        <f>COGS!K220</f>
        <v>0</v>
      </c>
      <c r="L220" s="28">
        <f>COGS!L220</f>
        <v>0</v>
      </c>
      <c r="M220" s="28">
        <f>COGS!M220</f>
        <v>0</v>
      </c>
      <c r="N220" s="28">
        <f>COGS!N220</f>
        <v>0</v>
      </c>
      <c r="O220" s="28">
        <f>COGS!O220</f>
        <v>0</v>
      </c>
      <c r="P220" s="28">
        <f>COGS!P220</f>
        <v>0</v>
      </c>
      <c r="Q220" s="28">
        <f>COGS!Q220</f>
        <v>0</v>
      </c>
      <c r="R220" s="28">
        <f>COGS!R220</f>
        <v>0</v>
      </c>
      <c r="S220" s="28">
        <f>COGS!S220</f>
        <v>0</v>
      </c>
      <c r="T220" s="28">
        <f>COGS!T220</f>
        <v>0</v>
      </c>
      <c r="U220" s="28">
        <f>COGS!U220</f>
        <v>0</v>
      </c>
      <c r="V220" s="28">
        <f>COGS!V220</f>
        <v>0</v>
      </c>
      <c r="W220" s="28">
        <f>COGS!W220</f>
        <v>0</v>
      </c>
      <c r="X220" s="28">
        <f>COGS!X220</f>
        <v>0</v>
      </c>
      <c r="Y220" s="28">
        <f>COGS!Y220</f>
        <v>0</v>
      </c>
      <c r="Z220" s="28">
        <f>COGS!Z220</f>
        <v>0</v>
      </c>
      <c r="AA220" s="28">
        <f>COGS!AA220</f>
        <v>0</v>
      </c>
      <c r="AB220" s="28">
        <f>COGS!AB220</f>
        <v>0</v>
      </c>
      <c r="AC220" s="28">
        <f>COGS!AC220</f>
        <v>0</v>
      </c>
      <c r="AD220" s="28">
        <f>COGS!AD220</f>
        <v>0</v>
      </c>
      <c r="AE220" s="28">
        <f>COGS!AE220</f>
        <v>0</v>
      </c>
      <c r="AF220" s="28">
        <f>COGS!AF220</f>
        <v>0</v>
      </c>
      <c r="AG220" s="28">
        <f>COGS!AG220</f>
        <v>0</v>
      </c>
      <c r="AH220" s="28">
        <f>COGS!AH220</f>
        <v>0</v>
      </c>
      <c r="AI220" s="28">
        <f>COGS!AI220</f>
        <v>0</v>
      </c>
      <c r="AJ220" s="28">
        <f>COGS!AJ220</f>
        <v>0</v>
      </c>
      <c r="AK220" s="28">
        <f>COGS!AK220</f>
        <v>0</v>
      </c>
      <c r="AL220" s="28">
        <f>COGS!AL220</f>
        <v>0</v>
      </c>
      <c r="AM220" s="28">
        <f>COGS!AM220</f>
        <v>0</v>
      </c>
      <c r="AN220" s="28">
        <f>COGS!AN220</f>
        <v>0</v>
      </c>
      <c r="AO220" s="28">
        <f>COGS!AO220</f>
        <v>0</v>
      </c>
      <c r="AP220" s="28">
        <f>COGS!AP220</f>
        <v>0</v>
      </c>
      <c r="AQ220" s="28">
        <f>COGS!AQ220</f>
        <v>0</v>
      </c>
      <c r="AR220" s="28">
        <f>COGS!AR220</f>
        <v>0</v>
      </c>
      <c r="AS220" s="28">
        <f>COGS!AS220</f>
        <v>0</v>
      </c>
      <c r="AT220" s="28">
        <f>COGS!AT220</f>
        <v>0</v>
      </c>
      <c r="AU220" s="28">
        <f>COGS!AU220</f>
        <v>0</v>
      </c>
      <c r="AV220" s="28">
        <f>COGS!AV220</f>
        <v>0</v>
      </c>
      <c r="AW220" s="28">
        <f>COGS!AW220</f>
        <v>0</v>
      </c>
      <c r="AX220" s="28">
        <f>COGS!AX220</f>
        <v>0</v>
      </c>
      <c r="AY220" s="28">
        <f>COGS!AY220</f>
        <v>0</v>
      </c>
      <c r="AZ220" s="28">
        <f>COGS!AZ220</f>
        <v>0</v>
      </c>
      <c r="BA220" s="28">
        <f>COGS!BA220</f>
        <v>0</v>
      </c>
      <c r="BB220" s="28">
        <f>COGS!BB220</f>
        <v>0</v>
      </c>
      <c r="BC220" s="28">
        <f>COGS!BC220</f>
        <v>0</v>
      </c>
      <c r="BD220" s="28">
        <f>COGS!BD220</f>
        <v>0</v>
      </c>
      <c r="BE220" s="28">
        <f>COGS!BE220</f>
        <v>0</v>
      </c>
      <c r="BF220" s="28">
        <f>COGS!BF220</f>
        <v>0</v>
      </c>
      <c r="BG220" s="28">
        <f>COGS!BG220</f>
        <v>0</v>
      </c>
      <c r="BH220" s="28">
        <f>COGS!BH220</f>
        <v>0</v>
      </c>
      <c r="BI220" s="28">
        <f>COGS!BI220</f>
        <v>0</v>
      </c>
      <c r="BJ220" s="28">
        <f>COGS!BJ220</f>
        <v>4</v>
      </c>
      <c r="BK220" s="28">
        <f>COGS!BK220</f>
        <v>4.5</v>
      </c>
      <c r="BL220" s="28">
        <f>COGS!BL220</f>
        <v>5.3</v>
      </c>
      <c r="BM220" s="28">
        <f>COGS!BM220</f>
        <v>4.2</v>
      </c>
      <c r="BN220" s="28">
        <f>COGS!BN220</f>
        <v>18</v>
      </c>
      <c r="BO220" s="28">
        <f>COGS!BO220</f>
        <v>5</v>
      </c>
      <c r="BP220" s="28">
        <f>COGS!BP220</f>
        <v>10.9</v>
      </c>
      <c r="BQ220" s="28">
        <f>COGS!BQ220</f>
        <v>8</v>
      </c>
      <c r="BR220" s="28">
        <f>COGS!BR220</f>
        <v>7.8</v>
      </c>
      <c r="BS220" s="28">
        <f>COGS!BS220</f>
        <v>31.7</v>
      </c>
      <c r="BT220" s="28">
        <f>COGS!BT220</f>
        <v>4.0999999999999996</v>
      </c>
      <c r="BU220" s="28">
        <f>COGS!BU220</f>
        <v>7.9</v>
      </c>
      <c r="BV220" s="28">
        <f>COGS!BV220</f>
        <v>9.1999999999999993</v>
      </c>
      <c r="BW220" s="28">
        <f>COGS!BW220</f>
        <v>8.3000000000000007</v>
      </c>
      <c r="BX220" s="28">
        <f>COGS!BX220</f>
        <v>29.5</v>
      </c>
      <c r="BY220" s="28">
        <f>COGS!BY220</f>
        <v>3.6</v>
      </c>
      <c r="BZ220" s="28">
        <f>COGS!BZ220</f>
        <v>10.5</v>
      </c>
      <c r="CA220" s="28">
        <f>COGS!CA220</f>
        <v>10.1</v>
      </c>
      <c r="CB220" s="28">
        <f>COGS!CB220</f>
        <v>13.5</v>
      </c>
      <c r="CC220" s="28">
        <f>COGS!CC220</f>
        <v>37.700000000000003</v>
      </c>
      <c r="CD220" s="28">
        <f>COGS!CD220</f>
        <v>7.8</v>
      </c>
      <c r="CE220" s="28">
        <f>COGS!CE220</f>
        <v>7.9858964399999994</v>
      </c>
      <c r="CF220" s="28">
        <f>COGS!CF220</f>
        <v>12.7</v>
      </c>
      <c r="CG220" s="28">
        <f>COGS!CG220</f>
        <v>13.3</v>
      </c>
      <c r="CH220" s="28">
        <f>COGS!CH220</f>
        <v>41.785896440000002</v>
      </c>
      <c r="CI220" s="28">
        <f>COGS!CI220</f>
        <v>5</v>
      </c>
      <c r="CJ220" s="28">
        <f>COGS!CJ220</f>
        <v>8</v>
      </c>
      <c r="CK220" s="28">
        <f>COGS!CK220</f>
        <v>7.7</v>
      </c>
      <c r="CL220" s="28">
        <f>COGS!CL220</f>
        <v>8.3000000000000007</v>
      </c>
      <c r="CM220" s="28">
        <f>COGS!CM220</f>
        <v>29</v>
      </c>
      <c r="CN220" s="28">
        <f>COGS!CN220</f>
        <v>13.7</v>
      </c>
      <c r="CO220" s="28">
        <f>COGS!CO220</f>
        <v>15.1</v>
      </c>
      <c r="CP220" s="28">
        <f>COGS!CP220</f>
        <v>20.400000000000002</v>
      </c>
      <c r="CQ220" s="28">
        <f>COGS!CQ220</f>
        <v>11.7</v>
      </c>
      <c r="CR220" s="28">
        <f>COGS!CR220</f>
        <v>60.900000000000006</v>
      </c>
      <c r="CS220" s="28">
        <f>COGS!CS220</f>
        <v>8.3438728300000005</v>
      </c>
      <c r="CT220" s="28">
        <f>COGS!CT220</f>
        <v>16.624685560000003</v>
      </c>
      <c r="CU220" s="28">
        <f>COGS!CU220</f>
        <v>16.792056389999999</v>
      </c>
      <c r="CV220" s="28">
        <f>COGS!CV220</f>
        <v>23.867559549999989</v>
      </c>
      <c r="CW220" s="28">
        <f>COGS!CW220</f>
        <v>65.628174329999993</v>
      </c>
      <c r="CX220" s="28">
        <f>COGS!CX220</f>
        <v>12.246</v>
      </c>
      <c r="CY220" s="28">
        <f>COGS!CY220</f>
        <v>22.850999999999999</v>
      </c>
      <c r="CZ220" s="28">
        <f>COGS!CZ220</f>
        <v>16.962</v>
      </c>
      <c r="DA220" s="28">
        <f>COGS!DA220</f>
        <v>19.282</v>
      </c>
      <c r="DB220" s="28">
        <f>COGS!DB220</f>
        <v>71.340999999999994</v>
      </c>
      <c r="DC220" s="28">
        <f>COGS!DC220</f>
        <v>14.846</v>
      </c>
      <c r="DD220" s="28">
        <f>COGS!DD220</f>
        <v>17.207999999999998</v>
      </c>
      <c r="DE220" s="28">
        <f>COGS!DE220</f>
        <v>14.494</v>
      </c>
      <c r="DF220" s="28">
        <f>COGS!DF220</f>
        <v>22.943000000000001</v>
      </c>
      <c r="DG220" s="28">
        <f>COGS!DG220</f>
        <v>69.491</v>
      </c>
      <c r="DH220" s="28">
        <f>COGS!DH220</f>
        <v>11.388</v>
      </c>
      <c r="DI220" s="28">
        <f>COGS!DI220</f>
        <v>16.898</v>
      </c>
      <c r="DJ220" s="28">
        <f>COGS!DJ220</f>
        <v>15.930999999999999</v>
      </c>
      <c r="DK220" s="28">
        <f>COGS!DK220</f>
        <v>31.001000000000001</v>
      </c>
      <c r="DL220" s="28">
        <f>COGS!DL220</f>
        <v>75.218000000000004</v>
      </c>
      <c r="DM220" s="28">
        <f>COGS!DM220</f>
        <v>35.430999999999997</v>
      </c>
      <c r="DN220" s="28">
        <f>COGS!DN220</f>
        <v>38.374000000000002</v>
      </c>
      <c r="DO220" s="28">
        <f>COGS!DO220</f>
        <v>38.314999999999998</v>
      </c>
      <c r="DP220" s="28">
        <f>COGS!DP220</f>
        <v>36.758000000000003</v>
      </c>
      <c r="DQ220" s="28">
        <f>COGS!DQ220</f>
        <v>148.87800000000001</v>
      </c>
      <c r="DR220" s="28">
        <f>COGS!DR220</f>
        <v>10.952</v>
      </c>
      <c r="DS220" s="28">
        <f>COGS!DS220</f>
        <v>9.7159999999999993</v>
      </c>
      <c r="DT220" s="28">
        <f>COGS!DT220</f>
        <v>11.553000000000001</v>
      </c>
      <c r="DU220" s="28">
        <f>COGS!DU220</f>
        <v>13.574</v>
      </c>
      <c r="DV220" s="28">
        <f>COGS!DV220</f>
        <v>45.795000000000002</v>
      </c>
      <c r="DW220" s="28">
        <f>COGS!DW220</f>
        <v>8.3170000000000002</v>
      </c>
      <c r="DX220" s="28">
        <f>COGS!DX220</f>
        <v>10.903</v>
      </c>
      <c r="DY220" s="28">
        <f>COGS!DY220</f>
        <v>9.97536734</v>
      </c>
      <c r="DZ220" s="28">
        <f>COGS!DZ220</f>
        <v>8.8393226999999985</v>
      </c>
      <c r="EA220" s="28">
        <f>COGS!EA220</f>
        <v>38.034690039999994</v>
      </c>
      <c r="EB220" s="28">
        <f>COGS!EB220</f>
        <v>6.3021968799999994</v>
      </c>
      <c r="EC220" s="28">
        <f>COGS!EC220</f>
        <v>9.4047297100000016</v>
      </c>
      <c r="ED220" s="28">
        <f>COGS!ED220</f>
        <v>11.712999999999999</v>
      </c>
      <c r="EE220" s="28">
        <f>COGS!EE220</f>
        <v>11.266255270000004</v>
      </c>
      <c r="EF220" s="28">
        <f>COGS!EF220</f>
        <v>38.686181860000005</v>
      </c>
      <c r="EG220" s="28">
        <f>COGS!EG220</f>
        <v>13.029086439999999</v>
      </c>
      <c r="EH220" s="28">
        <f>COGS!EH220</f>
        <v>10.584538820000002</v>
      </c>
      <c r="EI220" s="28">
        <f>COGS!EI220</f>
        <v>11.408178980000001</v>
      </c>
    </row>
    <row r="221" spans="1:139" ht="15" thickTop="1" x14ac:dyDescent="0.3">
      <c r="A221" s="1" t="s">
        <v>442</v>
      </c>
      <c r="B221" s="27">
        <f>COGS!B221</f>
        <v>0</v>
      </c>
      <c r="C221" s="27">
        <f>COGS!C221</f>
        <v>0</v>
      </c>
      <c r="D221" s="27">
        <f>COGS!D221</f>
        <v>0</v>
      </c>
      <c r="E221" s="27">
        <f>COGS!E221</f>
        <v>0</v>
      </c>
      <c r="F221" s="27">
        <f>COGS!F221</f>
        <v>0</v>
      </c>
      <c r="G221" s="27">
        <f>COGS!G221</f>
        <v>0</v>
      </c>
      <c r="H221" s="27">
        <f>COGS!H221</f>
        <v>0</v>
      </c>
      <c r="I221" s="27">
        <f>COGS!I221</f>
        <v>0</v>
      </c>
      <c r="J221" s="27">
        <f>COGS!J221</f>
        <v>0</v>
      </c>
      <c r="K221" s="27">
        <f>COGS!K221</f>
        <v>0</v>
      </c>
      <c r="L221" s="27">
        <f>COGS!L221</f>
        <v>0</v>
      </c>
      <c r="M221" s="27">
        <f>COGS!M221</f>
        <v>0</v>
      </c>
      <c r="N221" s="27">
        <f>COGS!N221</f>
        <v>0</v>
      </c>
      <c r="O221" s="27">
        <f>COGS!O221</f>
        <v>0</v>
      </c>
      <c r="P221" s="27">
        <f>COGS!P221</f>
        <v>0</v>
      </c>
      <c r="Q221" s="27">
        <f>COGS!Q221</f>
        <v>0</v>
      </c>
      <c r="R221" s="27">
        <f>COGS!R221</f>
        <v>0</v>
      </c>
      <c r="S221" s="27">
        <f>COGS!S221</f>
        <v>0</v>
      </c>
      <c r="T221" s="27">
        <f>COGS!T221</f>
        <v>0</v>
      </c>
      <c r="U221" s="27">
        <f>COGS!U221</f>
        <v>0</v>
      </c>
      <c r="V221" s="27">
        <f>COGS!V221</f>
        <v>0</v>
      </c>
      <c r="W221" s="27">
        <f>COGS!W221</f>
        <v>0</v>
      </c>
      <c r="X221" s="27">
        <f>COGS!X221</f>
        <v>0</v>
      </c>
      <c r="Y221" s="27">
        <f>COGS!Y221</f>
        <v>0</v>
      </c>
      <c r="Z221" s="27">
        <f>COGS!Z221</f>
        <v>0</v>
      </c>
      <c r="AA221" s="27">
        <f>COGS!AA221</f>
        <v>0</v>
      </c>
      <c r="AB221" s="27">
        <f>COGS!AB221</f>
        <v>0</v>
      </c>
      <c r="AC221" s="27">
        <f>COGS!AC221</f>
        <v>0</v>
      </c>
      <c r="AD221" s="27">
        <f>COGS!AD221</f>
        <v>0</v>
      </c>
      <c r="AE221" s="27">
        <f>COGS!AE221</f>
        <v>0</v>
      </c>
      <c r="AF221" s="27">
        <f>COGS!AF221</f>
        <v>0</v>
      </c>
      <c r="AG221" s="27">
        <f>COGS!AG221</f>
        <v>0</v>
      </c>
      <c r="AH221" s="27">
        <f>COGS!AH221</f>
        <v>0</v>
      </c>
      <c r="AI221" s="27">
        <f>COGS!AI221</f>
        <v>0</v>
      </c>
      <c r="AJ221" s="27">
        <f>COGS!AJ221</f>
        <v>0</v>
      </c>
      <c r="AK221" s="27">
        <f>COGS!AK221</f>
        <v>0</v>
      </c>
      <c r="AL221" s="27">
        <f>COGS!AL221</f>
        <v>0</v>
      </c>
      <c r="AM221" s="27">
        <f>COGS!AM221</f>
        <v>0</v>
      </c>
      <c r="AN221" s="27">
        <f>COGS!AN221</f>
        <v>0</v>
      </c>
      <c r="AO221" s="27">
        <f>COGS!AO221</f>
        <v>0</v>
      </c>
      <c r="AP221" s="27">
        <f>COGS!AP221</f>
        <v>0</v>
      </c>
      <c r="AQ221" s="27">
        <f>COGS!AQ221</f>
        <v>0</v>
      </c>
      <c r="AR221" s="27">
        <f>COGS!AR221</f>
        <v>0</v>
      </c>
      <c r="AS221" s="27">
        <f>COGS!AS221</f>
        <v>0</v>
      </c>
      <c r="AT221" s="27">
        <f>COGS!AT221</f>
        <v>0</v>
      </c>
      <c r="AU221" s="27">
        <f>COGS!AU221</f>
        <v>0</v>
      </c>
      <c r="AV221" s="27">
        <f>COGS!AV221</f>
        <v>0</v>
      </c>
      <c r="AW221" s="27">
        <f>COGS!AW221</f>
        <v>0</v>
      </c>
      <c r="AX221" s="27">
        <f>COGS!AX221</f>
        <v>0</v>
      </c>
      <c r="AY221" s="27">
        <f>COGS!AY221</f>
        <v>0</v>
      </c>
      <c r="AZ221" s="27">
        <f>COGS!AZ221</f>
        <v>0</v>
      </c>
      <c r="BA221" s="27">
        <f>COGS!BA221</f>
        <v>0</v>
      </c>
      <c r="BB221" s="27">
        <f>COGS!BB221</f>
        <v>0</v>
      </c>
      <c r="BC221" s="27">
        <f>COGS!BC221</f>
        <v>0</v>
      </c>
      <c r="BD221" s="27">
        <f>COGS!BD221</f>
        <v>0</v>
      </c>
      <c r="BE221" s="27">
        <f>COGS!BE221</f>
        <v>0</v>
      </c>
      <c r="BF221" s="27">
        <f>COGS!BF221</f>
        <v>0</v>
      </c>
      <c r="BG221" s="27">
        <f>COGS!BG221</f>
        <v>0</v>
      </c>
      <c r="BH221" s="27">
        <f>COGS!BH221</f>
        <v>0</v>
      </c>
      <c r="BI221" s="27">
        <f>COGS!BI221</f>
        <v>0</v>
      </c>
      <c r="BJ221" s="27">
        <f>COGS!BJ221</f>
        <v>4</v>
      </c>
      <c r="BK221" s="27">
        <f>COGS!BK221</f>
        <v>9.1999999999999993</v>
      </c>
      <c r="BL221" s="27">
        <f>COGS!BL221</f>
        <v>12.8</v>
      </c>
      <c r="BM221" s="27">
        <f>COGS!BM221</f>
        <v>18.600000000000001</v>
      </c>
      <c r="BN221" s="27">
        <f>COGS!BN221</f>
        <v>44.6</v>
      </c>
      <c r="BO221" s="27">
        <f>COGS!BO221</f>
        <v>10</v>
      </c>
      <c r="BP221" s="27">
        <f>COGS!BP221</f>
        <v>15.6</v>
      </c>
      <c r="BQ221" s="27">
        <f>COGS!BQ221</f>
        <v>21.8</v>
      </c>
      <c r="BR221" s="27">
        <f>COGS!BR221</f>
        <v>26</v>
      </c>
      <c r="BS221" s="27">
        <f>COGS!BS221</f>
        <v>73.400000000000006</v>
      </c>
      <c r="BT221" s="27">
        <f>COGS!BT221</f>
        <v>8.1999999999999993</v>
      </c>
      <c r="BU221" s="27">
        <f>COGS!BU221</f>
        <v>10.1</v>
      </c>
      <c r="BV221" s="27">
        <f>COGS!BV221</f>
        <v>24.7</v>
      </c>
      <c r="BW221" s="27">
        <f>COGS!BW221</f>
        <v>32.9</v>
      </c>
      <c r="BX221" s="27">
        <f>COGS!BX221</f>
        <v>75.900000000000006</v>
      </c>
      <c r="BY221" s="27">
        <f>COGS!BY221</f>
        <v>20.399999999999999</v>
      </c>
      <c r="BZ221" s="27">
        <f>COGS!BZ221</f>
        <v>46.5</v>
      </c>
      <c r="CA221" s="27">
        <f>COGS!CA221</f>
        <v>54.4</v>
      </c>
      <c r="CB221" s="27">
        <f>COGS!CB221</f>
        <v>97.3</v>
      </c>
      <c r="CC221" s="27">
        <f>COGS!CC221</f>
        <v>218.60000000000002</v>
      </c>
      <c r="CD221" s="27">
        <f>COGS!CD221</f>
        <v>50</v>
      </c>
      <c r="CE221" s="27">
        <f>COGS!CE221</f>
        <v>128.55610754</v>
      </c>
      <c r="CF221" s="27">
        <f>COGS!CF221</f>
        <v>66.3</v>
      </c>
      <c r="CG221" s="27">
        <f>COGS!CG221</f>
        <v>60.2</v>
      </c>
      <c r="CH221" s="27">
        <f>COGS!CH221</f>
        <v>305.05610753999997</v>
      </c>
      <c r="CI221" s="27">
        <f>COGS!CI221</f>
        <v>18.100000000000001</v>
      </c>
      <c r="CJ221" s="27">
        <f>COGS!CJ221</f>
        <v>14.2</v>
      </c>
      <c r="CK221" s="27">
        <f>COGS!CK221</f>
        <v>14.8</v>
      </c>
      <c r="CL221" s="27">
        <f>COGS!CL221</f>
        <v>22.4</v>
      </c>
      <c r="CM221" s="27">
        <f>COGS!CM221</f>
        <v>69.5</v>
      </c>
      <c r="CN221" s="27">
        <f>COGS!CN221</f>
        <v>5.0999999999999996</v>
      </c>
      <c r="CO221" s="27">
        <f>COGS!CO221</f>
        <v>16.7</v>
      </c>
      <c r="CP221" s="27">
        <f>COGS!CP221</f>
        <v>26.400000000000006</v>
      </c>
      <c r="CQ221" s="27">
        <f>COGS!CQ221</f>
        <v>30.599999999999987</v>
      </c>
      <c r="CR221" s="27">
        <f>COGS!CR221</f>
        <v>78.799999999999983</v>
      </c>
      <c r="CS221" s="27">
        <f>COGS!CS221</f>
        <v>4.9708220499999998</v>
      </c>
      <c r="CT221" s="27">
        <f>COGS!CT221</f>
        <v>8.6874332699999997</v>
      </c>
      <c r="CU221" s="27">
        <f>COGS!CU221</f>
        <v>23.071263390000002</v>
      </c>
      <c r="CV221" s="27">
        <f>COGS!CV221</f>
        <v>19.914446259999998</v>
      </c>
      <c r="CW221" s="27">
        <f>COGS!CW221</f>
        <v>56.643964969999999</v>
      </c>
      <c r="CX221" s="27">
        <f>COGS!CX221</f>
        <v>22.405000000000001</v>
      </c>
      <c r="CY221" s="27">
        <f>COGS!CY221</f>
        <v>27.326000000000001</v>
      </c>
      <c r="CZ221" s="27">
        <f>COGS!CZ221</f>
        <v>36.307000000000002</v>
      </c>
      <c r="DA221" s="27">
        <f>COGS!DA221</f>
        <v>40.747999999999998</v>
      </c>
      <c r="DB221" s="27">
        <f>COGS!DB221</f>
        <v>126.786</v>
      </c>
      <c r="DC221" s="27">
        <f>COGS!DC221</f>
        <v>33.423000000000002</v>
      </c>
      <c r="DD221" s="27">
        <f>COGS!DD221</f>
        <v>45.301000000000002</v>
      </c>
      <c r="DE221" s="27">
        <f>COGS!DE221</f>
        <v>53.655999999999999</v>
      </c>
      <c r="DF221" s="27">
        <f>COGS!DF221</f>
        <v>50.738999999999997</v>
      </c>
      <c r="DG221" s="27">
        <f>COGS!DG221</f>
        <v>183.119</v>
      </c>
      <c r="DH221" s="27">
        <f>COGS!DH221</f>
        <v>29.452000000000002</v>
      </c>
      <c r="DI221" s="27">
        <f>COGS!DI221</f>
        <v>21.062000000000001</v>
      </c>
      <c r="DJ221" s="27">
        <f>COGS!DJ221</f>
        <v>25.709</v>
      </c>
      <c r="DK221" s="27">
        <f>COGS!DK221</f>
        <v>11.244999999999999</v>
      </c>
      <c r="DL221" s="27">
        <f>COGS!DL221</f>
        <v>87.468000000000004</v>
      </c>
      <c r="DM221" s="27">
        <f>COGS!DM221</f>
        <v>6.0380000000000003</v>
      </c>
      <c r="DN221" s="27">
        <f>COGS!DN221</f>
        <v>5.3659999999999997</v>
      </c>
      <c r="DO221" s="27">
        <f>COGS!DO221</f>
        <v>13.404999999999999</v>
      </c>
      <c r="DP221" s="27">
        <f>COGS!DP221</f>
        <v>14.645</v>
      </c>
      <c r="DQ221" s="27">
        <f>COGS!DQ221</f>
        <v>39.453999999999994</v>
      </c>
      <c r="DR221" s="27">
        <f>COGS!DR221</f>
        <v>25.591000000000001</v>
      </c>
      <c r="DS221" s="27">
        <f>COGS!DS221</f>
        <v>36.353999999999999</v>
      </c>
      <c r="DT221" s="27">
        <f>COGS!DT221</f>
        <v>66.063000000000002</v>
      </c>
      <c r="DU221" s="27">
        <f>COGS!DU221</f>
        <v>66.373999999999995</v>
      </c>
      <c r="DV221" s="27">
        <f>COGS!DV221</f>
        <v>194.38200000000001</v>
      </c>
      <c r="DW221" s="27">
        <f>COGS!DW221</f>
        <v>54.313000000000002</v>
      </c>
      <c r="DX221" s="27">
        <f>COGS!DX221</f>
        <v>90.581999999999994</v>
      </c>
      <c r="DY221" s="27">
        <f>COGS!DY221</f>
        <v>82.53082686999997</v>
      </c>
      <c r="DZ221" s="27">
        <f>COGS!DZ221</f>
        <v>72.715107930000002</v>
      </c>
      <c r="EA221" s="27">
        <f>COGS!EA221</f>
        <v>300.14093479999997</v>
      </c>
      <c r="EB221" s="27">
        <f>COGS!EB221</f>
        <v>40.541974950000004</v>
      </c>
      <c r="EC221" s="27">
        <f>COGS!EC221</f>
        <v>84.157760379999999</v>
      </c>
      <c r="ED221" s="27">
        <f>COGS!ED221</f>
        <v>70.930999999999997</v>
      </c>
      <c r="EE221" s="27">
        <f>COGS!EE221</f>
        <v>79.84964159999997</v>
      </c>
      <c r="EF221" s="27">
        <f>COGS!EF221</f>
        <v>275.48037692999998</v>
      </c>
      <c r="EG221" s="27">
        <f>COGS!EG221</f>
        <v>48.124882970000002</v>
      </c>
      <c r="EH221" s="27">
        <f>COGS!EH221</f>
        <v>76.825514670000004</v>
      </c>
      <c r="EI221" s="27">
        <f>COGS!EI221</f>
        <v>89.306130640000006</v>
      </c>
    </row>
    <row r="222" spans="1:139" ht="15" thickBot="1" x14ac:dyDescent="0.35">
      <c r="A222" s="2" t="s">
        <v>3</v>
      </c>
      <c r="B222" s="28">
        <f>COGS!B222</f>
        <v>0</v>
      </c>
      <c r="C222" s="28">
        <f>COGS!C222</f>
        <v>0</v>
      </c>
      <c r="D222" s="28">
        <f>COGS!D222</f>
        <v>0</v>
      </c>
      <c r="E222" s="28">
        <f>COGS!E222</f>
        <v>0</v>
      </c>
      <c r="F222" s="28">
        <f>COGS!F222</f>
        <v>0</v>
      </c>
      <c r="G222" s="28">
        <f>COGS!G222</f>
        <v>0</v>
      </c>
      <c r="H222" s="28">
        <f>COGS!H222</f>
        <v>0</v>
      </c>
      <c r="I222" s="28">
        <f>COGS!I222</f>
        <v>0</v>
      </c>
      <c r="J222" s="28">
        <f>COGS!J222</f>
        <v>0</v>
      </c>
      <c r="K222" s="28">
        <f>COGS!K222</f>
        <v>0</v>
      </c>
      <c r="L222" s="28">
        <f>COGS!L222</f>
        <v>0</v>
      </c>
      <c r="M222" s="28">
        <f>COGS!M222</f>
        <v>0</v>
      </c>
      <c r="N222" s="28">
        <f>COGS!N222</f>
        <v>0</v>
      </c>
      <c r="O222" s="28">
        <f>COGS!O222</f>
        <v>0</v>
      </c>
      <c r="P222" s="28">
        <f>COGS!P222</f>
        <v>0</v>
      </c>
      <c r="Q222" s="28">
        <f>COGS!Q222</f>
        <v>0</v>
      </c>
      <c r="R222" s="28">
        <f>COGS!R222</f>
        <v>0</v>
      </c>
      <c r="S222" s="28">
        <f>COGS!S222</f>
        <v>0</v>
      </c>
      <c r="T222" s="28">
        <f>COGS!T222</f>
        <v>0</v>
      </c>
      <c r="U222" s="28">
        <f>COGS!U222</f>
        <v>0</v>
      </c>
      <c r="V222" s="28">
        <f>COGS!V222</f>
        <v>0</v>
      </c>
      <c r="W222" s="28">
        <f>COGS!W222</f>
        <v>0</v>
      </c>
      <c r="X222" s="28">
        <f>COGS!X222</f>
        <v>0</v>
      </c>
      <c r="Y222" s="28">
        <f>COGS!Y222</f>
        <v>0</v>
      </c>
      <c r="Z222" s="28">
        <f>COGS!Z222</f>
        <v>0</v>
      </c>
      <c r="AA222" s="28">
        <f>COGS!AA222</f>
        <v>0</v>
      </c>
      <c r="AB222" s="28">
        <f>COGS!AB222</f>
        <v>0</v>
      </c>
      <c r="AC222" s="28">
        <f>COGS!AC222</f>
        <v>0</v>
      </c>
      <c r="AD222" s="28">
        <f>COGS!AD222</f>
        <v>0</v>
      </c>
      <c r="AE222" s="28">
        <f>COGS!AE222</f>
        <v>0</v>
      </c>
      <c r="AF222" s="28">
        <f>COGS!AF222</f>
        <v>0</v>
      </c>
      <c r="AG222" s="28">
        <f>COGS!AG222</f>
        <v>0</v>
      </c>
      <c r="AH222" s="28">
        <f>COGS!AH222</f>
        <v>0</v>
      </c>
      <c r="AI222" s="28">
        <f>COGS!AI222</f>
        <v>0</v>
      </c>
      <c r="AJ222" s="28">
        <f>COGS!AJ222</f>
        <v>0</v>
      </c>
      <c r="AK222" s="28">
        <f>COGS!AK222</f>
        <v>0</v>
      </c>
      <c r="AL222" s="28">
        <f>COGS!AL222</f>
        <v>0</v>
      </c>
      <c r="AM222" s="28">
        <f>COGS!AM222</f>
        <v>0</v>
      </c>
      <c r="AN222" s="28">
        <f>COGS!AN222</f>
        <v>0</v>
      </c>
      <c r="AO222" s="28">
        <f>COGS!AO222</f>
        <v>0</v>
      </c>
      <c r="AP222" s="28">
        <f>COGS!AP222</f>
        <v>0</v>
      </c>
      <c r="AQ222" s="28">
        <f>COGS!AQ222</f>
        <v>0</v>
      </c>
      <c r="AR222" s="28">
        <f>COGS!AR222</f>
        <v>0</v>
      </c>
      <c r="AS222" s="28">
        <f>COGS!AS222</f>
        <v>0</v>
      </c>
      <c r="AT222" s="28">
        <f>COGS!AT222</f>
        <v>0</v>
      </c>
      <c r="AU222" s="28">
        <f>COGS!AU222</f>
        <v>0</v>
      </c>
      <c r="AV222" s="28">
        <f>COGS!AV222</f>
        <v>0</v>
      </c>
      <c r="AW222" s="28">
        <f>COGS!AW222</f>
        <v>0</v>
      </c>
      <c r="AX222" s="28">
        <f>COGS!AX222</f>
        <v>0</v>
      </c>
      <c r="AY222" s="28">
        <f>COGS!AY222</f>
        <v>0</v>
      </c>
      <c r="AZ222" s="28">
        <f>COGS!AZ222</f>
        <v>0</v>
      </c>
      <c r="BA222" s="28">
        <f>COGS!BA222</f>
        <v>0</v>
      </c>
      <c r="BB222" s="28">
        <f>COGS!BB222</f>
        <v>0</v>
      </c>
      <c r="BC222" s="28">
        <f>COGS!BC222</f>
        <v>0</v>
      </c>
      <c r="BD222" s="28">
        <f>COGS!BD222</f>
        <v>0</v>
      </c>
      <c r="BE222" s="28">
        <f>COGS!BE222</f>
        <v>0</v>
      </c>
      <c r="BF222" s="28">
        <f>COGS!BF222</f>
        <v>0</v>
      </c>
      <c r="BG222" s="28">
        <f>COGS!BG222</f>
        <v>0</v>
      </c>
      <c r="BH222" s="28">
        <f>COGS!BH222</f>
        <v>0</v>
      </c>
      <c r="BI222" s="28">
        <f>COGS!BI222</f>
        <v>0</v>
      </c>
      <c r="BJ222" s="28">
        <f>COGS!BJ222</f>
        <v>0.2</v>
      </c>
      <c r="BK222" s="28">
        <f>COGS!BK222</f>
        <v>0.1</v>
      </c>
      <c r="BL222" s="28">
        <f>COGS!BL222</f>
        <v>0.1</v>
      </c>
      <c r="BM222" s="28">
        <f>COGS!BM222</f>
        <v>0.5</v>
      </c>
      <c r="BN222" s="28">
        <f>COGS!BN222</f>
        <v>0.9</v>
      </c>
      <c r="BO222" s="28">
        <f>COGS!BO222</f>
        <v>1.1000000000000001</v>
      </c>
      <c r="BP222" s="28">
        <f>COGS!BP222</f>
        <v>1.1000000000000001</v>
      </c>
      <c r="BQ222" s="28">
        <f>COGS!BQ222</f>
        <v>0.2</v>
      </c>
      <c r="BR222" s="28">
        <f>COGS!BR222</f>
        <v>4</v>
      </c>
      <c r="BS222" s="28">
        <f>COGS!BS222</f>
        <v>6.4</v>
      </c>
      <c r="BT222" s="28">
        <f>COGS!BT222</f>
        <v>13.8</v>
      </c>
      <c r="BU222" s="28">
        <f>COGS!BU222</f>
        <v>4.7</v>
      </c>
      <c r="BV222" s="28">
        <f>COGS!BV222</f>
        <v>9.4</v>
      </c>
      <c r="BW222" s="28">
        <f>COGS!BW222</f>
        <v>22.7</v>
      </c>
      <c r="BX222" s="28">
        <f>COGS!BX222</f>
        <v>50.599999999999994</v>
      </c>
      <c r="BY222" s="28">
        <f>COGS!BY222</f>
        <v>8.1</v>
      </c>
      <c r="BZ222" s="28">
        <f>COGS!BZ222</f>
        <v>14.2</v>
      </c>
      <c r="CA222" s="28">
        <f>COGS!CA222</f>
        <v>8.1</v>
      </c>
      <c r="CB222" s="28">
        <f>COGS!CB222</f>
        <v>0.4</v>
      </c>
      <c r="CC222" s="28">
        <f>COGS!CC222</f>
        <v>30.799999999999997</v>
      </c>
      <c r="CD222" s="28">
        <f>COGS!CD222</f>
        <v>0.05</v>
      </c>
      <c r="CE222" s="28">
        <f>COGS!CE222</f>
        <v>0.20897182</v>
      </c>
      <c r="CF222" s="28">
        <f>COGS!CF222</f>
        <v>1.1000000000000001</v>
      </c>
      <c r="CG222" s="28">
        <f>COGS!CG222</f>
        <v>10</v>
      </c>
      <c r="CH222" s="28">
        <f>COGS!CH222</f>
        <v>11.358971820000001</v>
      </c>
      <c r="CI222" s="28">
        <f>COGS!CI222</f>
        <v>1.4</v>
      </c>
      <c r="CJ222" s="28">
        <f>COGS!CJ222</f>
        <v>6.3</v>
      </c>
      <c r="CK222" s="28">
        <f>COGS!CK222</f>
        <v>13.2</v>
      </c>
      <c r="CL222" s="28">
        <f>COGS!CL222</f>
        <v>15.4</v>
      </c>
      <c r="CM222" s="28">
        <f>COGS!CM222</f>
        <v>36.299999999999997</v>
      </c>
      <c r="CN222" s="28">
        <f>COGS!CN222</f>
        <v>4</v>
      </c>
      <c r="CO222" s="28">
        <f>COGS!CO222</f>
        <v>10.1</v>
      </c>
      <c r="CP222" s="28">
        <f>COGS!CP222</f>
        <v>13.200000000000003</v>
      </c>
      <c r="CQ222" s="28">
        <f>COGS!CQ222</f>
        <v>5.6999999999999975</v>
      </c>
      <c r="CR222" s="28">
        <f>COGS!CR222</f>
        <v>33</v>
      </c>
      <c r="CS222" s="28">
        <f>COGS!CS222</f>
        <v>8.6141317100000006</v>
      </c>
      <c r="CT222" s="28">
        <f>COGS!CT222</f>
        <v>6.8772333099999994</v>
      </c>
      <c r="CU222" s="28">
        <f>COGS!CU222</f>
        <v>10.488173800000002</v>
      </c>
      <c r="CV222" s="28">
        <f>COGS!CV222</f>
        <v>32.028965159999991</v>
      </c>
      <c r="CW222" s="28">
        <f>COGS!CW222</f>
        <v>58.008503979999993</v>
      </c>
      <c r="CX222" s="28">
        <f>COGS!CX222</f>
        <v>14.819000000000001</v>
      </c>
      <c r="CY222" s="28">
        <f>COGS!CY222</f>
        <v>16.93</v>
      </c>
      <c r="CZ222" s="28">
        <f>COGS!CZ222</f>
        <v>16.202999999999999</v>
      </c>
      <c r="DA222" s="28">
        <f>COGS!DA222</f>
        <v>18.655000000000001</v>
      </c>
      <c r="DB222" s="28">
        <f>COGS!DB222</f>
        <v>66.606999999999999</v>
      </c>
      <c r="DC222" s="28">
        <f>COGS!DC222</f>
        <v>1.976</v>
      </c>
      <c r="DD222" s="28">
        <f>COGS!DD222</f>
        <v>2.117</v>
      </c>
      <c r="DE222" s="28">
        <f>COGS!DE222</f>
        <v>4.6689999999999996</v>
      </c>
      <c r="DF222" s="28">
        <f>COGS!DF222</f>
        <v>2.758</v>
      </c>
      <c r="DG222" s="28">
        <f>COGS!DG222</f>
        <v>11.52</v>
      </c>
      <c r="DH222" s="28">
        <f>COGS!DH222</f>
        <v>1.359</v>
      </c>
      <c r="DI222" s="28">
        <f>COGS!DI222</f>
        <v>2.3929999999999998</v>
      </c>
      <c r="DJ222" s="28">
        <f>COGS!DJ222</f>
        <v>3.2480000000000002</v>
      </c>
      <c r="DK222" s="28">
        <f>COGS!DK222</f>
        <v>6.2750000000000004</v>
      </c>
      <c r="DL222" s="28">
        <f>COGS!DL222</f>
        <v>13.275</v>
      </c>
      <c r="DM222" s="28">
        <f>COGS!DM222</f>
        <v>2.2229999999999999</v>
      </c>
      <c r="DN222" s="28">
        <f>COGS!DN222</f>
        <v>5.7030000000000003</v>
      </c>
      <c r="DO222" s="28">
        <f>COGS!DO222</f>
        <v>13.977</v>
      </c>
      <c r="DP222" s="28">
        <f>COGS!DP222</f>
        <v>6.7610000000000001</v>
      </c>
      <c r="DQ222" s="28">
        <f>COGS!DQ222</f>
        <v>28.663999999999998</v>
      </c>
      <c r="DR222" s="28">
        <f>COGS!DR222</f>
        <v>0</v>
      </c>
      <c r="DS222" s="28">
        <f>COGS!DS222</f>
        <v>0</v>
      </c>
      <c r="DT222" s="28">
        <f>COGS!DT222</f>
        <v>0</v>
      </c>
      <c r="DU222" s="28">
        <f>COGS!DU222</f>
        <v>0</v>
      </c>
      <c r="DV222" s="28">
        <f>COGS!DV222</f>
        <v>0</v>
      </c>
      <c r="DW222" s="28">
        <f>COGS!DW222</f>
        <v>0</v>
      </c>
      <c r="DX222" s="28">
        <f>COGS!DX222</f>
        <v>0</v>
      </c>
      <c r="DY222" s="28">
        <f>COGS!DY222</f>
        <v>0</v>
      </c>
      <c r="DZ222" s="28">
        <f>COGS!DZ222</f>
        <v>0</v>
      </c>
      <c r="EA222" s="28">
        <f>COGS!EA222</f>
        <v>0</v>
      </c>
      <c r="EB222" s="28">
        <f>COGS!EB222</f>
        <v>0</v>
      </c>
      <c r="EC222" s="28">
        <f>COGS!EC222</f>
        <v>0</v>
      </c>
      <c r="ED222" s="28">
        <f>COGS!ED222</f>
        <v>0</v>
      </c>
      <c r="EE222" s="28">
        <f>COGS!EE222</f>
        <v>0</v>
      </c>
      <c r="EF222" s="28">
        <f>COGS!EF222</f>
        <v>0</v>
      </c>
      <c r="EG222" s="28">
        <f>COGS!EG222</f>
        <v>0</v>
      </c>
      <c r="EH222" s="28">
        <f>COGS!EH222</f>
        <v>0</v>
      </c>
      <c r="EI222" s="28">
        <f>COGS!EI222</f>
        <v>0</v>
      </c>
    </row>
    <row r="223" spans="1:139" ht="15" thickTop="1" x14ac:dyDescent="0.3">
      <c r="A223" s="1" t="s">
        <v>443</v>
      </c>
      <c r="B223" s="27">
        <f>COGS!B223</f>
        <v>0</v>
      </c>
      <c r="C223" s="27">
        <f>COGS!C223</f>
        <v>0</v>
      </c>
      <c r="D223" s="27">
        <f>COGS!D223</f>
        <v>0</v>
      </c>
      <c r="E223" s="27">
        <f>COGS!E223</f>
        <v>0</v>
      </c>
      <c r="F223" s="27">
        <f>COGS!F223</f>
        <v>0</v>
      </c>
      <c r="G223" s="27">
        <f>COGS!G223</f>
        <v>0</v>
      </c>
      <c r="H223" s="27">
        <f>COGS!H223</f>
        <v>0</v>
      </c>
      <c r="I223" s="27">
        <f>COGS!I223</f>
        <v>0</v>
      </c>
      <c r="J223" s="27">
        <f>COGS!J223</f>
        <v>0</v>
      </c>
      <c r="K223" s="27">
        <f>COGS!K223</f>
        <v>0</v>
      </c>
      <c r="L223" s="27">
        <f>COGS!L223</f>
        <v>0</v>
      </c>
      <c r="M223" s="27">
        <f>COGS!M223</f>
        <v>0</v>
      </c>
      <c r="N223" s="27">
        <f>COGS!N223</f>
        <v>0</v>
      </c>
      <c r="O223" s="27">
        <f>COGS!O223</f>
        <v>0</v>
      </c>
      <c r="P223" s="27">
        <f>COGS!P223</f>
        <v>0</v>
      </c>
      <c r="Q223" s="27">
        <f>COGS!Q223</f>
        <v>0</v>
      </c>
      <c r="R223" s="27">
        <f>COGS!R223</f>
        <v>0</v>
      </c>
      <c r="S223" s="27">
        <f>COGS!S223</f>
        <v>0</v>
      </c>
      <c r="T223" s="27">
        <f>COGS!T223</f>
        <v>0</v>
      </c>
      <c r="U223" s="27">
        <f>COGS!U223</f>
        <v>0</v>
      </c>
      <c r="V223" s="27">
        <f>COGS!V223</f>
        <v>0</v>
      </c>
      <c r="W223" s="27">
        <f>COGS!W223</f>
        <v>0</v>
      </c>
      <c r="X223" s="27">
        <f>COGS!X223</f>
        <v>0</v>
      </c>
      <c r="Y223" s="27">
        <f>COGS!Y223</f>
        <v>0</v>
      </c>
      <c r="Z223" s="27">
        <f>COGS!Z223</f>
        <v>0</v>
      </c>
      <c r="AA223" s="27">
        <f>COGS!AA223</f>
        <v>0</v>
      </c>
      <c r="AB223" s="27">
        <f>COGS!AB223</f>
        <v>0</v>
      </c>
      <c r="AC223" s="27">
        <f>COGS!AC223</f>
        <v>0</v>
      </c>
      <c r="AD223" s="27">
        <f>COGS!AD223</f>
        <v>0</v>
      </c>
      <c r="AE223" s="27">
        <f>COGS!AE223</f>
        <v>0</v>
      </c>
      <c r="AF223" s="27">
        <f>COGS!AF223</f>
        <v>0</v>
      </c>
      <c r="AG223" s="27">
        <f>COGS!AG223</f>
        <v>0</v>
      </c>
      <c r="AH223" s="27">
        <f>COGS!AH223</f>
        <v>0</v>
      </c>
      <c r="AI223" s="27">
        <f>COGS!AI223</f>
        <v>0</v>
      </c>
      <c r="AJ223" s="27">
        <f>COGS!AJ223</f>
        <v>0</v>
      </c>
      <c r="AK223" s="27">
        <f>COGS!AK223</f>
        <v>0</v>
      </c>
      <c r="AL223" s="27">
        <f>COGS!AL223</f>
        <v>0</v>
      </c>
      <c r="AM223" s="27">
        <f>COGS!AM223</f>
        <v>0</v>
      </c>
      <c r="AN223" s="27">
        <f>COGS!AN223</f>
        <v>0</v>
      </c>
      <c r="AO223" s="27">
        <f>COGS!AO223</f>
        <v>0</v>
      </c>
      <c r="AP223" s="27">
        <f>COGS!AP223</f>
        <v>0</v>
      </c>
      <c r="AQ223" s="27">
        <f>COGS!AQ223</f>
        <v>0</v>
      </c>
      <c r="AR223" s="27">
        <f>COGS!AR223</f>
        <v>0</v>
      </c>
      <c r="AS223" s="27">
        <f>COGS!AS223</f>
        <v>0</v>
      </c>
      <c r="AT223" s="27">
        <f>COGS!AT223</f>
        <v>0</v>
      </c>
      <c r="AU223" s="27">
        <f>COGS!AU223</f>
        <v>0</v>
      </c>
      <c r="AV223" s="27">
        <f>COGS!AV223</f>
        <v>0</v>
      </c>
      <c r="AW223" s="27">
        <f>COGS!AW223</f>
        <v>0</v>
      </c>
      <c r="AX223" s="27">
        <f>COGS!AX223</f>
        <v>0</v>
      </c>
      <c r="AY223" s="27">
        <f>COGS!AY223</f>
        <v>0</v>
      </c>
      <c r="AZ223" s="27">
        <f>COGS!AZ223</f>
        <v>0</v>
      </c>
      <c r="BA223" s="27">
        <f>COGS!BA223</f>
        <v>0</v>
      </c>
      <c r="BB223" s="27">
        <f>COGS!BB223</f>
        <v>0</v>
      </c>
      <c r="BC223" s="27">
        <f>COGS!BC223</f>
        <v>0</v>
      </c>
      <c r="BD223" s="27">
        <f>COGS!BD223</f>
        <v>0</v>
      </c>
      <c r="BE223" s="27">
        <f>COGS!BE223</f>
        <v>0</v>
      </c>
      <c r="BF223" s="27">
        <f>COGS!BF223</f>
        <v>0</v>
      </c>
      <c r="BG223" s="27">
        <f>COGS!BG223</f>
        <v>0</v>
      </c>
      <c r="BH223" s="27">
        <f>COGS!BH223</f>
        <v>0</v>
      </c>
      <c r="BI223" s="27">
        <f>COGS!BI223</f>
        <v>0</v>
      </c>
      <c r="BJ223" s="27">
        <f>COGS!BJ223</f>
        <v>39.4</v>
      </c>
      <c r="BK223" s="27">
        <f>COGS!BK223</f>
        <v>24.6</v>
      </c>
      <c r="BL223" s="27">
        <f>COGS!BL223</f>
        <v>12.9</v>
      </c>
      <c r="BM223" s="27">
        <f>COGS!BM223</f>
        <v>12.2</v>
      </c>
      <c r="BN223" s="27">
        <f>COGS!BN223</f>
        <v>89.100000000000009</v>
      </c>
      <c r="BO223" s="27">
        <f>COGS!BO223</f>
        <v>13.6</v>
      </c>
      <c r="BP223" s="27">
        <f>COGS!BP223</f>
        <v>21.2</v>
      </c>
      <c r="BQ223" s="27">
        <f>COGS!BQ223</f>
        <v>10.3</v>
      </c>
      <c r="BR223" s="27">
        <f>COGS!BR223</f>
        <v>19.3</v>
      </c>
      <c r="BS223" s="27">
        <f>COGS!BS223</f>
        <v>64.399999999999991</v>
      </c>
      <c r="BT223" s="27">
        <f>COGS!BT223</f>
        <v>11.3</v>
      </c>
      <c r="BU223" s="27">
        <f>COGS!BU223</f>
        <v>33.1</v>
      </c>
      <c r="BV223" s="27">
        <f>COGS!BV223</f>
        <v>35.799999999999997</v>
      </c>
      <c r="BW223" s="27">
        <f>COGS!BW223</f>
        <v>33.5</v>
      </c>
      <c r="BX223" s="27">
        <f>COGS!BX223</f>
        <v>113.7</v>
      </c>
      <c r="BY223" s="27">
        <f>COGS!BY223</f>
        <v>23.6</v>
      </c>
      <c r="BZ223" s="27">
        <f>COGS!BZ223</f>
        <v>42.6</v>
      </c>
      <c r="CA223" s="27">
        <f>COGS!CA223</f>
        <v>54.5</v>
      </c>
      <c r="CB223" s="27">
        <f>COGS!CB223</f>
        <v>43.6</v>
      </c>
      <c r="CC223" s="27">
        <f>COGS!CC223</f>
        <v>164.3</v>
      </c>
      <c r="CD223" s="27">
        <f>COGS!CD223</f>
        <v>23.6</v>
      </c>
      <c r="CE223" s="27">
        <f>COGS!CE223</f>
        <v>31.825420599999998</v>
      </c>
      <c r="CF223" s="27">
        <f>COGS!CF223</f>
        <v>30.3</v>
      </c>
      <c r="CG223" s="27">
        <f>COGS!CG223</f>
        <v>39.299999999999997</v>
      </c>
      <c r="CH223" s="27">
        <f>COGS!CH223</f>
        <v>125.02542059999999</v>
      </c>
      <c r="CI223" s="27">
        <f>COGS!CI223</f>
        <v>57</v>
      </c>
      <c r="CJ223" s="27">
        <f>COGS!CJ223</f>
        <v>41.2</v>
      </c>
      <c r="CK223" s="27">
        <f>COGS!CK223</f>
        <v>26.2</v>
      </c>
      <c r="CL223" s="27">
        <f>COGS!CL223</f>
        <v>24.1</v>
      </c>
      <c r="CM223" s="27">
        <f>COGS!CM223</f>
        <v>148.5</v>
      </c>
      <c r="CN223" s="27">
        <f>COGS!CN223</f>
        <v>13.9</v>
      </c>
      <c r="CO223" s="27">
        <f>COGS!CO223</f>
        <v>22</v>
      </c>
      <c r="CP223" s="27">
        <f>COGS!CP223</f>
        <v>55.199999999999996</v>
      </c>
      <c r="CQ223" s="27">
        <f>COGS!CQ223</f>
        <v>24.800000000000011</v>
      </c>
      <c r="CR223" s="27">
        <f>COGS!CR223</f>
        <v>115.9</v>
      </c>
      <c r="CS223" s="27">
        <f>COGS!CS223</f>
        <v>23.366790000000002</v>
      </c>
      <c r="CT223" s="27">
        <f>COGS!CT223</f>
        <v>55.42351824</v>
      </c>
      <c r="CU223" s="27">
        <f>COGS!CU223</f>
        <v>63.000023139999996</v>
      </c>
      <c r="CV223" s="27">
        <f>COGS!CV223</f>
        <v>53.712692839999988</v>
      </c>
      <c r="CW223" s="27">
        <f>COGS!CW223</f>
        <v>195.50302421999999</v>
      </c>
      <c r="CX223" s="27">
        <f>COGS!CX223</f>
        <v>27.247</v>
      </c>
      <c r="CY223" s="27">
        <f>COGS!CY223</f>
        <v>11.472</v>
      </c>
      <c r="CZ223" s="27">
        <f>COGS!CZ223</f>
        <v>4.0659999999999998</v>
      </c>
      <c r="DA223" s="27">
        <f>COGS!DA223</f>
        <v>10.446999999999999</v>
      </c>
      <c r="DB223" s="27">
        <f>COGS!DB223</f>
        <v>53.231999999999999</v>
      </c>
      <c r="DC223" s="27">
        <f>COGS!DC223</f>
        <v>8.6470000000000002</v>
      </c>
      <c r="DD223" s="27">
        <f>COGS!DD223</f>
        <v>15.832000000000001</v>
      </c>
      <c r="DE223" s="27">
        <f>COGS!DE223</f>
        <v>7.367</v>
      </c>
      <c r="DF223" s="27">
        <f>COGS!DF223</f>
        <v>5.3049999999999997</v>
      </c>
      <c r="DG223" s="27">
        <f>COGS!DG223</f>
        <v>37.150999999999996</v>
      </c>
      <c r="DH223" s="27">
        <f>COGS!DH223</f>
        <v>2.5630000000000002</v>
      </c>
      <c r="DI223" s="27">
        <f>COGS!DI223</f>
        <v>7.7380000000000004</v>
      </c>
      <c r="DJ223" s="27">
        <f>COGS!DJ223</f>
        <v>6.3529999999999998</v>
      </c>
      <c r="DK223" s="27">
        <f>COGS!DK223</f>
        <v>17.077000000000002</v>
      </c>
      <c r="DL223" s="27">
        <f>COGS!DL223</f>
        <v>33.731000000000002</v>
      </c>
      <c r="DM223" s="27">
        <f>COGS!DM223</f>
        <v>6.0960000000000001</v>
      </c>
      <c r="DN223" s="27">
        <f>COGS!DN223</f>
        <v>18.169</v>
      </c>
      <c r="DO223" s="27">
        <f>COGS!DO223</f>
        <v>20.693000000000001</v>
      </c>
      <c r="DP223" s="27">
        <f>COGS!DP223</f>
        <v>10.701000000000001</v>
      </c>
      <c r="DQ223" s="27">
        <f>COGS!DQ223</f>
        <v>55.658999999999999</v>
      </c>
      <c r="DR223" s="27">
        <f>COGS!DR223</f>
        <v>3.8740000000000001</v>
      </c>
      <c r="DS223" s="27">
        <f>COGS!DS223</f>
        <v>8.3059999999999992</v>
      </c>
      <c r="DT223" s="27">
        <f>COGS!DT223</f>
        <v>28.898</v>
      </c>
      <c r="DU223" s="27">
        <f>COGS!DU223</f>
        <v>45.59</v>
      </c>
      <c r="DV223" s="27">
        <f>COGS!DV223</f>
        <v>86.668000000000006</v>
      </c>
      <c r="DW223" s="27">
        <f>COGS!DW223</f>
        <v>7.4109999999999996</v>
      </c>
      <c r="DX223" s="27">
        <f>COGS!DX223</f>
        <v>17.498999999999999</v>
      </c>
      <c r="DY223" s="27">
        <f>COGS!DY223</f>
        <v>16.183856669999997</v>
      </c>
      <c r="DZ223" s="27">
        <f>COGS!DZ223</f>
        <v>13.085202880000002</v>
      </c>
      <c r="EA223" s="27">
        <f>COGS!EA223</f>
        <v>54.179059549999998</v>
      </c>
      <c r="EB223" s="27">
        <f>COGS!EB223</f>
        <v>21.95065404</v>
      </c>
      <c r="EC223" s="27">
        <f>COGS!EC223</f>
        <v>24.328511070000001</v>
      </c>
      <c r="ED223" s="27">
        <f>COGS!ED223</f>
        <v>39.844999999999999</v>
      </c>
      <c r="EE223" s="27">
        <f>COGS!EE223</f>
        <v>50.018427140000014</v>
      </c>
      <c r="EF223" s="27">
        <f>COGS!EF223</f>
        <v>136.14259225000001</v>
      </c>
      <c r="EG223" s="27">
        <f>COGS!EG223</f>
        <v>35.442621509999995</v>
      </c>
      <c r="EH223" s="27">
        <f>COGS!EH223</f>
        <v>56.218091130000005</v>
      </c>
      <c r="EI223" s="27">
        <f>COGS!EI223</f>
        <v>27.775606959999994</v>
      </c>
    </row>
    <row r="224" spans="1:139" ht="15" thickBot="1" x14ac:dyDescent="0.35">
      <c r="A224" s="2" t="s">
        <v>481</v>
      </c>
      <c r="B224" s="28">
        <f>COGS!B224</f>
        <v>0</v>
      </c>
      <c r="C224" s="28">
        <f>COGS!C224</f>
        <v>0</v>
      </c>
      <c r="D224" s="28">
        <f>COGS!D224</f>
        <v>0</v>
      </c>
      <c r="E224" s="28">
        <f>COGS!E224</f>
        <v>0</v>
      </c>
      <c r="F224" s="28">
        <f>COGS!F224</f>
        <v>0</v>
      </c>
      <c r="G224" s="28">
        <f>COGS!G224</f>
        <v>0</v>
      </c>
      <c r="H224" s="28">
        <f>COGS!H224</f>
        <v>0</v>
      </c>
      <c r="I224" s="28">
        <f>COGS!I224</f>
        <v>0</v>
      </c>
      <c r="J224" s="28">
        <f>COGS!J224</f>
        <v>0</v>
      </c>
      <c r="K224" s="28">
        <f>COGS!K224</f>
        <v>0</v>
      </c>
      <c r="L224" s="28">
        <f>COGS!L224</f>
        <v>0</v>
      </c>
      <c r="M224" s="28">
        <f>COGS!M224</f>
        <v>0</v>
      </c>
      <c r="N224" s="28">
        <f>COGS!N224</f>
        <v>0</v>
      </c>
      <c r="O224" s="28">
        <f>COGS!O224</f>
        <v>0</v>
      </c>
      <c r="P224" s="28">
        <f>COGS!P224</f>
        <v>0</v>
      </c>
      <c r="Q224" s="28">
        <f>COGS!Q224</f>
        <v>0</v>
      </c>
      <c r="R224" s="28">
        <f>COGS!R224</f>
        <v>0</v>
      </c>
      <c r="S224" s="28">
        <f>COGS!S224</f>
        <v>0</v>
      </c>
      <c r="T224" s="28">
        <f>COGS!T224</f>
        <v>0</v>
      </c>
      <c r="U224" s="28">
        <f>COGS!U224</f>
        <v>0</v>
      </c>
      <c r="V224" s="28">
        <f>COGS!V224</f>
        <v>0</v>
      </c>
      <c r="W224" s="28">
        <f>COGS!W224</f>
        <v>0</v>
      </c>
      <c r="X224" s="28">
        <f>COGS!X224</f>
        <v>0</v>
      </c>
      <c r="Y224" s="28">
        <f>COGS!Y224</f>
        <v>0</v>
      </c>
      <c r="Z224" s="28">
        <f>COGS!Z224</f>
        <v>0</v>
      </c>
      <c r="AA224" s="28">
        <f>COGS!AA224</f>
        <v>0</v>
      </c>
      <c r="AB224" s="28">
        <f>COGS!AB224</f>
        <v>0</v>
      </c>
      <c r="AC224" s="28">
        <f>COGS!AC224</f>
        <v>0</v>
      </c>
      <c r="AD224" s="28">
        <f>COGS!AD224</f>
        <v>0</v>
      </c>
      <c r="AE224" s="28">
        <f>COGS!AE224</f>
        <v>0</v>
      </c>
      <c r="AF224" s="28">
        <f>COGS!AF224</f>
        <v>0</v>
      </c>
      <c r="AG224" s="28">
        <f>COGS!AG224</f>
        <v>0</v>
      </c>
      <c r="AH224" s="28">
        <f>COGS!AH224</f>
        <v>0</v>
      </c>
      <c r="AI224" s="28">
        <f>COGS!AI224</f>
        <v>0</v>
      </c>
      <c r="AJ224" s="28">
        <f>COGS!AJ224</f>
        <v>0</v>
      </c>
      <c r="AK224" s="28">
        <f>COGS!AK224</f>
        <v>0</v>
      </c>
      <c r="AL224" s="28">
        <f>COGS!AL224</f>
        <v>0</v>
      </c>
      <c r="AM224" s="28">
        <f>COGS!AM224</f>
        <v>0</v>
      </c>
      <c r="AN224" s="28">
        <f>COGS!AN224</f>
        <v>0</v>
      </c>
      <c r="AO224" s="28">
        <f>COGS!AO224</f>
        <v>0</v>
      </c>
      <c r="AP224" s="28">
        <f>COGS!AP224</f>
        <v>0</v>
      </c>
      <c r="AQ224" s="28">
        <f>COGS!AQ224</f>
        <v>0</v>
      </c>
      <c r="AR224" s="28">
        <f>COGS!AR224</f>
        <v>0</v>
      </c>
      <c r="AS224" s="28">
        <f>COGS!AS224</f>
        <v>0</v>
      </c>
      <c r="AT224" s="28">
        <f>COGS!AT224</f>
        <v>0</v>
      </c>
      <c r="AU224" s="28">
        <f>COGS!AU224</f>
        <v>0</v>
      </c>
      <c r="AV224" s="28">
        <f>COGS!AV224</f>
        <v>0</v>
      </c>
      <c r="AW224" s="28">
        <f>COGS!AW224</f>
        <v>0</v>
      </c>
      <c r="AX224" s="28">
        <f>COGS!AX224</f>
        <v>0</v>
      </c>
      <c r="AY224" s="28">
        <f>COGS!AY224</f>
        <v>0</v>
      </c>
      <c r="AZ224" s="28">
        <f>COGS!AZ224</f>
        <v>0</v>
      </c>
      <c r="BA224" s="28">
        <f>COGS!BA224</f>
        <v>0</v>
      </c>
      <c r="BB224" s="28">
        <f>COGS!BB224</f>
        <v>0</v>
      </c>
      <c r="BC224" s="28">
        <f>COGS!BC224</f>
        <v>0</v>
      </c>
      <c r="BD224" s="28">
        <f>COGS!BD224</f>
        <v>0</v>
      </c>
      <c r="BE224" s="28">
        <f>COGS!BE224</f>
        <v>0</v>
      </c>
      <c r="BF224" s="28">
        <f>COGS!BF224</f>
        <v>0</v>
      </c>
      <c r="BG224" s="28">
        <f>COGS!BG224</f>
        <v>0</v>
      </c>
      <c r="BH224" s="28">
        <f>COGS!BH224</f>
        <v>0</v>
      </c>
      <c r="BI224" s="28">
        <f>COGS!BI224</f>
        <v>0</v>
      </c>
      <c r="BJ224" s="28">
        <f>COGS!BJ224</f>
        <v>0</v>
      </c>
      <c r="BK224" s="28">
        <f>COGS!BK224</f>
        <v>0</v>
      </c>
      <c r="BL224" s="28">
        <f>COGS!BL224</f>
        <v>0</v>
      </c>
      <c r="BM224" s="28">
        <f>COGS!BM224</f>
        <v>0</v>
      </c>
      <c r="BN224" s="28">
        <f>COGS!BN224</f>
        <v>0</v>
      </c>
      <c r="BO224" s="28">
        <f>COGS!BO224</f>
        <v>0</v>
      </c>
      <c r="BP224" s="28">
        <f>COGS!BP224</f>
        <v>0</v>
      </c>
      <c r="BQ224" s="28">
        <f>COGS!BQ224</f>
        <v>0</v>
      </c>
      <c r="BR224" s="28">
        <f>COGS!BR224</f>
        <v>0</v>
      </c>
      <c r="BS224" s="28">
        <f>COGS!BS224</f>
        <v>0</v>
      </c>
      <c r="BT224" s="28">
        <f>COGS!BT224</f>
        <v>0</v>
      </c>
      <c r="BU224" s="28">
        <f>COGS!BU224</f>
        <v>0</v>
      </c>
      <c r="BV224" s="28">
        <f>COGS!BV224</f>
        <v>0</v>
      </c>
      <c r="BW224" s="28">
        <f>COGS!BW224</f>
        <v>0</v>
      </c>
      <c r="BX224" s="28">
        <f>COGS!BX224</f>
        <v>0</v>
      </c>
      <c r="BY224" s="28">
        <f>COGS!BY224</f>
        <v>0</v>
      </c>
      <c r="BZ224" s="28">
        <f>COGS!BZ224</f>
        <v>0</v>
      </c>
      <c r="CA224" s="28">
        <f>COGS!CA224</f>
        <v>11.1</v>
      </c>
      <c r="CB224" s="28">
        <f>COGS!CB224</f>
        <v>15.5</v>
      </c>
      <c r="CC224" s="28">
        <f>COGS!CC224</f>
        <v>26.6</v>
      </c>
      <c r="CD224" s="28">
        <f>COGS!CD224</f>
        <v>31.2</v>
      </c>
      <c r="CE224" s="28">
        <f>COGS!CE224</f>
        <v>125.33163067000001</v>
      </c>
      <c r="CF224" s="28">
        <f>COGS!CF224</f>
        <v>17.7</v>
      </c>
      <c r="CG224" s="28">
        <f>COGS!CG224</f>
        <v>13.1</v>
      </c>
      <c r="CH224" s="28">
        <f>COGS!CH224</f>
        <v>187.33163066999998</v>
      </c>
      <c r="CI224" s="28">
        <f>COGS!CI224</f>
        <v>11.8</v>
      </c>
      <c r="CJ224" s="28">
        <f>COGS!CJ224</f>
        <v>26.5</v>
      </c>
      <c r="CK224" s="28">
        <f>COGS!CK224</f>
        <v>35.299999999999997</v>
      </c>
      <c r="CL224" s="28">
        <f>COGS!CL224</f>
        <v>25.3</v>
      </c>
      <c r="CM224" s="28">
        <f>COGS!CM224</f>
        <v>98.899999999999991</v>
      </c>
      <c r="CN224" s="28">
        <f>COGS!CN224</f>
        <v>11.9</v>
      </c>
      <c r="CO224" s="28">
        <f>COGS!CO224</f>
        <v>17</v>
      </c>
      <c r="CP224" s="28">
        <f>COGS!CP224</f>
        <v>30.5</v>
      </c>
      <c r="CQ224" s="28">
        <f>COGS!CQ224</f>
        <v>31.199999999999996</v>
      </c>
      <c r="CR224" s="28">
        <f>COGS!CR224</f>
        <v>90.6</v>
      </c>
      <c r="CS224" s="28">
        <f>COGS!CS224</f>
        <v>16.127640830000001</v>
      </c>
      <c r="CT224" s="28">
        <f>COGS!CT224</f>
        <v>23.622149789999998</v>
      </c>
      <c r="CU224" s="28">
        <f>COGS!CU224</f>
        <v>22.856983810000003</v>
      </c>
      <c r="CV224" s="28">
        <f>COGS!CV224</f>
        <v>30.881157899999991</v>
      </c>
      <c r="CW224" s="28">
        <f>COGS!CW224</f>
        <v>93.487932329999992</v>
      </c>
      <c r="CX224" s="28">
        <f>COGS!CX224</f>
        <v>44.99</v>
      </c>
      <c r="CY224" s="28">
        <f>COGS!CY224</f>
        <v>51.197000000000003</v>
      </c>
      <c r="CZ224" s="28">
        <f>COGS!CZ224</f>
        <v>41.927999999999997</v>
      </c>
      <c r="DA224" s="28">
        <f>COGS!DA224</f>
        <v>66.326999999999998</v>
      </c>
      <c r="DB224" s="28">
        <f>COGS!DB224</f>
        <v>204.44200000000001</v>
      </c>
      <c r="DC224" s="28">
        <f>COGS!DC224</f>
        <v>51.786000000000001</v>
      </c>
      <c r="DD224" s="28">
        <f>COGS!DD224</f>
        <v>59.335999999999999</v>
      </c>
      <c r="DE224" s="28">
        <f>COGS!DE224</f>
        <v>73.516000000000005</v>
      </c>
      <c r="DF224" s="28">
        <f>COGS!DF224</f>
        <v>77.515000000000001</v>
      </c>
      <c r="DG224" s="28">
        <f>COGS!DG224</f>
        <v>262.15300000000002</v>
      </c>
      <c r="DH224" s="28">
        <f>COGS!DH224</f>
        <v>52.445999999999998</v>
      </c>
      <c r="DI224" s="28">
        <f>COGS!DI224</f>
        <v>39.279000000000003</v>
      </c>
      <c r="DJ224" s="28">
        <f>COGS!DJ224</f>
        <v>38.677</v>
      </c>
      <c r="DK224" s="28">
        <f>COGS!DK224</f>
        <v>39.738</v>
      </c>
      <c r="DL224" s="28">
        <f>COGS!DL224</f>
        <v>170.14</v>
      </c>
      <c r="DM224" s="28">
        <f>COGS!DM224</f>
        <v>44.323999999999998</v>
      </c>
      <c r="DN224" s="28">
        <f>COGS!DN224</f>
        <v>60.003999999999998</v>
      </c>
      <c r="DO224" s="28">
        <f>COGS!DO224</f>
        <v>76.679000000000002</v>
      </c>
      <c r="DP224" s="28">
        <f>COGS!DP224</f>
        <v>61.238</v>
      </c>
      <c r="DQ224" s="28">
        <f>COGS!DQ224</f>
        <v>242.245</v>
      </c>
      <c r="DR224" s="28">
        <f>COGS!DR224</f>
        <v>65.796000000000006</v>
      </c>
      <c r="DS224" s="28">
        <f>COGS!DS224</f>
        <v>77.972999999999999</v>
      </c>
      <c r="DT224" s="28">
        <f>COGS!DT224</f>
        <v>91.753</v>
      </c>
      <c r="DU224" s="28">
        <f>COGS!DU224</f>
        <v>48.73</v>
      </c>
      <c r="DV224" s="28">
        <f>COGS!DV224</f>
        <v>284.25200000000001</v>
      </c>
      <c r="DW224" s="28">
        <f>COGS!DW224</f>
        <v>41.786999999999999</v>
      </c>
      <c r="DX224" s="28">
        <f>COGS!DX224</f>
        <v>60.234999999999999</v>
      </c>
      <c r="DY224" s="28">
        <f>COGS!DY224</f>
        <v>55.434376130000011</v>
      </c>
      <c r="DZ224" s="28">
        <f>COGS!DZ224</f>
        <v>56.458173379999998</v>
      </c>
      <c r="EA224" s="28">
        <f>COGS!EA224</f>
        <v>213.91454951</v>
      </c>
      <c r="EB224" s="28">
        <f>COGS!EB224</f>
        <v>56.62218129</v>
      </c>
      <c r="EC224" s="28">
        <f>COGS!EC224</f>
        <v>81.917153550000009</v>
      </c>
      <c r="ED224" s="28">
        <f>COGS!ED224</f>
        <v>57.826000000000001</v>
      </c>
      <c r="EE224" s="28">
        <f>COGS!EE224</f>
        <v>72.17090447999999</v>
      </c>
      <c r="EF224" s="28">
        <f>COGS!EF224</f>
        <v>268.53623931999999</v>
      </c>
      <c r="EG224" s="28">
        <f>COGS!EG224</f>
        <v>54.317500670000001</v>
      </c>
      <c r="EH224" s="28">
        <f>COGS!EH224</f>
        <v>46.282883959999992</v>
      </c>
      <c r="EI224" s="28">
        <f>COGS!EI224</f>
        <v>53.640498909999998</v>
      </c>
    </row>
    <row r="225" spans="1:139" ht="15" thickTop="1" x14ac:dyDescent="0.3">
      <c r="A225" s="1" t="s">
        <v>445</v>
      </c>
      <c r="B225" s="27">
        <f>COGS!B225</f>
        <v>0</v>
      </c>
      <c r="C225" s="27">
        <f>COGS!C225</f>
        <v>0</v>
      </c>
      <c r="D225" s="27">
        <f>COGS!D225</f>
        <v>0</v>
      </c>
      <c r="E225" s="27">
        <f>COGS!E225</f>
        <v>0</v>
      </c>
      <c r="F225" s="27">
        <f>COGS!F225</f>
        <v>0</v>
      </c>
      <c r="G225" s="27">
        <f>COGS!G225</f>
        <v>0</v>
      </c>
      <c r="H225" s="27">
        <f>COGS!H225</f>
        <v>0</v>
      </c>
      <c r="I225" s="27">
        <f>COGS!I225</f>
        <v>0</v>
      </c>
      <c r="J225" s="27">
        <f>COGS!J225</f>
        <v>0</v>
      </c>
      <c r="K225" s="27">
        <f>COGS!K225</f>
        <v>0</v>
      </c>
      <c r="L225" s="27">
        <f>COGS!L225</f>
        <v>0</v>
      </c>
      <c r="M225" s="27">
        <f>COGS!M225</f>
        <v>0</v>
      </c>
      <c r="N225" s="27">
        <f>COGS!N225</f>
        <v>0</v>
      </c>
      <c r="O225" s="27">
        <f>COGS!O225</f>
        <v>0</v>
      </c>
      <c r="P225" s="27">
        <f>COGS!P225</f>
        <v>0</v>
      </c>
      <c r="Q225" s="27">
        <f>COGS!Q225</f>
        <v>0</v>
      </c>
      <c r="R225" s="27">
        <f>COGS!R225</f>
        <v>0</v>
      </c>
      <c r="S225" s="27">
        <f>COGS!S225</f>
        <v>0</v>
      </c>
      <c r="T225" s="27">
        <f>COGS!T225</f>
        <v>0</v>
      </c>
      <c r="U225" s="27">
        <f>COGS!U225</f>
        <v>0</v>
      </c>
      <c r="V225" s="27">
        <f>COGS!V225</f>
        <v>0</v>
      </c>
      <c r="W225" s="27">
        <f>COGS!W225</f>
        <v>0</v>
      </c>
      <c r="X225" s="27">
        <f>COGS!X225</f>
        <v>0</v>
      </c>
      <c r="Y225" s="27">
        <f>COGS!Y225</f>
        <v>0</v>
      </c>
      <c r="Z225" s="27">
        <f>COGS!Z225</f>
        <v>0</v>
      </c>
      <c r="AA225" s="27">
        <f>COGS!AA225</f>
        <v>0</v>
      </c>
      <c r="AB225" s="27">
        <f>COGS!AB225</f>
        <v>0</v>
      </c>
      <c r="AC225" s="27">
        <f>COGS!AC225</f>
        <v>0</v>
      </c>
      <c r="AD225" s="27">
        <f>COGS!AD225</f>
        <v>0</v>
      </c>
      <c r="AE225" s="27">
        <f>COGS!AE225</f>
        <v>0</v>
      </c>
      <c r="AF225" s="27">
        <f>COGS!AF225</f>
        <v>0</v>
      </c>
      <c r="AG225" s="27">
        <f>COGS!AG225</f>
        <v>0</v>
      </c>
      <c r="AH225" s="27">
        <f>COGS!AH225</f>
        <v>0</v>
      </c>
      <c r="AI225" s="27">
        <f>COGS!AI225</f>
        <v>0</v>
      </c>
      <c r="AJ225" s="27">
        <f>COGS!AJ225</f>
        <v>0</v>
      </c>
      <c r="AK225" s="27">
        <f>COGS!AK225</f>
        <v>0</v>
      </c>
      <c r="AL225" s="27">
        <f>COGS!AL225</f>
        <v>0</v>
      </c>
      <c r="AM225" s="27">
        <f>COGS!AM225</f>
        <v>0</v>
      </c>
      <c r="AN225" s="27">
        <f>COGS!AN225</f>
        <v>0</v>
      </c>
      <c r="AO225" s="27">
        <f>COGS!AO225</f>
        <v>0</v>
      </c>
      <c r="AP225" s="27">
        <f>COGS!AP225</f>
        <v>0</v>
      </c>
      <c r="AQ225" s="27">
        <f>COGS!AQ225</f>
        <v>0</v>
      </c>
      <c r="AR225" s="27">
        <f>COGS!AR225</f>
        <v>0</v>
      </c>
      <c r="AS225" s="27">
        <f>COGS!AS225</f>
        <v>0</v>
      </c>
      <c r="AT225" s="27">
        <f>COGS!AT225</f>
        <v>0</v>
      </c>
      <c r="AU225" s="27">
        <f>COGS!AU225</f>
        <v>0</v>
      </c>
      <c r="AV225" s="27">
        <f>COGS!AV225</f>
        <v>0</v>
      </c>
      <c r="AW225" s="27">
        <f>COGS!AW225</f>
        <v>0</v>
      </c>
      <c r="AX225" s="27">
        <f>COGS!AX225</f>
        <v>0</v>
      </c>
      <c r="AY225" s="27">
        <f>COGS!AY225</f>
        <v>0</v>
      </c>
      <c r="AZ225" s="27">
        <f>COGS!AZ225</f>
        <v>0</v>
      </c>
      <c r="BA225" s="27">
        <f>COGS!BA225</f>
        <v>0</v>
      </c>
      <c r="BB225" s="27">
        <f>COGS!BB225</f>
        <v>0</v>
      </c>
      <c r="BC225" s="27">
        <f>COGS!BC225</f>
        <v>0</v>
      </c>
      <c r="BD225" s="27">
        <f>COGS!BD225</f>
        <v>0</v>
      </c>
      <c r="BE225" s="27">
        <f>COGS!BE225</f>
        <v>0</v>
      </c>
      <c r="BF225" s="27">
        <f>COGS!BF225</f>
        <v>0</v>
      </c>
      <c r="BG225" s="27">
        <f>COGS!BG225</f>
        <v>0</v>
      </c>
      <c r="BH225" s="27">
        <f>COGS!BH225</f>
        <v>0</v>
      </c>
      <c r="BI225" s="27">
        <f>COGS!BI225</f>
        <v>0</v>
      </c>
      <c r="BJ225" s="27">
        <f>COGS!BJ225</f>
        <v>0</v>
      </c>
      <c r="BK225" s="27">
        <f>COGS!BK225</f>
        <v>0</v>
      </c>
      <c r="BL225" s="27">
        <f>COGS!BL225</f>
        <v>0</v>
      </c>
      <c r="BM225" s="27">
        <f>COGS!BM225</f>
        <v>0</v>
      </c>
      <c r="BN225" s="27">
        <f>COGS!BN225</f>
        <v>0</v>
      </c>
      <c r="BO225" s="27">
        <f>COGS!BO225</f>
        <v>0</v>
      </c>
      <c r="BP225" s="27">
        <f>COGS!BP225</f>
        <v>0</v>
      </c>
      <c r="BQ225" s="27">
        <f>COGS!BQ225</f>
        <v>0</v>
      </c>
      <c r="BR225" s="27">
        <f>COGS!BR225</f>
        <v>0</v>
      </c>
      <c r="BS225" s="27">
        <f>COGS!BS225</f>
        <v>0</v>
      </c>
      <c r="BT225" s="27">
        <f>COGS!BT225</f>
        <v>0</v>
      </c>
      <c r="BU225" s="27">
        <f>COGS!BU225</f>
        <v>0</v>
      </c>
      <c r="BV225" s="27">
        <f>COGS!BV225</f>
        <v>0</v>
      </c>
      <c r="BW225" s="27">
        <f>COGS!BW225</f>
        <v>0</v>
      </c>
      <c r="BX225" s="27">
        <f>COGS!BX225</f>
        <v>0</v>
      </c>
      <c r="BY225" s="27">
        <f>COGS!BY225</f>
        <v>0</v>
      </c>
      <c r="BZ225" s="27">
        <f>COGS!BZ225</f>
        <v>0</v>
      </c>
      <c r="CA225" s="27">
        <f>COGS!CA225</f>
        <v>0</v>
      </c>
      <c r="CB225" s="27">
        <f>COGS!CB225</f>
        <v>0</v>
      </c>
      <c r="CC225" s="27">
        <f>COGS!CC225</f>
        <v>0</v>
      </c>
      <c r="CD225" s="27">
        <f>COGS!CD225</f>
        <v>0</v>
      </c>
      <c r="CE225" s="27">
        <f>COGS!CE225</f>
        <v>0</v>
      </c>
      <c r="CF225" s="27">
        <f>COGS!CF225</f>
        <v>0</v>
      </c>
      <c r="CG225" s="27">
        <f>COGS!CG225</f>
        <v>0</v>
      </c>
      <c r="CH225" s="27">
        <f>COGS!CH225</f>
        <v>0</v>
      </c>
      <c r="CI225" s="27">
        <f>COGS!CI225</f>
        <v>0</v>
      </c>
      <c r="CJ225" s="27">
        <f>COGS!CJ225</f>
        <v>0</v>
      </c>
      <c r="CK225" s="27">
        <f>COGS!CK225</f>
        <v>0</v>
      </c>
      <c r="CL225" s="27">
        <f>COGS!CL225</f>
        <v>7.8</v>
      </c>
      <c r="CM225" s="27">
        <f>COGS!CM225</f>
        <v>7.8</v>
      </c>
      <c r="CN225" s="27">
        <f>COGS!CN225</f>
        <v>8.3000000000000007</v>
      </c>
      <c r="CO225" s="27">
        <f>COGS!CO225</f>
        <v>14</v>
      </c>
      <c r="CP225" s="27">
        <f>COGS!CP225</f>
        <v>15.2</v>
      </c>
      <c r="CQ225" s="27">
        <f>COGS!CQ225</f>
        <v>22.900000000000002</v>
      </c>
      <c r="CR225" s="27">
        <f>COGS!CR225</f>
        <v>60.400000000000006</v>
      </c>
      <c r="CS225" s="27">
        <f>COGS!CS225</f>
        <v>23.652099120000003</v>
      </c>
      <c r="CT225" s="27">
        <f>COGS!CT225</f>
        <v>31.69936191</v>
      </c>
      <c r="CU225" s="27">
        <f>COGS!CU225</f>
        <v>23.006568849999987</v>
      </c>
      <c r="CV225" s="27">
        <f>COGS!CV225</f>
        <v>17.187902060000013</v>
      </c>
      <c r="CW225" s="27">
        <f>COGS!CW225</f>
        <v>95.545931940000003</v>
      </c>
      <c r="CX225" s="27">
        <f>COGS!CX225</f>
        <v>2.0299999999999998</v>
      </c>
      <c r="CY225" s="27">
        <f>COGS!CY225</f>
        <v>4.1790000000000003</v>
      </c>
      <c r="CZ225" s="27">
        <f>COGS!CZ225</f>
        <v>16.102</v>
      </c>
      <c r="DA225" s="27">
        <f>COGS!DA225</f>
        <v>35.119999999999997</v>
      </c>
      <c r="DB225" s="27">
        <f>COGS!DB225</f>
        <v>57.430999999999997</v>
      </c>
      <c r="DC225" s="27">
        <f>COGS!DC225</f>
        <v>44.057000000000002</v>
      </c>
      <c r="DD225" s="27">
        <f>COGS!DD225</f>
        <v>69.629000000000005</v>
      </c>
      <c r="DE225" s="27">
        <f>COGS!DE225</f>
        <v>64.370999999999995</v>
      </c>
      <c r="DF225" s="27">
        <f>COGS!DF225</f>
        <v>69.137</v>
      </c>
      <c r="DG225" s="27">
        <f>COGS!DG225</f>
        <v>247.19400000000002</v>
      </c>
      <c r="DH225" s="27">
        <f>COGS!DH225</f>
        <v>47.557000000000002</v>
      </c>
      <c r="DI225" s="27">
        <f>COGS!DI225</f>
        <v>28.363</v>
      </c>
      <c r="DJ225" s="27">
        <f>COGS!DJ225</f>
        <v>31.501999999999999</v>
      </c>
      <c r="DK225" s="27">
        <f>COGS!DK225</f>
        <v>28.288</v>
      </c>
      <c r="DL225" s="27">
        <f>COGS!DL225</f>
        <v>135.71</v>
      </c>
      <c r="DM225" s="27">
        <f>COGS!DM225</f>
        <v>14.532</v>
      </c>
      <c r="DN225" s="27">
        <f>COGS!DN225</f>
        <v>7.4290000000000003</v>
      </c>
      <c r="DO225" s="27">
        <f>COGS!DO225</f>
        <v>4.7699999999999996</v>
      </c>
      <c r="DP225" s="27">
        <f>COGS!DP225</f>
        <v>6.7240000000000002</v>
      </c>
      <c r="DQ225" s="27">
        <f>COGS!DQ225</f>
        <v>33.454999999999998</v>
      </c>
      <c r="DR225" s="27">
        <f>COGS!DR225</f>
        <v>11.627000000000001</v>
      </c>
      <c r="DS225" s="27">
        <f>COGS!DS225</f>
        <v>4.8620000000000001</v>
      </c>
      <c r="DT225" s="27">
        <f>COGS!DT225</f>
        <v>2.7589999999999999</v>
      </c>
      <c r="DU225" s="27">
        <f>COGS!DU225</f>
        <v>6.3730000000000002</v>
      </c>
      <c r="DV225" s="27">
        <f>COGS!DV225</f>
        <v>25.621000000000002</v>
      </c>
      <c r="DW225" s="27">
        <f>COGS!DW225</f>
        <v>0.98799999999999999</v>
      </c>
      <c r="DX225" s="27">
        <f>COGS!DX225</f>
        <v>1.9650000000000001</v>
      </c>
      <c r="DY225" s="27">
        <f>COGS!DY225</f>
        <v>9.6070203200000002</v>
      </c>
      <c r="DZ225" s="27">
        <f>COGS!DZ225</f>
        <v>7.8214870000000003</v>
      </c>
      <c r="EA225" s="27">
        <f>COGS!EA225</f>
        <v>20.381507320000001</v>
      </c>
      <c r="EB225" s="27">
        <f>COGS!EB225</f>
        <v>12.60917712</v>
      </c>
      <c r="EC225" s="27">
        <f>COGS!EC225</f>
        <v>20.551853960000003</v>
      </c>
      <c r="ED225" s="27">
        <f>COGS!ED225</f>
        <v>15.817</v>
      </c>
      <c r="EE225" s="27">
        <f>COGS!EE225</f>
        <v>16.817511710000002</v>
      </c>
      <c r="EF225" s="27">
        <f>COGS!EF225</f>
        <v>65.795542789999999</v>
      </c>
      <c r="EG225" s="27">
        <f>COGS!EG225</f>
        <v>8.213493269999999</v>
      </c>
      <c r="EH225" s="27">
        <f>COGS!EH225</f>
        <v>19.741037330000001</v>
      </c>
      <c r="EI225" s="27">
        <f>COGS!EI225</f>
        <v>9.506388369999998</v>
      </c>
    </row>
    <row r="226" spans="1:139" ht="15" thickBot="1" x14ac:dyDescent="0.35">
      <c r="A226" s="2" t="s">
        <v>444</v>
      </c>
      <c r="B226" s="28">
        <f>COGS!B226</f>
        <v>0</v>
      </c>
      <c r="C226" s="28">
        <f>COGS!C226</f>
        <v>0</v>
      </c>
      <c r="D226" s="28">
        <f>COGS!D226</f>
        <v>0</v>
      </c>
      <c r="E226" s="28">
        <f>COGS!E226</f>
        <v>0</v>
      </c>
      <c r="F226" s="28">
        <f>COGS!F226</f>
        <v>0</v>
      </c>
      <c r="G226" s="28">
        <f>COGS!G226</f>
        <v>0</v>
      </c>
      <c r="H226" s="28">
        <f>COGS!H226</f>
        <v>0</v>
      </c>
      <c r="I226" s="28">
        <f>COGS!I226</f>
        <v>0</v>
      </c>
      <c r="J226" s="28">
        <f>COGS!J226</f>
        <v>0</v>
      </c>
      <c r="K226" s="28">
        <f>COGS!K226</f>
        <v>0</v>
      </c>
      <c r="L226" s="28">
        <f>COGS!L226</f>
        <v>0</v>
      </c>
      <c r="M226" s="28">
        <f>COGS!M226</f>
        <v>0</v>
      </c>
      <c r="N226" s="28">
        <f>COGS!N226</f>
        <v>0</v>
      </c>
      <c r="O226" s="28">
        <f>COGS!O226</f>
        <v>0</v>
      </c>
      <c r="P226" s="28">
        <f>COGS!P226</f>
        <v>0</v>
      </c>
      <c r="Q226" s="28">
        <f>COGS!Q226</f>
        <v>0</v>
      </c>
      <c r="R226" s="28">
        <f>COGS!R226</f>
        <v>0</v>
      </c>
      <c r="S226" s="28">
        <f>COGS!S226</f>
        <v>0</v>
      </c>
      <c r="T226" s="28">
        <f>COGS!T226</f>
        <v>0</v>
      </c>
      <c r="U226" s="28">
        <f>COGS!U226</f>
        <v>0</v>
      </c>
      <c r="V226" s="28">
        <f>COGS!V226</f>
        <v>0</v>
      </c>
      <c r="W226" s="28">
        <f>COGS!W226</f>
        <v>0</v>
      </c>
      <c r="X226" s="28">
        <f>COGS!X226</f>
        <v>0</v>
      </c>
      <c r="Y226" s="28">
        <f>COGS!Y226</f>
        <v>0</v>
      </c>
      <c r="Z226" s="28">
        <f>COGS!Z226</f>
        <v>0</v>
      </c>
      <c r="AA226" s="28">
        <f>COGS!AA226</f>
        <v>0</v>
      </c>
      <c r="AB226" s="28">
        <f>COGS!AB226</f>
        <v>0</v>
      </c>
      <c r="AC226" s="28">
        <f>COGS!AC226</f>
        <v>0</v>
      </c>
      <c r="AD226" s="28">
        <f>COGS!AD226</f>
        <v>0</v>
      </c>
      <c r="AE226" s="28">
        <f>COGS!AE226</f>
        <v>0</v>
      </c>
      <c r="AF226" s="28">
        <f>COGS!AF226</f>
        <v>0</v>
      </c>
      <c r="AG226" s="28">
        <f>COGS!AG226</f>
        <v>0</v>
      </c>
      <c r="AH226" s="28">
        <f>COGS!AH226</f>
        <v>0</v>
      </c>
      <c r="AI226" s="28">
        <f>COGS!AI226</f>
        <v>0</v>
      </c>
      <c r="AJ226" s="28">
        <f>COGS!AJ226</f>
        <v>0</v>
      </c>
      <c r="AK226" s="28">
        <f>COGS!AK226</f>
        <v>0</v>
      </c>
      <c r="AL226" s="28">
        <f>COGS!AL226</f>
        <v>0</v>
      </c>
      <c r="AM226" s="28">
        <f>COGS!AM226</f>
        <v>0</v>
      </c>
      <c r="AN226" s="28">
        <f>COGS!AN226</f>
        <v>0</v>
      </c>
      <c r="AO226" s="28">
        <f>COGS!AO226</f>
        <v>0</v>
      </c>
      <c r="AP226" s="28">
        <f>COGS!AP226</f>
        <v>0</v>
      </c>
      <c r="AQ226" s="28">
        <f>COGS!AQ226</f>
        <v>0</v>
      </c>
      <c r="AR226" s="28">
        <f>COGS!AR226</f>
        <v>0</v>
      </c>
      <c r="AS226" s="28">
        <f>COGS!AS226</f>
        <v>0</v>
      </c>
      <c r="AT226" s="28">
        <f>COGS!AT226</f>
        <v>0</v>
      </c>
      <c r="AU226" s="28">
        <f>COGS!AU226</f>
        <v>0</v>
      </c>
      <c r="AV226" s="28">
        <f>COGS!AV226</f>
        <v>0</v>
      </c>
      <c r="AW226" s="28">
        <f>COGS!AW226</f>
        <v>0</v>
      </c>
      <c r="AX226" s="28">
        <f>COGS!AX226</f>
        <v>0</v>
      </c>
      <c r="AY226" s="28">
        <f>COGS!AY226</f>
        <v>0</v>
      </c>
      <c r="AZ226" s="28">
        <f>COGS!AZ226</f>
        <v>0</v>
      </c>
      <c r="BA226" s="28">
        <f>COGS!BA226</f>
        <v>0</v>
      </c>
      <c r="BB226" s="28">
        <f>COGS!BB226</f>
        <v>0</v>
      </c>
      <c r="BC226" s="28">
        <f>COGS!BC226</f>
        <v>0</v>
      </c>
      <c r="BD226" s="28">
        <f>COGS!BD226</f>
        <v>0</v>
      </c>
      <c r="BE226" s="28">
        <f>COGS!BE226</f>
        <v>0</v>
      </c>
      <c r="BF226" s="28">
        <f>COGS!BF226</f>
        <v>0</v>
      </c>
      <c r="BG226" s="28">
        <f>COGS!BG226</f>
        <v>0</v>
      </c>
      <c r="BH226" s="28">
        <f>COGS!BH226</f>
        <v>0</v>
      </c>
      <c r="BI226" s="28">
        <f>COGS!BI226</f>
        <v>0</v>
      </c>
      <c r="BJ226" s="28">
        <f>COGS!BJ226</f>
        <v>0</v>
      </c>
      <c r="BK226" s="28">
        <f>COGS!BK226</f>
        <v>0</v>
      </c>
      <c r="BL226" s="28">
        <f>COGS!BL226</f>
        <v>0</v>
      </c>
      <c r="BM226" s="28">
        <f>COGS!BM226</f>
        <v>0</v>
      </c>
      <c r="BN226" s="28">
        <f>COGS!BN226</f>
        <v>0</v>
      </c>
      <c r="BO226" s="28">
        <f>COGS!BO226</f>
        <v>0</v>
      </c>
      <c r="BP226" s="28">
        <f>COGS!BP226</f>
        <v>0</v>
      </c>
      <c r="BQ226" s="28">
        <f>COGS!BQ226</f>
        <v>0</v>
      </c>
      <c r="BR226" s="28">
        <f>COGS!BR226</f>
        <v>0</v>
      </c>
      <c r="BS226" s="28">
        <f>COGS!BS226</f>
        <v>0</v>
      </c>
      <c r="BT226" s="28">
        <f>COGS!BT226</f>
        <v>0</v>
      </c>
      <c r="BU226" s="28">
        <f>COGS!BU226</f>
        <v>0</v>
      </c>
      <c r="BV226" s="28">
        <f>COGS!BV226</f>
        <v>0</v>
      </c>
      <c r="BW226" s="28">
        <f>COGS!BW226</f>
        <v>0</v>
      </c>
      <c r="BX226" s="28">
        <f>COGS!BX226</f>
        <v>0</v>
      </c>
      <c r="BY226" s="28">
        <f>COGS!BY226</f>
        <v>0</v>
      </c>
      <c r="BZ226" s="28">
        <f>COGS!BZ226</f>
        <v>0</v>
      </c>
      <c r="CA226" s="28">
        <f>COGS!CA226</f>
        <v>0</v>
      </c>
      <c r="CB226" s="28">
        <f>COGS!CB226</f>
        <v>0</v>
      </c>
      <c r="CC226" s="28">
        <f>COGS!CC226</f>
        <v>0</v>
      </c>
      <c r="CD226" s="28">
        <f>COGS!CD226</f>
        <v>0</v>
      </c>
      <c r="CE226" s="28">
        <f>COGS!CE226</f>
        <v>0</v>
      </c>
      <c r="CF226" s="28">
        <f>COGS!CF226</f>
        <v>0</v>
      </c>
      <c r="CG226" s="28">
        <f>COGS!CG226</f>
        <v>0</v>
      </c>
      <c r="CH226" s="28">
        <f>COGS!CH226</f>
        <v>0</v>
      </c>
      <c r="CI226" s="28">
        <f>COGS!CI226</f>
        <v>0</v>
      </c>
      <c r="CJ226" s="28">
        <f>COGS!CJ226</f>
        <v>0</v>
      </c>
      <c r="CK226" s="28">
        <f>COGS!CK226</f>
        <v>0</v>
      </c>
      <c r="CL226" s="28">
        <f>COGS!CL226</f>
        <v>0</v>
      </c>
      <c r="CM226" s="28">
        <f>COGS!CM226</f>
        <v>0</v>
      </c>
      <c r="CN226" s="28">
        <f>COGS!CN226</f>
        <v>0</v>
      </c>
      <c r="CO226" s="28">
        <f>COGS!CO226</f>
        <v>0</v>
      </c>
      <c r="CP226" s="28">
        <f>COGS!CP226</f>
        <v>0</v>
      </c>
      <c r="CQ226" s="28">
        <f>COGS!CQ226</f>
        <v>0</v>
      </c>
      <c r="CR226" s="28">
        <f>COGS!CR226</f>
        <v>0</v>
      </c>
      <c r="CS226" s="28">
        <f>COGS!CS226</f>
        <v>0</v>
      </c>
      <c r="CT226" s="28">
        <f>COGS!CT226</f>
        <v>0</v>
      </c>
      <c r="CU226" s="28">
        <f>COGS!CU226</f>
        <v>0</v>
      </c>
      <c r="CV226" s="28">
        <f>COGS!CV226</f>
        <v>0</v>
      </c>
      <c r="CW226" s="28">
        <f>COGS!CW226</f>
        <v>0</v>
      </c>
      <c r="CX226" s="28">
        <f>COGS!CX226</f>
        <v>0</v>
      </c>
      <c r="CY226" s="28">
        <f>COGS!CY226</f>
        <v>0</v>
      </c>
      <c r="CZ226" s="28">
        <f>COGS!CZ226</f>
        <v>0</v>
      </c>
      <c r="DA226" s="28">
        <f>COGS!DA226</f>
        <v>0</v>
      </c>
      <c r="DB226" s="28">
        <f>COGS!DB226</f>
        <v>0</v>
      </c>
      <c r="DC226" s="28">
        <f>COGS!DC226</f>
        <v>0</v>
      </c>
      <c r="DD226" s="28">
        <f>COGS!DD226</f>
        <v>46.265999999999998</v>
      </c>
      <c r="DE226" s="28">
        <f>COGS!DE226</f>
        <v>-25.259</v>
      </c>
      <c r="DF226" s="28">
        <f>COGS!DF226</f>
        <v>62.502000000000002</v>
      </c>
      <c r="DG226" s="28">
        <f>COGS!DG226</f>
        <v>83.509</v>
      </c>
      <c r="DH226" s="28">
        <f>COGS!DH226</f>
        <v>44.957999999999998</v>
      </c>
      <c r="DI226" s="28">
        <f>COGS!DI226</f>
        <v>30.757999999999999</v>
      </c>
      <c r="DJ226" s="28">
        <f>COGS!DJ226</f>
        <v>35.65</v>
      </c>
      <c r="DK226" s="28">
        <f>COGS!DK226</f>
        <v>43.204000000000001</v>
      </c>
      <c r="DL226" s="28">
        <f>COGS!DL226</f>
        <v>154.57</v>
      </c>
      <c r="DM226" s="28">
        <f>COGS!DM226</f>
        <v>27.748000000000001</v>
      </c>
      <c r="DN226" s="28">
        <f>COGS!DN226</f>
        <v>57.963999999999999</v>
      </c>
      <c r="DO226" s="28">
        <f>COGS!DO226</f>
        <v>77.046999999999997</v>
      </c>
      <c r="DP226" s="28">
        <f>COGS!DP226</f>
        <v>58.234000000000002</v>
      </c>
      <c r="DQ226" s="28">
        <f>COGS!DQ226</f>
        <v>220.99300000000002</v>
      </c>
      <c r="DR226" s="28">
        <f>COGS!DR226</f>
        <v>31.751000000000001</v>
      </c>
      <c r="DS226" s="28">
        <f>COGS!DS226</f>
        <v>27.027999999999999</v>
      </c>
      <c r="DT226" s="28">
        <f>COGS!DT226</f>
        <v>65.801000000000002</v>
      </c>
      <c r="DU226" s="28">
        <f>COGS!DU226</f>
        <v>94.05</v>
      </c>
      <c r="DV226" s="28">
        <f>COGS!DV226</f>
        <v>218.63</v>
      </c>
      <c r="DW226" s="28">
        <f>COGS!DW226</f>
        <v>30.684000000000001</v>
      </c>
      <c r="DX226" s="28">
        <f>COGS!DX226</f>
        <v>46.689</v>
      </c>
      <c r="DY226" s="28">
        <f>COGS!DY226</f>
        <v>66.986602770000005</v>
      </c>
      <c r="DZ226" s="28">
        <f>COGS!DZ226</f>
        <v>82.840923239999981</v>
      </c>
      <c r="EA226" s="28">
        <f>COGS!EA226</f>
        <v>227.20052600999998</v>
      </c>
      <c r="EB226" s="28">
        <f>COGS!EB226</f>
        <v>57.900796820000004</v>
      </c>
      <c r="EC226" s="28">
        <f>COGS!EC226</f>
        <v>78.180225530000001</v>
      </c>
      <c r="ED226" s="28">
        <f>COGS!ED226</f>
        <v>68.891999999999996</v>
      </c>
      <c r="EE226" s="28">
        <f>COGS!EE226</f>
        <v>75.839974789999985</v>
      </c>
      <c r="EF226" s="28">
        <f>COGS!EF226</f>
        <v>280.81299713999999</v>
      </c>
      <c r="EG226" s="28">
        <f>COGS!EG226</f>
        <v>39.788634259999995</v>
      </c>
      <c r="EH226" s="28">
        <f>COGS!EH226</f>
        <v>40.574740069999997</v>
      </c>
      <c r="EI226" s="28">
        <f>COGS!EI226</f>
        <v>56.124450809999985</v>
      </c>
    </row>
    <row r="227" spans="1:139" ht="15" thickTop="1" x14ac:dyDescent="0.3">
      <c r="A227" s="1" t="s">
        <v>456</v>
      </c>
      <c r="B227" s="27">
        <f>COGS!B227</f>
        <v>0</v>
      </c>
      <c r="C227" s="27">
        <f>COGS!C227</f>
        <v>0</v>
      </c>
      <c r="D227" s="27">
        <f>COGS!D227</f>
        <v>0</v>
      </c>
      <c r="E227" s="27">
        <f>COGS!E227</f>
        <v>0</v>
      </c>
      <c r="F227" s="27">
        <f>COGS!F227</f>
        <v>0</v>
      </c>
      <c r="G227" s="27">
        <f>COGS!G227</f>
        <v>0</v>
      </c>
      <c r="H227" s="27">
        <f>COGS!H227</f>
        <v>0</v>
      </c>
      <c r="I227" s="27">
        <f>COGS!I227</f>
        <v>0</v>
      </c>
      <c r="J227" s="27">
        <f>COGS!J227</f>
        <v>0</v>
      </c>
      <c r="K227" s="27">
        <f>COGS!K227</f>
        <v>0</v>
      </c>
      <c r="L227" s="27">
        <f>COGS!L227</f>
        <v>0</v>
      </c>
      <c r="M227" s="27">
        <f>COGS!M227</f>
        <v>0</v>
      </c>
      <c r="N227" s="27">
        <f>COGS!N227</f>
        <v>0</v>
      </c>
      <c r="O227" s="27">
        <f>COGS!O227</f>
        <v>0</v>
      </c>
      <c r="P227" s="27">
        <f>COGS!P227</f>
        <v>0</v>
      </c>
      <c r="Q227" s="27">
        <f>COGS!Q227</f>
        <v>0</v>
      </c>
      <c r="R227" s="27">
        <f>COGS!R227</f>
        <v>0</v>
      </c>
      <c r="S227" s="27">
        <f>COGS!S227</f>
        <v>0</v>
      </c>
      <c r="T227" s="27">
        <f>COGS!T227</f>
        <v>0</v>
      </c>
      <c r="U227" s="27">
        <f>COGS!U227</f>
        <v>0</v>
      </c>
      <c r="V227" s="27">
        <f>COGS!V227</f>
        <v>0</v>
      </c>
      <c r="W227" s="27">
        <f>COGS!W227</f>
        <v>0</v>
      </c>
      <c r="X227" s="27">
        <f>COGS!X227</f>
        <v>0</v>
      </c>
      <c r="Y227" s="27">
        <f>COGS!Y227</f>
        <v>0</v>
      </c>
      <c r="Z227" s="27">
        <f>COGS!Z227</f>
        <v>0</v>
      </c>
      <c r="AA227" s="27">
        <f>COGS!AA227</f>
        <v>0</v>
      </c>
      <c r="AB227" s="27">
        <f>COGS!AB227</f>
        <v>0</v>
      </c>
      <c r="AC227" s="27">
        <f>COGS!AC227</f>
        <v>0</v>
      </c>
      <c r="AD227" s="27">
        <f>COGS!AD227</f>
        <v>0</v>
      </c>
      <c r="AE227" s="27">
        <f>COGS!AE227</f>
        <v>0</v>
      </c>
      <c r="AF227" s="27">
        <f>COGS!AF227</f>
        <v>0</v>
      </c>
      <c r="AG227" s="27">
        <f>COGS!AG227</f>
        <v>0</v>
      </c>
      <c r="AH227" s="27">
        <f>COGS!AH227</f>
        <v>0</v>
      </c>
      <c r="AI227" s="27">
        <f>COGS!AI227</f>
        <v>0</v>
      </c>
      <c r="AJ227" s="27">
        <f>COGS!AJ227</f>
        <v>0</v>
      </c>
      <c r="AK227" s="27">
        <f>COGS!AK227</f>
        <v>0</v>
      </c>
      <c r="AL227" s="27">
        <f>COGS!AL227</f>
        <v>0</v>
      </c>
      <c r="AM227" s="27">
        <f>COGS!AM227</f>
        <v>0</v>
      </c>
      <c r="AN227" s="27">
        <f>COGS!AN227</f>
        <v>0</v>
      </c>
      <c r="AO227" s="27">
        <f>COGS!AO227</f>
        <v>0</v>
      </c>
      <c r="AP227" s="27">
        <f>COGS!AP227</f>
        <v>0</v>
      </c>
      <c r="AQ227" s="27">
        <f>COGS!AQ227</f>
        <v>0</v>
      </c>
      <c r="AR227" s="27">
        <f>COGS!AR227</f>
        <v>0</v>
      </c>
      <c r="AS227" s="27">
        <f>COGS!AS227</f>
        <v>0</v>
      </c>
      <c r="AT227" s="27">
        <f>COGS!AT227</f>
        <v>0</v>
      </c>
      <c r="AU227" s="27">
        <f>COGS!AU227</f>
        <v>0</v>
      </c>
      <c r="AV227" s="27">
        <f>COGS!AV227</f>
        <v>0</v>
      </c>
      <c r="AW227" s="27">
        <f>COGS!AW227</f>
        <v>0</v>
      </c>
      <c r="AX227" s="27">
        <f>COGS!AX227</f>
        <v>0</v>
      </c>
      <c r="AY227" s="27">
        <f>COGS!AY227</f>
        <v>0</v>
      </c>
      <c r="AZ227" s="27">
        <f>COGS!AZ227</f>
        <v>0</v>
      </c>
      <c r="BA227" s="27">
        <f>COGS!BA227</f>
        <v>0</v>
      </c>
      <c r="BB227" s="27">
        <f>COGS!BB227</f>
        <v>0</v>
      </c>
      <c r="BC227" s="27">
        <f>COGS!BC227</f>
        <v>0</v>
      </c>
      <c r="BD227" s="27">
        <f>COGS!BD227</f>
        <v>0</v>
      </c>
      <c r="BE227" s="27">
        <f>COGS!BE227</f>
        <v>0</v>
      </c>
      <c r="BF227" s="27">
        <f>COGS!BF227</f>
        <v>0</v>
      </c>
      <c r="BG227" s="27">
        <f>COGS!BG227</f>
        <v>0</v>
      </c>
      <c r="BH227" s="27">
        <f>COGS!BH227</f>
        <v>0</v>
      </c>
      <c r="BI227" s="27">
        <f>COGS!BI227</f>
        <v>0</v>
      </c>
      <c r="BJ227" s="27">
        <f>COGS!BJ227</f>
        <v>0</v>
      </c>
      <c r="BK227" s="27">
        <f>COGS!BK227</f>
        <v>0</v>
      </c>
      <c r="BL227" s="27">
        <f>COGS!BL227</f>
        <v>0</v>
      </c>
      <c r="BM227" s="27">
        <f>COGS!BM227</f>
        <v>0</v>
      </c>
      <c r="BN227" s="27">
        <f>COGS!BN227</f>
        <v>0</v>
      </c>
      <c r="BO227" s="27">
        <f>COGS!BO227</f>
        <v>0</v>
      </c>
      <c r="BP227" s="27">
        <f>COGS!BP227</f>
        <v>0</v>
      </c>
      <c r="BQ227" s="27">
        <f>COGS!BQ227</f>
        <v>0</v>
      </c>
      <c r="BR227" s="27">
        <f>COGS!BR227</f>
        <v>0</v>
      </c>
      <c r="BS227" s="27">
        <f>COGS!BS227</f>
        <v>0</v>
      </c>
      <c r="BT227" s="27">
        <f>COGS!BT227</f>
        <v>0</v>
      </c>
      <c r="BU227" s="27">
        <f>COGS!BU227</f>
        <v>0</v>
      </c>
      <c r="BV227" s="27">
        <f>COGS!BV227</f>
        <v>0</v>
      </c>
      <c r="BW227" s="27">
        <f>COGS!BW227</f>
        <v>0</v>
      </c>
      <c r="BX227" s="27">
        <f>COGS!BX227</f>
        <v>0</v>
      </c>
      <c r="BY227" s="27">
        <f>COGS!BY227</f>
        <v>0</v>
      </c>
      <c r="BZ227" s="27">
        <f>COGS!BZ227</f>
        <v>0</v>
      </c>
      <c r="CA227" s="27">
        <f>COGS!CA227</f>
        <v>0</v>
      </c>
      <c r="CB227" s="27">
        <f>COGS!CB227</f>
        <v>0</v>
      </c>
      <c r="CC227" s="27">
        <f>COGS!CC227</f>
        <v>0</v>
      </c>
      <c r="CD227" s="27">
        <f>COGS!CD227</f>
        <v>0</v>
      </c>
      <c r="CE227" s="27">
        <f>COGS!CE227</f>
        <v>0</v>
      </c>
      <c r="CF227" s="27">
        <f>COGS!CF227</f>
        <v>0</v>
      </c>
      <c r="CG227" s="27">
        <f>COGS!CG227</f>
        <v>0</v>
      </c>
      <c r="CH227" s="27">
        <f>COGS!CH227</f>
        <v>0</v>
      </c>
      <c r="CI227" s="27">
        <f>COGS!CI227</f>
        <v>0</v>
      </c>
      <c r="CJ227" s="27">
        <f>COGS!CJ227</f>
        <v>0</v>
      </c>
      <c r="CK227" s="27">
        <f>COGS!CK227</f>
        <v>0</v>
      </c>
      <c r="CL227" s="27">
        <f>COGS!CL227</f>
        <v>0</v>
      </c>
      <c r="CM227" s="27">
        <f>COGS!CM227</f>
        <v>0</v>
      </c>
      <c r="CN227" s="27">
        <f>COGS!CN227</f>
        <v>0</v>
      </c>
      <c r="CO227" s="27">
        <f>COGS!CO227</f>
        <v>0</v>
      </c>
      <c r="CP227" s="27">
        <f>COGS!CP227</f>
        <v>0</v>
      </c>
      <c r="CQ227" s="27">
        <f>COGS!CQ227</f>
        <v>0</v>
      </c>
      <c r="CR227" s="27">
        <f>COGS!CR227</f>
        <v>0</v>
      </c>
      <c r="CS227" s="27">
        <f>COGS!CS227</f>
        <v>0</v>
      </c>
      <c r="CT227" s="27">
        <f>COGS!CT227</f>
        <v>0</v>
      </c>
      <c r="CU227" s="27">
        <f>COGS!CU227</f>
        <v>0</v>
      </c>
      <c r="CV227" s="27">
        <f>COGS!CV227</f>
        <v>0</v>
      </c>
      <c r="CW227" s="27">
        <f>COGS!CW227</f>
        <v>0</v>
      </c>
      <c r="CX227" s="27">
        <f>COGS!CX227</f>
        <v>0</v>
      </c>
      <c r="CY227" s="27">
        <f>COGS!CY227</f>
        <v>0</v>
      </c>
      <c r="CZ227" s="27">
        <f>COGS!CZ227</f>
        <v>0</v>
      </c>
      <c r="DA227" s="27">
        <f>COGS!DA227</f>
        <v>53.466999999999999</v>
      </c>
      <c r="DB227" s="27">
        <f>COGS!DB227</f>
        <v>53.466999999999999</v>
      </c>
      <c r="DC227" s="27">
        <f>COGS!DC227</f>
        <v>69.299000000000007</v>
      </c>
      <c r="DD227" s="27">
        <f>COGS!DD227</f>
        <v>21.609000000000002</v>
      </c>
      <c r="DE227" s="27">
        <f>COGS!DE227</f>
        <v>6.1310000000000002</v>
      </c>
      <c r="DF227" s="27">
        <f>COGS!DF227</f>
        <v>14.388999999999999</v>
      </c>
      <c r="DG227" s="27">
        <f>COGS!DG227</f>
        <v>111.42800000000001</v>
      </c>
      <c r="DH227" s="27">
        <f>COGS!DH227</f>
        <v>10.659000000000001</v>
      </c>
      <c r="DI227" s="27">
        <f>COGS!DI227</f>
        <v>15.936999999999999</v>
      </c>
      <c r="DJ227" s="27">
        <f>COGS!DJ227</f>
        <v>21.513000000000002</v>
      </c>
      <c r="DK227" s="27">
        <f>COGS!DK227</f>
        <v>7.8449999999999998</v>
      </c>
      <c r="DL227" s="27">
        <f>COGS!DL227</f>
        <v>55.954000000000001</v>
      </c>
      <c r="DM227" s="27">
        <f>COGS!DM227</f>
        <v>7.4119999999999999</v>
      </c>
      <c r="DN227" s="27">
        <f>COGS!DN227</f>
        <v>23.52</v>
      </c>
      <c r="DO227" s="27">
        <f>COGS!DO227</f>
        <v>47.828000000000003</v>
      </c>
      <c r="DP227" s="27">
        <f>COGS!DP227</f>
        <v>111.726</v>
      </c>
      <c r="DQ227" s="27">
        <f>COGS!DQ227</f>
        <v>190.48599999999999</v>
      </c>
      <c r="DR227" s="27">
        <f>COGS!DR227</f>
        <v>77.984999999999999</v>
      </c>
      <c r="DS227" s="27">
        <f>COGS!DS227</f>
        <v>88.048000000000002</v>
      </c>
      <c r="DT227" s="27">
        <f>COGS!DT227</f>
        <v>129.24600000000001</v>
      </c>
      <c r="DU227" s="27">
        <f>COGS!DU227</f>
        <v>152.029</v>
      </c>
      <c r="DV227" s="27">
        <f>COGS!DV227</f>
        <v>447.30799999999999</v>
      </c>
      <c r="DW227" s="27">
        <f>COGS!DW227</f>
        <v>78.308000000000007</v>
      </c>
      <c r="DX227" s="27">
        <f>COGS!DX227</f>
        <v>152.31200000000001</v>
      </c>
      <c r="DY227" s="27">
        <f>COGS!DY227</f>
        <v>268.66160817000002</v>
      </c>
      <c r="DZ227" s="27">
        <f>COGS!DZ227</f>
        <v>268.67205144999997</v>
      </c>
      <c r="EA227" s="27">
        <f>COGS!EA227</f>
        <v>767.95365962000005</v>
      </c>
      <c r="EB227" s="27">
        <f>COGS!EB227</f>
        <v>107.18144956</v>
      </c>
      <c r="EC227" s="27">
        <f>COGS!EC227</f>
        <v>156.27764543000001</v>
      </c>
      <c r="ED227" s="27">
        <f>COGS!ED227</f>
        <v>203.739</v>
      </c>
      <c r="EE227" s="27">
        <f>COGS!EE227</f>
        <v>256.66144438999999</v>
      </c>
      <c r="EF227" s="27">
        <f>COGS!EF227</f>
        <v>723.85953938000011</v>
      </c>
      <c r="EG227" s="27">
        <f>COGS!EG227</f>
        <v>95.882593889999995</v>
      </c>
      <c r="EH227" s="27">
        <f>COGS!EH227</f>
        <v>115.45160555999999</v>
      </c>
      <c r="EI227" s="27">
        <f>COGS!EI227</f>
        <v>140.14901613999999</v>
      </c>
    </row>
    <row r="228" spans="1:139" ht="15" thickBot="1" x14ac:dyDescent="0.35">
      <c r="A228" s="2" t="s">
        <v>446</v>
      </c>
      <c r="B228" s="28">
        <f>COGS!B228</f>
        <v>0</v>
      </c>
      <c r="C228" s="28">
        <f>COGS!C228</f>
        <v>0</v>
      </c>
      <c r="D228" s="28">
        <f>COGS!D228</f>
        <v>0</v>
      </c>
      <c r="E228" s="28">
        <f>COGS!E228</f>
        <v>0</v>
      </c>
      <c r="F228" s="28">
        <f>COGS!F228</f>
        <v>0</v>
      </c>
      <c r="G228" s="28">
        <f>COGS!G228</f>
        <v>0</v>
      </c>
      <c r="H228" s="28">
        <f>COGS!H228</f>
        <v>0</v>
      </c>
      <c r="I228" s="28">
        <f>COGS!I228</f>
        <v>0</v>
      </c>
      <c r="J228" s="28">
        <f>COGS!J228</f>
        <v>0</v>
      </c>
      <c r="K228" s="28">
        <f>COGS!K228</f>
        <v>0</v>
      </c>
      <c r="L228" s="28">
        <f>COGS!L228</f>
        <v>0</v>
      </c>
      <c r="M228" s="28">
        <f>COGS!M228</f>
        <v>0</v>
      </c>
      <c r="N228" s="28">
        <f>COGS!N228</f>
        <v>0</v>
      </c>
      <c r="O228" s="28">
        <f>COGS!O228</f>
        <v>0</v>
      </c>
      <c r="P228" s="28">
        <f>COGS!P228</f>
        <v>0</v>
      </c>
      <c r="Q228" s="28">
        <f>COGS!Q228</f>
        <v>0</v>
      </c>
      <c r="R228" s="28">
        <f>COGS!R228</f>
        <v>0</v>
      </c>
      <c r="S228" s="28">
        <f>COGS!S228</f>
        <v>0</v>
      </c>
      <c r="T228" s="28">
        <f>COGS!T228</f>
        <v>0</v>
      </c>
      <c r="U228" s="28">
        <f>COGS!U228</f>
        <v>0</v>
      </c>
      <c r="V228" s="28">
        <f>COGS!V228</f>
        <v>0</v>
      </c>
      <c r="W228" s="28">
        <f>COGS!W228</f>
        <v>0</v>
      </c>
      <c r="X228" s="28">
        <f>COGS!X228</f>
        <v>0</v>
      </c>
      <c r="Y228" s="28">
        <f>COGS!Y228</f>
        <v>0</v>
      </c>
      <c r="Z228" s="28">
        <f>COGS!Z228</f>
        <v>0</v>
      </c>
      <c r="AA228" s="28">
        <f>COGS!AA228</f>
        <v>0</v>
      </c>
      <c r="AB228" s="28">
        <f>COGS!AB228</f>
        <v>0</v>
      </c>
      <c r="AC228" s="28">
        <f>COGS!AC228</f>
        <v>0</v>
      </c>
      <c r="AD228" s="28">
        <f>COGS!AD228</f>
        <v>0</v>
      </c>
      <c r="AE228" s="28">
        <f>COGS!AE228</f>
        <v>0</v>
      </c>
      <c r="AF228" s="28">
        <f>COGS!AF228</f>
        <v>0</v>
      </c>
      <c r="AG228" s="28">
        <f>COGS!AG228</f>
        <v>0</v>
      </c>
      <c r="AH228" s="28">
        <f>COGS!AH228</f>
        <v>0</v>
      </c>
      <c r="AI228" s="28">
        <f>COGS!AI228</f>
        <v>0</v>
      </c>
      <c r="AJ228" s="28">
        <f>COGS!AJ228</f>
        <v>0</v>
      </c>
      <c r="AK228" s="28">
        <f>COGS!AK228</f>
        <v>0</v>
      </c>
      <c r="AL228" s="28">
        <f>COGS!AL228</f>
        <v>0</v>
      </c>
      <c r="AM228" s="28">
        <f>COGS!AM228</f>
        <v>0</v>
      </c>
      <c r="AN228" s="28">
        <f>COGS!AN228</f>
        <v>0</v>
      </c>
      <c r="AO228" s="28">
        <f>COGS!AO228</f>
        <v>0</v>
      </c>
      <c r="AP228" s="28">
        <f>COGS!AP228</f>
        <v>0</v>
      </c>
      <c r="AQ228" s="28">
        <f>COGS!AQ228</f>
        <v>0</v>
      </c>
      <c r="AR228" s="28">
        <f>COGS!AR228</f>
        <v>0</v>
      </c>
      <c r="AS228" s="28">
        <f>COGS!AS228</f>
        <v>0</v>
      </c>
      <c r="AT228" s="28">
        <f>COGS!AT228</f>
        <v>0</v>
      </c>
      <c r="AU228" s="28">
        <f>COGS!AU228</f>
        <v>0</v>
      </c>
      <c r="AV228" s="28">
        <f>COGS!AV228</f>
        <v>0</v>
      </c>
      <c r="AW228" s="28">
        <f>COGS!AW228</f>
        <v>0</v>
      </c>
      <c r="AX228" s="28">
        <f>COGS!AX228</f>
        <v>0</v>
      </c>
      <c r="AY228" s="28">
        <f>COGS!AY228</f>
        <v>0</v>
      </c>
      <c r="AZ228" s="28">
        <f>COGS!AZ228</f>
        <v>0</v>
      </c>
      <c r="BA228" s="28">
        <f>COGS!BA228</f>
        <v>0</v>
      </c>
      <c r="BB228" s="28">
        <f>COGS!BB228</f>
        <v>0</v>
      </c>
      <c r="BC228" s="28">
        <f>COGS!BC228</f>
        <v>0</v>
      </c>
      <c r="BD228" s="28">
        <f>COGS!BD228</f>
        <v>0</v>
      </c>
      <c r="BE228" s="28">
        <f>COGS!BE228</f>
        <v>0</v>
      </c>
      <c r="BF228" s="28">
        <f>COGS!BF228</f>
        <v>0</v>
      </c>
      <c r="BG228" s="28">
        <f>COGS!BG228</f>
        <v>0</v>
      </c>
      <c r="BH228" s="28">
        <f>COGS!BH228</f>
        <v>0</v>
      </c>
      <c r="BI228" s="28">
        <f>COGS!BI228</f>
        <v>0</v>
      </c>
      <c r="BJ228" s="28">
        <f>COGS!BJ228</f>
        <v>0</v>
      </c>
      <c r="BK228" s="28">
        <f>COGS!BK228</f>
        <v>0</v>
      </c>
      <c r="BL228" s="28">
        <f>COGS!BL228</f>
        <v>0</v>
      </c>
      <c r="BM228" s="28">
        <f>COGS!BM228</f>
        <v>0</v>
      </c>
      <c r="BN228" s="28">
        <f>COGS!BN228</f>
        <v>0</v>
      </c>
      <c r="BO228" s="28">
        <f>COGS!BO228</f>
        <v>0</v>
      </c>
      <c r="BP228" s="28">
        <f>COGS!BP228</f>
        <v>0</v>
      </c>
      <c r="BQ228" s="28">
        <f>COGS!BQ228</f>
        <v>0</v>
      </c>
      <c r="BR228" s="28">
        <f>COGS!BR228</f>
        <v>0</v>
      </c>
      <c r="BS228" s="28">
        <f>COGS!BS228</f>
        <v>0</v>
      </c>
      <c r="BT228" s="28">
        <f>COGS!BT228</f>
        <v>0</v>
      </c>
      <c r="BU228" s="28">
        <f>COGS!BU228</f>
        <v>0</v>
      </c>
      <c r="BV228" s="28">
        <f>COGS!BV228</f>
        <v>0</v>
      </c>
      <c r="BW228" s="28">
        <f>COGS!BW228</f>
        <v>0</v>
      </c>
      <c r="BX228" s="28">
        <f>COGS!BX228</f>
        <v>0</v>
      </c>
      <c r="BY228" s="28">
        <f>COGS!BY228</f>
        <v>0</v>
      </c>
      <c r="BZ228" s="28">
        <f>COGS!BZ228</f>
        <v>0</v>
      </c>
      <c r="CA228" s="28">
        <f>COGS!CA228</f>
        <v>0</v>
      </c>
      <c r="CB228" s="28">
        <f>COGS!CB228</f>
        <v>0</v>
      </c>
      <c r="CC228" s="28">
        <f>COGS!CC228</f>
        <v>0</v>
      </c>
      <c r="CD228" s="28">
        <f>COGS!CD228</f>
        <v>0</v>
      </c>
      <c r="CE228" s="28">
        <f>COGS!CE228</f>
        <v>0</v>
      </c>
      <c r="CF228" s="28">
        <f>COGS!CF228</f>
        <v>0</v>
      </c>
      <c r="CG228" s="28">
        <f>COGS!CG228</f>
        <v>0</v>
      </c>
      <c r="CH228" s="28">
        <f>COGS!CH228</f>
        <v>0</v>
      </c>
      <c r="CI228" s="28">
        <f>COGS!CI228</f>
        <v>0</v>
      </c>
      <c r="CJ228" s="28">
        <f>COGS!CJ228</f>
        <v>0</v>
      </c>
      <c r="CK228" s="28">
        <f>COGS!CK228</f>
        <v>0</v>
      </c>
      <c r="CL228" s="28">
        <f>COGS!CL228</f>
        <v>0</v>
      </c>
      <c r="CM228" s="28">
        <f>COGS!CM228</f>
        <v>0</v>
      </c>
      <c r="CN228" s="28">
        <f>COGS!CN228</f>
        <v>0</v>
      </c>
      <c r="CO228" s="28">
        <f>COGS!CO228</f>
        <v>0</v>
      </c>
      <c r="CP228" s="28">
        <f>COGS!CP228</f>
        <v>0</v>
      </c>
      <c r="CQ228" s="28">
        <f>COGS!CQ228</f>
        <v>0</v>
      </c>
      <c r="CR228" s="28">
        <f>COGS!CR228</f>
        <v>0</v>
      </c>
      <c r="CS228" s="28">
        <f>COGS!CS228</f>
        <v>0</v>
      </c>
      <c r="CT228" s="28">
        <f>COGS!CT228</f>
        <v>0</v>
      </c>
      <c r="CU228" s="28">
        <f>COGS!CU228</f>
        <v>0</v>
      </c>
      <c r="CV228" s="28">
        <f>COGS!CV228</f>
        <v>0</v>
      </c>
      <c r="CW228" s="28">
        <f>COGS!CW228</f>
        <v>0</v>
      </c>
      <c r="CX228" s="28">
        <f>COGS!CX228</f>
        <v>0</v>
      </c>
      <c r="CY228" s="28">
        <f>COGS!CY228</f>
        <v>0</v>
      </c>
      <c r="CZ228" s="28">
        <f>COGS!CZ228</f>
        <v>0</v>
      </c>
      <c r="DA228" s="28">
        <f>COGS!DA228</f>
        <v>0</v>
      </c>
      <c r="DB228" s="28">
        <f>COGS!DB228</f>
        <v>0</v>
      </c>
      <c r="DC228" s="28">
        <f>COGS!DC228</f>
        <v>0</v>
      </c>
      <c r="DD228" s="28">
        <f>COGS!DD228</f>
        <v>0</v>
      </c>
      <c r="DE228" s="28">
        <f>COGS!DE228</f>
        <v>0</v>
      </c>
      <c r="DF228" s="28">
        <f>COGS!DF228</f>
        <v>0</v>
      </c>
      <c r="DG228" s="28">
        <f>COGS!DG228</f>
        <v>0</v>
      </c>
      <c r="DH228" s="28">
        <f>COGS!DH228</f>
        <v>0</v>
      </c>
      <c r="DI228" s="28">
        <f>COGS!DI228</f>
        <v>97.06</v>
      </c>
      <c r="DJ228" s="28">
        <f>COGS!DJ228</f>
        <v>107.64</v>
      </c>
      <c r="DK228" s="28">
        <f>COGS!DK228</f>
        <v>45.405000000000001</v>
      </c>
      <c r="DL228" s="28">
        <f>COGS!DL228</f>
        <v>250.10499999999999</v>
      </c>
      <c r="DM228" s="28">
        <f>COGS!DM228</f>
        <v>24.661000000000001</v>
      </c>
      <c r="DN228" s="28">
        <f>COGS!DN228</f>
        <v>21.257999999999999</v>
      </c>
      <c r="DO228" s="28">
        <f>COGS!DO228</f>
        <v>41.354999999999997</v>
      </c>
      <c r="DP228" s="28">
        <f>COGS!DP228</f>
        <v>82.635999999999996</v>
      </c>
      <c r="DQ228" s="28">
        <f>COGS!DQ228</f>
        <v>169.91</v>
      </c>
      <c r="DR228" s="28">
        <f>COGS!DR228</f>
        <v>79.185000000000002</v>
      </c>
      <c r="DS228" s="28">
        <f>COGS!DS228</f>
        <v>64.198999999999998</v>
      </c>
      <c r="DT228" s="28">
        <f>COGS!DT228</f>
        <v>93.588999999999999</v>
      </c>
      <c r="DU228" s="28">
        <f>COGS!DU228</f>
        <v>101.374</v>
      </c>
      <c r="DV228" s="28">
        <f>COGS!DV228</f>
        <v>338.34699999999998</v>
      </c>
      <c r="DW228" s="28">
        <f>COGS!DW228</f>
        <v>64.567999999999998</v>
      </c>
      <c r="DX228" s="28">
        <f>COGS!DX228</f>
        <v>31.073</v>
      </c>
      <c r="DY228" s="28">
        <f>COGS!DY228</f>
        <v>32.335844040000005</v>
      </c>
      <c r="DZ228" s="28">
        <f>COGS!DZ228</f>
        <v>87.002562839999982</v>
      </c>
      <c r="EA228" s="28">
        <f>COGS!EA228</f>
        <v>214.97940688</v>
      </c>
      <c r="EB228" s="28">
        <f>COGS!EB228</f>
        <v>78.664787010000012</v>
      </c>
      <c r="EC228" s="28">
        <f>COGS!EC228</f>
        <v>73.633093409999987</v>
      </c>
      <c r="ED228" s="28">
        <f>COGS!ED228</f>
        <v>77.073999999999998</v>
      </c>
      <c r="EE228" s="28">
        <f>COGS!EE228</f>
        <v>78.542702159999962</v>
      </c>
      <c r="EF228" s="28">
        <f>COGS!EF228</f>
        <v>307.91458258</v>
      </c>
      <c r="EG228" s="28">
        <f>COGS!EG228</f>
        <v>76.828789510000007</v>
      </c>
      <c r="EH228" s="28">
        <f>COGS!EH228</f>
        <v>63.99076608</v>
      </c>
      <c r="EI228" s="28">
        <f>COGS!EI228</f>
        <v>43.495011359999985</v>
      </c>
    </row>
    <row r="229" spans="1:139" ht="15" thickTop="1" x14ac:dyDescent="0.3">
      <c r="A229" s="1" t="s">
        <v>447</v>
      </c>
      <c r="B229" s="27">
        <f>COGS!B229</f>
        <v>0</v>
      </c>
      <c r="C229" s="27">
        <f>COGS!C229</f>
        <v>0</v>
      </c>
      <c r="D229" s="27">
        <f>COGS!D229</f>
        <v>0</v>
      </c>
      <c r="E229" s="27">
        <f>COGS!E229</f>
        <v>0</v>
      </c>
      <c r="F229" s="27">
        <f>COGS!F229</f>
        <v>0</v>
      </c>
      <c r="G229" s="27">
        <f>COGS!G229</f>
        <v>0</v>
      </c>
      <c r="H229" s="27">
        <f>COGS!H229</f>
        <v>0</v>
      </c>
      <c r="I229" s="27">
        <f>COGS!I229</f>
        <v>0</v>
      </c>
      <c r="J229" s="27">
        <f>COGS!J229</f>
        <v>0</v>
      </c>
      <c r="K229" s="27">
        <f>COGS!K229</f>
        <v>0</v>
      </c>
      <c r="L229" s="27">
        <f>COGS!L229</f>
        <v>0</v>
      </c>
      <c r="M229" s="27">
        <f>COGS!M229</f>
        <v>0</v>
      </c>
      <c r="N229" s="27">
        <f>COGS!N229</f>
        <v>0</v>
      </c>
      <c r="O229" s="27">
        <f>COGS!O229</f>
        <v>0</v>
      </c>
      <c r="P229" s="27">
        <f>COGS!P229</f>
        <v>0</v>
      </c>
      <c r="Q229" s="27">
        <f>COGS!Q229</f>
        <v>0</v>
      </c>
      <c r="R229" s="27">
        <f>COGS!R229</f>
        <v>0</v>
      </c>
      <c r="S229" s="27">
        <f>COGS!S229</f>
        <v>0</v>
      </c>
      <c r="T229" s="27">
        <f>COGS!T229</f>
        <v>0</v>
      </c>
      <c r="U229" s="27">
        <f>COGS!U229</f>
        <v>0</v>
      </c>
      <c r="V229" s="27">
        <f>COGS!V229</f>
        <v>0</v>
      </c>
      <c r="W229" s="27">
        <f>COGS!W229</f>
        <v>0</v>
      </c>
      <c r="X229" s="27">
        <f>COGS!X229</f>
        <v>0</v>
      </c>
      <c r="Y229" s="27">
        <f>COGS!Y229</f>
        <v>0</v>
      </c>
      <c r="Z229" s="27">
        <f>COGS!Z229</f>
        <v>0</v>
      </c>
      <c r="AA229" s="27">
        <f>COGS!AA229</f>
        <v>0</v>
      </c>
      <c r="AB229" s="27">
        <f>COGS!AB229</f>
        <v>0</v>
      </c>
      <c r="AC229" s="27">
        <f>COGS!AC229</f>
        <v>0</v>
      </c>
      <c r="AD229" s="27">
        <f>COGS!AD229</f>
        <v>0</v>
      </c>
      <c r="AE229" s="27">
        <f>COGS!AE229</f>
        <v>0</v>
      </c>
      <c r="AF229" s="27">
        <f>COGS!AF229</f>
        <v>0</v>
      </c>
      <c r="AG229" s="27">
        <f>COGS!AG229</f>
        <v>0</v>
      </c>
      <c r="AH229" s="27">
        <f>COGS!AH229</f>
        <v>0</v>
      </c>
      <c r="AI229" s="27">
        <f>COGS!AI229</f>
        <v>0</v>
      </c>
      <c r="AJ229" s="27">
        <f>COGS!AJ229</f>
        <v>0</v>
      </c>
      <c r="AK229" s="27">
        <f>COGS!AK229</f>
        <v>0</v>
      </c>
      <c r="AL229" s="27">
        <f>COGS!AL229</f>
        <v>0</v>
      </c>
      <c r="AM229" s="27">
        <f>COGS!AM229</f>
        <v>0</v>
      </c>
      <c r="AN229" s="27">
        <f>COGS!AN229</f>
        <v>0</v>
      </c>
      <c r="AO229" s="27">
        <f>COGS!AO229</f>
        <v>0</v>
      </c>
      <c r="AP229" s="27">
        <f>COGS!AP229</f>
        <v>0</v>
      </c>
      <c r="AQ229" s="27">
        <f>COGS!AQ229</f>
        <v>0</v>
      </c>
      <c r="AR229" s="27">
        <f>COGS!AR229</f>
        <v>0</v>
      </c>
      <c r="AS229" s="27">
        <f>COGS!AS229</f>
        <v>0</v>
      </c>
      <c r="AT229" s="27">
        <f>COGS!AT229</f>
        <v>0</v>
      </c>
      <c r="AU229" s="27">
        <f>COGS!AU229</f>
        <v>0</v>
      </c>
      <c r="AV229" s="27">
        <f>COGS!AV229</f>
        <v>0</v>
      </c>
      <c r="AW229" s="27">
        <f>COGS!AW229</f>
        <v>0</v>
      </c>
      <c r="AX229" s="27">
        <f>COGS!AX229</f>
        <v>0</v>
      </c>
      <c r="AY229" s="27">
        <f>COGS!AY229</f>
        <v>0</v>
      </c>
      <c r="AZ229" s="27">
        <f>COGS!AZ229</f>
        <v>0</v>
      </c>
      <c r="BA229" s="27">
        <f>COGS!BA229</f>
        <v>0</v>
      </c>
      <c r="BB229" s="27">
        <f>COGS!BB229</f>
        <v>0</v>
      </c>
      <c r="BC229" s="27">
        <f>COGS!BC229</f>
        <v>0</v>
      </c>
      <c r="BD229" s="27">
        <f>COGS!BD229</f>
        <v>0</v>
      </c>
      <c r="BE229" s="27">
        <f>COGS!BE229</f>
        <v>0</v>
      </c>
      <c r="BF229" s="27">
        <f>COGS!BF229</f>
        <v>0</v>
      </c>
      <c r="BG229" s="27">
        <f>COGS!BG229</f>
        <v>0</v>
      </c>
      <c r="BH229" s="27">
        <f>COGS!BH229</f>
        <v>0</v>
      </c>
      <c r="BI229" s="27">
        <f>COGS!BI229</f>
        <v>0</v>
      </c>
      <c r="BJ229" s="27">
        <f>COGS!BJ229</f>
        <v>0</v>
      </c>
      <c r="BK229" s="27">
        <f>COGS!BK229</f>
        <v>0</v>
      </c>
      <c r="BL229" s="27">
        <f>COGS!BL229</f>
        <v>0</v>
      </c>
      <c r="BM229" s="27">
        <f>COGS!BM229</f>
        <v>0</v>
      </c>
      <c r="BN229" s="27">
        <f>COGS!BN229</f>
        <v>0</v>
      </c>
      <c r="BO229" s="27">
        <f>COGS!BO229</f>
        <v>0</v>
      </c>
      <c r="BP229" s="27">
        <f>COGS!BP229</f>
        <v>0</v>
      </c>
      <c r="BQ229" s="27">
        <f>COGS!BQ229</f>
        <v>0</v>
      </c>
      <c r="BR229" s="27">
        <f>COGS!BR229</f>
        <v>0</v>
      </c>
      <c r="BS229" s="27">
        <f>COGS!BS229</f>
        <v>0</v>
      </c>
      <c r="BT229" s="27">
        <f>COGS!BT229</f>
        <v>0</v>
      </c>
      <c r="BU229" s="27">
        <f>COGS!BU229</f>
        <v>0</v>
      </c>
      <c r="BV229" s="27">
        <f>COGS!BV229</f>
        <v>0</v>
      </c>
      <c r="BW229" s="27">
        <f>COGS!BW229</f>
        <v>0</v>
      </c>
      <c r="BX229" s="27">
        <f>COGS!BX229</f>
        <v>0</v>
      </c>
      <c r="BY229" s="27">
        <f>COGS!BY229</f>
        <v>0</v>
      </c>
      <c r="BZ229" s="27">
        <f>COGS!BZ229</f>
        <v>0</v>
      </c>
      <c r="CA229" s="27">
        <f>COGS!CA229</f>
        <v>0</v>
      </c>
      <c r="CB229" s="27">
        <f>COGS!CB229</f>
        <v>0</v>
      </c>
      <c r="CC229" s="27">
        <f>COGS!CC229</f>
        <v>0</v>
      </c>
      <c r="CD229" s="27">
        <f>COGS!CD229</f>
        <v>0</v>
      </c>
      <c r="CE229" s="27">
        <f>COGS!CE229</f>
        <v>0</v>
      </c>
      <c r="CF229" s="27">
        <f>COGS!CF229</f>
        <v>0</v>
      </c>
      <c r="CG229" s="27">
        <f>COGS!CG229</f>
        <v>0</v>
      </c>
      <c r="CH229" s="27">
        <f>COGS!CH229</f>
        <v>0</v>
      </c>
      <c r="CI229" s="27">
        <f>COGS!CI229</f>
        <v>0</v>
      </c>
      <c r="CJ229" s="27">
        <f>COGS!CJ229</f>
        <v>0</v>
      </c>
      <c r="CK229" s="27">
        <f>COGS!CK229</f>
        <v>0</v>
      </c>
      <c r="CL229" s="27">
        <f>COGS!CL229</f>
        <v>0</v>
      </c>
      <c r="CM229" s="27">
        <f>COGS!CM229</f>
        <v>0</v>
      </c>
      <c r="CN229" s="27">
        <f>COGS!CN229</f>
        <v>0</v>
      </c>
      <c r="CO229" s="27">
        <f>COGS!CO229</f>
        <v>0</v>
      </c>
      <c r="CP229" s="27">
        <f>COGS!CP229</f>
        <v>0</v>
      </c>
      <c r="CQ229" s="27">
        <f>COGS!CQ229</f>
        <v>0</v>
      </c>
      <c r="CR229" s="27">
        <f>COGS!CR229</f>
        <v>0</v>
      </c>
      <c r="CS229" s="27">
        <f>COGS!CS229</f>
        <v>0</v>
      </c>
      <c r="CT229" s="27">
        <f>COGS!CT229</f>
        <v>0</v>
      </c>
      <c r="CU229" s="27">
        <f>COGS!CU229</f>
        <v>0</v>
      </c>
      <c r="CV229" s="27">
        <f>COGS!CV229</f>
        <v>0</v>
      </c>
      <c r="CW229" s="27">
        <f>COGS!CW229</f>
        <v>0</v>
      </c>
      <c r="CX229" s="27">
        <f>COGS!CX229</f>
        <v>0</v>
      </c>
      <c r="CY229" s="27">
        <f>COGS!CY229</f>
        <v>0</v>
      </c>
      <c r="CZ229" s="27">
        <f>COGS!CZ229</f>
        <v>0</v>
      </c>
      <c r="DA229" s="27">
        <f>COGS!DA229</f>
        <v>0</v>
      </c>
      <c r="DB229" s="27">
        <f>COGS!DB229</f>
        <v>0</v>
      </c>
      <c r="DC229" s="27">
        <f>COGS!DC229</f>
        <v>0</v>
      </c>
      <c r="DD229" s="27">
        <f>COGS!DD229</f>
        <v>0</v>
      </c>
      <c r="DE229" s="27">
        <f>COGS!DE229</f>
        <v>0</v>
      </c>
      <c r="DF229" s="27">
        <f>COGS!DF229</f>
        <v>0</v>
      </c>
      <c r="DG229" s="27">
        <f>COGS!DG229</f>
        <v>0</v>
      </c>
      <c r="DH229" s="27">
        <f>COGS!DH229</f>
        <v>0</v>
      </c>
      <c r="DI229" s="27">
        <f>COGS!DI229</f>
        <v>0</v>
      </c>
      <c r="DJ229" s="27">
        <f>COGS!DJ229</f>
        <v>0</v>
      </c>
      <c r="DK229" s="27">
        <f>COGS!DK229</f>
        <v>0</v>
      </c>
      <c r="DL229" s="27">
        <f>COGS!DL229</f>
        <v>0</v>
      </c>
      <c r="DM229" s="27">
        <f>COGS!DM229</f>
        <v>0</v>
      </c>
      <c r="DN229" s="27">
        <f>COGS!DN229</f>
        <v>0</v>
      </c>
      <c r="DO229" s="27">
        <f>COGS!DO229</f>
        <v>0</v>
      </c>
      <c r="DP229" s="27">
        <f>COGS!DP229</f>
        <v>19.492999999999999</v>
      </c>
      <c r="DQ229" s="27">
        <f>COGS!DQ229</f>
        <v>19.492999999999999</v>
      </c>
      <c r="DR229" s="27">
        <f>COGS!DR229</f>
        <v>63.198</v>
      </c>
      <c r="DS229" s="27">
        <f>COGS!DS229</f>
        <v>256.36200000000002</v>
      </c>
      <c r="DT229" s="27">
        <f>COGS!DT229</f>
        <v>296.64100000000002</v>
      </c>
      <c r="DU229" s="27">
        <f>COGS!DU229</f>
        <v>157.45699999999999</v>
      </c>
      <c r="DV229" s="27">
        <f>COGS!DV229</f>
        <v>773.65800000000002</v>
      </c>
      <c r="DW229" s="27">
        <f>COGS!DW229</f>
        <v>69.563000000000002</v>
      </c>
      <c r="DX229" s="27">
        <f>COGS!DX229</f>
        <v>83.332999999999998</v>
      </c>
      <c r="DY229" s="27">
        <f>COGS!DY229</f>
        <v>129.71474314000002</v>
      </c>
      <c r="DZ229" s="27">
        <f>COGS!DZ229</f>
        <v>127.69866931999999</v>
      </c>
      <c r="EA229" s="27">
        <f>COGS!EA229</f>
        <v>410.30941246000009</v>
      </c>
      <c r="EB229" s="27">
        <f>COGS!EB229</f>
        <v>56.150883999999998</v>
      </c>
      <c r="EC229" s="27">
        <f>COGS!EC229</f>
        <v>71.380522209999995</v>
      </c>
      <c r="ED229" s="27">
        <f>COGS!ED229</f>
        <v>128.095</v>
      </c>
      <c r="EE229" s="27">
        <f>COGS!EE229</f>
        <v>157.60693289</v>
      </c>
      <c r="EF229" s="27">
        <f>COGS!EF229</f>
        <v>413.23333909999997</v>
      </c>
      <c r="EG229" s="27">
        <f>COGS!EG229</f>
        <v>26.293300850000001</v>
      </c>
      <c r="EH229" s="27">
        <f>COGS!EH229</f>
        <v>31.343080939999997</v>
      </c>
      <c r="EI229" s="27">
        <f>COGS!EI229</f>
        <v>61.128724399999996</v>
      </c>
    </row>
    <row r="230" spans="1:139" ht="15" thickBot="1" x14ac:dyDescent="0.35">
      <c r="A230" s="2" t="s">
        <v>448</v>
      </c>
      <c r="B230" s="28">
        <f>COGS!B230</f>
        <v>0</v>
      </c>
      <c r="C230" s="28">
        <f>COGS!C230</f>
        <v>0</v>
      </c>
      <c r="D230" s="28">
        <f>COGS!D230</f>
        <v>0</v>
      </c>
      <c r="E230" s="28">
        <f>COGS!E230</f>
        <v>0</v>
      </c>
      <c r="F230" s="28">
        <f>COGS!F230</f>
        <v>0</v>
      </c>
      <c r="G230" s="28">
        <f>COGS!G230</f>
        <v>0</v>
      </c>
      <c r="H230" s="28">
        <f>COGS!H230</f>
        <v>0</v>
      </c>
      <c r="I230" s="28">
        <f>COGS!I230</f>
        <v>0</v>
      </c>
      <c r="J230" s="28">
        <f>COGS!J230</f>
        <v>0</v>
      </c>
      <c r="K230" s="28">
        <f>COGS!K230</f>
        <v>0</v>
      </c>
      <c r="L230" s="28">
        <f>COGS!L230</f>
        <v>0</v>
      </c>
      <c r="M230" s="28">
        <f>COGS!M230</f>
        <v>0</v>
      </c>
      <c r="N230" s="28">
        <f>COGS!N230</f>
        <v>0</v>
      </c>
      <c r="O230" s="28">
        <f>COGS!O230</f>
        <v>0</v>
      </c>
      <c r="P230" s="28">
        <f>COGS!P230</f>
        <v>0</v>
      </c>
      <c r="Q230" s="28">
        <f>COGS!Q230</f>
        <v>0</v>
      </c>
      <c r="R230" s="28">
        <f>COGS!R230</f>
        <v>0</v>
      </c>
      <c r="S230" s="28">
        <f>COGS!S230</f>
        <v>0</v>
      </c>
      <c r="T230" s="28">
        <f>COGS!T230</f>
        <v>0</v>
      </c>
      <c r="U230" s="28">
        <f>COGS!U230</f>
        <v>0</v>
      </c>
      <c r="V230" s="28">
        <f>COGS!V230</f>
        <v>0</v>
      </c>
      <c r="W230" s="28">
        <f>COGS!W230</f>
        <v>0</v>
      </c>
      <c r="X230" s="28">
        <f>COGS!X230</f>
        <v>0</v>
      </c>
      <c r="Y230" s="28">
        <f>COGS!Y230</f>
        <v>0</v>
      </c>
      <c r="Z230" s="28">
        <f>COGS!Z230</f>
        <v>0</v>
      </c>
      <c r="AA230" s="28">
        <f>COGS!AA230</f>
        <v>0</v>
      </c>
      <c r="AB230" s="28">
        <f>COGS!AB230</f>
        <v>0</v>
      </c>
      <c r="AC230" s="28">
        <f>COGS!AC230</f>
        <v>0</v>
      </c>
      <c r="AD230" s="28">
        <f>COGS!AD230</f>
        <v>0</v>
      </c>
      <c r="AE230" s="28">
        <f>COGS!AE230</f>
        <v>0</v>
      </c>
      <c r="AF230" s="28">
        <f>COGS!AF230</f>
        <v>0</v>
      </c>
      <c r="AG230" s="28">
        <f>COGS!AG230</f>
        <v>0</v>
      </c>
      <c r="AH230" s="28">
        <f>COGS!AH230</f>
        <v>0</v>
      </c>
      <c r="AI230" s="28">
        <f>COGS!AI230</f>
        <v>0</v>
      </c>
      <c r="AJ230" s="28">
        <f>COGS!AJ230</f>
        <v>0</v>
      </c>
      <c r="AK230" s="28">
        <f>COGS!AK230</f>
        <v>0</v>
      </c>
      <c r="AL230" s="28">
        <f>COGS!AL230</f>
        <v>0</v>
      </c>
      <c r="AM230" s="28">
        <f>COGS!AM230</f>
        <v>0</v>
      </c>
      <c r="AN230" s="28">
        <f>COGS!AN230</f>
        <v>0</v>
      </c>
      <c r="AO230" s="28">
        <f>COGS!AO230</f>
        <v>0</v>
      </c>
      <c r="AP230" s="28">
        <f>COGS!AP230</f>
        <v>0</v>
      </c>
      <c r="AQ230" s="28">
        <f>COGS!AQ230</f>
        <v>0</v>
      </c>
      <c r="AR230" s="28">
        <f>COGS!AR230</f>
        <v>0</v>
      </c>
      <c r="AS230" s="28">
        <f>COGS!AS230</f>
        <v>0</v>
      </c>
      <c r="AT230" s="28">
        <f>COGS!AT230</f>
        <v>0</v>
      </c>
      <c r="AU230" s="28">
        <f>COGS!AU230</f>
        <v>0</v>
      </c>
      <c r="AV230" s="28">
        <f>COGS!AV230</f>
        <v>0</v>
      </c>
      <c r="AW230" s="28">
        <f>COGS!AW230</f>
        <v>0</v>
      </c>
      <c r="AX230" s="28">
        <f>COGS!AX230</f>
        <v>0</v>
      </c>
      <c r="AY230" s="28">
        <f>COGS!AY230</f>
        <v>0</v>
      </c>
      <c r="AZ230" s="28">
        <f>COGS!AZ230</f>
        <v>0</v>
      </c>
      <c r="BA230" s="28">
        <f>COGS!BA230</f>
        <v>0</v>
      </c>
      <c r="BB230" s="28">
        <f>COGS!BB230</f>
        <v>0</v>
      </c>
      <c r="BC230" s="28">
        <f>COGS!BC230</f>
        <v>0</v>
      </c>
      <c r="BD230" s="28">
        <f>COGS!BD230</f>
        <v>0</v>
      </c>
      <c r="BE230" s="28">
        <f>COGS!BE230</f>
        <v>0</v>
      </c>
      <c r="BF230" s="28">
        <f>COGS!BF230</f>
        <v>0</v>
      </c>
      <c r="BG230" s="28">
        <f>COGS!BG230</f>
        <v>0</v>
      </c>
      <c r="BH230" s="28">
        <f>COGS!BH230</f>
        <v>0</v>
      </c>
      <c r="BI230" s="28">
        <f>COGS!BI230</f>
        <v>0</v>
      </c>
      <c r="BJ230" s="28">
        <f>COGS!BJ230</f>
        <v>0</v>
      </c>
      <c r="BK230" s="28">
        <f>COGS!BK230</f>
        <v>0</v>
      </c>
      <c r="BL230" s="28">
        <f>COGS!BL230</f>
        <v>0</v>
      </c>
      <c r="BM230" s="28">
        <f>COGS!BM230</f>
        <v>0</v>
      </c>
      <c r="BN230" s="28">
        <f>COGS!BN230</f>
        <v>0</v>
      </c>
      <c r="BO230" s="28">
        <f>COGS!BO230</f>
        <v>0</v>
      </c>
      <c r="BP230" s="28">
        <f>COGS!BP230</f>
        <v>0</v>
      </c>
      <c r="BQ230" s="28">
        <f>COGS!BQ230</f>
        <v>0</v>
      </c>
      <c r="BR230" s="28">
        <f>COGS!BR230</f>
        <v>0</v>
      </c>
      <c r="BS230" s="28">
        <f>COGS!BS230</f>
        <v>0</v>
      </c>
      <c r="BT230" s="28">
        <f>COGS!BT230</f>
        <v>0</v>
      </c>
      <c r="BU230" s="28">
        <f>COGS!BU230</f>
        <v>0</v>
      </c>
      <c r="BV230" s="28">
        <f>COGS!BV230</f>
        <v>0</v>
      </c>
      <c r="BW230" s="28">
        <f>COGS!BW230</f>
        <v>0</v>
      </c>
      <c r="BX230" s="28">
        <f>COGS!BX230</f>
        <v>0</v>
      </c>
      <c r="BY230" s="28">
        <f>COGS!BY230</f>
        <v>0</v>
      </c>
      <c r="BZ230" s="28">
        <f>COGS!BZ230</f>
        <v>0</v>
      </c>
      <c r="CA230" s="28">
        <f>COGS!CA230</f>
        <v>0</v>
      </c>
      <c r="CB230" s="28">
        <f>COGS!CB230</f>
        <v>0</v>
      </c>
      <c r="CC230" s="28">
        <f>COGS!CC230</f>
        <v>0</v>
      </c>
      <c r="CD230" s="28">
        <f>COGS!CD230</f>
        <v>0</v>
      </c>
      <c r="CE230" s="28">
        <f>COGS!CE230</f>
        <v>0</v>
      </c>
      <c r="CF230" s="28">
        <f>COGS!CF230</f>
        <v>0</v>
      </c>
      <c r="CG230" s="28">
        <f>COGS!CG230</f>
        <v>0</v>
      </c>
      <c r="CH230" s="28">
        <f>COGS!CH230</f>
        <v>0</v>
      </c>
      <c r="CI230" s="28">
        <f>COGS!CI230</f>
        <v>0</v>
      </c>
      <c r="CJ230" s="28">
        <f>COGS!CJ230</f>
        <v>0</v>
      </c>
      <c r="CK230" s="28">
        <f>COGS!CK230</f>
        <v>0</v>
      </c>
      <c r="CL230" s="28">
        <f>COGS!CL230</f>
        <v>0</v>
      </c>
      <c r="CM230" s="28">
        <f>COGS!CM230</f>
        <v>0</v>
      </c>
      <c r="CN230" s="28">
        <f>COGS!CN230</f>
        <v>0</v>
      </c>
      <c r="CO230" s="28">
        <f>COGS!CO230</f>
        <v>0</v>
      </c>
      <c r="CP230" s="28">
        <f>COGS!CP230</f>
        <v>0</v>
      </c>
      <c r="CQ230" s="28">
        <f>COGS!CQ230</f>
        <v>0</v>
      </c>
      <c r="CR230" s="28">
        <f>COGS!CR230</f>
        <v>0</v>
      </c>
      <c r="CS230" s="28">
        <f>COGS!CS230</f>
        <v>0</v>
      </c>
      <c r="CT230" s="28">
        <f>COGS!CT230</f>
        <v>0</v>
      </c>
      <c r="CU230" s="28">
        <f>COGS!CU230</f>
        <v>0</v>
      </c>
      <c r="CV230" s="28">
        <f>COGS!CV230</f>
        <v>0</v>
      </c>
      <c r="CW230" s="28">
        <f>COGS!CW230</f>
        <v>0</v>
      </c>
      <c r="CX230" s="28">
        <f>COGS!CX230</f>
        <v>0</v>
      </c>
      <c r="CY230" s="28">
        <f>COGS!CY230</f>
        <v>0</v>
      </c>
      <c r="CZ230" s="28">
        <f>COGS!CZ230</f>
        <v>0</v>
      </c>
      <c r="DA230" s="28">
        <f>COGS!DA230</f>
        <v>0</v>
      </c>
      <c r="DB230" s="28">
        <f>COGS!DB230</f>
        <v>0</v>
      </c>
      <c r="DC230" s="28">
        <f>COGS!DC230</f>
        <v>0</v>
      </c>
      <c r="DD230" s="28">
        <f>COGS!DD230</f>
        <v>0</v>
      </c>
      <c r="DE230" s="28">
        <f>COGS!DE230</f>
        <v>0</v>
      </c>
      <c r="DF230" s="28">
        <f>COGS!DF230</f>
        <v>0</v>
      </c>
      <c r="DG230" s="28">
        <f>COGS!DG230</f>
        <v>0</v>
      </c>
      <c r="DH230" s="28">
        <f>COGS!DH230</f>
        <v>0</v>
      </c>
      <c r="DI230" s="28">
        <f>COGS!DI230</f>
        <v>0</v>
      </c>
      <c r="DJ230" s="28">
        <f>COGS!DJ230</f>
        <v>0</v>
      </c>
      <c r="DK230" s="28">
        <f>COGS!DK230</f>
        <v>0</v>
      </c>
      <c r="DL230" s="28">
        <f>COGS!DL230</f>
        <v>0</v>
      </c>
      <c r="DM230" s="28">
        <f>COGS!DM230</f>
        <v>0</v>
      </c>
      <c r="DN230" s="28">
        <f>COGS!DN230</f>
        <v>0</v>
      </c>
      <c r="DO230" s="28">
        <f>COGS!DO230</f>
        <v>0</v>
      </c>
      <c r="DP230" s="28">
        <f>COGS!DP230</f>
        <v>0</v>
      </c>
      <c r="DQ230" s="28">
        <f>COGS!DQ230</f>
        <v>0</v>
      </c>
      <c r="DR230" s="28">
        <f>COGS!DR230</f>
        <v>0</v>
      </c>
      <c r="DS230" s="28">
        <f>COGS!DS230</f>
        <v>0</v>
      </c>
      <c r="DT230" s="28">
        <f>COGS!DT230</f>
        <v>0</v>
      </c>
      <c r="DU230" s="28">
        <f>COGS!DU230</f>
        <v>74.311000000000007</v>
      </c>
      <c r="DV230" s="28">
        <f>COGS!DV230</f>
        <v>74.311000000000007</v>
      </c>
      <c r="DW230" s="28">
        <f>COGS!DW230</f>
        <v>118.497</v>
      </c>
      <c r="DX230" s="28">
        <f>COGS!DX230</f>
        <v>213.55699999999999</v>
      </c>
      <c r="DY230" s="28">
        <f>COGS!DY230</f>
        <v>386.66798805000002</v>
      </c>
      <c r="DZ230" s="28">
        <f>COGS!DZ230</f>
        <v>300.75822991999996</v>
      </c>
      <c r="EA230" s="28">
        <f>COGS!EA230</f>
        <v>1019.4802179699999</v>
      </c>
      <c r="EB230" s="28">
        <f>COGS!EB230</f>
        <v>78.531664579999997</v>
      </c>
      <c r="EC230" s="28">
        <f>COGS!EC230</f>
        <v>129.06909335</v>
      </c>
      <c r="ED230" s="28">
        <f>COGS!ED230</f>
        <v>117.764</v>
      </c>
      <c r="EE230" s="28">
        <f>COGS!EE230</f>
        <v>189.05644897999997</v>
      </c>
      <c r="EF230" s="28">
        <f>COGS!EF230</f>
        <v>514.42120690999991</v>
      </c>
      <c r="EG230" s="28">
        <f>COGS!EG230</f>
        <v>179.32171650999999</v>
      </c>
      <c r="EH230" s="28">
        <f>COGS!EH230</f>
        <v>286.28526342000004</v>
      </c>
      <c r="EI230" s="28">
        <f>COGS!EI230</f>
        <v>335.21085155999998</v>
      </c>
    </row>
    <row r="231" spans="1:139" ht="15" thickTop="1" x14ac:dyDescent="0.3">
      <c r="A231" s="1" t="s">
        <v>449</v>
      </c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>
        <f>COGS!BJ231</f>
        <v>0</v>
      </c>
      <c r="BK231" s="27">
        <f>COGS!BK231</f>
        <v>0</v>
      </c>
      <c r="BL231" s="27">
        <f>COGS!BL231</f>
        <v>0</v>
      </c>
      <c r="BM231" s="27">
        <f>COGS!BM231</f>
        <v>0</v>
      </c>
      <c r="BN231" s="27">
        <f>COGS!BN231</f>
        <v>0</v>
      </c>
      <c r="BO231" s="27">
        <f>COGS!BO231</f>
        <v>0</v>
      </c>
      <c r="BP231" s="27">
        <f>COGS!BP231</f>
        <v>0</v>
      </c>
      <c r="BQ231" s="27">
        <f>COGS!BQ231</f>
        <v>0</v>
      </c>
      <c r="BR231" s="27">
        <f>COGS!BR231</f>
        <v>0</v>
      </c>
      <c r="BS231" s="27">
        <f>COGS!BS231</f>
        <v>0</v>
      </c>
      <c r="BT231" s="27">
        <f>COGS!BT231</f>
        <v>0</v>
      </c>
      <c r="BU231" s="27">
        <f>COGS!BU231</f>
        <v>0</v>
      </c>
      <c r="BV231" s="27">
        <f>COGS!BV231</f>
        <v>0</v>
      </c>
      <c r="BW231" s="27">
        <f>COGS!BW231</f>
        <v>0</v>
      </c>
      <c r="BX231" s="27">
        <f>COGS!BX231</f>
        <v>0</v>
      </c>
      <c r="BY231" s="27">
        <f>COGS!BY231</f>
        <v>0</v>
      </c>
      <c r="BZ231" s="27">
        <f>COGS!BZ231</f>
        <v>0</v>
      </c>
      <c r="CA231" s="27">
        <f>COGS!CA231</f>
        <v>0</v>
      </c>
      <c r="CB231" s="27">
        <f>COGS!CB231</f>
        <v>0</v>
      </c>
      <c r="CC231" s="27">
        <f>COGS!CC231</f>
        <v>0</v>
      </c>
      <c r="CD231" s="27">
        <f>COGS!CD231</f>
        <v>0</v>
      </c>
      <c r="CE231" s="27">
        <f>COGS!CE231</f>
        <v>0</v>
      </c>
      <c r="CF231" s="27">
        <f>COGS!CF231</f>
        <v>0</v>
      </c>
      <c r="CG231" s="27">
        <f>COGS!CG231</f>
        <v>0</v>
      </c>
      <c r="CH231" s="27">
        <f>COGS!CH231</f>
        <v>0</v>
      </c>
      <c r="CI231" s="27">
        <f>COGS!CI231</f>
        <v>0</v>
      </c>
      <c r="CJ231" s="27">
        <f>COGS!CJ231</f>
        <v>0</v>
      </c>
      <c r="CK231" s="27">
        <f>COGS!CK231</f>
        <v>0</v>
      </c>
      <c r="CL231" s="27">
        <f>COGS!CL231</f>
        <v>0</v>
      </c>
      <c r="CM231" s="27">
        <f>COGS!CM231</f>
        <v>0</v>
      </c>
      <c r="CN231" s="27">
        <f>COGS!CN231</f>
        <v>0</v>
      </c>
      <c r="CO231" s="27">
        <f>COGS!CO231</f>
        <v>0</v>
      </c>
      <c r="CP231" s="27">
        <f>COGS!CP231</f>
        <v>0</v>
      </c>
      <c r="CQ231" s="27">
        <f>COGS!CQ231</f>
        <v>0</v>
      </c>
      <c r="CR231" s="27">
        <f>COGS!CR231</f>
        <v>0</v>
      </c>
      <c r="CS231" s="27">
        <f>COGS!CS231</f>
        <v>0</v>
      </c>
      <c r="CT231" s="27">
        <f>COGS!CT231</f>
        <v>0</v>
      </c>
      <c r="CU231" s="27">
        <f>COGS!CU231</f>
        <v>0</v>
      </c>
      <c r="CV231" s="27">
        <f>COGS!CV231</f>
        <v>0</v>
      </c>
      <c r="CW231" s="27">
        <f>COGS!CW231</f>
        <v>0</v>
      </c>
      <c r="CX231" s="27">
        <f>COGS!CX231</f>
        <v>0</v>
      </c>
      <c r="CY231" s="27">
        <f>COGS!CY231</f>
        <v>0</v>
      </c>
      <c r="CZ231" s="27">
        <f>COGS!CZ231</f>
        <v>0</v>
      </c>
      <c r="DA231" s="27">
        <f>COGS!DA231</f>
        <v>0</v>
      </c>
      <c r="DB231" s="27">
        <f>COGS!DB231</f>
        <v>0</v>
      </c>
      <c r="DC231" s="27">
        <f>COGS!DC231</f>
        <v>0</v>
      </c>
      <c r="DD231" s="27">
        <f>COGS!DD231</f>
        <v>0</v>
      </c>
      <c r="DE231" s="27">
        <f>COGS!DE231</f>
        <v>0</v>
      </c>
      <c r="DF231" s="27">
        <f>COGS!DF231</f>
        <v>0</v>
      </c>
      <c r="DG231" s="27">
        <f>COGS!DG231</f>
        <v>0</v>
      </c>
      <c r="DH231" s="27">
        <f>COGS!DH231</f>
        <v>0</v>
      </c>
      <c r="DI231" s="27">
        <f>COGS!DI231</f>
        <v>0</v>
      </c>
      <c r="DJ231" s="27">
        <f>COGS!DJ231</f>
        <v>0</v>
      </c>
      <c r="DK231" s="27">
        <f>COGS!DK231</f>
        <v>0</v>
      </c>
      <c r="DL231" s="27">
        <f>COGS!DL231</f>
        <v>0</v>
      </c>
      <c r="DM231" s="27">
        <f>COGS!DM231</f>
        <v>0</v>
      </c>
      <c r="DN231" s="27">
        <f>COGS!DN231</f>
        <v>0</v>
      </c>
      <c r="DO231" s="27">
        <f>COGS!DO231</f>
        <v>0</v>
      </c>
      <c r="DP231" s="27">
        <f>COGS!DP231</f>
        <v>0</v>
      </c>
      <c r="DQ231" s="27">
        <f>COGS!DQ231</f>
        <v>0</v>
      </c>
      <c r="DR231" s="27">
        <f>COGS!DR231</f>
        <v>0</v>
      </c>
      <c r="DS231" s="27">
        <f>COGS!DS231</f>
        <v>0</v>
      </c>
      <c r="DT231" s="27">
        <f>COGS!DT231</f>
        <v>0</v>
      </c>
      <c r="DU231" s="27">
        <f>COGS!DU231</f>
        <v>0</v>
      </c>
      <c r="DV231" s="27">
        <f>COGS!DV231</f>
        <v>0</v>
      </c>
      <c r="DW231" s="27">
        <f>COGS!DW231</f>
        <v>0</v>
      </c>
      <c r="DX231" s="27">
        <f>COGS!DX231</f>
        <v>19.013000000000002</v>
      </c>
      <c r="DY231" s="27">
        <f>COGS!DY231</f>
        <v>70.91776234999999</v>
      </c>
      <c r="DZ231" s="27">
        <f>COGS!DZ231</f>
        <v>94.025924689999997</v>
      </c>
      <c r="EA231" s="27">
        <f>COGS!EA231</f>
        <v>183.95668703999999</v>
      </c>
      <c r="EB231" s="27">
        <f>COGS!EB231</f>
        <v>88.591461299999992</v>
      </c>
      <c r="EC231" s="27">
        <f>COGS!EC231</f>
        <v>130.99867774000001</v>
      </c>
      <c r="ED231" s="27">
        <f>COGS!ED231</f>
        <v>78.995000000000005</v>
      </c>
      <c r="EE231" s="27">
        <f>COGS!EE231</f>
        <v>109.14020609999996</v>
      </c>
      <c r="EF231" s="27">
        <f>COGS!EF231</f>
        <v>407.72534513999994</v>
      </c>
      <c r="EG231" s="27">
        <f>COGS!EG231</f>
        <v>180.02774505000002</v>
      </c>
      <c r="EH231" s="27">
        <f>COGS!EH231</f>
        <v>151.97908619999998</v>
      </c>
      <c r="EI231" s="27">
        <f>COGS!EI231</f>
        <v>181.9112317</v>
      </c>
    </row>
    <row r="232" spans="1:139" x14ac:dyDescent="0.3">
      <c r="A232" s="2" t="s">
        <v>460</v>
      </c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>
        <f>COGS!EE232</f>
        <v>0</v>
      </c>
      <c r="EF232" s="28">
        <f>COGS!EF232</f>
        <v>0</v>
      </c>
      <c r="EG232" s="28">
        <f>COGS!EG232</f>
        <v>0</v>
      </c>
      <c r="EH232" s="28">
        <f>COGS!EH232</f>
        <v>0</v>
      </c>
      <c r="EI232" s="28">
        <f>COGS!EI232</f>
        <v>10.916472240000001</v>
      </c>
    </row>
    <row r="233" spans="1:139" x14ac:dyDescent="0.3">
      <c r="A233" s="5" t="s">
        <v>311</v>
      </c>
      <c r="B233" s="29">
        <f>SUM(B219:B230)</f>
        <v>0</v>
      </c>
      <c r="C233" s="29">
        <f t="shared" ref="C233:BI233" si="32">SUM(C219:C230)</f>
        <v>0</v>
      </c>
      <c r="D233" s="29">
        <f t="shared" si="32"/>
        <v>0</v>
      </c>
      <c r="E233" s="29">
        <f t="shared" si="32"/>
        <v>0</v>
      </c>
      <c r="F233" s="29">
        <f t="shared" si="32"/>
        <v>0</v>
      </c>
      <c r="G233" s="29">
        <f t="shared" si="32"/>
        <v>0</v>
      </c>
      <c r="H233" s="29">
        <f t="shared" si="32"/>
        <v>0</v>
      </c>
      <c r="I233" s="29">
        <f t="shared" si="32"/>
        <v>0</v>
      </c>
      <c r="J233" s="29">
        <f t="shared" si="32"/>
        <v>0</v>
      </c>
      <c r="K233" s="29">
        <f t="shared" si="32"/>
        <v>0</v>
      </c>
      <c r="L233" s="29">
        <f t="shared" si="32"/>
        <v>0</v>
      </c>
      <c r="M233" s="29">
        <f t="shared" si="32"/>
        <v>0</v>
      </c>
      <c r="N233" s="29">
        <f t="shared" si="32"/>
        <v>0</v>
      </c>
      <c r="O233" s="29">
        <f t="shared" si="32"/>
        <v>0</v>
      </c>
      <c r="P233" s="29">
        <f t="shared" si="32"/>
        <v>0</v>
      </c>
      <c r="Q233" s="29">
        <f t="shared" si="32"/>
        <v>0</v>
      </c>
      <c r="R233" s="29">
        <f t="shared" si="32"/>
        <v>0</v>
      </c>
      <c r="S233" s="29">
        <f t="shared" si="32"/>
        <v>0</v>
      </c>
      <c r="T233" s="29">
        <f t="shared" si="32"/>
        <v>0</v>
      </c>
      <c r="U233" s="29">
        <f t="shared" si="32"/>
        <v>0</v>
      </c>
      <c r="V233" s="29">
        <f t="shared" si="32"/>
        <v>0</v>
      </c>
      <c r="W233" s="29">
        <f t="shared" si="32"/>
        <v>0</v>
      </c>
      <c r="X233" s="29">
        <f t="shared" si="32"/>
        <v>0</v>
      </c>
      <c r="Y233" s="29">
        <f t="shared" si="32"/>
        <v>0</v>
      </c>
      <c r="Z233" s="29">
        <f t="shared" si="32"/>
        <v>0</v>
      </c>
      <c r="AA233" s="29">
        <f t="shared" si="32"/>
        <v>0</v>
      </c>
      <c r="AB233" s="29">
        <f t="shared" si="32"/>
        <v>0</v>
      </c>
      <c r="AC233" s="29">
        <f t="shared" si="32"/>
        <v>0</v>
      </c>
      <c r="AD233" s="29">
        <f t="shared" si="32"/>
        <v>0</v>
      </c>
      <c r="AE233" s="29">
        <f t="shared" si="32"/>
        <v>0</v>
      </c>
      <c r="AF233" s="29">
        <f t="shared" si="32"/>
        <v>0</v>
      </c>
      <c r="AG233" s="29">
        <f t="shared" si="32"/>
        <v>0</v>
      </c>
      <c r="AH233" s="29">
        <f t="shared" si="32"/>
        <v>0</v>
      </c>
      <c r="AI233" s="29">
        <f t="shared" si="32"/>
        <v>0</v>
      </c>
      <c r="AJ233" s="29">
        <f t="shared" si="32"/>
        <v>0</v>
      </c>
      <c r="AK233" s="29">
        <f t="shared" si="32"/>
        <v>0</v>
      </c>
      <c r="AL233" s="29">
        <f t="shared" si="32"/>
        <v>0</v>
      </c>
      <c r="AM233" s="29">
        <f t="shared" si="32"/>
        <v>0</v>
      </c>
      <c r="AN233" s="29">
        <f t="shared" si="32"/>
        <v>0</v>
      </c>
      <c r="AO233" s="29">
        <f t="shared" si="32"/>
        <v>0</v>
      </c>
      <c r="AP233" s="29">
        <f t="shared" si="32"/>
        <v>0</v>
      </c>
      <c r="AQ233" s="29">
        <f t="shared" si="32"/>
        <v>0</v>
      </c>
      <c r="AR233" s="29">
        <f t="shared" si="32"/>
        <v>0</v>
      </c>
      <c r="AS233" s="29">
        <f t="shared" si="32"/>
        <v>0</v>
      </c>
      <c r="AT233" s="29">
        <f t="shared" si="32"/>
        <v>0</v>
      </c>
      <c r="AU233" s="29">
        <f t="shared" si="32"/>
        <v>0</v>
      </c>
      <c r="AV233" s="29">
        <f t="shared" si="32"/>
        <v>0</v>
      </c>
      <c r="AW233" s="29">
        <f t="shared" si="32"/>
        <v>0</v>
      </c>
      <c r="AX233" s="29">
        <f t="shared" si="32"/>
        <v>0</v>
      </c>
      <c r="AY233" s="29">
        <f t="shared" si="32"/>
        <v>0</v>
      </c>
      <c r="AZ233" s="29">
        <f t="shared" si="32"/>
        <v>0</v>
      </c>
      <c r="BA233" s="29">
        <f t="shared" si="32"/>
        <v>0</v>
      </c>
      <c r="BB233" s="29">
        <f t="shared" si="32"/>
        <v>0</v>
      </c>
      <c r="BC233" s="29">
        <f t="shared" si="32"/>
        <v>0</v>
      </c>
      <c r="BD233" s="29">
        <f t="shared" si="32"/>
        <v>0</v>
      </c>
      <c r="BE233" s="29">
        <f t="shared" si="32"/>
        <v>0</v>
      </c>
      <c r="BF233" s="29">
        <f t="shared" si="32"/>
        <v>0</v>
      </c>
      <c r="BG233" s="29">
        <f t="shared" si="32"/>
        <v>0</v>
      </c>
      <c r="BH233" s="29">
        <f t="shared" si="32"/>
        <v>0</v>
      </c>
      <c r="BI233" s="29">
        <f t="shared" si="32"/>
        <v>0</v>
      </c>
      <c r="BJ233" s="29">
        <f>SUM(BJ219:BJ231)</f>
        <v>64</v>
      </c>
      <c r="BK233" s="29">
        <f t="shared" ref="BK233:DV233" si="33">SUM(BK219:BK231)</f>
        <v>40.700000000000003</v>
      </c>
      <c r="BL233" s="29">
        <f t="shared" si="33"/>
        <v>33.200000000000003</v>
      </c>
      <c r="BM233" s="29">
        <f t="shared" si="33"/>
        <v>36.900000000000006</v>
      </c>
      <c r="BN233" s="29">
        <f t="shared" si="33"/>
        <v>174.8</v>
      </c>
      <c r="BO233" s="29">
        <f t="shared" si="33"/>
        <v>32</v>
      </c>
      <c r="BP233" s="29">
        <f t="shared" si="33"/>
        <v>54.8</v>
      </c>
      <c r="BQ233" s="29">
        <f t="shared" si="33"/>
        <v>49.100000000000009</v>
      </c>
      <c r="BR233" s="29">
        <f t="shared" si="33"/>
        <v>63.599999999999994</v>
      </c>
      <c r="BS233" s="29">
        <f t="shared" si="33"/>
        <v>199.5</v>
      </c>
      <c r="BT233" s="29">
        <f t="shared" si="33"/>
        <v>39.900000000000006</v>
      </c>
      <c r="BU233" s="29">
        <f t="shared" si="33"/>
        <v>63.400000000000006</v>
      </c>
      <c r="BV233" s="29">
        <f t="shared" si="33"/>
        <v>87.9</v>
      </c>
      <c r="BW233" s="29">
        <f t="shared" si="33"/>
        <v>107.1</v>
      </c>
      <c r="BX233" s="29">
        <f t="shared" si="33"/>
        <v>298.3</v>
      </c>
      <c r="BY233" s="29">
        <f t="shared" si="33"/>
        <v>58.1</v>
      </c>
      <c r="BZ233" s="29">
        <f t="shared" si="33"/>
        <v>130.1</v>
      </c>
      <c r="CA233" s="29">
        <f t="shared" si="33"/>
        <v>143.49999999999997</v>
      </c>
      <c r="CB233" s="29">
        <f t="shared" si="33"/>
        <v>174.1</v>
      </c>
      <c r="CC233" s="29">
        <f t="shared" si="33"/>
        <v>505.80000000000007</v>
      </c>
      <c r="CD233" s="29">
        <f t="shared" si="33"/>
        <v>119.64999999999999</v>
      </c>
      <c r="CE233" s="29">
        <f t="shared" si="33"/>
        <v>306.18281690999999</v>
      </c>
      <c r="CF233" s="29">
        <f t="shared" si="33"/>
        <v>138.6</v>
      </c>
      <c r="CG233" s="29">
        <f t="shared" si="33"/>
        <v>149.20000000000002</v>
      </c>
      <c r="CH233" s="29">
        <f t="shared" si="33"/>
        <v>713.63281690999997</v>
      </c>
      <c r="CI233" s="29">
        <f t="shared" si="33"/>
        <v>108.3</v>
      </c>
      <c r="CJ233" s="29">
        <f t="shared" si="33"/>
        <v>115.3</v>
      </c>
      <c r="CK233" s="29">
        <f t="shared" si="33"/>
        <v>111.5</v>
      </c>
      <c r="CL233" s="29">
        <f t="shared" si="33"/>
        <v>108</v>
      </c>
      <c r="CM233" s="29">
        <f t="shared" si="33"/>
        <v>443.1</v>
      </c>
      <c r="CN233" s="29">
        <f t="shared" si="33"/>
        <v>64.599999999999994</v>
      </c>
      <c r="CO233" s="29">
        <f t="shared" si="33"/>
        <v>95.9</v>
      </c>
      <c r="CP233" s="29">
        <f t="shared" si="33"/>
        <v>162.6</v>
      </c>
      <c r="CQ233" s="29">
        <f t="shared" si="33"/>
        <v>128.29999999999998</v>
      </c>
      <c r="CR233" s="29">
        <f t="shared" si="33"/>
        <v>451.4</v>
      </c>
      <c r="CS233" s="29">
        <f t="shared" si="33"/>
        <v>87.124641700000012</v>
      </c>
      <c r="CT233" s="29">
        <f t="shared" si="33"/>
        <v>147.66319407</v>
      </c>
      <c r="CU233" s="29">
        <f t="shared" si="33"/>
        <v>166.54955256999997</v>
      </c>
      <c r="CV233" s="29">
        <f t="shared" si="33"/>
        <v>185.19900514999995</v>
      </c>
      <c r="CW233" s="29">
        <f t="shared" si="33"/>
        <v>586.53639348999991</v>
      </c>
      <c r="CX233" s="29">
        <f t="shared" si="33"/>
        <v>126.74600000000001</v>
      </c>
      <c r="CY233" s="29">
        <f t="shared" si="33"/>
        <v>137.125</v>
      </c>
      <c r="CZ233" s="29">
        <f t="shared" si="33"/>
        <v>136.941</v>
      </c>
      <c r="DA233" s="29">
        <f t="shared" si="33"/>
        <v>252.255</v>
      </c>
      <c r="DB233" s="29">
        <f t="shared" si="33"/>
        <v>653.06700000000001</v>
      </c>
      <c r="DC233" s="29">
        <f t="shared" si="33"/>
        <v>224.82700000000003</v>
      </c>
      <c r="DD233" s="29">
        <f t="shared" si="33"/>
        <v>278.01000000000005</v>
      </c>
      <c r="DE233" s="29">
        <f t="shared" si="33"/>
        <v>199.32299999999995</v>
      </c>
      <c r="DF233" s="29">
        <f t="shared" si="33"/>
        <v>305.56600000000003</v>
      </c>
      <c r="DG233" s="29">
        <f t="shared" si="33"/>
        <v>1007.726</v>
      </c>
      <c r="DH233" s="29">
        <f t="shared" si="33"/>
        <v>202.02799999999999</v>
      </c>
      <c r="DI233" s="29">
        <f t="shared" si="33"/>
        <v>260.43700000000001</v>
      </c>
      <c r="DJ233" s="29">
        <f t="shared" si="33"/>
        <v>287.28100000000001</v>
      </c>
      <c r="DK233" s="29">
        <f t="shared" si="33"/>
        <v>231.73000000000002</v>
      </c>
      <c r="DL233" s="29">
        <f t="shared" si="33"/>
        <v>981.47599999999989</v>
      </c>
      <c r="DM233" s="29">
        <f t="shared" si="33"/>
        <v>169.553</v>
      </c>
      <c r="DN233" s="29">
        <f t="shared" si="33"/>
        <v>241.60000000000002</v>
      </c>
      <c r="DO233" s="29">
        <f t="shared" si="33"/>
        <v>339.447</v>
      </c>
      <c r="DP233" s="29">
        <f t="shared" si="33"/>
        <v>412.83699999999993</v>
      </c>
      <c r="DQ233" s="29">
        <f t="shared" si="33"/>
        <v>1163.4369999999999</v>
      </c>
      <c r="DR233" s="29">
        <f t="shared" si="33"/>
        <v>369.959</v>
      </c>
      <c r="DS233" s="29">
        <f t="shared" si="33"/>
        <v>572.84799999999996</v>
      </c>
      <c r="DT233" s="29">
        <f t="shared" si="33"/>
        <v>786.303</v>
      </c>
      <c r="DU233" s="29">
        <f t="shared" si="33"/>
        <v>759.86199999999997</v>
      </c>
      <c r="DV233" s="29">
        <f t="shared" si="33"/>
        <v>2488.9720000000002</v>
      </c>
      <c r="DW233" s="29">
        <f t="shared" ref="DW233:ED233" si="34">SUM(DW219:DW231)</f>
        <v>474.43599999999998</v>
      </c>
      <c r="DX233" s="29">
        <f t="shared" si="34"/>
        <v>727.16100000000006</v>
      </c>
      <c r="DY233" s="29">
        <f t="shared" si="34"/>
        <v>1129.0159958500001</v>
      </c>
      <c r="DZ233" s="29">
        <f t="shared" si="34"/>
        <v>1119.9176553499999</v>
      </c>
      <c r="EA233" s="29">
        <f t="shared" si="34"/>
        <v>3450.5306511999997</v>
      </c>
      <c r="EB233" s="29">
        <f t="shared" si="34"/>
        <v>605.04722755</v>
      </c>
      <c r="EC233" s="29">
        <f t="shared" si="34"/>
        <v>859.89926633999994</v>
      </c>
      <c r="ED233" s="29">
        <f t="shared" si="34"/>
        <v>870.69100000000003</v>
      </c>
      <c r="EE233" s="29">
        <f t="shared" ref="EE233:EF233" si="35">SUM(EE219:EE231)</f>
        <v>1096.9704495099998</v>
      </c>
      <c r="EF233" s="29">
        <f t="shared" si="35"/>
        <v>3432.6079433999994</v>
      </c>
      <c r="EG233" s="29">
        <f>SUM(EG219:EG232)</f>
        <v>757.27036492999991</v>
      </c>
      <c r="EH233" s="29">
        <f>SUM(EH219:EH232)</f>
        <v>899.27660818000004</v>
      </c>
      <c r="EI233" s="29">
        <f>SUM(EI219:EI232)</f>
        <v>1020.5725620699999</v>
      </c>
    </row>
    <row r="234" spans="1:139" x14ac:dyDescent="0.3">
      <c r="A234" s="20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</row>
    <row r="235" spans="1:139" x14ac:dyDescent="0.3">
      <c r="ED235" s="33"/>
      <c r="EE235" s="33"/>
      <c r="EF235" s="33"/>
      <c r="EG235" s="33"/>
      <c r="EH235" s="33"/>
      <c r="EI235" s="33"/>
    </row>
    <row r="236" spans="1:139" x14ac:dyDescent="0.3">
      <c r="BJ236" s="33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AA82A-51EB-463D-AFDF-77D5A2F68549}">
  <sheetPr codeName="Planilha6">
    <tabColor theme="4" tint="-0.499984740745262"/>
  </sheetPr>
  <dimension ref="A1:EI141"/>
  <sheetViews>
    <sheetView showGridLines="0" zoomScale="85" zoomScaleNormal="85" workbookViewId="0">
      <pane xSplit="1" topLeftCell="DW1" activePane="topRight" state="frozen"/>
      <selection activeCell="EK144" sqref="EK144"/>
      <selection pane="topRight" activeCell="EI1" sqref="EI1"/>
    </sheetView>
  </sheetViews>
  <sheetFormatPr defaultRowHeight="14.4" x14ac:dyDescent="0.3"/>
  <cols>
    <col min="1" max="1" width="48.77734375" customWidth="1"/>
    <col min="2" max="5" width="5.5546875" hidden="1" customWidth="1"/>
    <col min="6" max="6" width="5.21875" hidden="1" customWidth="1"/>
    <col min="7" max="10" width="5.5546875" hidden="1" customWidth="1"/>
    <col min="11" max="11" width="5.21875" hidden="1" customWidth="1"/>
    <col min="12" max="15" width="5.5546875" hidden="1" customWidth="1"/>
    <col min="16" max="16" width="5.21875" hidden="1" customWidth="1"/>
    <col min="17" max="20" width="5.5546875" hidden="1" customWidth="1"/>
    <col min="21" max="21" width="5.21875" hidden="1" customWidth="1"/>
    <col min="22" max="25" width="5.5546875" hidden="1" customWidth="1"/>
    <col min="26" max="26" width="5.21875" hidden="1" customWidth="1"/>
    <col min="27" max="30" width="5.5546875" hidden="1" customWidth="1"/>
    <col min="31" max="31" width="5.21875" hidden="1" customWidth="1"/>
    <col min="32" max="35" width="5.5546875" hidden="1" customWidth="1"/>
    <col min="36" max="36" width="5.21875" hidden="1" customWidth="1"/>
    <col min="37" max="40" width="5.5546875" hidden="1" customWidth="1"/>
    <col min="41" max="41" width="5.21875" hidden="1" customWidth="1"/>
    <col min="42" max="45" width="5.5546875" hidden="1" customWidth="1"/>
    <col min="46" max="46" width="5.21875" hidden="1" customWidth="1"/>
    <col min="47" max="50" width="5.5546875" hidden="1" customWidth="1"/>
    <col min="51" max="51" width="5.21875" hidden="1" customWidth="1"/>
    <col min="52" max="55" width="5.5546875" hidden="1" customWidth="1"/>
    <col min="56" max="56" width="5.21875" hidden="1" customWidth="1"/>
    <col min="57" max="60" width="5.5546875" hidden="1" customWidth="1"/>
    <col min="61" max="61" width="5.21875" hidden="1" customWidth="1"/>
    <col min="62" max="62" width="6.21875" hidden="1" customWidth="1"/>
    <col min="63" max="65" width="6.77734375" hidden="1" customWidth="1"/>
    <col min="66" max="66" width="7" hidden="1" customWidth="1"/>
    <col min="67" max="70" width="6.77734375" hidden="1" customWidth="1"/>
    <col min="71" max="71" width="7" hidden="1" customWidth="1"/>
    <col min="72" max="75" width="6.77734375" hidden="1" customWidth="1"/>
    <col min="76" max="76" width="7" hidden="1" customWidth="1"/>
    <col min="77" max="79" width="6.77734375" hidden="1" customWidth="1"/>
    <col min="80" max="80" width="7" hidden="1" customWidth="1"/>
    <col min="81" max="81" width="7.77734375" hidden="1" customWidth="1"/>
    <col min="82" max="83" width="7" hidden="1" customWidth="1"/>
    <col min="84" max="84" width="6.77734375" hidden="1" customWidth="1"/>
    <col min="85" max="85" width="7" hidden="1" customWidth="1"/>
    <col min="86" max="86" width="7.77734375" hidden="1" customWidth="1"/>
    <col min="87" max="95" width="7" hidden="1" customWidth="1"/>
    <col min="96" max="101" width="7.77734375" hidden="1" customWidth="1"/>
    <col min="102" max="105" width="7" hidden="1" customWidth="1"/>
    <col min="106" max="106" width="7.77734375" hidden="1" customWidth="1"/>
    <col min="107" max="110" width="7" hidden="1" customWidth="1"/>
    <col min="111" max="111" width="7.77734375" hidden="1" customWidth="1"/>
    <col min="112" max="115" width="7" customWidth="1"/>
    <col min="116" max="125" width="7.77734375" customWidth="1"/>
    <col min="126" max="126" width="9.21875" customWidth="1"/>
    <col min="127" max="129" width="7.77734375" customWidth="1"/>
    <col min="130" max="130" width="8.44140625" customWidth="1"/>
    <col min="131" max="131" width="8.77734375" customWidth="1"/>
    <col min="132" max="132" width="9.21875" customWidth="1"/>
    <col min="133" max="133" width="9.44140625" bestFit="1" customWidth="1"/>
    <col min="134" max="134" width="9.5546875" bestFit="1" customWidth="1"/>
    <col min="135" max="135" width="10.77734375" bestFit="1" customWidth="1"/>
    <col min="136" max="136" width="8.77734375" bestFit="1" customWidth="1"/>
    <col min="137" max="139" width="10.77734375" bestFit="1" customWidth="1"/>
    <col min="140" max="140" width="8.77734375" bestFit="1" customWidth="1"/>
    <col min="141" max="141" width="13.21875" bestFit="1" customWidth="1"/>
    <col min="142" max="142" width="4.77734375" bestFit="1" customWidth="1"/>
    <col min="143" max="143" width="10.44140625" customWidth="1"/>
    <col min="144" max="144" width="8.77734375" customWidth="1"/>
    <col min="145" max="145" width="13.77734375" customWidth="1"/>
    <col min="146" max="146" width="8.77734375" customWidth="1"/>
    <col min="147" max="147" width="9.21875" customWidth="1"/>
    <col min="148" max="148" width="8.77734375" customWidth="1"/>
  </cols>
  <sheetData>
    <row r="1" spans="1:139" x14ac:dyDescent="0.3">
      <c r="A1" s="3" t="s">
        <v>339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4" t="s">
        <v>340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27">
        <f t="shared" ref="BJ3:CO3" si="0">BJ31+BJ59+BJ87+BJ115</f>
        <v>-1.46158177</v>
      </c>
      <c r="BK3" s="27">
        <f t="shared" si="0"/>
        <v>-1.3022656899999996</v>
      </c>
      <c r="BL3" s="27">
        <f t="shared" si="0"/>
        <v>-1.3971555600000012</v>
      </c>
      <c r="BM3" s="27">
        <f t="shared" si="0"/>
        <v>-1.0665826299999996</v>
      </c>
      <c r="BN3" s="27">
        <f t="shared" si="0"/>
        <v>-5.22758565</v>
      </c>
      <c r="BO3" s="27">
        <f t="shared" si="0"/>
        <v>-1.2060537700000002</v>
      </c>
      <c r="BP3" s="27">
        <f t="shared" si="0"/>
        <v>-1.2011626599999998</v>
      </c>
      <c r="BQ3" s="27">
        <f t="shared" si="0"/>
        <v>-1.5737676799999996</v>
      </c>
      <c r="BR3" s="27">
        <f t="shared" si="0"/>
        <v>-2.1617885499999998</v>
      </c>
      <c r="BS3" s="27">
        <f t="shared" si="0"/>
        <v>-6.1427726599999994</v>
      </c>
      <c r="BT3" s="27">
        <f t="shared" si="0"/>
        <v>-2.3613943999999996</v>
      </c>
      <c r="BU3" s="27">
        <f t="shared" si="0"/>
        <v>-1.4856578400000005</v>
      </c>
      <c r="BV3" s="27">
        <f t="shared" si="0"/>
        <v>-1.74621202</v>
      </c>
      <c r="BW3" s="27">
        <f t="shared" si="0"/>
        <v>-2.2619654100000002</v>
      </c>
      <c r="BX3" s="27">
        <f t="shared" si="0"/>
        <v>-7.8552296699999999</v>
      </c>
      <c r="BY3" s="27">
        <f t="shared" si="0"/>
        <v>-2.0711339</v>
      </c>
      <c r="BZ3" s="27">
        <f t="shared" si="0"/>
        <v>-2.4486544800000001</v>
      </c>
      <c r="CA3" s="27">
        <f t="shared" si="0"/>
        <v>-2.9878587800000003</v>
      </c>
      <c r="CB3" s="27">
        <f t="shared" si="0"/>
        <v>-3.0486317900000004</v>
      </c>
      <c r="CC3" s="27">
        <f t="shared" si="0"/>
        <v>-11.661392690000001</v>
      </c>
      <c r="CD3" s="27">
        <f t="shared" si="0"/>
        <v>-2.9421477299999994</v>
      </c>
      <c r="CE3" s="27">
        <f t="shared" si="0"/>
        <v>-2.7972764300000001</v>
      </c>
      <c r="CF3" s="27">
        <f t="shared" si="0"/>
        <v>-3.4858312800000002</v>
      </c>
      <c r="CG3" s="27">
        <f t="shared" si="0"/>
        <v>-4.1478522799999986</v>
      </c>
      <c r="CH3" s="27">
        <f t="shared" si="0"/>
        <v>-13.373107719999998</v>
      </c>
      <c r="CI3" s="27">
        <f t="shared" si="0"/>
        <v>-4.6871068600000001</v>
      </c>
      <c r="CJ3" s="27">
        <f t="shared" si="0"/>
        <v>-5.2478351600000002</v>
      </c>
      <c r="CK3" s="27">
        <f t="shared" si="0"/>
        <v>-5.980499570000001</v>
      </c>
      <c r="CL3" s="27">
        <f t="shared" si="0"/>
        <v>-6.0873970999999978</v>
      </c>
      <c r="CM3" s="27">
        <f t="shared" si="0"/>
        <v>-22.002838689999997</v>
      </c>
      <c r="CN3" s="27">
        <f t="shared" si="0"/>
        <v>-5.6878556200000006</v>
      </c>
      <c r="CO3" s="27">
        <f t="shared" si="0"/>
        <v>-5.2358433200000007</v>
      </c>
      <c r="CP3" s="27">
        <f t="shared" ref="CP3:DX3" si="1">CP31+CP59+CP87+CP115</f>
        <v>-5.7069311599999972</v>
      </c>
      <c r="CQ3" s="27">
        <f t="shared" si="1"/>
        <v>-4.7183699000000026</v>
      </c>
      <c r="CR3" s="27">
        <f t="shared" si="1"/>
        <v>-21.349000000000004</v>
      </c>
      <c r="CS3" s="27">
        <f t="shared" si="1"/>
        <v>-5.3561720399999988</v>
      </c>
      <c r="CT3" s="27">
        <f t="shared" si="1"/>
        <v>-4.2010935400000005</v>
      </c>
      <c r="CU3" s="27">
        <f t="shared" si="1"/>
        <v>-3.5443569199999998</v>
      </c>
      <c r="CV3" s="27">
        <f t="shared" si="1"/>
        <v>-2.8346197000000002</v>
      </c>
      <c r="CW3" s="27">
        <f>CW31+CW59+CW87+CW115</f>
        <v>-15.936242200000002</v>
      </c>
      <c r="CX3" s="27">
        <f t="shared" si="1"/>
        <v>-3.1440000000000001</v>
      </c>
      <c r="CY3" s="27">
        <f t="shared" si="1"/>
        <v>-2.1589999999999998</v>
      </c>
      <c r="CZ3" s="27">
        <f t="shared" si="1"/>
        <v>-2.508</v>
      </c>
      <c r="DA3" s="27">
        <f t="shared" si="1"/>
        <v>-2.633</v>
      </c>
      <c r="DB3" s="27">
        <f t="shared" si="1"/>
        <v>-10.443999999999999</v>
      </c>
      <c r="DC3" s="27">
        <f t="shared" si="1"/>
        <v>-2.5990000000000002</v>
      </c>
      <c r="DD3" s="27">
        <f t="shared" si="1"/>
        <v>-2.3730000000000002</v>
      </c>
      <c r="DE3" s="27">
        <f t="shared" si="1"/>
        <v>-0.85899999999999999</v>
      </c>
      <c r="DF3" s="27">
        <f t="shared" si="1"/>
        <v>-2.4400000000000004</v>
      </c>
      <c r="DG3" s="27">
        <f t="shared" si="1"/>
        <v>-8.270999999999999</v>
      </c>
      <c r="DH3" s="27">
        <f t="shared" si="1"/>
        <v>-2.1269999999999998</v>
      </c>
      <c r="DI3" s="27">
        <f t="shared" si="1"/>
        <v>0.16000000000000003</v>
      </c>
      <c r="DJ3" s="27">
        <f t="shared" si="1"/>
        <v>0.44100000000000006</v>
      </c>
      <c r="DK3" s="27">
        <f t="shared" si="1"/>
        <v>0.54499999999999993</v>
      </c>
      <c r="DL3" s="27">
        <f t="shared" si="1"/>
        <v>-0.98100000000000032</v>
      </c>
      <c r="DM3" s="27">
        <f t="shared" si="1"/>
        <v>0.47399999999999998</v>
      </c>
      <c r="DN3" s="27">
        <f t="shared" si="1"/>
        <v>0.86999999999999988</v>
      </c>
      <c r="DO3" s="27">
        <f t="shared" si="1"/>
        <v>1.9170000000000003</v>
      </c>
      <c r="DP3" s="27">
        <f t="shared" si="1"/>
        <v>4.0030000000000001</v>
      </c>
      <c r="DQ3" s="27">
        <f t="shared" si="1"/>
        <v>7.2640000000000002</v>
      </c>
      <c r="DR3" s="27">
        <f t="shared" si="1"/>
        <v>6.0460000000000003</v>
      </c>
      <c r="DS3" s="27">
        <f t="shared" si="1"/>
        <v>6.931</v>
      </c>
      <c r="DT3" s="27">
        <f t="shared" si="1"/>
        <v>4.8109999999999999</v>
      </c>
      <c r="DU3" s="27">
        <f t="shared" si="1"/>
        <v>1.8259999999999998</v>
      </c>
      <c r="DV3" s="27">
        <f t="shared" si="1"/>
        <v>19.614000000000001</v>
      </c>
      <c r="DW3" s="27">
        <f t="shared" si="1"/>
        <v>0.29000000000000004</v>
      </c>
      <c r="DX3" s="27">
        <f t="shared" si="1"/>
        <v>-9.1381000000000018E-2</v>
      </c>
      <c r="DY3" s="27">
        <v>0.20451698000000004</v>
      </c>
      <c r="DZ3" s="27">
        <f t="shared" ref="DZ3:EC15" si="2">DZ31+DZ59+DZ87+DZ115</f>
        <v>-0.74102255999999977</v>
      </c>
      <c r="EA3" s="27">
        <f t="shared" si="2"/>
        <v>-0.33788657999999971</v>
      </c>
      <c r="EB3" s="27">
        <f t="shared" si="2"/>
        <v>4.9758390000000041E-2</v>
      </c>
      <c r="EC3" s="27">
        <f t="shared" si="2"/>
        <v>1.7118929999999977E-2</v>
      </c>
      <c r="ED3" s="27">
        <f t="shared" ref="ED3" si="3">ED31+ED59+ED87+ED115</f>
        <v>0.19</v>
      </c>
      <c r="EE3" s="27">
        <f t="shared" ref="EE3:EG3" si="4">EE31+EE59+EE87+EE115</f>
        <v>0.12336431999999986</v>
      </c>
      <c r="EF3" s="27">
        <f>SUM(EB3:EE3)</f>
        <v>0.38024163999999988</v>
      </c>
      <c r="EG3" s="27">
        <f t="shared" si="4"/>
        <v>3.0778990000000006E-2</v>
      </c>
      <c r="EH3" s="27">
        <f t="shared" ref="EH3:EI3" si="5">EH31+EH59+EH87+EH115</f>
        <v>0.1990678600000001</v>
      </c>
      <c r="EI3" s="27">
        <f t="shared" si="5"/>
        <v>0.20691377999999994</v>
      </c>
    </row>
    <row r="4" spans="1:139" ht="15" thickBot="1" x14ac:dyDescent="0.35">
      <c r="A4" s="2" t="s">
        <v>454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28">
        <f t="shared" ref="BJ4:CO4" si="6">BJ32+BJ60+BJ88+BJ116</f>
        <v>-0.95171165999999996</v>
      </c>
      <c r="BK4" s="28">
        <f t="shared" si="6"/>
        <v>-0.91383212999999985</v>
      </c>
      <c r="BL4" s="28">
        <f t="shared" si="6"/>
        <v>-0.90903404000000032</v>
      </c>
      <c r="BM4" s="28">
        <f t="shared" si="6"/>
        <v>-0.99942592000000041</v>
      </c>
      <c r="BN4" s="28">
        <f t="shared" si="6"/>
        <v>-3.7740037500000003</v>
      </c>
      <c r="BO4" s="28">
        <f t="shared" si="6"/>
        <v>-0.43562355999999985</v>
      </c>
      <c r="BP4" s="28">
        <f t="shared" si="6"/>
        <v>-0.73832508000000041</v>
      </c>
      <c r="BQ4" s="28">
        <f t="shared" si="6"/>
        <v>-1.3032740999999997</v>
      </c>
      <c r="BR4" s="28">
        <f t="shared" si="6"/>
        <v>-2.0838185000000014</v>
      </c>
      <c r="BS4" s="28">
        <f t="shared" si="6"/>
        <v>-4.5610412400000007</v>
      </c>
      <c r="BT4" s="28">
        <f t="shared" si="6"/>
        <v>-2.0135614200000003</v>
      </c>
      <c r="BU4" s="28">
        <f t="shared" si="6"/>
        <v>-6.658929070000001</v>
      </c>
      <c r="BV4" s="28">
        <f t="shared" si="6"/>
        <v>3.0391591900000008</v>
      </c>
      <c r="BW4" s="28">
        <f t="shared" si="6"/>
        <v>-2.5979479000000008</v>
      </c>
      <c r="BX4" s="28">
        <f t="shared" si="6"/>
        <v>-8.2312792000000012</v>
      </c>
      <c r="BY4" s="28">
        <f t="shared" si="6"/>
        <v>-1.7746346</v>
      </c>
      <c r="BZ4" s="28">
        <f t="shared" si="6"/>
        <v>-1.8575872799999997</v>
      </c>
      <c r="CA4" s="28">
        <f t="shared" si="6"/>
        <v>-2.3363481400000006</v>
      </c>
      <c r="CB4" s="28">
        <f t="shared" si="6"/>
        <v>-3.7344952099999995</v>
      </c>
      <c r="CC4" s="28">
        <f t="shared" si="6"/>
        <v>-11.141594249999999</v>
      </c>
      <c r="CD4" s="28">
        <f t="shared" si="6"/>
        <v>-3.0447247500000003</v>
      </c>
      <c r="CE4" s="28">
        <f t="shared" si="6"/>
        <v>-2.7598596799999999</v>
      </c>
      <c r="CF4" s="28">
        <f t="shared" si="6"/>
        <v>-3.2597659100000014</v>
      </c>
      <c r="CG4" s="28">
        <f t="shared" si="6"/>
        <v>-3.190890379999999</v>
      </c>
      <c r="CH4" s="28">
        <f t="shared" si="6"/>
        <v>-12.25524072</v>
      </c>
      <c r="CI4" s="28">
        <f t="shared" si="6"/>
        <v>-4.4638579500000004</v>
      </c>
      <c r="CJ4" s="28">
        <f t="shared" si="6"/>
        <v>-5.0390188</v>
      </c>
      <c r="CK4" s="28">
        <f t="shared" si="6"/>
        <v>-5.7867344700000016</v>
      </c>
      <c r="CL4" s="28">
        <f t="shared" si="6"/>
        <v>-5.7514364499999981</v>
      </c>
      <c r="CM4" s="28">
        <f t="shared" si="6"/>
        <v>-21.041047670000001</v>
      </c>
      <c r="CN4" s="28">
        <f t="shared" si="6"/>
        <v>-5.5965180800000001</v>
      </c>
      <c r="CO4" s="28">
        <f t="shared" si="6"/>
        <v>-5.7511668100000009</v>
      </c>
      <c r="CP4" s="28">
        <f t="shared" ref="CP4:DX4" si="7">CP32+CP60+CP88+CP116</f>
        <v>-6.3316413700000007</v>
      </c>
      <c r="CQ4" s="28">
        <f t="shared" si="7"/>
        <v>-6.2166737399999956</v>
      </c>
      <c r="CR4" s="28">
        <f t="shared" si="7"/>
        <v>-23.896000000000001</v>
      </c>
      <c r="CS4" s="28">
        <f t="shared" si="7"/>
        <v>-6.9074445999999989</v>
      </c>
      <c r="CT4" s="28">
        <f t="shared" si="7"/>
        <v>-6.3585178300000003</v>
      </c>
      <c r="CU4" s="28">
        <f t="shared" si="7"/>
        <v>-7.4795537899999989</v>
      </c>
      <c r="CV4" s="28">
        <f t="shared" si="7"/>
        <v>-4.2651590900000036</v>
      </c>
      <c r="CW4" s="28">
        <f t="shared" si="7"/>
        <v>-25.010675310000003</v>
      </c>
      <c r="CX4" s="28">
        <f t="shared" si="7"/>
        <v>-4.3360000000000003</v>
      </c>
      <c r="CY4" s="28">
        <f t="shared" si="7"/>
        <v>-4.8940000000000001</v>
      </c>
      <c r="CZ4" s="28">
        <f t="shared" si="7"/>
        <v>-4.6479999999999997</v>
      </c>
      <c r="DA4" s="28">
        <f t="shared" si="7"/>
        <v>-4.7300000000000004</v>
      </c>
      <c r="DB4" s="28">
        <f t="shared" si="7"/>
        <v>-18.607999999999997</v>
      </c>
      <c r="DC4" s="28">
        <f t="shared" si="7"/>
        <v>-4.923</v>
      </c>
      <c r="DD4" s="28">
        <f t="shared" si="7"/>
        <v>-4.7809999999999997</v>
      </c>
      <c r="DE4" s="28">
        <f t="shared" si="7"/>
        <v>-4.2250000000000005</v>
      </c>
      <c r="DF4" s="28">
        <f t="shared" si="7"/>
        <v>-3.6399999999999997</v>
      </c>
      <c r="DG4" s="28">
        <f t="shared" si="7"/>
        <v>-17.568999999999999</v>
      </c>
      <c r="DH4" s="28">
        <f t="shared" si="7"/>
        <v>-2.802</v>
      </c>
      <c r="DI4" s="28">
        <f t="shared" si="7"/>
        <v>-3.1640000000000001</v>
      </c>
      <c r="DJ4" s="28">
        <f t="shared" si="7"/>
        <v>-2.9</v>
      </c>
      <c r="DK4" s="28">
        <f t="shared" si="7"/>
        <v>-2.4790000000000001</v>
      </c>
      <c r="DL4" s="28">
        <f t="shared" si="7"/>
        <v>-11.345000000000001</v>
      </c>
      <c r="DM4" s="28">
        <f t="shared" si="7"/>
        <v>-2.8860000000000001</v>
      </c>
      <c r="DN4" s="28">
        <f t="shared" si="7"/>
        <v>-4.0869999999999997</v>
      </c>
      <c r="DO4" s="28">
        <f t="shared" si="7"/>
        <v>-6.516</v>
      </c>
      <c r="DP4" s="28">
        <f t="shared" si="7"/>
        <v>-8.5940000000000012</v>
      </c>
      <c r="DQ4" s="28">
        <f t="shared" si="7"/>
        <v>-22.083000000000002</v>
      </c>
      <c r="DR4" s="28">
        <f t="shared" si="7"/>
        <v>-10.696</v>
      </c>
      <c r="DS4" s="28">
        <f t="shared" si="7"/>
        <v>-12.091000000000001</v>
      </c>
      <c r="DT4" s="28">
        <f t="shared" si="7"/>
        <v>-13.644</v>
      </c>
      <c r="DU4" s="28">
        <f t="shared" si="7"/>
        <v>-12.608000000000001</v>
      </c>
      <c r="DV4" s="28">
        <f t="shared" si="7"/>
        <v>-49.039000000000001</v>
      </c>
      <c r="DW4" s="28">
        <f t="shared" si="7"/>
        <v>-12.760000000000002</v>
      </c>
      <c r="DX4" s="28">
        <f t="shared" si="7"/>
        <v>-11.061677</v>
      </c>
      <c r="DY4" s="28">
        <v>-13.989510499999996</v>
      </c>
      <c r="DZ4" s="28">
        <f t="shared" si="2"/>
        <v>-9.6068971699999981</v>
      </c>
      <c r="EA4" s="28">
        <f t="shared" si="2"/>
        <v>-47.418084669999999</v>
      </c>
      <c r="EB4" s="28">
        <f t="shared" si="2"/>
        <v>-9.7508667100000022</v>
      </c>
      <c r="EC4" s="28">
        <f t="shared" si="2"/>
        <v>-7.3869413199999991</v>
      </c>
      <c r="ED4" s="28">
        <f t="shared" ref="ED4" si="8">ED32+ED60+ED88+ED116</f>
        <v>-7.3150000000000004</v>
      </c>
      <c r="EE4" s="28">
        <f t="shared" ref="EE4:EG4" si="9">EE32+EE60+EE88+EE116</f>
        <v>-7.4842263700000018</v>
      </c>
      <c r="EF4" s="28">
        <f t="shared" ref="EF4:EF25" si="10">SUM(EB4:EE4)</f>
        <v>-31.937034400000005</v>
      </c>
      <c r="EG4" s="28">
        <f t="shared" si="9"/>
        <v>-8.2392499899999994</v>
      </c>
      <c r="EH4" s="28">
        <f t="shared" ref="EH4:EI4" si="11">EH32+EH60+EH88+EH116</f>
        <v>-6.7835803499999985</v>
      </c>
      <c r="EI4" s="28">
        <f t="shared" si="11"/>
        <v>-6.6541536900000011</v>
      </c>
    </row>
    <row r="5" spans="1:139" ht="15" thickTop="1" x14ac:dyDescent="0.3">
      <c r="A5" s="1" t="s">
        <v>442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27">
        <f t="shared" ref="BJ5:CO5" si="12">BJ33+BJ61+BJ89+BJ117</f>
        <v>-26.754504239999999</v>
      </c>
      <c r="BK5" s="27">
        <f t="shared" si="12"/>
        <v>-26.948858049999998</v>
      </c>
      <c r="BL5" s="27">
        <f t="shared" si="12"/>
        <v>-22.879292580000005</v>
      </c>
      <c r="BM5" s="27">
        <f t="shared" si="12"/>
        <v>-27.451997319999982</v>
      </c>
      <c r="BN5" s="27">
        <f t="shared" si="12"/>
        <v>-104.03465218999999</v>
      </c>
      <c r="BO5" s="27">
        <f t="shared" si="12"/>
        <v>-22.679818919999999</v>
      </c>
      <c r="BP5" s="27">
        <f t="shared" si="12"/>
        <v>-11.630248140000003</v>
      </c>
      <c r="BQ5" s="27">
        <f t="shared" si="12"/>
        <v>-16.539524689999997</v>
      </c>
      <c r="BR5" s="27">
        <f t="shared" si="12"/>
        <v>-12.799264029999996</v>
      </c>
      <c r="BS5" s="27">
        <f t="shared" si="12"/>
        <v>-63.648855779999991</v>
      </c>
      <c r="BT5" s="27">
        <f t="shared" si="12"/>
        <v>-10.771595509999997</v>
      </c>
      <c r="BU5" s="27">
        <f t="shared" si="12"/>
        <v>-21.769924529999997</v>
      </c>
      <c r="BV5" s="27">
        <f t="shared" si="12"/>
        <v>-12.293611620000004</v>
      </c>
      <c r="BW5" s="27">
        <f t="shared" si="12"/>
        <v>-8.3275347400000008</v>
      </c>
      <c r="BX5" s="27">
        <f t="shared" si="12"/>
        <v>-53.162666399999999</v>
      </c>
      <c r="BY5" s="27">
        <f t="shared" si="12"/>
        <v>-8.5619064199999997</v>
      </c>
      <c r="BZ5" s="27">
        <f t="shared" si="12"/>
        <v>-16.591653819999998</v>
      </c>
      <c r="CA5" s="27">
        <f t="shared" si="12"/>
        <v>-15.942970510000004</v>
      </c>
      <c r="CB5" s="27">
        <f t="shared" si="12"/>
        <v>-23.264930119999999</v>
      </c>
      <c r="CC5" s="27">
        <f t="shared" si="12"/>
        <v>-120.74089932999999</v>
      </c>
      <c r="CD5" s="27">
        <f t="shared" si="12"/>
        <v>-32.507025730000002</v>
      </c>
      <c r="CE5" s="27">
        <f t="shared" si="12"/>
        <v>-26.61863177</v>
      </c>
      <c r="CF5" s="27">
        <f t="shared" si="12"/>
        <v>-9.4040377300000006</v>
      </c>
      <c r="CG5" s="27">
        <f t="shared" si="12"/>
        <v>-27.776130009999989</v>
      </c>
      <c r="CH5" s="27">
        <f t="shared" si="12"/>
        <v>-96.30582523999999</v>
      </c>
      <c r="CI5" s="27">
        <f t="shared" si="12"/>
        <v>-48.397260360000004</v>
      </c>
      <c r="CJ5" s="27">
        <f t="shared" si="12"/>
        <v>-34.738989249999996</v>
      </c>
      <c r="CK5" s="27">
        <f t="shared" si="12"/>
        <v>-26.579972669999982</v>
      </c>
      <c r="CL5" s="27">
        <f t="shared" si="12"/>
        <v>-38.790485839999995</v>
      </c>
      <c r="CM5" s="27">
        <f t="shared" si="12"/>
        <v>-148.50670811999998</v>
      </c>
      <c r="CN5" s="27">
        <f t="shared" si="12"/>
        <v>-44.086122359999997</v>
      </c>
      <c r="CO5" s="27">
        <f t="shared" si="12"/>
        <v>-28.480341119999995</v>
      </c>
      <c r="CP5" s="27">
        <f t="shared" ref="CP5:DX5" si="13">CP33+CP61+CP89+CP117</f>
        <v>-20.653276980000015</v>
      </c>
      <c r="CQ5" s="27">
        <f t="shared" si="13"/>
        <v>-10.296259539999983</v>
      </c>
      <c r="CR5" s="27">
        <f t="shared" si="13"/>
        <v>-103.51599999999999</v>
      </c>
      <c r="CS5" s="27">
        <f t="shared" si="13"/>
        <v>-16.860825219999999</v>
      </c>
      <c r="CT5" s="27">
        <f t="shared" si="13"/>
        <v>-20.591077739999999</v>
      </c>
      <c r="CU5" s="27">
        <f t="shared" si="13"/>
        <v>-2.8019653399999989</v>
      </c>
      <c r="CV5" s="27">
        <f t="shared" si="13"/>
        <v>-19.59819267</v>
      </c>
      <c r="CW5" s="27">
        <f>CW33+CW61+CW89+CW117</f>
        <v>-59.852060969999997</v>
      </c>
      <c r="CX5" s="27">
        <f t="shared" si="13"/>
        <v>-22.193999999999999</v>
      </c>
      <c r="CY5" s="27">
        <f t="shared" si="13"/>
        <v>-17.306000000000001</v>
      </c>
      <c r="CZ5" s="27">
        <f t="shared" si="13"/>
        <v>-23.576000000000001</v>
      </c>
      <c r="DA5" s="27">
        <f t="shared" si="13"/>
        <v>-18.366</v>
      </c>
      <c r="DB5" s="27">
        <f t="shared" si="13"/>
        <v>-81.442000000000007</v>
      </c>
      <c r="DC5" s="27">
        <f t="shared" si="13"/>
        <v>-23.212</v>
      </c>
      <c r="DD5" s="27">
        <f t="shared" si="13"/>
        <v>-23.146000000000001</v>
      </c>
      <c r="DE5" s="27">
        <f t="shared" si="13"/>
        <v>-10.828999999999997</v>
      </c>
      <c r="DF5" s="27">
        <f t="shared" si="13"/>
        <v>-13.684000000000001</v>
      </c>
      <c r="DG5" s="27">
        <f t="shared" si="13"/>
        <v>-70.870999999999995</v>
      </c>
      <c r="DH5" s="27">
        <f t="shared" si="13"/>
        <v>-25.661999999999999</v>
      </c>
      <c r="DI5" s="27">
        <f t="shared" si="13"/>
        <v>0.13299999999999912</v>
      </c>
      <c r="DJ5" s="27">
        <f t="shared" si="13"/>
        <v>-21.423999999999999</v>
      </c>
      <c r="DK5" s="27">
        <f t="shared" si="13"/>
        <v>-37.131999999999998</v>
      </c>
      <c r="DL5" s="27">
        <f t="shared" si="13"/>
        <v>-84.085000000000008</v>
      </c>
      <c r="DM5" s="27">
        <f t="shared" si="13"/>
        <v>-37.097000000000001</v>
      </c>
      <c r="DN5" s="27">
        <f t="shared" si="13"/>
        <v>-32.210999999999999</v>
      </c>
      <c r="DO5" s="27">
        <f t="shared" si="13"/>
        <v>-37.495999999999995</v>
      </c>
      <c r="DP5" s="27">
        <f t="shared" si="13"/>
        <v>-50.238</v>
      </c>
      <c r="DQ5" s="27">
        <f t="shared" si="13"/>
        <v>-157.042</v>
      </c>
      <c r="DR5" s="27">
        <f t="shared" si="13"/>
        <v>-47.275999999999996</v>
      </c>
      <c r="DS5" s="27">
        <f t="shared" si="13"/>
        <v>-39.272999999999996</v>
      </c>
      <c r="DT5" s="27">
        <f t="shared" si="13"/>
        <v>-16.237000000000002</v>
      </c>
      <c r="DU5" s="27">
        <f t="shared" si="13"/>
        <v>-32.989000000000004</v>
      </c>
      <c r="DV5" s="27">
        <f t="shared" si="13"/>
        <v>-135.77499999999998</v>
      </c>
      <c r="DW5" s="27">
        <f t="shared" si="13"/>
        <v>-43.272999999999996</v>
      </c>
      <c r="DX5" s="27">
        <f t="shared" si="13"/>
        <v>-58.399974</v>
      </c>
      <c r="DY5" s="27">
        <v>-48.292056380000012</v>
      </c>
      <c r="DZ5" s="27">
        <f t="shared" si="2"/>
        <v>-46.961919799999983</v>
      </c>
      <c r="EA5" s="27">
        <f t="shared" si="2"/>
        <v>-196.92695018000001</v>
      </c>
      <c r="EB5" s="27">
        <f t="shared" si="2"/>
        <v>-55.093411670000002</v>
      </c>
      <c r="EC5" s="27">
        <f t="shared" si="2"/>
        <v>-47.454180759999993</v>
      </c>
      <c r="ED5" s="27">
        <f t="shared" ref="ED5" si="14">ED33+ED61+ED89+ED117</f>
        <v>-47.341999999999999</v>
      </c>
      <c r="EE5" s="27">
        <f t="shared" ref="EE5:EG5" si="15">EE33+EE61+EE89+EE117</f>
        <v>-62.888683329999985</v>
      </c>
      <c r="EF5" s="27">
        <f t="shared" si="10"/>
        <v>-212.77827575999999</v>
      </c>
      <c r="EG5" s="27">
        <f t="shared" si="15"/>
        <v>-73.01031909000001</v>
      </c>
      <c r="EH5" s="27">
        <f t="shared" ref="EH5:EI5" si="16">EH33+EH61+EH89+EH117</f>
        <v>-53.172436059999974</v>
      </c>
      <c r="EI5" s="27">
        <f t="shared" si="16"/>
        <v>-48.002121940000002</v>
      </c>
    </row>
    <row r="6" spans="1:139" ht="15" thickBot="1" x14ac:dyDescent="0.35">
      <c r="A6" s="2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28">
        <f t="shared" ref="BJ6:CO6" si="17">BJ34+BJ62+BJ90+BJ118</f>
        <v>-3.0648604399999999</v>
      </c>
      <c r="BK6" s="28">
        <f t="shared" si="17"/>
        <v>-3.0092281499999998</v>
      </c>
      <c r="BL6" s="28">
        <f t="shared" si="17"/>
        <v>-2.8499892500000001</v>
      </c>
      <c r="BM6" s="28">
        <f t="shared" si="17"/>
        <v>-5.4968823500000008</v>
      </c>
      <c r="BN6" s="28">
        <f t="shared" si="17"/>
        <v>-14.420960190000002</v>
      </c>
      <c r="BO6" s="28">
        <f t="shared" si="17"/>
        <v>-5.2562739000000001</v>
      </c>
      <c r="BP6" s="28">
        <f t="shared" si="17"/>
        <v>-5.0777599700000007</v>
      </c>
      <c r="BQ6" s="28">
        <f t="shared" si="17"/>
        <v>-4.9959407500000008</v>
      </c>
      <c r="BR6" s="28">
        <f t="shared" si="17"/>
        <v>-4.2962861399999976</v>
      </c>
      <c r="BS6" s="28">
        <f t="shared" si="17"/>
        <v>-19.626260760000001</v>
      </c>
      <c r="BT6" s="28">
        <f t="shared" si="17"/>
        <v>-3.2022958300000002</v>
      </c>
      <c r="BU6" s="28">
        <f t="shared" si="17"/>
        <v>-2.8173849899999994</v>
      </c>
      <c r="BV6" s="28">
        <f t="shared" si="17"/>
        <v>-2.6894621099999996</v>
      </c>
      <c r="BW6" s="28">
        <f t="shared" si="17"/>
        <v>-2.8426343800000029</v>
      </c>
      <c r="BX6" s="28">
        <f t="shared" si="17"/>
        <v>-11.55177731</v>
      </c>
      <c r="BY6" s="28">
        <f t="shared" si="17"/>
        <v>-3.5091499800000001</v>
      </c>
      <c r="BZ6" s="28">
        <f t="shared" si="17"/>
        <v>-4.3000527200000001</v>
      </c>
      <c r="CA6" s="28">
        <f t="shared" si="17"/>
        <v>-4.2696147799999995</v>
      </c>
      <c r="CB6" s="28">
        <f t="shared" si="17"/>
        <v>-4.4289953100000004</v>
      </c>
      <c r="CC6" s="28">
        <f t="shared" si="17"/>
        <v>-18.892141949999999</v>
      </c>
      <c r="CD6" s="28">
        <f t="shared" si="17"/>
        <v>-4.3393142300000003</v>
      </c>
      <c r="CE6" s="28">
        <f t="shared" si="17"/>
        <v>-3.6187710700000002</v>
      </c>
      <c r="CF6" s="28">
        <f t="shared" si="17"/>
        <v>-3.6801154599999997</v>
      </c>
      <c r="CG6" s="28">
        <f t="shared" si="17"/>
        <v>-0.41143617999999849</v>
      </c>
      <c r="CH6" s="28">
        <f t="shared" si="17"/>
        <v>-12.049636939999999</v>
      </c>
      <c r="CI6" s="28">
        <f t="shared" si="17"/>
        <v>-2.6714418000000002</v>
      </c>
      <c r="CJ6" s="28">
        <f t="shared" si="17"/>
        <v>-1.4190896500000001</v>
      </c>
      <c r="CK6" s="28">
        <f t="shared" si="17"/>
        <v>-1.5136326000000009</v>
      </c>
      <c r="CL6" s="28">
        <f t="shared" si="17"/>
        <v>-5.3618017399999989</v>
      </c>
      <c r="CM6" s="28">
        <f t="shared" si="17"/>
        <v>-10.965965789999998</v>
      </c>
      <c r="CN6" s="28">
        <f t="shared" si="17"/>
        <v>-9.4936756399999993</v>
      </c>
      <c r="CO6" s="28">
        <f t="shared" si="17"/>
        <v>-9.1348929499999976</v>
      </c>
      <c r="CP6" s="28">
        <f t="shared" ref="CP6:DX6" si="18">CP34+CP62+CP90+CP118</f>
        <v>-8.9588494000000054</v>
      </c>
      <c r="CQ6" s="28">
        <f t="shared" si="18"/>
        <v>-9.3985820099999984</v>
      </c>
      <c r="CR6" s="28">
        <f t="shared" si="18"/>
        <v>-36.986000000000004</v>
      </c>
      <c r="CS6" s="28">
        <f t="shared" si="18"/>
        <v>-9.2734427499999992</v>
      </c>
      <c r="CT6" s="28">
        <f t="shared" si="18"/>
        <v>-7.8819634599999997</v>
      </c>
      <c r="CU6" s="28">
        <f t="shared" si="18"/>
        <v>-6.3032906300000011</v>
      </c>
      <c r="CV6" s="28">
        <f t="shared" si="18"/>
        <v>-7.2773908899999995</v>
      </c>
      <c r="CW6" s="28">
        <f t="shared" si="18"/>
        <v>-30.736087730000001</v>
      </c>
      <c r="CX6" s="28">
        <f t="shared" si="18"/>
        <v>-5.2290000000000001</v>
      </c>
      <c r="CY6" s="28">
        <f t="shared" si="18"/>
        <v>-5.0609999999999999</v>
      </c>
      <c r="CZ6" s="28">
        <f t="shared" si="18"/>
        <v>-5.0289999999999999</v>
      </c>
      <c r="DA6" s="28">
        <f t="shared" si="18"/>
        <v>-5.3130000000000006</v>
      </c>
      <c r="DB6" s="28">
        <f t="shared" si="18"/>
        <v>-20.631999999999998</v>
      </c>
      <c r="DC6" s="28">
        <f t="shared" si="18"/>
        <v>-5.359</v>
      </c>
      <c r="DD6" s="28">
        <f t="shared" si="18"/>
        <v>-4.6229999999999993</v>
      </c>
      <c r="DE6" s="28">
        <f t="shared" si="18"/>
        <v>-2.2280000000000002</v>
      </c>
      <c r="DF6" s="28">
        <f t="shared" si="18"/>
        <v>-6.33</v>
      </c>
      <c r="DG6" s="28">
        <f t="shared" si="18"/>
        <v>-18.540000000000003</v>
      </c>
      <c r="DH6" s="28">
        <f t="shared" si="18"/>
        <v>-4.9629999999999992</v>
      </c>
      <c r="DI6" s="28">
        <f t="shared" si="18"/>
        <v>-2.5190000000000001</v>
      </c>
      <c r="DJ6" s="28">
        <f t="shared" si="18"/>
        <v>-1.756</v>
      </c>
      <c r="DK6" s="28">
        <f t="shared" si="18"/>
        <v>-1.5629999999999999</v>
      </c>
      <c r="DL6" s="28">
        <f t="shared" si="18"/>
        <v>-10.801</v>
      </c>
      <c r="DM6" s="28">
        <f t="shared" si="18"/>
        <v>-1.631</v>
      </c>
      <c r="DN6" s="28">
        <f t="shared" si="18"/>
        <v>-1.012</v>
      </c>
      <c r="DO6" s="28">
        <f t="shared" si="18"/>
        <v>0.14500000000000013</v>
      </c>
      <c r="DP6" s="28">
        <f t="shared" si="18"/>
        <v>2.11</v>
      </c>
      <c r="DQ6" s="28">
        <f t="shared" si="18"/>
        <v>-0.38799999999999946</v>
      </c>
      <c r="DR6" s="28">
        <f t="shared" si="18"/>
        <v>2.8940000000000001</v>
      </c>
      <c r="DS6" s="28">
        <f t="shared" si="18"/>
        <v>5.585</v>
      </c>
      <c r="DT6" s="28">
        <f t="shared" si="18"/>
        <v>5.96</v>
      </c>
      <c r="DU6" s="28">
        <f t="shared" si="18"/>
        <v>1.704</v>
      </c>
      <c r="DV6" s="28">
        <f t="shared" si="18"/>
        <v>16.143000000000001</v>
      </c>
      <c r="DW6" s="28">
        <f t="shared" si="18"/>
        <v>0.17899999999999999</v>
      </c>
      <c r="DX6" s="28">
        <f t="shared" si="18"/>
        <v>0.26918599999999998</v>
      </c>
      <c r="DY6" s="28">
        <v>-5.8662640000000016E-2</v>
      </c>
      <c r="DZ6" s="28">
        <f t="shared" si="2"/>
        <v>0.28026344999999986</v>
      </c>
      <c r="EA6" s="28">
        <f t="shared" si="2"/>
        <v>0.66978680999999984</v>
      </c>
      <c r="EB6" s="28">
        <f t="shared" si="2"/>
        <v>-0.12748706000000004</v>
      </c>
      <c r="EC6" s="28">
        <f t="shared" si="2"/>
        <v>-0.12384551000000002</v>
      </c>
      <c r="ED6" s="28">
        <f t="shared" ref="ED6" si="19">ED34+ED62+ED90+ED118</f>
        <v>-0.12999999999999998</v>
      </c>
      <c r="EE6" s="28">
        <f t="shared" ref="EE6:EG6" si="20">EE34+EE62+EE90+EE118</f>
        <v>-8.6291239999999991E-2</v>
      </c>
      <c r="EF6" s="28">
        <f t="shared" si="10"/>
        <v>-0.46762381000000008</v>
      </c>
      <c r="EG6" s="28">
        <f t="shared" si="20"/>
        <v>-7.2115419999999986E-2</v>
      </c>
      <c r="EH6" s="28">
        <f t="shared" ref="EH6:EI6" si="21">EH34+EH62+EH90+EH118</f>
        <v>-0.18636714999999998</v>
      </c>
      <c r="EI6" s="28">
        <f t="shared" si="21"/>
        <v>-0.31737029999999988</v>
      </c>
    </row>
    <row r="7" spans="1:139" ht="15" thickTop="1" x14ac:dyDescent="0.3">
      <c r="A7" s="1" t="s">
        <v>443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27">
        <f t="shared" ref="BJ7:CO7" si="22">BJ35+BJ63+BJ91+BJ119</f>
        <v>-16.858195979999998</v>
      </c>
      <c r="BK7" s="27">
        <f t="shared" si="22"/>
        <v>-17.799965499999999</v>
      </c>
      <c r="BL7" s="27">
        <f t="shared" si="22"/>
        <v>-12.658103720000003</v>
      </c>
      <c r="BM7" s="27">
        <f t="shared" si="22"/>
        <v>-14.677714859999996</v>
      </c>
      <c r="BN7" s="27">
        <f t="shared" si="22"/>
        <v>-61.993980059999998</v>
      </c>
      <c r="BO7" s="27">
        <f t="shared" si="22"/>
        <v>-14.584568060000002</v>
      </c>
      <c r="BP7" s="27">
        <f t="shared" si="22"/>
        <v>-20.078650979999995</v>
      </c>
      <c r="BQ7" s="27">
        <f t="shared" si="22"/>
        <v>-14.882330309999999</v>
      </c>
      <c r="BR7" s="27">
        <f t="shared" si="22"/>
        <v>-17.85756671</v>
      </c>
      <c r="BS7" s="27">
        <f t="shared" si="22"/>
        <v>-67.403116060000002</v>
      </c>
      <c r="BT7" s="27">
        <f t="shared" si="22"/>
        <v>-17.209193840000001</v>
      </c>
      <c r="BU7" s="27">
        <f t="shared" si="22"/>
        <v>-16.321481689999995</v>
      </c>
      <c r="BV7" s="27">
        <f t="shared" si="22"/>
        <v>-15.841155590000003</v>
      </c>
      <c r="BW7" s="27">
        <f t="shared" si="22"/>
        <v>-19.768037420000013</v>
      </c>
      <c r="BX7" s="27">
        <f t="shared" si="22"/>
        <v>-69.139868540000009</v>
      </c>
      <c r="BY7" s="27">
        <f t="shared" si="22"/>
        <v>-20.338168799999998</v>
      </c>
      <c r="BZ7" s="27">
        <f t="shared" si="22"/>
        <v>-19.778999199999998</v>
      </c>
      <c r="CA7" s="27">
        <f t="shared" si="22"/>
        <v>-14.45579223</v>
      </c>
      <c r="CB7" s="27">
        <f t="shared" si="22"/>
        <v>-21.519157760000013</v>
      </c>
      <c r="CC7" s="27">
        <f t="shared" si="22"/>
        <v>-89.779122250000015</v>
      </c>
      <c r="CD7" s="27">
        <f t="shared" si="22"/>
        <v>-23.665959470000001</v>
      </c>
      <c r="CE7" s="27">
        <f t="shared" si="22"/>
        <v>-22.12918943</v>
      </c>
      <c r="CF7" s="27">
        <f t="shared" si="22"/>
        <v>-16.855218780000005</v>
      </c>
      <c r="CG7" s="27">
        <f t="shared" si="22"/>
        <v>-22.114485780000003</v>
      </c>
      <c r="CH7" s="27">
        <f t="shared" si="22"/>
        <v>-84.764853460000012</v>
      </c>
      <c r="CI7" s="27">
        <f t="shared" si="22"/>
        <v>-32.357142260000003</v>
      </c>
      <c r="CJ7" s="27">
        <f t="shared" si="22"/>
        <v>-26.245697419999992</v>
      </c>
      <c r="CK7" s="27">
        <f t="shared" si="22"/>
        <v>-22.677382859999998</v>
      </c>
      <c r="CL7" s="27">
        <f t="shared" si="22"/>
        <v>-29.026708490000001</v>
      </c>
      <c r="CM7" s="27">
        <f t="shared" si="22"/>
        <v>-110.30693102999999</v>
      </c>
      <c r="CN7" s="27">
        <f t="shared" si="22"/>
        <v>-31.690933919999999</v>
      </c>
      <c r="CO7" s="27">
        <f t="shared" si="22"/>
        <v>-25.679765250000003</v>
      </c>
      <c r="CP7" s="27">
        <f t="shared" ref="CP7:DX7" si="23">CP35+CP63+CP91+CP119</f>
        <v>-22.308816559999997</v>
      </c>
      <c r="CQ7" s="27">
        <f t="shared" si="23"/>
        <v>-18.03448427</v>
      </c>
      <c r="CR7" s="27">
        <f t="shared" si="23"/>
        <v>-97.714000000000013</v>
      </c>
      <c r="CS7" s="27">
        <f t="shared" si="23"/>
        <v>-21.307985859999999</v>
      </c>
      <c r="CT7" s="27">
        <f t="shared" si="23"/>
        <v>-19.05936093</v>
      </c>
      <c r="CU7" s="27">
        <f t="shared" si="23"/>
        <v>-15.787880359999997</v>
      </c>
      <c r="CV7" s="27">
        <f t="shared" si="23"/>
        <v>-19.19288122</v>
      </c>
      <c r="CW7" s="27">
        <f t="shared" si="23"/>
        <v>-75.348108370000006</v>
      </c>
      <c r="CX7" s="27">
        <f t="shared" si="23"/>
        <v>-21.120999999999999</v>
      </c>
      <c r="CY7" s="27">
        <f t="shared" si="23"/>
        <v>-19.491000000000003</v>
      </c>
      <c r="CZ7" s="27">
        <f t="shared" si="23"/>
        <v>-23.22</v>
      </c>
      <c r="DA7" s="27">
        <f t="shared" si="23"/>
        <v>-19.754999999999999</v>
      </c>
      <c r="DB7" s="27">
        <f t="shared" si="23"/>
        <v>-83.586999999999989</v>
      </c>
      <c r="DC7" s="27">
        <f t="shared" si="23"/>
        <v>-23.177</v>
      </c>
      <c r="DD7" s="27">
        <f t="shared" si="23"/>
        <v>-23.511000000000003</v>
      </c>
      <c r="DE7" s="27">
        <f t="shared" si="23"/>
        <v>-18.725999999999999</v>
      </c>
      <c r="DF7" s="27">
        <f t="shared" si="23"/>
        <v>-18.626999999999999</v>
      </c>
      <c r="DG7" s="27">
        <f t="shared" si="23"/>
        <v>-84.040999999999997</v>
      </c>
      <c r="DH7" s="27">
        <f t="shared" si="23"/>
        <v>-20.47</v>
      </c>
      <c r="DI7" s="27">
        <f t="shared" si="23"/>
        <v>-10.381</v>
      </c>
      <c r="DJ7" s="27">
        <f t="shared" si="23"/>
        <v>-15.297000000000001</v>
      </c>
      <c r="DK7" s="27">
        <f t="shared" si="23"/>
        <v>-18.177999999999997</v>
      </c>
      <c r="DL7" s="27">
        <f t="shared" si="23"/>
        <v>-64.326000000000008</v>
      </c>
      <c r="DM7" s="27">
        <f t="shared" si="23"/>
        <v>-16.849</v>
      </c>
      <c r="DN7" s="27">
        <f t="shared" si="23"/>
        <v>-16.288</v>
      </c>
      <c r="DO7" s="27">
        <f t="shared" si="23"/>
        <v>-16.448</v>
      </c>
      <c r="DP7" s="27">
        <f t="shared" si="23"/>
        <v>-18.923000000000002</v>
      </c>
      <c r="DQ7" s="27">
        <f t="shared" si="23"/>
        <v>-68.50800000000001</v>
      </c>
      <c r="DR7" s="27">
        <f t="shared" si="23"/>
        <v>-17.360999999999997</v>
      </c>
      <c r="DS7" s="27">
        <f t="shared" si="23"/>
        <v>-19.062000000000001</v>
      </c>
      <c r="DT7" s="27">
        <f t="shared" si="23"/>
        <v>-16.353999999999999</v>
      </c>
      <c r="DU7" s="27">
        <f t="shared" si="23"/>
        <v>-18.001999999999999</v>
      </c>
      <c r="DV7" s="27">
        <f t="shared" si="23"/>
        <v>-70.778999999999996</v>
      </c>
      <c r="DW7" s="27">
        <f t="shared" si="23"/>
        <v>-18.762</v>
      </c>
      <c r="DX7" s="27">
        <f t="shared" si="23"/>
        <v>-25.144712000000002</v>
      </c>
      <c r="DY7" s="27">
        <v>-28.933364349999994</v>
      </c>
      <c r="DZ7" s="27">
        <f t="shared" si="2"/>
        <v>-31.558749030000005</v>
      </c>
      <c r="EA7" s="27">
        <f t="shared" si="2"/>
        <v>-104.39882538000001</v>
      </c>
      <c r="EB7" s="27">
        <f t="shared" si="2"/>
        <v>-41.493953240000003</v>
      </c>
      <c r="EC7" s="27">
        <f t="shared" si="2"/>
        <v>-36.305597599999999</v>
      </c>
      <c r="ED7" s="27">
        <f t="shared" ref="ED7" si="24">ED35+ED63+ED91+ED119</f>
        <v>-33.646999999999998</v>
      </c>
      <c r="EE7" s="27">
        <f t="shared" ref="EE7:EG7" si="25">EE35+EE63+EE91+EE119</f>
        <v>-42.603854689999991</v>
      </c>
      <c r="EF7" s="27">
        <f t="shared" si="10"/>
        <v>-154.05040552999998</v>
      </c>
      <c r="EG7" s="27">
        <f t="shared" si="25"/>
        <v>-48.820293910000004</v>
      </c>
      <c r="EH7" s="27">
        <f t="shared" ref="EH7:EI7" si="26">EH35+EH63+EH91+EH119</f>
        <v>-38.003572990000009</v>
      </c>
      <c r="EI7" s="27">
        <f t="shared" si="26"/>
        <v>-34.35629844999999</v>
      </c>
    </row>
    <row r="8" spans="1:139" ht="15" thickBot="1" x14ac:dyDescent="0.35">
      <c r="A8" s="2" t="s">
        <v>481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28">
        <f t="shared" ref="BJ8:CO8" si="27">BJ36+BJ64+BJ92+BJ120</f>
        <v>0</v>
      </c>
      <c r="BK8" s="28">
        <f t="shared" si="27"/>
        <v>0</v>
      </c>
      <c r="BL8" s="28">
        <f t="shared" si="27"/>
        <v>0</v>
      </c>
      <c r="BM8" s="28">
        <f t="shared" si="27"/>
        <v>0</v>
      </c>
      <c r="BN8" s="28">
        <f t="shared" si="27"/>
        <v>0</v>
      </c>
      <c r="BO8" s="28">
        <f t="shared" si="27"/>
        <v>0</v>
      </c>
      <c r="BP8" s="28">
        <f t="shared" si="27"/>
        <v>0</v>
      </c>
      <c r="BQ8" s="28">
        <f t="shared" si="27"/>
        <v>0</v>
      </c>
      <c r="BR8" s="28">
        <f t="shared" si="27"/>
        <v>0</v>
      </c>
      <c r="BS8" s="28">
        <f t="shared" si="27"/>
        <v>0</v>
      </c>
      <c r="BT8" s="28">
        <f t="shared" si="27"/>
        <v>0</v>
      </c>
      <c r="BU8" s="28">
        <f t="shared" si="27"/>
        <v>0.28608783000000004</v>
      </c>
      <c r="BV8" s="28">
        <f t="shared" si="27"/>
        <v>1.0821819499999998</v>
      </c>
      <c r="BW8" s="28">
        <f t="shared" si="27"/>
        <v>1.1377936599999998</v>
      </c>
      <c r="BX8" s="28">
        <f t="shared" si="27"/>
        <v>2.5060634399999997</v>
      </c>
      <c r="BY8" s="28">
        <f t="shared" si="27"/>
        <v>1.06981565</v>
      </c>
      <c r="BZ8" s="28">
        <f t="shared" si="27"/>
        <v>1.1336112699999998</v>
      </c>
      <c r="CA8" s="28">
        <f t="shared" si="27"/>
        <v>1.0430590400000006</v>
      </c>
      <c r="CB8" s="28">
        <f t="shared" si="27"/>
        <v>0.71769033999999954</v>
      </c>
      <c r="CC8" s="28">
        <f t="shared" si="27"/>
        <v>-4.2443512800000001</v>
      </c>
      <c r="CD8" s="28">
        <f t="shared" si="27"/>
        <v>0.19521519999999998</v>
      </c>
      <c r="CE8" s="28">
        <f t="shared" si="27"/>
        <v>-1.10484337</v>
      </c>
      <c r="CF8" s="28">
        <f t="shared" si="27"/>
        <v>-8.1011919799999976</v>
      </c>
      <c r="CG8" s="28">
        <f t="shared" si="27"/>
        <v>-7.2070990999999989</v>
      </c>
      <c r="CH8" s="28">
        <f t="shared" si="27"/>
        <v>-16.217919249999994</v>
      </c>
      <c r="CI8" s="28">
        <f t="shared" si="27"/>
        <v>-14.45350331</v>
      </c>
      <c r="CJ8" s="28">
        <f t="shared" si="27"/>
        <v>-1.348790040000003</v>
      </c>
      <c r="CK8" s="28">
        <f t="shared" si="27"/>
        <v>-26.35437846999999</v>
      </c>
      <c r="CL8" s="28">
        <f t="shared" si="27"/>
        <v>-4.2865075300000113</v>
      </c>
      <c r="CM8" s="28">
        <f t="shared" si="27"/>
        <v>-46.443179350000015</v>
      </c>
      <c r="CN8" s="28">
        <f t="shared" si="27"/>
        <v>2.1532296900000003</v>
      </c>
      <c r="CO8" s="28">
        <f t="shared" si="27"/>
        <v>-11.069443459999999</v>
      </c>
      <c r="CP8" s="28">
        <f t="shared" ref="CP8:DX8" si="28">CP36+CP64+CP92+CP120</f>
        <v>-8.512973640000002</v>
      </c>
      <c r="CQ8" s="28">
        <f t="shared" si="28"/>
        <v>-5.7158125900000005</v>
      </c>
      <c r="CR8" s="28">
        <f t="shared" si="28"/>
        <v>-23.145</v>
      </c>
      <c r="CS8" s="28">
        <f t="shared" si="28"/>
        <v>-6.7246089400000013</v>
      </c>
      <c r="CT8" s="28">
        <f t="shared" si="28"/>
        <v>-5.9827844500000023</v>
      </c>
      <c r="CU8" s="28">
        <f t="shared" si="28"/>
        <v>-5.4433806399999973</v>
      </c>
      <c r="CV8" s="28">
        <f t="shared" si="28"/>
        <v>-4.9770979400000055</v>
      </c>
      <c r="CW8" s="28">
        <f t="shared" si="28"/>
        <v>-23.127871970000001</v>
      </c>
      <c r="CX8" s="28">
        <f t="shared" si="28"/>
        <v>-4.2179999999999991</v>
      </c>
      <c r="CY8" s="28">
        <f t="shared" si="28"/>
        <v>-4.8230000000000013</v>
      </c>
      <c r="CZ8" s="28">
        <f t="shared" si="28"/>
        <v>-4.3330000000000002</v>
      </c>
      <c r="DA8" s="28">
        <f t="shared" si="28"/>
        <v>-4.3330000000000002</v>
      </c>
      <c r="DB8" s="28">
        <f t="shared" si="28"/>
        <v>-17.706999999999994</v>
      </c>
      <c r="DC8" s="28">
        <f t="shared" si="28"/>
        <v>-3.4960000000000013</v>
      </c>
      <c r="DD8" s="28">
        <f t="shared" si="28"/>
        <v>-2.7280000000000015</v>
      </c>
      <c r="DE8" s="28">
        <f t="shared" si="28"/>
        <v>-1.8650000000000002</v>
      </c>
      <c r="DF8" s="28">
        <f t="shared" si="28"/>
        <v>-1.0500000000000007</v>
      </c>
      <c r="DG8" s="28">
        <f t="shared" si="28"/>
        <v>-9.1390000000000029</v>
      </c>
      <c r="DH8" s="28">
        <f t="shared" si="28"/>
        <v>-3.2290000000000001</v>
      </c>
      <c r="DI8" s="28">
        <f t="shared" si="28"/>
        <v>-4.1040000000000001</v>
      </c>
      <c r="DJ8" s="28">
        <f t="shared" si="28"/>
        <v>-4.3609999999999998</v>
      </c>
      <c r="DK8" s="28">
        <f t="shared" si="28"/>
        <v>-11.518999999999998</v>
      </c>
      <c r="DL8" s="28">
        <f t="shared" si="28"/>
        <v>-23.212999999999997</v>
      </c>
      <c r="DM8" s="28">
        <f t="shared" si="28"/>
        <v>-5.274</v>
      </c>
      <c r="DN8" s="28">
        <f t="shared" si="28"/>
        <v>-8.0279999999999987</v>
      </c>
      <c r="DO8" s="28">
        <f t="shared" si="28"/>
        <v>-10.613999999999999</v>
      </c>
      <c r="DP8" s="28">
        <f t="shared" si="28"/>
        <v>-6.2510000000000003</v>
      </c>
      <c r="DQ8" s="28">
        <f t="shared" si="28"/>
        <v>-30.167000000000002</v>
      </c>
      <c r="DR8" s="28">
        <f t="shared" si="28"/>
        <v>-6.4300000000000015</v>
      </c>
      <c r="DS8" s="28">
        <f t="shared" si="28"/>
        <v>-7.7510000000000012</v>
      </c>
      <c r="DT8" s="28">
        <f t="shared" si="28"/>
        <v>-11.037999999999998</v>
      </c>
      <c r="DU8" s="28">
        <f t="shared" si="28"/>
        <v>-3.3569999999999984</v>
      </c>
      <c r="DV8" s="28">
        <f t="shared" si="28"/>
        <v>-28.575999999999997</v>
      </c>
      <c r="DW8" s="28">
        <f t="shared" si="28"/>
        <v>-15.364999999999998</v>
      </c>
      <c r="DX8" s="28">
        <f t="shared" si="28"/>
        <v>-26.265035999999998</v>
      </c>
      <c r="DY8" s="28">
        <v>-3.3522968500000014</v>
      </c>
      <c r="DZ8" s="28">
        <f t="shared" si="2"/>
        <v>-9.5611435</v>
      </c>
      <c r="EA8" s="28">
        <f t="shared" si="2"/>
        <v>-54.543476350000006</v>
      </c>
      <c r="EB8" s="28">
        <f t="shared" si="2"/>
        <v>-9.1988366799999994</v>
      </c>
      <c r="EC8" s="28">
        <f t="shared" si="2"/>
        <v>-9.9940656800000003</v>
      </c>
      <c r="ED8" s="28">
        <f t="shared" ref="ED8" si="29">ED36+ED64+ED92+ED120</f>
        <v>-7.9109999999999996</v>
      </c>
      <c r="EE8" s="28">
        <f t="shared" ref="EE8:EG8" si="30">EE36+EE64+EE92+EE120</f>
        <v>-7.8222043900000013</v>
      </c>
      <c r="EF8" s="28">
        <f t="shared" si="10"/>
        <v>-34.926106750000002</v>
      </c>
      <c r="EG8" s="28">
        <f t="shared" si="30"/>
        <v>-8.4688980700000016</v>
      </c>
      <c r="EH8" s="28">
        <f t="shared" ref="EH8:EI8" si="31">EH36+EH64+EH92+EH120</f>
        <v>-6.1422021400000011</v>
      </c>
      <c r="EI8" s="28">
        <f t="shared" si="31"/>
        <v>-43.153946400000002</v>
      </c>
    </row>
    <row r="9" spans="1:139" ht="15" thickTop="1" x14ac:dyDescent="0.3">
      <c r="A9" s="1" t="s">
        <v>445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27">
        <f t="shared" ref="BJ9:CO9" si="32">BJ37+BJ65+BJ93+BJ121</f>
        <v>0</v>
      </c>
      <c r="BK9" s="27">
        <f t="shared" si="32"/>
        <v>0</v>
      </c>
      <c r="BL9" s="27">
        <f t="shared" si="32"/>
        <v>0</v>
      </c>
      <c r="BM9" s="27">
        <f t="shared" si="32"/>
        <v>0</v>
      </c>
      <c r="BN9" s="27">
        <f t="shared" si="32"/>
        <v>0</v>
      </c>
      <c r="BO9" s="27">
        <f t="shared" si="32"/>
        <v>0</v>
      </c>
      <c r="BP9" s="27">
        <f t="shared" si="32"/>
        <v>0</v>
      </c>
      <c r="BQ9" s="27">
        <f t="shared" si="32"/>
        <v>0</v>
      </c>
      <c r="BR9" s="27">
        <f t="shared" si="32"/>
        <v>0</v>
      </c>
      <c r="BS9" s="27">
        <f t="shared" si="32"/>
        <v>0</v>
      </c>
      <c r="BT9" s="27">
        <f t="shared" si="32"/>
        <v>0</v>
      </c>
      <c r="BU9" s="27">
        <f t="shared" si="32"/>
        <v>0</v>
      </c>
      <c r="BV9" s="27">
        <f t="shared" si="32"/>
        <v>0</v>
      </c>
      <c r="BW9" s="27">
        <f t="shared" si="32"/>
        <v>0</v>
      </c>
      <c r="BX9" s="27">
        <f t="shared" si="32"/>
        <v>0</v>
      </c>
      <c r="BY9" s="27">
        <f t="shared" si="32"/>
        <v>0</v>
      </c>
      <c r="BZ9" s="27">
        <f t="shared" si="32"/>
        <v>0</v>
      </c>
      <c r="CA9" s="27">
        <f t="shared" si="32"/>
        <v>0</v>
      </c>
      <c r="CB9" s="27">
        <f t="shared" si="32"/>
        <v>0</v>
      </c>
      <c r="CC9" s="27">
        <f t="shared" si="32"/>
        <v>0</v>
      </c>
      <c r="CD9" s="27">
        <f t="shared" si="32"/>
        <v>0</v>
      </c>
      <c r="CE9" s="27">
        <f t="shared" si="32"/>
        <v>0</v>
      </c>
      <c r="CF9" s="27">
        <f t="shared" si="32"/>
        <v>0</v>
      </c>
      <c r="CG9" s="27">
        <f t="shared" si="32"/>
        <v>0</v>
      </c>
      <c r="CH9" s="27">
        <f t="shared" si="32"/>
        <v>0</v>
      </c>
      <c r="CI9" s="27">
        <f t="shared" si="32"/>
        <v>0</v>
      </c>
      <c r="CJ9" s="27">
        <f t="shared" si="32"/>
        <v>1.1771159800000002</v>
      </c>
      <c r="CK9" s="27">
        <f t="shared" si="32"/>
        <v>2.7202862499999996</v>
      </c>
      <c r="CL9" s="27">
        <f t="shared" si="32"/>
        <v>2.5925717799999992</v>
      </c>
      <c r="CM9" s="27">
        <f t="shared" si="32"/>
        <v>6.4899740099999992</v>
      </c>
      <c r="CN9" s="27">
        <f t="shared" si="32"/>
        <v>2.0157748</v>
      </c>
      <c r="CO9" s="27">
        <f t="shared" si="32"/>
        <v>2.3172474000000003</v>
      </c>
      <c r="CP9" s="27">
        <f t="shared" ref="CP9:DX9" si="33">CP37+CP65+CP93+CP121</f>
        <v>2.3295194800000001</v>
      </c>
      <c r="CQ9" s="27">
        <f t="shared" si="33"/>
        <v>1.762458319999999</v>
      </c>
      <c r="CR9" s="27">
        <f t="shared" si="33"/>
        <v>8.4250000000000007</v>
      </c>
      <c r="CS9" s="27">
        <f t="shared" si="33"/>
        <v>0.33026719000000004</v>
      </c>
      <c r="CT9" s="27">
        <f t="shared" si="33"/>
        <v>-0.5482671899999999</v>
      </c>
      <c r="CU9" s="27">
        <f t="shared" si="33"/>
        <v>-1.0689999999999997</v>
      </c>
      <c r="CV9" s="27">
        <f t="shared" si="33"/>
        <v>-2.2159466399999994</v>
      </c>
      <c r="CW9" s="27">
        <f t="shared" si="33"/>
        <v>-3.5029466399999989</v>
      </c>
      <c r="CX9" s="27">
        <f t="shared" si="33"/>
        <v>-1.363</v>
      </c>
      <c r="CY9" s="27">
        <f t="shared" si="33"/>
        <v>-1.494</v>
      </c>
      <c r="CZ9" s="27">
        <f t="shared" si="33"/>
        <v>-1.8380000000000001</v>
      </c>
      <c r="DA9" s="27">
        <f t="shared" si="33"/>
        <v>-1.6909999999999998</v>
      </c>
      <c r="DB9" s="27">
        <f t="shared" si="33"/>
        <v>-6.3860000000000001</v>
      </c>
      <c r="DC9" s="27">
        <f t="shared" si="33"/>
        <v>-1.6079999999999999</v>
      </c>
      <c r="DD9" s="27">
        <f t="shared" si="33"/>
        <v>-1.9210000000000005</v>
      </c>
      <c r="DE9" s="27">
        <f t="shared" si="33"/>
        <v>-1.7149999999999999</v>
      </c>
      <c r="DF9" s="27">
        <f t="shared" si="33"/>
        <v>-5.8559999999999999</v>
      </c>
      <c r="DG9" s="27">
        <f t="shared" si="33"/>
        <v>-11.100000000000001</v>
      </c>
      <c r="DH9" s="27">
        <f t="shared" si="33"/>
        <v>-7.5669999999999993</v>
      </c>
      <c r="DI9" s="27">
        <f t="shared" si="33"/>
        <v>-4.645999999999999</v>
      </c>
      <c r="DJ9" s="27">
        <f t="shared" si="33"/>
        <v>-9.2880000000000003</v>
      </c>
      <c r="DK9" s="27">
        <f t="shared" si="33"/>
        <v>-12.703999999999999</v>
      </c>
      <c r="DL9" s="27">
        <f t="shared" si="33"/>
        <v>-34.204999999999998</v>
      </c>
      <c r="DM9" s="27">
        <f t="shared" si="33"/>
        <v>-10.839</v>
      </c>
      <c r="DN9" s="27">
        <f t="shared" si="33"/>
        <v>-9.1259999999999994</v>
      </c>
      <c r="DO9" s="27">
        <f t="shared" si="33"/>
        <v>-10.602999999999998</v>
      </c>
      <c r="DP9" s="27">
        <f t="shared" si="33"/>
        <v>-10.716999999999999</v>
      </c>
      <c r="DQ9" s="27">
        <f t="shared" si="33"/>
        <v>-41.285000000000004</v>
      </c>
      <c r="DR9" s="27">
        <f t="shared" si="33"/>
        <v>-9.6690000000000005</v>
      </c>
      <c r="DS9" s="27">
        <f t="shared" si="33"/>
        <v>-13.971</v>
      </c>
      <c r="DT9" s="27">
        <f t="shared" si="33"/>
        <v>-2.5190000000000001</v>
      </c>
      <c r="DU9" s="27">
        <f t="shared" si="33"/>
        <v>-7.6819999999999995</v>
      </c>
      <c r="DV9" s="27">
        <f t="shared" si="33"/>
        <v>-33.841000000000008</v>
      </c>
      <c r="DW9" s="27">
        <f t="shared" si="33"/>
        <v>-10.893000000000001</v>
      </c>
      <c r="DX9" s="27">
        <f t="shared" si="33"/>
        <v>-9.8044590000000014</v>
      </c>
      <c r="DY9" s="27">
        <v>-8.6165031299999981</v>
      </c>
      <c r="DZ9" s="27">
        <f t="shared" si="2"/>
        <v>-10.062057319999996</v>
      </c>
      <c r="EA9" s="27">
        <f t="shared" si="2"/>
        <v>-39.376019449999994</v>
      </c>
      <c r="EB9" s="27">
        <f t="shared" si="2"/>
        <v>-13.739185430000003</v>
      </c>
      <c r="EC9" s="27">
        <f t="shared" si="2"/>
        <v>-10.474534540000001</v>
      </c>
      <c r="ED9" s="27">
        <f t="shared" ref="ED9" si="34">ED37+ED65+ED93+ED121</f>
        <v>-9.9009999999999998</v>
      </c>
      <c r="EE9" s="27">
        <f t="shared" ref="EE9:EG9" si="35">EE37+EE65+EE93+EE121</f>
        <v>-12.49120907</v>
      </c>
      <c r="EF9" s="27">
        <f t="shared" si="10"/>
        <v>-46.605929040000007</v>
      </c>
      <c r="EG9" s="27">
        <f t="shared" si="35"/>
        <v>-14.015546010000001</v>
      </c>
      <c r="EH9" s="27">
        <f t="shared" ref="EH9:EI9" si="36">EH37+EH65+EH93+EH121</f>
        <v>-11.191060010000001</v>
      </c>
      <c r="EI9" s="27">
        <f t="shared" si="36"/>
        <v>-9.9189233000000012</v>
      </c>
    </row>
    <row r="10" spans="1:139" ht="15" thickBot="1" x14ac:dyDescent="0.35">
      <c r="A10" s="2" t="s">
        <v>444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28">
        <f t="shared" ref="BJ10:CO10" si="37">BJ38+BJ66+BJ94+BJ122</f>
        <v>0</v>
      </c>
      <c r="BK10" s="28">
        <f t="shared" si="37"/>
        <v>0</v>
      </c>
      <c r="BL10" s="28">
        <f t="shared" si="37"/>
        <v>0</v>
      </c>
      <c r="BM10" s="28">
        <f t="shared" si="37"/>
        <v>0</v>
      </c>
      <c r="BN10" s="28">
        <f t="shared" si="37"/>
        <v>0</v>
      </c>
      <c r="BO10" s="28">
        <f t="shared" si="37"/>
        <v>0</v>
      </c>
      <c r="BP10" s="28">
        <f t="shared" si="37"/>
        <v>0</v>
      </c>
      <c r="BQ10" s="28">
        <f t="shared" si="37"/>
        <v>0</v>
      </c>
      <c r="BR10" s="28">
        <f t="shared" si="37"/>
        <v>0</v>
      </c>
      <c r="BS10" s="28">
        <f t="shared" si="37"/>
        <v>0</v>
      </c>
      <c r="BT10" s="28">
        <f t="shared" si="37"/>
        <v>0</v>
      </c>
      <c r="BU10" s="28">
        <f t="shared" si="37"/>
        <v>0</v>
      </c>
      <c r="BV10" s="28">
        <f t="shared" si="37"/>
        <v>0</v>
      </c>
      <c r="BW10" s="28">
        <f t="shared" si="37"/>
        <v>0</v>
      </c>
      <c r="BX10" s="28">
        <f t="shared" si="37"/>
        <v>0</v>
      </c>
      <c r="BY10" s="28">
        <f t="shared" si="37"/>
        <v>0</v>
      </c>
      <c r="BZ10" s="28">
        <f t="shared" si="37"/>
        <v>0</v>
      </c>
      <c r="CA10" s="28">
        <f t="shared" si="37"/>
        <v>0</v>
      </c>
      <c r="CB10" s="28">
        <f t="shared" si="37"/>
        <v>0</v>
      </c>
      <c r="CC10" s="28">
        <f t="shared" si="37"/>
        <v>0</v>
      </c>
      <c r="CD10" s="28">
        <f t="shared" si="37"/>
        <v>0</v>
      </c>
      <c r="CE10" s="28">
        <f t="shared" si="37"/>
        <v>0</v>
      </c>
      <c r="CF10" s="28">
        <f t="shared" si="37"/>
        <v>0</v>
      </c>
      <c r="CG10" s="28">
        <f t="shared" si="37"/>
        <v>0</v>
      </c>
      <c r="CH10" s="28">
        <f t="shared" si="37"/>
        <v>0</v>
      </c>
      <c r="CI10" s="28">
        <f t="shared" si="37"/>
        <v>0</v>
      </c>
      <c r="CJ10" s="28">
        <f t="shared" si="37"/>
        <v>0</v>
      </c>
      <c r="CK10" s="28">
        <f t="shared" si="37"/>
        <v>0</v>
      </c>
      <c r="CL10" s="28">
        <f t="shared" si="37"/>
        <v>0</v>
      </c>
      <c r="CM10" s="28">
        <f t="shared" si="37"/>
        <v>0</v>
      </c>
      <c r="CN10" s="28">
        <f t="shared" si="37"/>
        <v>0</v>
      </c>
      <c r="CO10" s="28">
        <f t="shared" si="37"/>
        <v>0</v>
      </c>
      <c r="CP10" s="28">
        <f t="shared" ref="CP10:DX10" si="38">CP38+CP66+CP94+CP122</f>
        <v>0</v>
      </c>
      <c r="CQ10" s="28">
        <f t="shared" si="38"/>
        <v>0</v>
      </c>
      <c r="CR10" s="28">
        <f t="shared" si="38"/>
        <v>0</v>
      </c>
      <c r="CS10" s="28">
        <f t="shared" si="38"/>
        <v>0</v>
      </c>
      <c r="CT10" s="28">
        <f t="shared" si="38"/>
        <v>0</v>
      </c>
      <c r="CU10" s="28">
        <f t="shared" si="38"/>
        <v>0</v>
      </c>
      <c r="CV10" s="28">
        <f t="shared" si="38"/>
        <v>0</v>
      </c>
      <c r="CW10" s="28">
        <f t="shared" si="38"/>
        <v>0</v>
      </c>
      <c r="CX10" s="28">
        <f t="shared" si="38"/>
        <v>0</v>
      </c>
      <c r="CY10" s="28">
        <f t="shared" si="38"/>
        <v>0</v>
      </c>
      <c r="CZ10" s="28">
        <f t="shared" si="38"/>
        <v>0</v>
      </c>
      <c r="DA10" s="28">
        <f t="shared" si="38"/>
        <v>0</v>
      </c>
      <c r="DB10" s="28">
        <f t="shared" si="38"/>
        <v>0</v>
      </c>
      <c r="DC10" s="28">
        <f t="shared" si="38"/>
        <v>0</v>
      </c>
      <c r="DD10" s="28">
        <f t="shared" si="38"/>
        <v>-0.86399999999999999</v>
      </c>
      <c r="DE10" s="28">
        <f t="shared" si="38"/>
        <v>-14.21</v>
      </c>
      <c r="DF10" s="28">
        <f t="shared" si="38"/>
        <v>-22.255000000000003</v>
      </c>
      <c r="DG10" s="28">
        <f t="shared" si="38"/>
        <v>-37.329000000000001</v>
      </c>
      <c r="DH10" s="28">
        <f t="shared" si="38"/>
        <v>-14.713999999999999</v>
      </c>
      <c r="DI10" s="28">
        <f t="shared" si="38"/>
        <v>-12.988000000000001</v>
      </c>
      <c r="DJ10" s="28">
        <f t="shared" si="38"/>
        <v>-15.902999999999999</v>
      </c>
      <c r="DK10" s="28">
        <f t="shared" si="38"/>
        <v>-17.267999999999997</v>
      </c>
      <c r="DL10" s="28">
        <f t="shared" si="38"/>
        <v>-60.872999999999998</v>
      </c>
      <c r="DM10" s="28">
        <f t="shared" si="38"/>
        <v>-15.795999999999999</v>
      </c>
      <c r="DN10" s="28">
        <f t="shared" si="38"/>
        <v>-15.126000000000001</v>
      </c>
      <c r="DO10" s="28">
        <f t="shared" si="38"/>
        <v>-16.306000000000001</v>
      </c>
      <c r="DP10" s="28">
        <f t="shared" si="38"/>
        <v>-12.178999999999998</v>
      </c>
      <c r="DQ10" s="28">
        <f t="shared" si="38"/>
        <v>-59.407000000000011</v>
      </c>
      <c r="DR10" s="28">
        <f t="shared" si="38"/>
        <v>-12.642000000000001</v>
      </c>
      <c r="DS10" s="28">
        <f t="shared" si="38"/>
        <v>-12.931000000000004</v>
      </c>
      <c r="DT10" s="28">
        <f t="shared" si="38"/>
        <v>-13.025000000000002</v>
      </c>
      <c r="DU10" s="28">
        <f t="shared" si="38"/>
        <v>-15.639999999999997</v>
      </c>
      <c r="DV10" s="28">
        <f t="shared" si="38"/>
        <v>-54.238000000000014</v>
      </c>
      <c r="DW10" s="28">
        <f t="shared" si="38"/>
        <v>-17.265999999999998</v>
      </c>
      <c r="DX10" s="28">
        <f t="shared" si="38"/>
        <v>-20.234452999999998</v>
      </c>
      <c r="DY10" s="28">
        <v>-20.009875910000005</v>
      </c>
      <c r="DZ10" s="28">
        <f t="shared" si="2"/>
        <v>-16.052781119999995</v>
      </c>
      <c r="EA10" s="28">
        <f t="shared" si="2"/>
        <v>-73.56311002999999</v>
      </c>
      <c r="EB10" s="28">
        <f t="shared" si="2"/>
        <v>-17.161311830000002</v>
      </c>
      <c r="EC10" s="28">
        <f t="shared" si="2"/>
        <v>-20.412366730000006</v>
      </c>
      <c r="ED10" s="28">
        <f t="shared" ref="ED10" si="39">ED38+ED66+ED94+ED122</f>
        <v>-20.203000000000003</v>
      </c>
      <c r="EE10" s="28">
        <f t="shared" ref="EE10:EG10" si="40">EE38+EE66+EE94+EE122</f>
        <v>-20.973721590000004</v>
      </c>
      <c r="EF10" s="28">
        <f t="shared" si="10"/>
        <v>-78.750400150000019</v>
      </c>
      <c r="EG10" s="28">
        <f t="shared" si="40"/>
        <v>-23.548954309999999</v>
      </c>
      <c r="EH10" s="28">
        <f t="shared" ref="EH10:EI10" si="41">EH38+EH66+EH94+EH122</f>
        <v>-25.085861789999996</v>
      </c>
      <c r="EI10" s="28">
        <f t="shared" si="41"/>
        <v>-26.751836690000001</v>
      </c>
    </row>
    <row r="11" spans="1:139" ht="15" thickTop="1" x14ac:dyDescent="0.3">
      <c r="A11" s="1" t="s">
        <v>456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27">
        <f t="shared" ref="BJ11:CO11" si="42">BJ39+BJ67+BJ95+BJ123</f>
        <v>0</v>
      </c>
      <c r="BK11" s="27">
        <f t="shared" si="42"/>
        <v>0</v>
      </c>
      <c r="BL11" s="27">
        <f t="shared" si="42"/>
        <v>0</v>
      </c>
      <c r="BM11" s="27">
        <f t="shared" si="42"/>
        <v>0</v>
      </c>
      <c r="BN11" s="27">
        <f t="shared" si="42"/>
        <v>0</v>
      </c>
      <c r="BO11" s="27">
        <f t="shared" si="42"/>
        <v>0</v>
      </c>
      <c r="BP11" s="27">
        <f t="shared" si="42"/>
        <v>0</v>
      </c>
      <c r="BQ11" s="27">
        <f t="shared" si="42"/>
        <v>0</v>
      </c>
      <c r="BR11" s="27">
        <f t="shared" si="42"/>
        <v>0</v>
      </c>
      <c r="BS11" s="27">
        <f t="shared" si="42"/>
        <v>0</v>
      </c>
      <c r="BT11" s="27">
        <f t="shared" si="42"/>
        <v>0</v>
      </c>
      <c r="BU11" s="27">
        <f t="shared" si="42"/>
        <v>0</v>
      </c>
      <c r="BV11" s="27">
        <f t="shared" si="42"/>
        <v>0</v>
      </c>
      <c r="BW11" s="27">
        <f t="shared" si="42"/>
        <v>0</v>
      </c>
      <c r="BX11" s="27">
        <f t="shared" si="42"/>
        <v>0</v>
      </c>
      <c r="BY11" s="27">
        <f t="shared" si="42"/>
        <v>0</v>
      </c>
      <c r="BZ11" s="27">
        <f t="shared" si="42"/>
        <v>0</v>
      </c>
      <c r="CA11" s="27">
        <f t="shared" si="42"/>
        <v>0</v>
      </c>
      <c r="CB11" s="27">
        <f t="shared" si="42"/>
        <v>0</v>
      </c>
      <c r="CC11" s="27">
        <f t="shared" si="42"/>
        <v>0</v>
      </c>
      <c r="CD11" s="27">
        <f t="shared" si="42"/>
        <v>0</v>
      </c>
      <c r="CE11" s="27">
        <f t="shared" si="42"/>
        <v>0</v>
      </c>
      <c r="CF11" s="27">
        <f t="shared" si="42"/>
        <v>0</v>
      </c>
      <c r="CG11" s="27">
        <f t="shared" si="42"/>
        <v>0</v>
      </c>
      <c r="CH11" s="27">
        <f t="shared" si="42"/>
        <v>0</v>
      </c>
      <c r="CI11" s="27">
        <f t="shared" si="42"/>
        <v>0</v>
      </c>
      <c r="CJ11" s="27">
        <f t="shared" si="42"/>
        <v>0</v>
      </c>
      <c r="CK11" s="27">
        <f t="shared" si="42"/>
        <v>0</v>
      </c>
      <c r="CL11" s="27">
        <f t="shared" si="42"/>
        <v>0</v>
      </c>
      <c r="CM11" s="27">
        <f t="shared" si="42"/>
        <v>0</v>
      </c>
      <c r="CN11" s="27">
        <f t="shared" si="42"/>
        <v>0</v>
      </c>
      <c r="CO11" s="27">
        <f t="shared" si="42"/>
        <v>0</v>
      </c>
      <c r="CP11" s="27">
        <f t="shared" ref="CP11:DX11" si="43">CP39+CP67+CP95+CP123</f>
        <v>0</v>
      </c>
      <c r="CQ11" s="27">
        <f t="shared" si="43"/>
        <v>0</v>
      </c>
      <c r="CR11" s="27">
        <f t="shared" si="43"/>
        <v>0</v>
      </c>
      <c r="CS11" s="27">
        <f t="shared" si="43"/>
        <v>0</v>
      </c>
      <c r="CT11" s="27">
        <f t="shared" si="43"/>
        <v>0</v>
      </c>
      <c r="CU11" s="27">
        <f t="shared" si="43"/>
        <v>0</v>
      </c>
      <c r="CV11" s="27">
        <f t="shared" si="43"/>
        <v>0</v>
      </c>
      <c r="CW11" s="27">
        <f t="shared" si="43"/>
        <v>0</v>
      </c>
      <c r="CX11" s="27">
        <f t="shared" si="43"/>
        <v>0</v>
      </c>
      <c r="CY11" s="27">
        <f t="shared" si="43"/>
        <v>4.2999999999999997E-2</v>
      </c>
      <c r="CZ11" s="27">
        <f t="shared" si="43"/>
        <v>-0.3000000000000001</v>
      </c>
      <c r="DA11" s="27">
        <f t="shared" si="43"/>
        <v>-0.99299999999999999</v>
      </c>
      <c r="DB11" s="27">
        <f t="shared" si="43"/>
        <v>-1.2500000000000004</v>
      </c>
      <c r="DC11" s="27">
        <f t="shared" si="43"/>
        <v>-1.3570000000000002</v>
      </c>
      <c r="DD11" s="27">
        <f t="shared" si="43"/>
        <v>-36.632999999999996</v>
      </c>
      <c r="DE11" s="27">
        <f t="shared" si="43"/>
        <v>-30.75</v>
      </c>
      <c r="DF11" s="27">
        <f t="shared" si="43"/>
        <v>-59.706000000000003</v>
      </c>
      <c r="DG11" s="27">
        <f t="shared" si="43"/>
        <v>-128.446</v>
      </c>
      <c r="DH11" s="27">
        <f t="shared" si="43"/>
        <v>-32.771999999999998</v>
      </c>
      <c r="DI11" s="27">
        <f t="shared" si="43"/>
        <v>-10.855</v>
      </c>
      <c r="DJ11" s="27">
        <f t="shared" si="43"/>
        <v>-51.335999999999999</v>
      </c>
      <c r="DK11" s="27">
        <f t="shared" si="43"/>
        <v>-94.421999999999997</v>
      </c>
      <c r="DL11" s="27">
        <f t="shared" si="43"/>
        <v>-189.38500000000002</v>
      </c>
      <c r="DM11" s="27">
        <f t="shared" si="43"/>
        <v>-69.13900000000001</v>
      </c>
      <c r="DN11" s="27">
        <f t="shared" si="43"/>
        <v>-21.375999999999998</v>
      </c>
      <c r="DO11" s="27">
        <f t="shared" si="43"/>
        <v>-61.131999999999991</v>
      </c>
      <c r="DP11" s="27">
        <f t="shared" si="43"/>
        <v>-61.781999999999996</v>
      </c>
      <c r="DQ11" s="27">
        <f t="shared" si="43"/>
        <v>-213.429</v>
      </c>
      <c r="DR11" s="27">
        <f t="shared" si="43"/>
        <v>-62.353000000000002</v>
      </c>
      <c r="DS11" s="27">
        <f t="shared" si="43"/>
        <v>-65.783000000000001</v>
      </c>
      <c r="DT11" s="27">
        <f t="shared" si="43"/>
        <v>-4.9810000000000008</v>
      </c>
      <c r="DU11" s="27">
        <f t="shared" si="43"/>
        <v>-34.948999999999998</v>
      </c>
      <c r="DV11" s="27">
        <f t="shared" si="43"/>
        <v>-168.066</v>
      </c>
      <c r="DW11" s="27">
        <f t="shared" si="43"/>
        <v>-39.279000000000003</v>
      </c>
      <c r="DX11" s="27">
        <f t="shared" si="43"/>
        <v>-28.391159000000002</v>
      </c>
      <c r="DY11" s="27">
        <v>-30.785869920000003</v>
      </c>
      <c r="DZ11" s="27">
        <f t="shared" si="2"/>
        <v>-51.335484410000007</v>
      </c>
      <c r="EA11" s="27">
        <f t="shared" si="2"/>
        <v>-149.79151332999999</v>
      </c>
      <c r="EB11" s="27">
        <f t="shared" si="2"/>
        <v>-41.766884060000002</v>
      </c>
      <c r="EC11" s="27">
        <f t="shared" si="2"/>
        <v>-46.171473040000002</v>
      </c>
      <c r="ED11" s="27">
        <f t="shared" ref="ED11" si="44">ED39+ED67+ED95+ED123</f>
        <v>-51.697000000000003</v>
      </c>
      <c r="EE11" s="27">
        <f t="shared" ref="EE11:EG11" si="45">EE39+EE67+EE95+EE123</f>
        <v>-67.62159960000001</v>
      </c>
      <c r="EF11" s="27">
        <f t="shared" si="10"/>
        <v>-207.25695670000005</v>
      </c>
      <c r="EG11" s="27">
        <f t="shared" si="45"/>
        <v>-73.237070219999993</v>
      </c>
      <c r="EH11" s="27">
        <f t="shared" ref="EH11:EI11" si="46">EH39+EH67+EH95+EH123</f>
        <v>-59.09762194999999</v>
      </c>
      <c r="EI11" s="27">
        <f t="shared" si="46"/>
        <v>-56.11201999</v>
      </c>
    </row>
    <row r="12" spans="1:139" ht="15" thickBot="1" x14ac:dyDescent="0.35">
      <c r="A12" s="2" t="s">
        <v>446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28">
        <f t="shared" ref="BJ12:CO12" si="47">BJ40+BJ68+BJ96+BJ124</f>
        <v>0</v>
      </c>
      <c r="BK12" s="28">
        <f t="shared" si="47"/>
        <v>0</v>
      </c>
      <c r="BL12" s="28">
        <f t="shared" si="47"/>
        <v>0</v>
      </c>
      <c r="BM12" s="28">
        <f t="shared" si="47"/>
        <v>0</v>
      </c>
      <c r="BN12" s="28">
        <f t="shared" si="47"/>
        <v>0</v>
      </c>
      <c r="BO12" s="28">
        <f t="shared" si="47"/>
        <v>0</v>
      </c>
      <c r="BP12" s="28">
        <f t="shared" si="47"/>
        <v>0</v>
      </c>
      <c r="BQ12" s="28">
        <f t="shared" si="47"/>
        <v>0</v>
      </c>
      <c r="BR12" s="28">
        <f t="shared" si="47"/>
        <v>0</v>
      </c>
      <c r="BS12" s="28">
        <f t="shared" si="47"/>
        <v>0</v>
      </c>
      <c r="BT12" s="28">
        <f t="shared" si="47"/>
        <v>0</v>
      </c>
      <c r="BU12" s="28">
        <f t="shared" si="47"/>
        <v>0</v>
      </c>
      <c r="BV12" s="28">
        <f t="shared" si="47"/>
        <v>0</v>
      </c>
      <c r="BW12" s="28">
        <f t="shared" si="47"/>
        <v>0</v>
      </c>
      <c r="BX12" s="28">
        <f t="shared" si="47"/>
        <v>0</v>
      </c>
      <c r="BY12" s="28">
        <f t="shared" si="47"/>
        <v>0</v>
      </c>
      <c r="BZ12" s="28">
        <f t="shared" si="47"/>
        <v>0</v>
      </c>
      <c r="CA12" s="28">
        <f t="shared" si="47"/>
        <v>0</v>
      </c>
      <c r="CB12" s="28">
        <f t="shared" si="47"/>
        <v>0</v>
      </c>
      <c r="CC12" s="28">
        <f t="shared" si="47"/>
        <v>0</v>
      </c>
      <c r="CD12" s="28">
        <f t="shared" si="47"/>
        <v>0</v>
      </c>
      <c r="CE12" s="28">
        <f t="shared" si="47"/>
        <v>0</v>
      </c>
      <c r="CF12" s="28">
        <f t="shared" si="47"/>
        <v>0</v>
      </c>
      <c r="CG12" s="28">
        <f t="shared" si="47"/>
        <v>0</v>
      </c>
      <c r="CH12" s="28">
        <f t="shared" si="47"/>
        <v>0</v>
      </c>
      <c r="CI12" s="28">
        <f t="shared" si="47"/>
        <v>0</v>
      </c>
      <c r="CJ12" s="28">
        <f t="shared" si="47"/>
        <v>0</v>
      </c>
      <c r="CK12" s="28">
        <f t="shared" si="47"/>
        <v>0</v>
      </c>
      <c r="CL12" s="28">
        <f t="shared" si="47"/>
        <v>0</v>
      </c>
      <c r="CM12" s="28">
        <f t="shared" si="47"/>
        <v>0</v>
      </c>
      <c r="CN12" s="28">
        <f t="shared" si="47"/>
        <v>0</v>
      </c>
      <c r="CO12" s="28">
        <f t="shared" si="47"/>
        <v>0</v>
      </c>
      <c r="CP12" s="28">
        <f t="shared" ref="CP12:DX12" si="48">CP40+CP68+CP96+CP124</f>
        <v>0</v>
      </c>
      <c r="CQ12" s="28">
        <f t="shared" si="48"/>
        <v>0</v>
      </c>
      <c r="CR12" s="28">
        <f t="shared" si="48"/>
        <v>0</v>
      </c>
      <c r="CS12" s="28">
        <f t="shared" si="48"/>
        <v>0</v>
      </c>
      <c r="CT12" s="28">
        <f t="shared" si="48"/>
        <v>0</v>
      </c>
      <c r="CU12" s="28">
        <f t="shared" si="48"/>
        <v>0</v>
      </c>
      <c r="CV12" s="28">
        <f t="shared" si="48"/>
        <v>0</v>
      </c>
      <c r="CW12" s="28">
        <f t="shared" si="48"/>
        <v>0</v>
      </c>
      <c r="CX12" s="28">
        <f t="shared" si="48"/>
        <v>0</v>
      </c>
      <c r="CY12" s="28">
        <f t="shared" si="48"/>
        <v>0</v>
      </c>
      <c r="CZ12" s="28">
        <f t="shared" si="48"/>
        <v>0</v>
      </c>
      <c r="DA12" s="28">
        <f t="shared" si="48"/>
        <v>0</v>
      </c>
      <c r="DB12" s="28">
        <f t="shared" si="48"/>
        <v>0</v>
      </c>
      <c r="DC12" s="28">
        <f t="shared" si="48"/>
        <v>0</v>
      </c>
      <c r="DD12" s="28">
        <f t="shared" si="48"/>
        <v>0</v>
      </c>
      <c r="DE12" s="28">
        <f t="shared" si="48"/>
        <v>0</v>
      </c>
      <c r="DF12" s="28">
        <f t="shared" si="48"/>
        <v>0.88200000000000001</v>
      </c>
      <c r="DG12" s="28">
        <f t="shared" si="48"/>
        <v>0.88200000000000001</v>
      </c>
      <c r="DH12" s="28">
        <f t="shared" si="48"/>
        <v>2.4729999999999999</v>
      </c>
      <c r="DI12" s="28">
        <f t="shared" si="48"/>
        <v>1.5899999999999999</v>
      </c>
      <c r="DJ12" s="28">
        <f t="shared" si="48"/>
        <v>0.53500000000000003</v>
      </c>
      <c r="DK12" s="28">
        <f t="shared" si="48"/>
        <v>1.4830000000000001</v>
      </c>
      <c r="DL12" s="28">
        <f t="shared" si="48"/>
        <v>6.0809999999999986</v>
      </c>
      <c r="DM12" s="28">
        <f t="shared" si="48"/>
        <v>1.2010000000000001</v>
      </c>
      <c r="DN12" s="28">
        <f t="shared" si="48"/>
        <v>1.9849999999999999</v>
      </c>
      <c r="DO12" s="28">
        <f t="shared" si="48"/>
        <v>1.2130000000000001</v>
      </c>
      <c r="DP12" s="28">
        <f t="shared" si="48"/>
        <v>6.2109999999999994</v>
      </c>
      <c r="DQ12" s="28">
        <f t="shared" si="48"/>
        <v>10.61</v>
      </c>
      <c r="DR12" s="28">
        <f t="shared" si="48"/>
        <v>4.1070000000000002</v>
      </c>
      <c r="DS12" s="28">
        <f t="shared" si="48"/>
        <v>4.37</v>
      </c>
      <c r="DT12" s="28">
        <f t="shared" si="48"/>
        <v>1.048</v>
      </c>
      <c r="DU12" s="28">
        <f t="shared" si="48"/>
        <v>-0.68200000000000027</v>
      </c>
      <c r="DV12" s="28">
        <f t="shared" si="48"/>
        <v>8.843</v>
      </c>
      <c r="DW12" s="28">
        <f t="shared" si="48"/>
        <v>-0.55100000000000016</v>
      </c>
      <c r="DX12" s="28">
        <f t="shared" si="48"/>
        <v>-0.72956599999999927</v>
      </c>
      <c r="DY12" s="28">
        <v>-1.6526178999999999</v>
      </c>
      <c r="DZ12" s="28">
        <f t="shared" si="2"/>
        <v>-3.7452840000000003</v>
      </c>
      <c r="EA12" s="28">
        <f t="shared" si="2"/>
        <v>-6.6784678999999993</v>
      </c>
      <c r="EB12" s="28">
        <f t="shared" si="2"/>
        <v>-5.7702624799999995</v>
      </c>
      <c r="EC12" s="28">
        <f t="shared" si="2"/>
        <v>-7.1426803200000002</v>
      </c>
      <c r="ED12" s="28">
        <f t="shared" ref="ED12" si="49">ED40+ED68+ED96+ED124</f>
        <v>-9.6470000000000002</v>
      </c>
      <c r="EE12" s="28">
        <f t="shared" ref="EE12:EG12" si="50">EE40+EE68+EE96+EE124</f>
        <v>-15.623884259999993</v>
      </c>
      <c r="EF12" s="28">
        <f t="shared" si="10"/>
        <v>-38.183827059999999</v>
      </c>
      <c r="EG12" s="28">
        <f t="shared" si="50"/>
        <v>-14.524674029999996</v>
      </c>
      <c r="EH12" s="28">
        <f t="shared" ref="EH12:EI12" si="51">EH40+EH68+EH96+EH124</f>
        <v>-11.437746270000002</v>
      </c>
      <c r="EI12" s="28">
        <f t="shared" si="51"/>
        <v>-9.995932969999993</v>
      </c>
    </row>
    <row r="13" spans="1:139" ht="15" thickTop="1" x14ac:dyDescent="0.3">
      <c r="A13" s="1" t="s">
        <v>447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7">
        <f t="shared" ref="BJ13:CO13" si="52">BJ41+BJ69+BJ97+BJ125</f>
        <v>0</v>
      </c>
      <c r="BK13" s="27">
        <f t="shared" si="52"/>
        <v>0</v>
      </c>
      <c r="BL13" s="27">
        <f t="shared" si="52"/>
        <v>0</v>
      </c>
      <c r="BM13" s="27">
        <f t="shared" si="52"/>
        <v>0</v>
      </c>
      <c r="BN13" s="27">
        <f t="shared" si="52"/>
        <v>0</v>
      </c>
      <c r="BO13" s="27">
        <f t="shared" si="52"/>
        <v>0</v>
      </c>
      <c r="BP13" s="27">
        <f t="shared" si="52"/>
        <v>0</v>
      </c>
      <c r="BQ13" s="27">
        <f t="shared" si="52"/>
        <v>0</v>
      </c>
      <c r="BR13" s="27">
        <f t="shared" si="52"/>
        <v>0</v>
      </c>
      <c r="BS13" s="27">
        <f t="shared" si="52"/>
        <v>0</v>
      </c>
      <c r="BT13" s="27">
        <f t="shared" si="52"/>
        <v>0</v>
      </c>
      <c r="BU13" s="27">
        <f t="shared" si="52"/>
        <v>0</v>
      </c>
      <c r="BV13" s="27">
        <f t="shared" si="52"/>
        <v>0</v>
      </c>
      <c r="BW13" s="27">
        <f t="shared" si="52"/>
        <v>0</v>
      </c>
      <c r="BX13" s="27">
        <f t="shared" si="52"/>
        <v>0</v>
      </c>
      <c r="BY13" s="27">
        <f t="shared" si="52"/>
        <v>0</v>
      </c>
      <c r="BZ13" s="27">
        <f t="shared" si="52"/>
        <v>0</v>
      </c>
      <c r="CA13" s="27">
        <f t="shared" si="52"/>
        <v>0</v>
      </c>
      <c r="CB13" s="27">
        <f t="shared" si="52"/>
        <v>0</v>
      </c>
      <c r="CC13" s="27">
        <f t="shared" si="52"/>
        <v>0</v>
      </c>
      <c r="CD13" s="27">
        <f t="shared" si="52"/>
        <v>0</v>
      </c>
      <c r="CE13" s="27">
        <f t="shared" si="52"/>
        <v>0</v>
      </c>
      <c r="CF13" s="27">
        <f t="shared" si="52"/>
        <v>0</v>
      </c>
      <c r="CG13" s="27">
        <f t="shared" si="52"/>
        <v>0</v>
      </c>
      <c r="CH13" s="27">
        <f t="shared" si="52"/>
        <v>0</v>
      </c>
      <c r="CI13" s="27">
        <f t="shared" si="52"/>
        <v>0</v>
      </c>
      <c r="CJ13" s="27">
        <f t="shared" si="52"/>
        <v>0</v>
      </c>
      <c r="CK13" s="27">
        <f t="shared" si="52"/>
        <v>0</v>
      </c>
      <c r="CL13" s="27">
        <f t="shared" si="52"/>
        <v>0</v>
      </c>
      <c r="CM13" s="27">
        <f t="shared" si="52"/>
        <v>0</v>
      </c>
      <c r="CN13" s="27">
        <f t="shared" si="52"/>
        <v>0</v>
      </c>
      <c r="CO13" s="27">
        <f t="shared" si="52"/>
        <v>0</v>
      </c>
      <c r="CP13" s="27">
        <f t="shared" ref="CP13:DX13" si="53">CP41+CP69+CP97+CP125</f>
        <v>0</v>
      </c>
      <c r="CQ13" s="27">
        <f t="shared" si="53"/>
        <v>0</v>
      </c>
      <c r="CR13" s="27">
        <f t="shared" si="53"/>
        <v>0</v>
      </c>
      <c r="CS13" s="27">
        <f t="shared" si="53"/>
        <v>0</v>
      </c>
      <c r="CT13" s="27">
        <f t="shared" si="53"/>
        <v>0</v>
      </c>
      <c r="CU13" s="27">
        <f t="shared" si="53"/>
        <v>0</v>
      </c>
      <c r="CV13" s="27">
        <f t="shared" si="53"/>
        <v>0</v>
      </c>
      <c r="CW13" s="27">
        <f t="shared" si="53"/>
        <v>0</v>
      </c>
      <c r="CX13" s="27">
        <f t="shared" si="53"/>
        <v>0</v>
      </c>
      <c r="CY13" s="27">
        <f t="shared" si="53"/>
        <v>0</v>
      </c>
      <c r="CZ13" s="27">
        <f t="shared" si="53"/>
        <v>0</v>
      </c>
      <c r="DA13" s="27">
        <f t="shared" si="53"/>
        <v>0</v>
      </c>
      <c r="DB13" s="27">
        <f t="shared" si="53"/>
        <v>0</v>
      </c>
      <c r="DC13" s="27">
        <f t="shared" si="53"/>
        <v>0</v>
      </c>
      <c r="DD13" s="27">
        <f t="shared" si="53"/>
        <v>0</v>
      </c>
      <c r="DE13" s="27">
        <f t="shared" si="53"/>
        <v>0</v>
      </c>
      <c r="DF13" s="27">
        <f t="shared" si="53"/>
        <v>0</v>
      </c>
      <c r="DG13" s="27">
        <f t="shared" si="53"/>
        <v>0</v>
      </c>
      <c r="DH13" s="27">
        <f t="shared" si="53"/>
        <v>0</v>
      </c>
      <c r="DI13" s="27">
        <f t="shared" si="53"/>
        <v>0</v>
      </c>
      <c r="DJ13" s="27">
        <f t="shared" si="53"/>
        <v>0</v>
      </c>
      <c r="DK13" s="27">
        <f t="shared" si="53"/>
        <v>0</v>
      </c>
      <c r="DL13" s="27">
        <f t="shared" si="53"/>
        <v>0</v>
      </c>
      <c r="DM13" s="27">
        <f t="shared" si="53"/>
        <v>0</v>
      </c>
      <c r="DN13" s="27">
        <f t="shared" si="53"/>
        <v>0</v>
      </c>
      <c r="DO13" s="27">
        <f t="shared" si="53"/>
        <v>4.8100000000000005</v>
      </c>
      <c r="DP13" s="27">
        <f t="shared" si="53"/>
        <v>8.0149999999999988</v>
      </c>
      <c r="DQ13" s="27">
        <f t="shared" si="53"/>
        <v>12.825000000000001</v>
      </c>
      <c r="DR13" s="27">
        <f t="shared" si="53"/>
        <v>9.11</v>
      </c>
      <c r="DS13" s="27">
        <f t="shared" si="53"/>
        <v>7.8860000000000001</v>
      </c>
      <c r="DT13" s="27">
        <f t="shared" si="53"/>
        <v>11.670000000000002</v>
      </c>
      <c r="DU13" s="27">
        <f t="shared" si="53"/>
        <v>-3.5990000000000002</v>
      </c>
      <c r="DV13" s="27">
        <f t="shared" si="53"/>
        <v>25.067000000000004</v>
      </c>
      <c r="DW13" s="27">
        <f t="shared" si="53"/>
        <v>-1.634999999999998</v>
      </c>
      <c r="DX13" s="27">
        <f t="shared" si="53"/>
        <v>-1.6447489999999991</v>
      </c>
      <c r="DY13" s="27">
        <v>-8.1403705800000008</v>
      </c>
      <c r="DZ13" s="27">
        <f t="shared" si="2"/>
        <v>-5.690171150000003</v>
      </c>
      <c r="EA13" s="27">
        <f t="shared" si="2"/>
        <v>-17.110290729999996</v>
      </c>
      <c r="EB13" s="27">
        <f t="shared" si="2"/>
        <v>-8.070572499999999</v>
      </c>
      <c r="EC13" s="27">
        <f t="shared" si="2"/>
        <v>-12.289090380000003</v>
      </c>
      <c r="ED13" s="27">
        <f t="shared" ref="ED13" si="54">ED41+ED69+ED97+ED125</f>
        <v>-25.591000000000001</v>
      </c>
      <c r="EE13" s="27">
        <f t="shared" ref="EE13:EG13" si="55">EE41+EE69+EE97+EE125</f>
        <v>-29.714961110000012</v>
      </c>
      <c r="EF13" s="27">
        <f t="shared" si="10"/>
        <v>-75.665623990000014</v>
      </c>
      <c r="EG13" s="27">
        <f t="shared" si="55"/>
        <v>-33.671917200000003</v>
      </c>
      <c r="EH13" s="27">
        <f t="shared" ref="EH13:EI13" si="56">EH41+EH69+EH97+EH125</f>
        <v>-32.658606549999995</v>
      </c>
      <c r="EI13" s="27">
        <f t="shared" si="56"/>
        <v>-25.570854060000006</v>
      </c>
    </row>
    <row r="14" spans="1:139" ht="15" thickBot="1" x14ac:dyDescent="0.35">
      <c r="A14" s="2" t="s">
        <v>448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28">
        <f t="shared" ref="BJ14:CO14" si="57">BJ42+BJ70+BJ98+BJ126</f>
        <v>0</v>
      </c>
      <c r="BK14" s="28">
        <f t="shared" si="57"/>
        <v>0</v>
      </c>
      <c r="BL14" s="28">
        <f t="shared" si="57"/>
        <v>0</v>
      </c>
      <c r="BM14" s="28">
        <f t="shared" si="57"/>
        <v>0</v>
      </c>
      <c r="BN14" s="28">
        <f t="shared" si="57"/>
        <v>0</v>
      </c>
      <c r="BO14" s="28">
        <f t="shared" si="57"/>
        <v>0</v>
      </c>
      <c r="BP14" s="28">
        <f t="shared" si="57"/>
        <v>0</v>
      </c>
      <c r="BQ14" s="28">
        <f t="shared" si="57"/>
        <v>0</v>
      </c>
      <c r="BR14" s="28">
        <f t="shared" si="57"/>
        <v>0</v>
      </c>
      <c r="BS14" s="28">
        <f t="shared" si="57"/>
        <v>0</v>
      </c>
      <c r="BT14" s="28">
        <f t="shared" si="57"/>
        <v>0</v>
      </c>
      <c r="BU14" s="28">
        <f t="shared" si="57"/>
        <v>0</v>
      </c>
      <c r="BV14" s="28">
        <f t="shared" si="57"/>
        <v>0</v>
      </c>
      <c r="BW14" s="28">
        <f t="shared" si="57"/>
        <v>0</v>
      </c>
      <c r="BX14" s="28">
        <f t="shared" si="57"/>
        <v>0</v>
      </c>
      <c r="BY14" s="28">
        <f t="shared" si="57"/>
        <v>0</v>
      </c>
      <c r="BZ14" s="28">
        <f t="shared" si="57"/>
        <v>0</v>
      </c>
      <c r="CA14" s="28">
        <f t="shared" si="57"/>
        <v>0</v>
      </c>
      <c r="CB14" s="28">
        <f t="shared" si="57"/>
        <v>0</v>
      </c>
      <c r="CC14" s="28">
        <f t="shared" si="57"/>
        <v>0</v>
      </c>
      <c r="CD14" s="28">
        <f t="shared" si="57"/>
        <v>0</v>
      </c>
      <c r="CE14" s="28">
        <f t="shared" si="57"/>
        <v>0</v>
      </c>
      <c r="CF14" s="28">
        <f t="shared" si="57"/>
        <v>0</v>
      </c>
      <c r="CG14" s="28">
        <f t="shared" si="57"/>
        <v>0</v>
      </c>
      <c r="CH14" s="28">
        <f t="shared" si="57"/>
        <v>0</v>
      </c>
      <c r="CI14" s="28">
        <f t="shared" si="57"/>
        <v>0</v>
      </c>
      <c r="CJ14" s="28">
        <f t="shared" si="57"/>
        <v>0</v>
      </c>
      <c r="CK14" s="28">
        <f t="shared" si="57"/>
        <v>0</v>
      </c>
      <c r="CL14" s="28">
        <f t="shared" si="57"/>
        <v>0</v>
      </c>
      <c r="CM14" s="28">
        <f t="shared" si="57"/>
        <v>0</v>
      </c>
      <c r="CN14" s="28">
        <f t="shared" si="57"/>
        <v>0</v>
      </c>
      <c r="CO14" s="28">
        <f t="shared" si="57"/>
        <v>0</v>
      </c>
      <c r="CP14" s="28">
        <f t="shared" ref="CP14:DX14" si="58">CP42+CP70+CP98+CP126</f>
        <v>0</v>
      </c>
      <c r="CQ14" s="28">
        <f t="shared" si="58"/>
        <v>0</v>
      </c>
      <c r="CR14" s="28">
        <f t="shared" si="58"/>
        <v>0</v>
      </c>
      <c r="CS14" s="28">
        <f t="shared" si="58"/>
        <v>0</v>
      </c>
      <c r="CT14" s="28">
        <f t="shared" si="58"/>
        <v>0</v>
      </c>
      <c r="CU14" s="28">
        <f t="shared" si="58"/>
        <v>0</v>
      </c>
      <c r="CV14" s="28">
        <f t="shared" si="58"/>
        <v>0</v>
      </c>
      <c r="CW14" s="28">
        <f t="shared" si="58"/>
        <v>0</v>
      </c>
      <c r="CX14" s="28">
        <f t="shared" si="58"/>
        <v>0</v>
      </c>
      <c r="CY14" s="28">
        <f t="shared" si="58"/>
        <v>0</v>
      </c>
      <c r="CZ14" s="28">
        <f t="shared" si="58"/>
        <v>0</v>
      </c>
      <c r="DA14" s="28">
        <f t="shared" si="58"/>
        <v>0</v>
      </c>
      <c r="DB14" s="28">
        <f t="shared" si="58"/>
        <v>0</v>
      </c>
      <c r="DC14" s="28">
        <f t="shared" si="58"/>
        <v>0</v>
      </c>
      <c r="DD14" s="28">
        <f t="shared" si="58"/>
        <v>0</v>
      </c>
      <c r="DE14" s="28">
        <f t="shared" si="58"/>
        <v>0</v>
      </c>
      <c r="DF14" s="28">
        <f t="shared" si="58"/>
        <v>0</v>
      </c>
      <c r="DG14" s="28">
        <f t="shared" si="58"/>
        <v>0</v>
      </c>
      <c r="DH14" s="28">
        <f t="shared" si="58"/>
        <v>0</v>
      </c>
      <c r="DI14" s="28">
        <f t="shared" si="58"/>
        <v>0</v>
      </c>
      <c r="DJ14" s="28">
        <f t="shared" si="58"/>
        <v>0</v>
      </c>
      <c r="DK14" s="28">
        <f t="shared" si="58"/>
        <v>0</v>
      </c>
      <c r="DL14" s="28">
        <f t="shared" si="58"/>
        <v>0</v>
      </c>
      <c r="DM14" s="28">
        <f t="shared" si="58"/>
        <v>0</v>
      </c>
      <c r="DN14" s="28">
        <f t="shared" si="58"/>
        <v>0</v>
      </c>
      <c r="DO14" s="28">
        <f t="shared" si="58"/>
        <v>0</v>
      </c>
      <c r="DP14" s="28">
        <f t="shared" si="58"/>
        <v>0</v>
      </c>
      <c r="DQ14" s="28">
        <f t="shared" si="58"/>
        <v>0</v>
      </c>
      <c r="DR14" s="28">
        <f t="shared" si="58"/>
        <v>0</v>
      </c>
      <c r="DS14" s="28">
        <f t="shared" si="58"/>
        <v>0</v>
      </c>
      <c r="DT14" s="28">
        <f t="shared" si="58"/>
        <v>9.2579999999999991</v>
      </c>
      <c r="DU14" s="28">
        <f t="shared" si="58"/>
        <v>12.131</v>
      </c>
      <c r="DV14" s="28">
        <f t="shared" si="58"/>
        <v>21.388999999999996</v>
      </c>
      <c r="DW14" s="28">
        <f t="shared" si="58"/>
        <v>11.048999999999999</v>
      </c>
      <c r="DX14" s="28">
        <f t="shared" si="58"/>
        <v>6.8498429999999999</v>
      </c>
      <c r="DY14" s="28">
        <v>4.3018905299999979</v>
      </c>
      <c r="DZ14" s="28">
        <f t="shared" si="2"/>
        <v>-2.5731942599999997</v>
      </c>
      <c r="EA14" s="28">
        <f t="shared" si="2"/>
        <v>19.627539269999996</v>
      </c>
      <c r="EB14" s="28">
        <f t="shared" si="2"/>
        <v>-2.9683575199999996</v>
      </c>
      <c r="EC14" s="28">
        <f t="shared" si="2"/>
        <v>-11.789891779999992</v>
      </c>
      <c r="ED14" s="28">
        <f t="shared" ref="ED14" si="59">ED42+ED70+ED98+ED126</f>
        <v>-14.434000000000001</v>
      </c>
      <c r="EE14" s="28">
        <f t="shared" ref="EE14:EG16" si="60">EE42+EE70+EE98+EE126</f>
        <v>-19.874821260000001</v>
      </c>
      <c r="EF14" s="28">
        <f t="shared" si="10"/>
        <v>-49.067070559999991</v>
      </c>
      <c r="EG14" s="28">
        <f t="shared" si="60"/>
        <v>-33.000791169999999</v>
      </c>
      <c r="EH14" s="28">
        <f t="shared" ref="EH14:EI14" si="61">EH42+EH70+EH98+EH126</f>
        <v>-24.131483780000003</v>
      </c>
      <c r="EI14" s="28">
        <f t="shared" si="61"/>
        <v>-21.60835714000001</v>
      </c>
    </row>
    <row r="15" spans="1:139" ht="15" thickTop="1" x14ac:dyDescent="0.3">
      <c r="A15" s="1" t="s">
        <v>449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27">
        <f t="shared" ref="BJ15:CO15" si="62">BJ43+BJ71+BJ99+BJ127</f>
        <v>0</v>
      </c>
      <c r="BK15" s="27">
        <f t="shared" si="62"/>
        <v>0</v>
      </c>
      <c r="BL15" s="27">
        <f t="shared" si="62"/>
        <v>0</v>
      </c>
      <c r="BM15" s="27">
        <f t="shared" si="62"/>
        <v>0</v>
      </c>
      <c r="BN15" s="27">
        <f t="shared" si="62"/>
        <v>0</v>
      </c>
      <c r="BO15" s="27">
        <f t="shared" si="62"/>
        <v>0</v>
      </c>
      <c r="BP15" s="27">
        <f t="shared" si="62"/>
        <v>0</v>
      </c>
      <c r="BQ15" s="27">
        <f t="shared" si="62"/>
        <v>0</v>
      </c>
      <c r="BR15" s="27">
        <f t="shared" si="62"/>
        <v>0</v>
      </c>
      <c r="BS15" s="27">
        <f t="shared" si="62"/>
        <v>0</v>
      </c>
      <c r="BT15" s="27">
        <f t="shared" si="62"/>
        <v>0</v>
      </c>
      <c r="BU15" s="27">
        <f t="shared" si="62"/>
        <v>0</v>
      </c>
      <c r="BV15" s="27">
        <f t="shared" si="62"/>
        <v>0</v>
      </c>
      <c r="BW15" s="27">
        <f t="shared" si="62"/>
        <v>0</v>
      </c>
      <c r="BX15" s="27">
        <f t="shared" si="62"/>
        <v>0</v>
      </c>
      <c r="BY15" s="27">
        <f t="shared" si="62"/>
        <v>0</v>
      </c>
      <c r="BZ15" s="27">
        <f t="shared" si="62"/>
        <v>0</v>
      </c>
      <c r="CA15" s="27">
        <f t="shared" si="62"/>
        <v>0</v>
      </c>
      <c r="CB15" s="27">
        <f t="shared" si="62"/>
        <v>0</v>
      </c>
      <c r="CC15" s="27">
        <f t="shared" si="62"/>
        <v>0</v>
      </c>
      <c r="CD15" s="27">
        <f t="shared" si="62"/>
        <v>0</v>
      </c>
      <c r="CE15" s="27">
        <f t="shared" si="62"/>
        <v>0</v>
      </c>
      <c r="CF15" s="27">
        <f t="shared" si="62"/>
        <v>0</v>
      </c>
      <c r="CG15" s="27">
        <f t="shared" si="62"/>
        <v>0</v>
      </c>
      <c r="CH15" s="27">
        <f t="shared" si="62"/>
        <v>0</v>
      </c>
      <c r="CI15" s="27">
        <f t="shared" si="62"/>
        <v>0</v>
      </c>
      <c r="CJ15" s="27">
        <f t="shared" si="62"/>
        <v>0</v>
      </c>
      <c r="CK15" s="27">
        <f t="shared" si="62"/>
        <v>0</v>
      </c>
      <c r="CL15" s="27">
        <f t="shared" si="62"/>
        <v>0</v>
      </c>
      <c r="CM15" s="27">
        <f t="shared" si="62"/>
        <v>0</v>
      </c>
      <c r="CN15" s="27">
        <f t="shared" si="62"/>
        <v>0</v>
      </c>
      <c r="CO15" s="27">
        <f t="shared" si="62"/>
        <v>0</v>
      </c>
      <c r="CP15" s="27">
        <f t="shared" ref="CP15:DX15" si="63">CP43+CP71+CP99+CP127</f>
        <v>0</v>
      </c>
      <c r="CQ15" s="27">
        <f t="shared" si="63"/>
        <v>0</v>
      </c>
      <c r="CR15" s="27">
        <f t="shared" si="63"/>
        <v>0</v>
      </c>
      <c r="CS15" s="27">
        <f t="shared" si="63"/>
        <v>0</v>
      </c>
      <c r="CT15" s="27">
        <f t="shared" si="63"/>
        <v>0</v>
      </c>
      <c r="CU15" s="27">
        <f t="shared" si="63"/>
        <v>0</v>
      </c>
      <c r="CV15" s="27">
        <f t="shared" si="63"/>
        <v>0</v>
      </c>
      <c r="CW15" s="27">
        <f t="shared" si="63"/>
        <v>0</v>
      </c>
      <c r="CX15" s="27">
        <f t="shared" si="63"/>
        <v>0</v>
      </c>
      <c r="CY15" s="27">
        <f t="shared" si="63"/>
        <v>0</v>
      </c>
      <c r="CZ15" s="27">
        <f t="shared" si="63"/>
        <v>0</v>
      </c>
      <c r="DA15" s="27">
        <f t="shared" si="63"/>
        <v>0</v>
      </c>
      <c r="DB15" s="27">
        <f t="shared" si="63"/>
        <v>0</v>
      </c>
      <c r="DC15" s="27">
        <f t="shared" si="63"/>
        <v>0</v>
      </c>
      <c r="DD15" s="27">
        <f t="shared" si="63"/>
        <v>0</v>
      </c>
      <c r="DE15" s="27">
        <f t="shared" si="63"/>
        <v>0</v>
      </c>
      <c r="DF15" s="27">
        <f t="shared" si="63"/>
        <v>0</v>
      </c>
      <c r="DG15" s="27">
        <f t="shared" si="63"/>
        <v>0</v>
      </c>
      <c r="DH15" s="27">
        <f t="shared" si="63"/>
        <v>0</v>
      </c>
      <c r="DI15" s="27">
        <f t="shared" si="63"/>
        <v>0</v>
      </c>
      <c r="DJ15" s="27">
        <f t="shared" si="63"/>
        <v>0</v>
      </c>
      <c r="DK15" s="27">
        <f t="shared" si="63"/>
        <v>0</v>
      </c>
      <c r="DL15" s="27">
        <f t="shared" si="63"/>
        <v>0</v>
      </c>
      <c r="DM15" s="27">
        <f t="shared" si="63"/>
        <v>0</v>
      </c>
      <c r="DN15" s="27">
        <f t="shared" si="63"/>
        <v>0</v>
      </c>
      <c r="DO15" s="27">
        <f t="shared" si="63"/>
        <v>0</v>
      </c>
      <c r="DP15" s="27">
        <f t="shared" si="63"/>
        <v>0</v>
      </c>
      <c r="DQ15" s="27">
        <f t="shared" si="63"/>
        <v>0</v>
      </c>
      <c r="DR15" s="27">
        <f t="shared" si="63"/>
        <v>0</v>
      </c>
      <c r="DS15" s="27">
        <f t="shared" si="63"/>
        <v>0</v>
      </c>
      <c r="DT15" s="27">
        <f t="shared" si="63"/>
        <v>0</v>
      </c>
      <c r="DU15" s="27">
        <f t="shared" si="63"/>
        <v>0</v>
      </c>
      <c r="DV15" s="27">
        <f t="shared" si="63"/>
        <v>0</v>
      </c>
      <c r="DW15" s="27">
        <f t="shared" si="63"/>
        <v>0</v>
      </c>
      <c r="DX15" s="27">
        <f t="shared" si="63"/>
        <v>-45.314662000000006</v>
      </c>
      <c r="DY15" s="27">
        <v>-48.277475139999993</v>
      </c>
      <c r="DZ15" s="27">
        <f t="shared" si="2"/>
        <v>-41.799302640000008</v>
      </c>
      <c r="EA15" s="27">
        <f t="shared" si="2"/>
        <v>-135.39143978000001</v>
      </c>
      <c r="EB15" s="27">
        <f t="shared" si="2"/>
        <v>-42.118261029999999</v>
      </c>
      <c r="EC15" s="27">
        <f t="shared" si="2"/>
        <v>-42.042917969999991</v>
      </c>
      <c r="ED15" s="27">
        <f t="shared" ref="ED15" si="64">ED43+ED71+ED99+ED127</f>
        <v>-48.689</v>
      </c>
      <c r="EE15" s="27">
        <f t="shared" ref="EE15:EG15" si="65">EE43+EE71+EE99+EE127</f>
        <v>-49.570772669999975</v>
      </c>
      <c r="EF15" s="27">
        <f t="shared" si="10"/>
        <v>-182.42095166999997</v>
      </c>
      <c r="EG15" s="27">
        <f t="shared" si="65"/>
        <v>-56.916271249999994</v>
      </c>
      <c r="EH15" s="27">
        <f t="shared" ref="EH15:EI15" si="66">EH43+EH71+EH99+EH127</f>
        <v>-62.957283909999994</v>
      </c>
      <c r="EI15" s="27">
        <f t="shared" si="66"/>
        <v>-63.982446830000022</v>
      </c>
    </row>
    <row r="16" spans="1:139" ht="15" thickBot="1" x14ac:dyDescent="0.35">
      <c r="A16" s="2" t="s">
        <v>460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>
        <f t="shared" si="60"/>
        <v>-1.7157529400000051</v>
      </c>
      <c r="EH16" s="28">
        <f t="shared" ref="EH16:EI16" si="67">EH44+EH72+EH100+EH128</f>
        <v>-69.349733270000002</v>
      </c>
      <c r="EI16" s="28">
        <f t="shared" si="67"/>
        <v>-58.859793059999987</v>
      </c>
    </row>
    <row r="17" spans="1:139" ht="15" thickTop="1" x14ac:dyDescent="0.3">
      <c r="A17" s="1" t="s">
        <v>304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27">
        <f t="shared" ref="BJ17:CO17" si="68">BJ45+BJ73+BJ101+BJ129</f>
        <v>0</v>
      </c>
      <c r="BK17" s="27">
        <f t="shared" si="68"/>
        <v>0</v>
      </c>
      <c r="BL17" s="27">
        <f t="shared" si="68"/>
        <v>0</v>
      </c>
      <c r="BM17" s="27">
        <f t="shared" si="68"/>
        <v>0</v>
      </c>
      <c r="BN17" s="27">
        <f t="shared" si="68"/>
        <v>0</v>
      </c>
      <c r="BO17" s="27">
        <f t="shared" si="68"/>
        <v>0</v>
      </c>
      <c r="BP17" s="27">
        <f t="shared" si="68"/>
        <v>0</v>
      </c>
      <c r="BQ17" s="27">
        <f t="shared" si="68"/>
        <v>0</v>
      </c>
      <c r="BR17" s="27">
        <f t="shared" si="68"/>
        <v>0</v>
      </c>
      <c r="BS17" s="27">
        <f t="shared" si="68"/>
        <v>0</v>
      </c>
      <c r="BT17" s="27">
        <f t="shared" si="68"/>
        <v>0</v>
      </c>
      <c r="BU17" s="27">
        <f t="shared" si="68"/>
        <v>1.1552037000000002</v>
      </c>
      <c r="BV17" s="27">
        <f t="shared" si="68"/>
        <v>-26.611195079999998</v>
      </c>
      <c r="BW17" s="27">
        <f t="shared" si="68"/>
        <v>-50.170982420000001</v>
      </c>
      <c r="BX17" s="27">
        <f t="shared" si="68"/>
        <v>-75.626973799999988</v>
      </c>
      <c r="BY17" s="27">
        <f t="shared" si="68"/>
        <v>-11.864459080000001</v>
      </c>
      <c r="BZ17" s="27">
        <f t="shared" si="68"/>
        <v>-19.93942401</v>
      </c>
      <c r="CA17" s="27">
        <f t="shared" si="68"/>
        <v>-17.390527560000002</v>
      </c>
      <c r="CB17" s="27">
        <f t="shared" si="68"/>
        <v>-23.447135919999994</v>
      </c>
      <c r="CC17" s="27">
        <f t="shared" si="68"/>
        <v>-98.905935690000007</v>
      </c>
      <c r="CD17" s="27">
        <f t="shared" si="68"/>
        <v>-13.014325640000001</v>
      </c>
      <c r="CE17" s="27">
        <f t="shared" si="68"/>
        <v>-16.024548250000002</v>
      </c>
      <c r="CF17" s="27">
        <f t="shared" si="68"/>
        <v>-20.162506319999995</v>
      </c>
      <c r="CG17" s="27">
        <f t="shared" si="68"/>
        <v>-26.361607070000005</v>
      </c>
      <c r="CH17" s="27">
        <f t="shared" si="68"/>
        <v>-75.562987280000002</v>
      </c>
      <c r="CI17" s="27">
        <f t="shared" si="68"/>
        <v>-31.621323610000005</v>
      </c>
      <c r="CJ17" s="27">
        <f t="shared" si="68"/>
        <v>-22.20816253000001</v>
      </c>
      <c r="CK17" s="27">
        <f t="shared" si="68"/>
        <v>-45.147912819999995</v>
      </c>
      <c r="CL17" s="27">
        <f t="shared" si="68"/>
        <v>-20.397049399999986</v>
      </c>
      <c r="CM17" s="27">
        <f t="shared" si="68"/>
        <v>-119.37444835999999</v>
      </c>
      <c r="CN17" s="27">
        <f t="shared" si="68"/>
        <v>-7.6197371</v>
      </c>
      <c r="CO17" s="27">
        <f t="shared" si="68"/>
        <v>-13.80224082</v>
      </c>
      <c r="CP17" s="27">
        <f t="shared" ref="CP17:DX17" si="69">CP45+CP73+CP101+CP129</f>
        <v>-16.630918219999998</v>
      </c>
      <c r="CQ17" s="27">
        <f t="shared" si="69"/>
        <v>-19.219103860000004</v>
      </c>
      <c r="CR17" s="27">
        <f t="shared" si="69"/>
        <v>-57.272000000000006</v>
      </c>
      <c r="CS17" s="27">
        <f t="shared" si="69"/>
        <v>-14.13061643</v>
      </c>
      <c r="CT17" s="27">
        <f t="shared" si="69"/>
        <v>-20.102010690000004</v>
      </c>
      <c r="CU17" s="27">
        <f t="shared" si="69"/>
        <v>-4.9992900300000018</v>
      </c>
      <c r="CV17" s="27">
        <f t="shared" si="69"/>
        <v>-14.397579799999999</v>
      </c>
      <c r="CW17" s="27">
        <f t="shared" si="69"/>
        <v>-53.629496950000011</v>
      </c>
      <c r="CX17" s="27">
        <f t="shared" si="69"/>
        <v>-0.27099999999999946</v>
      </c>
      <c r="CY17" s="27">
        <f t="shared" si="69"/>
        <v>-20.858000000000001</v>
      </c>
      <c r="CZ17" s="27">
        <f t="shared" si="69"/>
        <v>-6.7489999999999997</v>
      </c>
      <c r="DA17" s="27">
        <f t="shared" si="69"/>
        <v>-1.8429999999999991</v>
      </c>
      <c r="DB17" s="27">
        <f t="shared" si="69"/>
        <v>-29.720999999999993</v>
      </c>
      <c r="DC17" s="27">
        <f t="shared" si="69"/>
        <v>-6.5549999999999997</v>
      </c>
      <c r="DD17" s="27">
        <f t="shared" si="69"/>
        <v>-4.9849999999999994</v>
      </c>
      <c r="DE17" s="27">
        <f t="shared" si="69"/>
        <v>-12.131</v>
      </c>
      <c r="DF17" s="27">
        <f t="shared" si="69"/>
        <v>-4.4329999999999998</v>
      </c>
      <c r="DG17" s="27">
        <f t="shared" si="69"/>
        <v>-28.104000000000003</v>
      </c>
      <c r="DH17" s="27">
        <f t="shared" si="69"/>
        <v>-5.3389999999999995</v>
      </c>
      <c r="DI17" s="27">
        <f t="shared" si="69"/>
        <v>-5.0860000000000003</v>
      </c>
      <c r="DJ17" s="27">
        <f t="shared" si="69"/>
        <v>-3.88</v>
      </c>
      <c r="DK17" s="27">
        <f t="shared" si="69"/>
        <v>-3.6239999999999997</v>
      </c>
      <c r="DL17" s="27">
        <f t="shared" si="69"/>
        <v>-17.929000000000002</v>
      </c>
      <c r="DM17" s="27">
        <f t="shared" si="69"/>
        <v>1.5190000000000001</v>
      </c>
      <c r="DN17" s="27">
        <f t="shared" si="69"/>
        <v>33.777999999999999</v>
      </c>
      <c r="DO17" s="27">
        <f t="shared" si="69"/>
        <v>3.4480000000000004</v>
      </c>
      <c r="DP17" s="27">
        <f t="shared" si="69"/>
        <v>32.859000000000002</v>
      </c>
      <c r="DQ17" s="27">
        <f t="shared" si="69"/>
        <v>71.604000000000013</v>
      </c>
      <c r="DR17" s="27">
        <f t="shared" si="69"/>
        <v>25.512</v>
      </c>
      <c r="DS17" s="27">
        <f t="shared" si="69"/>
        <v>19.875</v>
      </c>
      <c r="DT17" s="27">
        <f t="shared" si="69"/>
        <v>13.678000000000001</v>
      </c>
      <c r="DU17" s="27">
        <f t="shared" si="69"/>
        <v>-0.45900000000000141</v>
      </c>
      <c r="DV17" s="27">
        <f t="shared" si="69"/>
        <v>58.606000000000009</v>
      </c>
      <c r="DW17" s="27">
        <f t="shared" si="69"/>
        <v>13.068999999999999</v>
      </c>
      <c r="DX17" s="27">
        <f t="shared" si="69"/>
        <v>-5.2672489999999996</v>
      </c>
      <c r="DY17" s="27">
        <f>((9872213.26-641951.58)/1000000)*-1</f>
        <v>-9.2302616799999999</v>
      </c>
      <c r="DZ17" s="27">
        <f t="shared" ref="DZ17:EC25" si="70">DZ45+DZ73+DZ101+DZ129</f>
        <v>9.8585623500000086</v>
      </c>
      <c r="EA17" s="27">
        <f t="shared" si="70"/>
        <v>8.4300516700000045</v>
      </c>
      <c r="EB17" s="27">
        <f t="shared" si="70"/>
        <v>-1.5035544600000001</v>
      </c>
      <c r="EC17" s="27">
        <f t="shared" si="70"/>
        <v>3.0768782699999981</v>
      </c>
      <c r="ED17" s="27">
        <f t="shared" ref="ED17" si="71">ED45+ED73+ED101+ED129</f>
        <v>-4.4220000000000006</v>
      </c>
      <c r="EE17" s="27">
        <f t="shared" ref="EE17:EG17" si="72">EE45+EE73+EE101+EE129</f>
        <v>1.900351109999999</v>
      </c>
      <c r="EF17" s="27">
        <f t="shared" si="10"/>
        <v>-0.9483250800000036</v>
      </c>
      <c r="EG17" s="27">
        <f t="shared" si="72"/>
        <v>3.2823871600000007</v>
      </c>
      <c r="EH17" s="27">
        <f t="shared" ref="EH17:EI17" si="73">EH45+EH73+EH101+EH129</f>
        <v>2.36057395</v>
      </c>
      <c r="EI17" s="27">
        <f t="shared" si="73"/>
        <v>10.934816189999999</v>
      </c>
    </row>
    <row r="18" spans="1:139" ht="15" thickBot="1" x14ac:dyDescent="0.35">
      <c r="A18" s="2" t="s">
        <v>305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28">
        <f t="shared" ref="BJ18:CO18" si="74">BJ46+BJ74+BJ102+BJ130</f>
        <v>0</v>
      </c>
      <c r="BK18" s="28">
        <f t="shared" si="74"/>
        <v>0</v>
      </c>
      <c r="BL18" s="28">
        <f t="shared" si="74"/>
        <v>0</v>
      </c>
      <c r="BM18" s="28">
        <f t="shared" si="74"/>
        <v>0</v>
      </c>
      <c r="BN18" s="28">
        <f t="shared" si="74"/>
        <v>0</v>
      </c>
      <c r="BO18" s="28">
        <f t="shared" si="74"/>
        <v>0</v>
      </c>
      <c r="BP18" s="28">
        <f t="shared" si="74"/>
        <v>0</v>
      </c>
      <c r="BQ18" s="28">
        <f t="shared" si="74"/>
        <v>0</v>
      </c>
      <c r="BR18" s="28">
        <f t="shared" si="74"/>
        <v>0</v>
      </c>
      <c r="BS18" s="28">
        <f t="shared" si="74"/>
        <v>0</v>
      </c>
      <c r="BT18" s="28">
        <f t="shared" si="74"/>
        <v>0</v>
      </c>
      <c r="BU18" s="28">
        <f t="shared" si="74"/>
        <v>0</v>
      </c>
      <c r="BV18" s="28">
        <f t="shared" si="74"/>
        <v>0</v>
      </c>
      <c r="BW18" s="28">
        <f t="shared" si="74"/>
        <v>0</v>
      </c>
      <c r="BX18" s="28">
        <f t="shared" si="74"/>
        <v>0</v>
      </c>
      <c r="BY18" s="28">
        <f t="shared" si="74"/>
        <v>0</v>
      </c>
      <c r="BZ18" s="28">
        <f t="shared" si="74"/>
        <v>0</v>
      </c>
      <c r="CA18" s="28">
        <f t="shared" si="74"/>
        <v>0</v>
      </c>
      <c r="CB18" s="28">
        <f t="shared" si="74"/>
        <v>0</v>
      </c>
      <c r="CC18" s="28">
        <f t="shared" si="74"/>
        <v>0</v>
      </c>
      <c r="CD18" s="28">
        <f t="shared" si="74"/>
        <v>0</v>
      </c>
      <c r="CE18" s="28">
        <f t="shared" si="74"/>
        <v>0</v>
      </c>
      <c r="CF18" s="28">
        <f t="shared" si="74"/>
        <v>0</v>
      </c>
      <c r="CG18" s="28">
        <f t="shared" si="74"/>
        <v>0</v>
      </c>
      <c r="CH18" s="28">
        <f t="shared" si="74"/>
        <v>0</v>
      </c>
      <c r="CI18" s="28">
        <f t="shared" si="74"/>
        <v>0</v>
      </c>
      <c r="CJ18" s="28">
        <f t="shared" si="74"/>
        <v>0</v>
      </c>
      <c r="CK18" s="28">
        <f t="shared" si="74"/>
        <v>0</v>
      </c>
      <c r="CL18" s="28">
        <f t="shared" si="74"/>
        <v>0</v>
      </c>
      <c r="CM18" s="28">
        <f t="shared" si="74"/>
        <v>0</v>
      </c>
      <c r="CN18" s="28">
        <f t="shared" si="74"/>
        <v>0</v>
      </c>
      <c r="CO18" s="28">
        <f t="shared" si="74"/>
        <v>0</v>
      </c>
      <c r="CP18" s="28">
        <f t="shared" ref="CP18:DX18" si="75">CP46+CP74+CP102+CP130</f>
        <v>0</v>
      </c>
      <c r="CQ18" s="28">
        <f t="shared" si="75"/>
        <v>0</v>
      </c>
      <c r="CR18" s="28">
        <f t="shared" si="75"/>
        <v>0</v>
      </c>
      <c r="CS18" s="28">
        <f t="shared" si="75"/>
        <v>0</v>
      </c>
      <c r="CT18" s="28">
        <f t="shared" si="75"/>
        <v>0</v>
      </c>
      <c r="CU18" s="28">
        <f t="shared" si="75"/>
        <v>0</v>
      </c>
      <c r="CV18" s="28">
        <f t="shared" si="75"/>
        <v>0</v>
      </c>
      <c r="CW18" s="28">
        <f t="shared" si="75"/>
        <v>0</v>
      </c>
      <c r="CX18" s="28">
        <f t="shared" si="75"/>
        <v>0</v>
      </c>
      <c r="CY18" s="28">
        <f t="shared" si="75"/>
        <v>0</v>
      </c>
      <c r="CZ18" s="28">
        <f t="shared" si="75"/>
        <v>0</v>
      </c>
      <c r="DA18" s="28">
        <f t="shared" si="75"/>
        <v>0</v>
      </c>
      <c r="DB18" s="28">
        <f t="shared" si="75"/>
        <v>0</v>
      </c>
      <c r="DC18" s="28">
        <f t="shared" si="75"/>
        <v>-5.9999999999999984E-3</v>
      </c>
      <c r="DD18" s="28">
        <f t="shared" si="75"/>
        <v>0.13699999999999998</v>
      </c>
      <c r="DE18" s="28">
        <f t="shared" si="75"/>
        <v>0.106</v>
      </c>
      <c r="DF18" s="28">
        <f t="shared" si="75"/>
        <v>4.5999999999999992E-2</v>
      </c>
      <c r="DG18" s="28">
        <f t="shared" si="75"/>
        <v>0.28299999999999997</v>
      </c>
      <c r="DH18" s="28">
        <f t="shared" si="75"/>
        <v>1.7000000000000001E-2</v>
      </c>
      <c r="DI18" s="28">
        <f t="shared" si="75"/>
        <v>5.4999999999999993E-2</v>
      </c>
      <c r="DJ18" s="28">
        <f t="shared" si="75"/>
        <v>1.4000000000000002E-2</v>
      </c>
      <c r="DK18" s="28">
        <f t="shared" si="75"/>
        <v>3.8000000000000006E-2</v>
      </c>
      <c r="DL18" s="28">
        <f t="shared" si="75"/>
        <v>0.12400000000000003</v>
      </c>
      <c r="DM18" s="28">
        <f t="shared" si="75"/>
        <v>-1.2000000000000004E-2</v>
      </c>
      <c r="DN18" s="28">
        <f t="shared" si="75"/>
        <v>7.400000000000001E-2</v>
      </c>
      <c r="DO18" s="28">
        <f t="shared" si="75"/>
        <v>0.20300000000000004</v>
      </c>
      <c r="DP18" s="28">
        <f t="shared" si="75"/>
        <v>0.11599999999999996</v>
      </c>
      <c r="DQ18" s="28">
        <f t="shared" si="75"/>
        <v>0.38100000000000001</v>
      </c>
      <c r="DR18" s="28">
        <f t="shared" si="75"/>
        <v>0.19400000000000001</v>
      </c>
      <c r="DS18" s="28">
        <f t="shared" si="75"/>
        <v>0.21099999999999999</v>
      </c>
      <c r="DT18" s="28">
        <f t="shared" si="75"/>
        <v>0.38100000000000001</v>
      </c>
      <c r="DU18" s="28">
        <f t="shared" si="75"/>
        <v>0.21300000000000002</v>
      </c>
      <c r="DV18" s="28">
        <f t="shared" si="75"/>
        <v>0.99900000000000011</v>
      </c>
      <c r="DW18" s="28">
        <f t="shared" si="75"/>
        <v>0.24000000000000005</v>
      </c>
      <c r="DX18" s="28">
        <f t="shared" si="75"/>
        <v>0.388042</v>
      </c>
      <c r="DY18" s="28">
        <v>0.58608025999999991</v>
      </c>
      <c r="DZ18" s="28">
        <f t="shared" si="70"/>
        <v>0.70739779999999974</v>
      </c>
      <c r="EA18" s="28">
        <f t="shared" si="70"/>
        <v>1.9215200599999998</v>
      </c>
      <c r="EB18" s="28">
        <f t="shared" si="70"/>
        <v>0.40978597999999999</v>
      </c>
      <c r="EC18" s="28">
        <f t="shared" si="70"/>
        <v>0.48948549000000008</v>
      </c>
      <c r="ED18" s="28">
        <f t="shared" ref="ED18" si="76">ED46+ED74+ED102+ED130</f>
        <v>0.64800000000000002</v>
      </c>
      <c r="EE18" s="28">
        <f t="shared" ref="EE18:EG18" si="77">EE46+EE74+EE102+EE130</f>
        <v>-2.5145928099999999</v>
      </c>
      <c r="EF18" s="28">
        <f t="shared" si="10"/>
        <v>-0.96732133999999981</v>
      </c>
      <c r="EG18" s="28">
        <f t="shared" si="77"/>
        <v>0.21898824999999977</v>
      </c>
      <c r="EH18" s="28">
        <f t="shared" ref="EH18:EI18" si="78">EH46+EH74+EH102+EH130</f>
        <v>0.25160132000000046</v>
      </c>
      <c r="EI18" s="28">
        <f t="shared" si="78"/>
        <v>-5.024375999999986E-2</v>
      </c>
    </row>
    <row r="19" spans="1:139" ht="15" thickTop="1" x14ac:dyDescent="0.3">
      <c r="A19" s="1" t="s">
        <v>306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27">
        <f t="shared" ref="BJ19:CO19" si="79">BJ47+BJ75+BJ103+BJ131</f>
        <v>-13.068494689999998</v>
      </c>
      <c r="BK19" s="27">
        <f t="shared" si="79"/>
        <v>-15.931848100000002</v>
      </c>
      <c r="BL19" s="27">
        <f t="shared" si="79"/>
        <v>-15.80824651</v>
      </c>
      <c r="BM19" s="27">
        <f t="shared" si="79"/>
        <v>-18.463172820000004</v>
      </c>
      <c r="BN19" s="27">
        <f t="shared" si="79"/>
        <v>-63.271762119999998</v>
      </c>
      <c r="BO19" s="27">
        <f t="shared" si="79"/>
        <v>-10.023875629999996</v>
      </c>
      <c r="BP19" s="27">
        <f t="shared" si="79"/>
        <v>-8.0959261799999993</v>
      </c>
      <c r="BQ19" s="27">
        <f t="shared" si="79"/>
        <v>-5.0489687300000066</v>
      </c>
      <c r="BR19" s="27">
        <f t="shared" si="79"/>
        <v>-4.6216004000000028</v>
      </c>
      <c r="BS19" s="27">
        <f t="shared" si="79"/>
        <v>-27.79037094000001</v>
      </c>
      <c r="BT19" s="27">
        <f t="shared" si="79"/>
        <v>-2.7586627299999993</v>
      </c>
      <c r="BU19" s="27">
        <f t="shared" si="79"/>
        <v>-7.0663516499999997</v>
      </c>
      <c r="BV19" s="27">
        <f t="shared" si="79"/>
        <v>-6.2195430500000057</v>
      </c>
      <c r="BW19" s="27">
        <f t="shared" si="79"/>
        <v>-23.761953149999997</v>
      </c>
      <c r="BX19" s="27">
        <f t="shared" si="79"/>
        <v>-39.806510580000001</v>
      </c>
      <c r="BY19" s="27">
        <f t="shared" si="79"/>
        <v>-22.864085399999997</v>
      </c>
      <c r="BZ19" s="27">
        <f t="shared" si="79"/>
        <v>-18.602671630000003</v>
      </c>
      <c r="CA19" s="27">
        <f t="shared" si="79"/>
        <v>-7.728898970000003</v>
      </c>
      <c r="CB19" s="27">
        <f t="shared" si="79"/>
        <v>-14.821203130000008</v>
      </c>
      <c r="CC19" s="27">
        <f t="shared" si="79"/>
        <v>-102.61190317000002</v>
      </c>
      <c r="CD19" s="27">
        <f t="shared" si="79"/>
        <v>-18.34883937</v>
      </c>
      <c r="CE19" s="27">
        <f t="shared" si="79"/>
        <v>-17.662405790000001</v>
      </c>
      <c r="CF19" s="27">
        <f t="shared" si="79"/>
        <v>-8.8229496899999909</v>
      </c>
      <c r="CG19" s="27">
        <f t="shared" si="79"/>
        <v>-15.461375440000005</v>
      </c>
      <c r="CH19" s="27">
        <f t="shared" si="79"/>
        <v>-60.295570290000001</v>
      </c>
      <c r="CI19" s="27">
        <f t="shared" si="79"/>
        <v>-28.659195759999996</v>
      </c>
      <c r="CJ19" s="27">
        <f t="shared" si="79"/>
        <v>-22.660570950000007</v>
      </c>
      <c r="CK19" s="27">
        <f t="shared" si="79"/>
        <v>-15.020610810000001</v>
      </c>
      <c r="CL19" s="27">
        <f t="shared" si="79"/>
        <v>-24.678181649999992</v>
      </c>
      <c r="CM19" s="27">
        <f t="shared" si="79"/>
        <v>-91.018559170000003</v>
      </c>
      <c r="CN19" s="27">
        <f t="shared" si="79"/>
        <v>-28.916402490000003</v>
      </c>
      <c r="CO19" s="27">
        <f t="shared" si="79"/>
        <v>-21.269432969999997</v>
      </c>
      <c r="CP19" s="27">
        <f t="shared" ref="CP19:DX19" si="80">CP47+CP75+CP103+CP131</f>
        <v>-17.438286650000002</v>
      </c>
      <c r="CQ19" s="27">
        <f t="shared" si="80"/>
        <v>-14.389542889999987</v>
      </c>
      <c r="CR19" s="27">
        <f t="shared" si="80"/>
        <v>-82.013664999999989</v>
      </c>
      <c r="CS19" s="27">
        <f t="shared" si="80"/>
        <v>-19.208965880000001</v>
      </c>
      <c r="CT19" s="27">
        <f t="shared" si="80"/>
        <v>-9.9957356099999899</v>
      </c>
      <c r="CU19" s="27">
        <f t="shared" si="80"/>
        <v>-20.039629149999996</v>
      </c>
      <c r="CV19" s="27">
        <f t="shared" si="80"/>
        <v>-16.97899606</v>
      </c>
      <c r="CW19" s="27">
        <f>CW47+CW75+CW103+CW131</f>
        <v>-66.223326699999973</v>
      </c>
      <c r="CX19" s="27">
        <f t="shared" si="80"/>
        <v>-32.904000000000003</v>
      </c>
      <c r="CY19" s="27">
        <f t="shared" si="80"/>
        <v>-22.860999999999997</v>
      </c>
      <c r="CZ19" s="27">
        <f t="shared" si="80"/>
        <v>-35.690000000000005</v>
      </c>
      <c r="DA19" s="27">
        <f t="shared" si="80"/>
        <v>1.2519999999999989</v>
      </c>
      <c r="DB19" s="27">
        <f t="shared" si="80"/>
        <v>-90.203000000000003</v>
      </c>
      <c r="DC19" s="27">
        <f t="shared" si="80"/>
        <v>-31.963000000000001</v>
      </c>
      <c r="DD19" s="27">
        <f t="shared" si="80"/>
        <v>-43.057000000000002</v>
      </c>
      <c r="DE19" s="27">
        <f t="shared" si="80"/>
        <v>-42.154999999999994</v>
      </c>
      <c r="DF19" s="27">
        <f t="shared" si="80"/>
        <v>-45.959999999999994</v>
      </c>
      <c r="DG19" s="27">
        <f t="shared" si="80"/>
        <v>-163.13499999999996</v>
      </c>
      <c r="DH19" s="27">
        <f t="shared" si="80"/>
        <v>-53.114000000000004</v>
      </c>
      <c r="DI19" s="27">
        <f t="shared" si="80"/>
        <v>-22.539000000000001</v>
      </c>
      <c r="DJ19" s="27">
        <f t="shared" si="80"/>
        <v>-53.478000000000009</v>
      </c>
      <c r="DK19" s="27">
        <f t="shared" si="80"/>
        <v>-67.786000000000001</v>
      </c>
      <c r="DL19" s="27">
        <f t="shared" si="80"/>
        <v>-196.91699999999997</v>
      </c>
      <c r="DM19" s="27">
        <f t="shared" si="80"/>
        <v>-65.429000000000002</v>
      </c>
      <c r="DN19" s="27">
        <f t="shared" si="80"/>
        <v>-69.944999999999993</v>
      </c>
      <c r="DO19" s="27">
        <f t="shared" si="80"/>
        <v>-85.116</v>
      </c>
      <c r="DP19" s="27">
        <f t="shared" si="80"/>
        <v>-88.891000000000005</v>
      </c>
      <c r="DQ19" s="27">
        <f t="shared" si="80"/>
        <v>-309.38100000000003</v>
      </c>
      <c r="DR19" s="27">
        <f t="shared" si="80"/>
        <v>-88.677000000000007</v>
      </c>
      <c r="DS19" s="27">
        <f t="shared" si="80"/>
        <v>-119.461</v>
      </c>
      <c r="DT19" s="27">
        <f t="shared" si="80"/>
        <v>-108.28500000000001</v>
      </c>
      <c r="DU19" s="27">
        <f t="shared" si="80"/>
        <v>-121.78200000000002</v>
      </c>
      <c r="DV19" s="27">
        <f t="shared" si="80"/>
        <v>-438.20500000000004</v>
      </c>
      <c r="DW19" s="27">
        <f t="shared" si="80"/>
        <v>-133.22499999999999</v>
      </c>
      <c r="DX19" s="27">
        <f t="shared" si="80"/>
        <v>-116.810509</v>
      </c>
      <c r="DY19" s="27">
        <v>-106.24282368</v>
      </c>
      <c r="DZ19" s="27">
        <f t="shared" si="70"/>
        <v>-102.94065069000003</v>
      </c>
      <c r="EA19" s="27">
        <f t="shared" si="70"/>
        <v>-459.21898337000005</v>
      </c>
      <c r="EB19" s="27">
        <f t="shared" si="70"/>
        <v>-110.93775578</v>
      </c>
      <c r="EC19" s="27">
        <f t="shared" si="70"/>
        <v>-105.01026302999998</v>
      </c>
      <c r="ED19" s="27">
        <f t="shared" ref="ED19" si="81">ED47+ED75+ED103+ED131</f>
        <v>-113.92200000000001</v>
      </c>
      <c r="EE19" s="27">
        <f t="shared" ref="EE19:EG19" si="82">EE47+EE75+EE103+EE131</f>
        <v>-141.06273580999996</v>
      </c>
      <c r="EF19" s="27">
        <f t="shared" si="10"/>
        <v>-470.93275461999997</v>
      </c>
      <c r="EG19" s="27">
        <f t="shared" si="82"/>
        <v>-170.74591412999999</v>
      </c>
      <c r="EH19" s="27">
        <f t="shared" ref="EH19:EI19" si="83">EH47+EH75+EH103+EH131</f>
        <v>-169.59336240000002</v>
      </c>
      <c r="EI19" s="27">
        <f t="shared" si="83"/>
        <v>-198.91039334999996</v>
      </c>
    </row>
    <row r="20" spans="1:139" ht="15" thickBot="1" x14ac:dyDescent="0.35">
      <c r="A20" s="2" t="s">
        <v>323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28">
        <f t="shared" ref="BJ20:CO20" si="84">BJ48+BJ76+BJ104+BJ132</f>
        <v>0</v>
      </c>
      <c r="BK20" s="28">
        <f t="shared" si="84"/>
        <v>0</v>
      </c>
      <c r="BL20" s="28">
        <f t="shared" si="84"/>
        <v>0</v>
      </c>
      <c r="BM20" s="28">
        <f t="shared" si="84"/>
        <v>0</v>
      </c>
      <c r="BN20" s="28">
        <f t="shared" si="84"/>
        <v>0</v>
      </c>
      <c r="BO20" s="28">
        <f t="shared" si="84"/>
        <v>0</v>
      </c>
      <c r="BP20" s="28">
        <f t="shared" si="84"/>
        <v>0</v>
      </c>
      <c r="BQ20" s="28">
        <f t="shared" si="84"/>
        <v>0</v>
      </c>
      <c r="BR20" s="28">
        <f t="shared" si="84"/>
        <v>0</v>
      </c>
      <c r="BS20" s="28">
        <f t="shared" si="84"/>
        <v>0</v>
      </c>
      <c r="BT20" s="28">
        <f t="shared" si="84"/>
        <v>0</v>
      </c>
      <c r="BU20" s="28">
        <f t="shared" si="84"/>
        <v>0</v>
      </c>
      <c r="BV20" s="28">
        <f t="shared" si="84"/>
        <v>0</v>
      </c>
      <c r="BW20" s="28">
        <f t="shared" si="84"/>
        <v>0</v>
      </c>
      <c r="BX20" s="28">
        <f t="shared" si="84"/>
        <v>0</v>
      </c>
      <c r="BY20" s="28">
        <f t="shared" si="84"/>
        <v>0</v>
      </c>
      <c r="BZ20" s="28">
        <f t="shared" si="84"/>
        <v>0</v>
      </c>
      <c r="CA20" s="28">
        <f t="shared" si="84"/>
        <v>0</v>
      </c>
      <c r="CB20" s="28">
        <f t="shared" si="84"/>
        <v>0</v>
      </c>
      <c r="CC20" s="28">
        <f t="shared" si="84"/>
        <v>0</v>
      </c>
      <c r="CD20" s="28">
        <f t="shared" si="84"/>
        <v>0</v>
      </c>
      <c r="CE20" s="28">
        <f t="shared" si="84"/>
        <v>0</v>
      </c>
      <c r="CF20" s="28">
        <f t="shared" si="84"/>
        <v>0</v>
      </c>
      <c r="CG20" s="28">
        <f t="shared" si="84"/>
        <v>0</v>
      </c>
      <c r="CH20" s="28">
        <f t="shared" si="84"/>
        <v>0</v>
      </c>
      <c r="CI20" s="28">
        <f t="shared" si="84"/>
        <v>0</v>
      </c>
      <c r="CJ20" s="28">
        <f t="shared" si="84"/>
        <v>0</v>
      </c>
      <c r="CK20" s="28">
        <f t="shared" si="84"/>
        <v>0</v>
      </c>
      <c r="CL20" s="28">
        <f t="shared" si="84"/>
        <v>0</v>
      </c>
      <c r="CM20" s="28">
        <f t="shared" si="84"/>
        <v>0</v>
      </c>
      <c r="CN20" s="28">
        <f t="shared" si="84"/>
        <v>0</v>
      </c>
      <c r="CO20" s="28">
        <f t="shared" si="84"/>
        <v>0</v>
      </c>
      <c r="CP20" s="28">
        <f t="shared" ref="CP20:DX20" si="85">CP48+CP76+CP104+CP132</f>
        <v>0</v>
      </c>
      <c r="CQ20" s="28">
        <f t="shared" si="85"/>
        <v>0</v>
      </c>
      <c r="CR20" s="28">
        <f t="shared" si="85"/>
        <v>0</v>
      </c>
      <c r="CS20" s="28">
        <f t="shared" si="85"/>
        <v>0</v>
      </c>
      <c r="CT20" s="28">
        <f t="shared" si="85"/>
        <v>0</v>
      </c>
      <c r="CU20" s="28">
        <f t="shared" si="85"/>
        <v>0</v>
      </c>
      <c r="CV20" s="28">
        <f t="shared" si="85"/>
        <v>0</v>
      </c>
      <c r="CW20" s="28">
        <f t="shared" si="85"/>
        <v>0</v>
      </c>
      <c r="CX20" s="28">
        <f t="shared" si="85"/>
        <v>0</v>
      </c>
      <c r="CY20" s="28">
        <f t="shared" si="85"/>
        <v>0</v>
      </c>
      <c r="CZ20" s="28">
        <f t="shared" si="85"/>
        <v>0</v>
      </c>
      <c r="DA20" s="28">
        <f t="shared" si="85"/>
        <v>0</v>
      </c>
      <c r="DB20" s="28">
        <f t="shared" si="85"/>
        <v>0</v>
      </c>
      <c r="DC20" s="28">
        <f t="shared" si="85"/>
        <v>0</v>
      </c>
      <c r="DD20" s="28">
        <f t="shared" si="85"/>
        <v>-0.36499999999999999</v>
      </c>
      <c r="DE20" s="28">
        <f t="shared" si="85"/>
        <v>-2.1219999999999999</v>
      </c>
      <c r="DF20" s="28">
        <f t="shared" si="85"/>
        <v>-0.81399999999999995</v>
      </c>
      <c r="DG20" s="28">
        <f t="shared" si="85"/>
        <v>-3.3010000000000006</v>
      </c>
      <c r="DH20" s="28">
        <f t="shared" si="85"/>
        <v>0</v>
      </c>
      <c r="DI20" s="28">
        <f t="shared" si="85"/>
        <v>-1E-3</v>
      </c>
      <c r="DJ20" s="28">
        <f t="shared" si="85"/>
        <v>0</v>
      </c>
      <c r="DK20" s="28">
        <f t="shared" si="85"/>
        <v>0</v>
      </c>
      <c r="DL20" s="28">
        <f t="shared" si="85"/>
        <v>-1E-3</v>
      </c>
      <c r="DM20" s="28">
        <f t="shared" si="85"/>
        <v>0</v>
      </c>
      <c r="DN20" s="28">
        <f t="shared" si="85"/>
        <v>2E-3</v>
      </c>
      <c r="DO20" s="28">
        <f t="shared" si="85"/>
        <v>2E-3</v>
      </c>
      <c r="DP20" s="28">
        <f t="shared" si="85"/>
        <v>4.0000000000000001E-3</v>
      </c>
      <c r="DQ20" s="28">
        <f t="shared" si="85"/>
        <v>8.0000000000000002E-3</v>
      </c>
      <c r="DR20" s="28">
        <f t="shared" si="85"/>
        <v>5.0000000000000001E-3</v>
      </c>
      <c r="DS20" s="28">
        <f t="shared" si="85"/>
        <v>6.0000000000000001E-3</v>
      </c>
      <c r="DT20" s="28">
        <f t="shared" si="85"/>
        <v>6.0000000000000001E-3</v>
      </c>
      <c r="DU20" s="28">
        <f t="shared" si="85"/>
        <v>7.0000000000000001E-3</v>
      </c>
      <c r="DV20" s="28">
        <f t="shared" si="85"/>
        <v>2.3999999999999997E-2</v>
      </c>
      <c r="DW20" s="28">
        <f t="shared" si="85"/>
        <v>7.0000000000000001E-3</v>
      </c>
      <c r="DX20" s="28">
        <f t="shared" si="85"/>
        <v>6.7650000000000002E-3</v>
      </c>
      <c r="DY20" s="28">
        <v>7.253169999999998E-3</v>
      </c>
      <c r="DZ20" s="28">
        <f t="shared" si="70"/>
        <v>6.7722499999999996E-3</v>
      </c>
      <c r="EA20" s="28">
        <f t="shared" si="70"/>
        <v>2.779042E-2</v>
      </c>
      <c r="EB20" s="28">
        <f t="shared" si="70"/>
        <v>5.6764299999999997E-3</v>
      </c>
      <c r="EC20" s="28">
        <f t="shared" si="70"/>
        <v>5.6248900000000013E-3</v>
      </c>
      <c r="ED20" s="28">
        <f t="shared" ref="ED20" si="86">ED48+ED76+ED104+ED132</f>
        <v>4.0000000000000001E-3</v>
      </c>
      <c r="EE20" s="28">
        <f t="shared" ref="EE20:EG20" si="87">EE48+EE76+EE104+EE132</f>
        <v>-6.9225900000000002E-3</v>
      </c>
      <c r="EF20" s="28">
        <f t="shared" si="10"/>
        <v>8.3787300000000009E-3</v>
      </c>
      <c r="EG20" s="28">
        <f t="shared" si="87"/>
        <v>6.3068600000000001E-3</v>
      </c>
      <c r="EH20" s="28">
        <f t="shared" ref="EH20:EI20" si="88">EH48+EH76+EH104+EH132</f>
        <v>7.7475900000000004E-3</v>
      </c>
      <c r="EI20" s="28">
        <f t="shared" si="88"/>
        <v>8.61548E-3</v>
      </c>
    </row>
    <row r="21" spans="1:139" ht="15" thickTop="1" x14ac:dyDescent="0.3">
      <c r="A21" s="1" t="s">
        <v>322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27">
        <f t="shared" ref="BJ21:CO21" si="89">BJ49+BJ77+BJ105+BJ133</f>
        <v>0</v>
      </c>
      <c r="BK21" s="27">
        <f t="shared" si="89"/>
        <v>0</v>
      </c>
      <c r="BL21" s="27">
        <f t="shared" si="89"/>
        <v>0</v>
      </c>
      <c r="BM21" s="27">
        <f t="shared" si="89"/>
        <v>0</v>
      </c>
      <c r="BN21" s="27">
        <f t="shared" si="89"/>
        <v>0</v>
      </c>
      <c r="BO21" s="27">
        <f t="shared" si="89"/>
        <v>0</v>
      </c>
      <c r="BP21" s="27">
        <f t="shared" si="89"/>
        <v>0</v>
      </c>
      <c r="BQ21" s="27">
        <f t="shared" si="89"/>
        <v>0</v>
      </c>
      <c r="BR21" s="27">
        <f t="shared" si="89"/>
        <v>0</v>
      </c>
      <c r="BS21" s="27">
        <f t="shared" si="89"/>
        <v>0</v>
      </c>
      <c r="BT21" s="27">
        <f t="shared" si="89"/>
        <v>0</v>
      </c>
      <c r="BU21" s="27">
        <f t="shared" si="89"/>
        <v>0</v>
      </c>
      <c r="BV21" s="27">
        <f t="shared" si="89"/>
        <v>0</v>
      </c>
      <c r="BW21" s="27">
        <f t="shared" si="89"/>
        <v>0</v>
      </c>
      <c r="BX21" s="27">
        <f t="shared" si="89"/>
        <v>0</v>
      </c>
      <c r="BY21" s="27">
        <f t="shared" si="89"/>
        <v>0</v>
      </c>
      <c r="BZ21" s="27">
        <f t="shared" si="89"/>
        <v>0</v>
      </c>
      <c r="CA21" s="27">
        <f t="shared" si="89"/>
        <v>0</v>
      </c>
      <c r="CB21" s="27">
        <f t="shared" si="89"/>
        <v>0</v>
      </c>
      <c r="CC21" s="27">
        <f t="shared" si="89"/>
        <v>0</v>
      </c>
      <c r="CD21" s="27">
        <f t="shared" si="89"/>
        <v>0</v>
      </c>
      <c r="CE21" s="27">
        <f t="shared" si="89"/>
        <v>0</v>
      </c>
      <c r="CF21" s="27">
        <f t="shared" si="89"/>
        <v>0</v>
      </c>
      <c r="CG21" s="27">
        <f t="shared" si="89"/>
        <v>0</v>
      </c>
      <c r="CH21" s="27">
        <f t="shared" si="89"/>
        <v>0</v>
      </c>
      <c r="CI21" s="27">
        <f t="shared" si="89"/>
        <v>0</v>
      </c>
      <c r="CJ21" s="27">
        <f t="shared" si="89"/>
        <v>0</v>
      </c>
      <c r="CK21" s="27">
        <f t="shared" si="89"/>
        <v>0</v>
      </c>
      <c r="CL21" s="27">
        <f t="shared" si="89"/>
        <v>0</v>
      </c>
      <c r="CM21" s="27">
        <f t="shared" si="89"/>
        <v>0</v>
      </c>
      <c r="CN21" s="27">
        <f t="shared" si="89"/>
        <v>0</v>
      </c>
      <c r="CO21" s="27">
        <f t="shared" si="89"/>
        <v>0</v>
      </c>
      <c r="CP21" s="27">
        <f t="shared" ref="CP21:DX21" si="90">CP49+CP77+CP105+CP133</f>
        <v>0</v>
      </c>
      <c r="CQ21" s="27">
        <f t="shared" si="90"/>
        <v>0</v>
      </c>
      <c r="CR21" s="27">
        <f t="shared" si="90"/>
        <v>0</v>
      </c>
      <c r="CS21" s="27">
        <f t="shared" si="90"/>
        <v>0</v>
      </c>
      <c r="CT21" s="27">
        <f t="shared" si="90"/>
        <v>0</v>
      </c>
      <c r="CU21" s="27">
        <f t="shared" si="90"/>
        <v>0</v>
      </c>
      <c r="CV21" s="27">
        <f t="shared" si="90"/>
        <v>0</v>
      </c>
      <c r="CW21" s="27">
        <f t="shared" si="90"/>
        <v>0</v>
      </c>
      <c r="CX21" s="27">
        <f t="shared" si="90"/>
        <v>0</v>
      </c>
      <c r="CY21" s="27">
        <f t="shared" si="90"/>
        <v>0</v>
      </c>
      <c r="CZ21" s="27">
        <f t="shared" si="90"/>
        <v>0</v>
      </c>
      <c r="DA21" s="27">
        <f t="shared" si="90"/>
        <v>0</v>
      </c>
      <c r="DB21" s="27">
        <f t="shared" si="90"/>
        <v>0</v>
      </c>
      <c r="DC21" s="27">
        <f t="shared" si="90"/>
        <v>0</v>
      </c>
      <c r="DD21" s="27">
        <f t="shared" si="90"/>
        <v>0</v>
      </c>
      <c r="DE21" s="27">
        <f t="shared" si="90"/>
        <v>0</v>
      </c>
      <c r="DF21" s="27">
        <f t="shared" si="90"/>
        <v>0</v>
      </c>
      <c r="DG21" s="27">
        <f t="shared" si="90"/>
        <v>0</v>
      </c>
      <c r="DH21" s="27">
        <f t="shared" si="90"/>
        <v>0</v>
      </c>
      <c r="DI21" s="27">
        <f t="shared" si="90"/>
        <v>0</v>
      </c>
      <c r="DJ21" s="27">
        <f t="shared" si="90"/>
        <v>0</v>
      </c>
      <c r="DK21" s="27">
        <f t="shared" si="90"/>
        <v>0</v>
      </c>
      <c r="DL21" s="27">
        <f t="shared" si="90"/>
        <v>0</v>
      </c>
      <c r="DM21" s="27">
        <f t="shared" si="90"/>
        <v>0</v>
      </c>
      <c r="DN21" s="27">
        <f t="shared" si="90"/>
        <v>0</v>
      </c>
      <c r="DO21" s="27">
        <f t="shared" si="90"/>
        <v>-12.577999999999999</v>
      </c>
      <c r="DP21" s="27">
        <f t="shared" si="90"/>
        <v>-0.9480000000000004</v>
      </c>
      <c r="DQ21" s="27">
        <f t="shared" si="90"/>
        <v>-13.525999999999996</v>
      </c>
      <c r="DR21" s="27">
        <f t="shared" si="90"/>
        <v>-9.5989999999999966</v>
      </c>
      <c r="DS21" s="27">
        <f t="shared" si="90"/>
        <v>-6.9570000000000007</v>
      </c>
      <c r="DT21" s="27">
        <f t="shared" si="90"/>
        <v>-8.9100000000000037</v>
      </c>
      <c r="DU21" s="27">
        <f t="shared" si="90"/>
        <v>-25.346000000000004</v>
      </c>
      <c r="DV21" s="27">
        <f t="shared" si="90"/>
        <v>-50.812000000000012</v>
      </c>
      <c r="DW21" s="27">
        <f t="shared" si="90"/>
        <v>-38.479000000000006</v>
      </c>
      <c r="DX21" s="27">
        <f t="shared" si="90"/>
        <v>-27.565699000000002</v>
      </c>
      <c r="DY21" s="27">
        <v>-20.699691480000006</v>
      </c>
      <c r="DZ21" s="27">
        <f t="shared" si="70"/>
        <v>-22.52764423</v>
      </c>
      <c r="EA21" s="27">
        <f t="shared" si="70"/>
        <v>-109.27203470999999</v>
      </c>
      <c r="EB21" s="27">
        <f t="shared" si="70"/>
        <v>-27.234933180000002</v>
      </c>
      <c r="EC21" s="27">
        <f t="shared" si="70"/>
        <v>-32.386736149999997</v>
      </c>
      <c r="ED21" s="27">
        <f t="shared" ref="ED21" si="91">ED49+ED77+ED105+ED133</f>
        <v>-35.488999999999997</v>
      </c>
      <c r="EE21" s="27">
        <f t="shared" ref="EE21:EG21" si="92">EE49+EE77+EE105+EE133</f>
        <v>-43.031579239999992</v>
      </c>
      <c r="EF21" s="27">
        <f t="shared" si="10"/>
        <v>-138.14224856999999</v>
      </c>
      <c r="EG21" s="27">
        <f t="shared" si="92"/>
        <v>-49.940487190000006</v>
      </c>
      <c r="EH21" s="27">
        <f t="shared" ref="EH21:EI21" si="93">EH49+EH77+EH105+EH133</f>
        <v>-36.869968369999995</v>
      </c>
      <c r="EI21" s="27">
        <f t="shared" si="93"/>
        <v>-32.337760850000009</v>
      </c>
    </row>
    <row r="22" spans="1:139" ht="15" thickBot="1" x14ac:dyDescent="0.35">
      <c r="A22" s="2" t="s">
        <v>370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28">
        <f t="shared" ref="BJ22:CO22" si="94">BJ50+BJ78+BJ106+BJ134</f>
        <v>-1.9610502599999997</v>
      </c>
      <c r="BK22" s="28">
        <f t="shared" si="94"/>
        <v>-2.9309647800000005</v>
      </c>
      <c r="BL22" s="28">
        <f t="shared" si="94"/>
        <v>-1.0188045999999993</v>
      </c>
      <c r="BM22" s="28">
        <f t="shared" si="94"/>
        <v>0.69424009000000009</v>
      </c>
      <c r="BN22" s="28">
        <f t="shared" si="94"/>
        <v>-5.2165795499999996</v>
      </c>
      <c r="BO22" s="28">
        <f t="shared" si="94"/>
        <v>-5.0382275300000003</v>
      </c>
      <c r="BP22" s="28">
        <f t="shared" si="94"/>
        <v>-4.9395327499999979</v>
      </c>
      <c r="BQ22" s="28">
        <f t="shared" si="94"/>
        <v>-10.237615209999998</v>
      </c>
      <c r="BR22" s="28">
        <f t="shared" si="94"/>
        <v>-8.3381486999999996</v>
      </c>
      <c r="BS22" s="28">
        <f t="shared" si="94"/>
        <v>-28.553524189999997</v>
      </c>
      <c r="BT22" s="28">
        <f t="shared" si="94"/>
        <v>0</v>
      </c>
      <c r="BU22" s="28">
        <f t="shared" si="94"/>
        <v>0</v>
      </c>
      <c r="BV22" s="28">
        <f t="shared" si="94"/>
        <v>0</v>
      </c>
      <c r="BW22" s="28">
        <f t="shared" si="94"/>
        <v>0</v>
      </c>
      <c r="BX22" s="28">
        <f t="shared" si="94"/>
        <v>0</v>
      </c>
      <c r="BY22" s="28">
        <f t="shared" si="94"/>
        <v>0</v>
      </c>
      <c r="BZ22" s="28">
        <f t="shared" si="94"/>
        <v>0</v>
      </c>
      <c r="CA22" s="28">
        <f t="shared" si="94"/>
        <v>0</v>
      </c>
      <c r="CB22" s="28">
        <f t="shared" si="94"/>
        <v>0</v>
      </c>
      <c r="CC22" s="28">
        <f t="shared" si="94"/>
        <v>0</v>
      </c>
      <c r="CD22" s="28">
        <f t="shared" si="94"/>
        <v>0</v>
      </c>
      <c r="CE22" s="28">
        <f t="shared" si="94"/>
        <v>0</v>
      </c>
      <c r="CF22" s="28">
        <f t="shared" si="94"/>
        <v>0</v>
      </c>
      <c r="CG22" s="28">
        <f t="shared" si="94"/>
        <v>0</v>
      </c>
      <c r="CH22" s="28">
        <f t="shared" si="94"/>
        <v>0</v>
      </c>
      <c r="CI22" s="28">
        <f t="shared" si="94"/>
        <v>0</v>
      </c>
      <c r="CJ22" s="28">
        <f t="shared" si="94"/>
        <v>0</v>
      </c>
      <c r="CK22" s="28">
        <f t="shared" si="94"/>
        <v>0</v>
      </c>
      <c r="CL22" s="28">
        <f t="shared" si="94"/>
        <v>0</v>
      </c>
      <c r="CM22" s="28">
        <f t="shared" si="94"/>
        <v>0</v>
      </c>
      <c r="CN22" s="28">
        <f t="shared" si="94"/>
        <v>0</v>
      </c>
      <c r="CO22" s="28">
        <f t="shared" si="94"/>
        <v>0</v>
      </c>
      <c r="CP22" s="28">
        <f t="shared" ref="CP22:DX22" si="95">CP50+CP78+CP106+CP134</f>
        <v>0</v>
      </c>
      <c r="CQ22" s="28">
        <f t="shared" si="95"/>
        <v>0</v>
      </c>
      <c r="CR22" s="28">
        <f t="shared" si="95"/>
        <v>0</v>
      </c>
      <c r="CS22" s="28">
        <f t="shared" si="95"/>
        <v>0</v>
      </c>
      <c r="CT22" s="28">
        <f t="shared" si="95"/>
        <v>0</v>
      </c>
      <c r="CU22" s="28">
        <f t="shared" si="95"/>
        <v>0</v>
      </c>
      <c r="CV22" s="28">
        <f t="shared" si="95"/>
        <v>0</v>
      </c>
      <c r="CW22" s="28">
        <f t="shared" si="95"/>
        <v>0</v>
      </c>
      <c r="CX22" s="28">
        <f t="shared" si="95"/>
        <v>0</v>
      </c>
      <c r="CY22" s="28">
        <f t="shared" si="95"/>
        <v>0</v>
      </c>
      <c r="CZ22" s="28">
        <f t="shared" si="95"/>
        <v>0</v>
      </c>
      <c r="DA22" s="28">
        <f t="shared" si="95"/>
        <v>0</v>
      </c>
      <c r="DB22" s="28">
        <f t="shared" si="95"/>
        <v>0</v>
      </c>
      <c r="DC22" s="28">
        <f t="shared" si="95"/>
        <v>0</v>
      </c>
      <c r="DD22" s="28">
        <f t="shared" si="95"/>
        <v>0</v>
      </c>
      <c r="DE22" s="28">
        <f t="shared" si="95"/>
        <v>0</v>
      </c>
      <c r="DF22" s="28">
        <f t="shared" si="95"/>
        <v>0</v>
      </c>
      <c r="DG22" s="28">
        <f t="shared" si="95"/>
        <v>0</v>
      </c>
      <c r="DH22" s="28">
        <f t="shared" si="95"/>
        <v>0</v>
      </c>
      <c r="DI22" s="28">
        <f t="shared" si="95"/>
        <v>0</v>
      </c>
      <c r="DJ22" s="28">
        <f t="shared" si="95"/>
        <v>0</v>
      </c>
      <c r="DK22" s="28">
        <f t="shared" si="95"/>
        <v>0</v>
      </c>
      <c r="DL22" s="28">
        <f t="shared" si="95"/>
        <v>0</v>
      </c>
      <c r="DM22" s="28">
        <f t="shared" si="95"/>
        <v>0</v>
      </c>
      <c r="DN22" s="28">
        <f t="shared" si="95"/>
        <v>0</v>
      </c>
      <c r="DO22" s="28">
        <f t="shared" si="95"/>
        <v>0</v>
      </c>
      <c r="DP22" s="28">
        <f t="shared" si="95"/>
        <v>0</v>
      </c>
      <c r="DQ22" s="28">
        <f t="shared" si="95"/>
        <v>0</v>
      </c>
      <c r="DR22" s="28">
        <f t="shared" si="95"/>
        <v>0</v>
      </c>
      <c r="DS22" s="28">
        <f t="shared" si="95"/>
        <v>0</v>
      </c>
      <c r="DT22" s="28">
        <f t="shared" si="95"/>
        <v>0</v>
      </c>
      <c r="DU22" s="28">
        <f t="shared" si="95"/>
        <v>0</v>
      </c>
      <c r="DV22" s="28">
        <f t="shared" si="95"/>
        <v>0</v>
      </c>
      <c r="DW22" s="28">
        <f t="shared" si="95"/>
        <v>0</v>
      </c>
      <c r="DX22" s="28">
        <f t="shared" si="95"/>
        <v>0</v>
      </c>
      <c r="DY22" s="28">
        <f>((DY50+DY78+DY106+DY134)/1000000)*-1</f>
        <v>0</v>
      </c>
      <c r="DZ22" s="28">
        <f t="shared" si="70"/>
        <v>0</v>
      </c>
      <c r="EA22" s="28">
        <f t="shared" si="70"/>
        <v>0</v>
      </c>
      <c r="EB22" s="28">
        <f t="shared" si="70"/>
        <v>0</v>
      </c>
      <c r="EC22" s="28">
        <f t="shared" si="70"/>
        <v>0</v>
      </c>
      <c r="ED22" s="28">
        <f t="shared" ref="ED22" si="96">ED50+ED78+ED106+ED134</f>
        <v>0</v>
      </c>
      <c r="EE22" s="28">
        <f t="shared" ref="EE22:EG22" si="97">EE50+EE78+EE106+EE134</f>
        <v>0</v>
      </c>
      <c r="EF22" s="28">
        <f t="shared" si="10"/>
        <v>0</v>
      </c>
      <c r="EG22" s="28">
        <f t="shared" si="97"/>
        <v>0</v>
      </c>
      <c r="EH22" s="28">
        <f t="shared" ref="EH22:EI22" si="98">EH50+EH78+EH106+EH134</f>
        <v>0</v>
      </c>
      <c r="EI22" s="28">
        <f t="shared" si="98"/>
        <v>0</v>
      </c>
    </row>
    <row r="23" spans="1:139" ht="15" thickTop="1" x14ac:dyDescent="0.3">
      <c r="A23" s="1" t="s">
        <v>338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27">
        <f t="shared" ref="BJ23:CO23" si="99">BJ51+BJ79+BJ107+BJ135</f>
        <v>-0.85595597999999995</v>
      </c>
      <c r="BK23" s="27">
        <f t="shared" si="99"/>
        <v>-0.75684127999999995</v>
      </c>
      <c r="BL23" s="27">
        <f t="shared" si="99"/>
        <v>-0.72754517000000052</v>
      </c>
      <c r="BM23" s="27">
        <f t="shared" si="99"/>
        <v>3.0464786900000007</v>
      </c>
      <c r="BN23" s="27">
        <f t="shared" si="99"/>
        <v>0.7061362600000004</v>
      </c>
      <c r="BO23" s="27">
        <f t="shared" si="99"/>
        <v>0.20453673</v>
      </c>
      <c r="BP23" s="27">
        <f t="shared" si="99"/>
        <v>0.35588580999999997</v>
      </c>
      <c r="BQ23" s="27">
        <f t="shared" si="99"/>
        <v>0.50747423999999997</v>
      </c>
      <c r="BR23" s="27">
        <f t="shared" si="99"/>
        <v>0.70220358000000016</v>
      </c>
      <c r="BS23" s="27">
        <f t="shared" si="99"/>
        <v>1.77010036</v>
      </c>
      <c r="BT23" s="27">
        <f t="shared" si="99"/>
        <v>0</v>
      </c>
      <c r="BU23" s="27">
        <f t="shared" si="99"/>
        <v>0</v>
      </c>
      <c r="BV23" s="27">
        <f t="shared" si="99"/>
        <v>0</v>
      </c>
      <c r="BW23" s="27">
        <f t="shared" si="99"/>
        <v>0</v>
      </c>
      <c r="BX23" s="27">
        <f t="shared" si="99"/>
        <v>0</v>
      </c>
      <c r="BY23" s="27">
        <f t="shared" si="99"/>
        <v>0</v>
      </c>
      <c r="BZ23" s="27">
        <f t="shared" si="99"/>
        <v>0</v>
      </c>
      <c r="CA23" s="27">
        <f t="shared" si="99"/>
        <v>0</v>
      </c>
      <c r="CB23" s="27">
        <f t="shared" si="99"/>
        <v>0</v>
      </c>
      <c r="CC23" s="27">
        <f t="shared" si="99"/>
        <v>0</v>
      </c>
      <c r="CD23" s="27">
        <f t="shared" si="99"/>
        <v>0</v>
      </c>
      <c r="CE23" s="27">
        <f t="shared" si="99"/>
        <v>0</v>
      </c>
      <c r="CF23" s="27">
        <f t="shared" si="99"/>
        <v>0</v>
      </c>
      <c r="CG23" s="27">
        <f t="shared" si="99"/>
        <v>4.9591429999999999E-2</v>
      </c>
      <c r="CH23" s="27">
        <f t="shared" si="99"/>
        <v>4.9591429999999999E-2</v>
      </c>
      <c r="CI23" s="27">
        <f t="shared" si="99"/>
        <v>0</v>
      </c>
      <c r="CJ23" s="27">
        <f t="shared" si="99"/>
        <v>0</v>
      </c>
      <c r="CK23" s="27">
        <f t="shared" si="99"/>
        <v>0</v>
      </c>
      <c r="CL23" s="27">
        <f t="shared" si="99"/>
        <v>2.7144149999999999E-2</v>
      </c>
      <c r="CM23" s="27">
        <f t="shared" si="99"/>
        <v>2.7144149999999999E-2</v>
      </c>
      <c r="CN23" s="27">
        <f t="shared" si="99"/>
        <v>6.7754599999999996E-3</v>
      </c>
      <c r="CO23" s="27">
        <f t="shared" si="99"/>
        <v>4.1155970000000007E-2</v>
      </c>
      <c r="CP23" s="27">
        <f t="shared" ref="CP23:DX23" si="100">CP51+CP79+CP107+CP135</f>
        <v>-0.41638504000000004</v>
      </c>
      <c r="CQ23" s="27">
        <f t="shared" si="100"/>
        <v>-0.18254639</v>
      </c>
      <c r="CR23" s="27">
        <f t="shared" si="100"/>
        <v>-0.55100000000000005</v>
      </c>
      <c r="CS23" s="27">
        <f t="shared" si="100"/>
        <v>-0.19800000000000001</v>
      </c>
      <c r="CT23" s="27">
        <f t="shared" si="100"/>
        <v>-0.15999999999999998</v>
      </c>
      <c r="CU23" s="27">
        <f t="shared" si="100"/>
        <v>-0.15760510999999999</v>
      </c>
      <c r="CV23" s="27">
        <f t="shared" si="100"/>
        <v>-0.11678932999999998</v>
      </c>
      <c r="CW23" s="27">
        <f t="shared" si="100"/>
        <v>-0.63239444</v>
      </c>
      <c r="CX23" s="27">
        <f t="shared" si="100"/>
        <v>-9.5000000000000001E-2</v>
      </c>
      <c r="CY23" s="27">
        <f t="shared" si="100"/>
        <v>-3.8289999999999997</v>
      </c>
      <c r="CZ23" s="27">
        <f t="shared" si="100"/>
        <v>-3.948999999999999</v>
      </c>
      <c r="DA23" s="27">
        <f t="shared" si="100"/>
        <v>-3.947000000000001</v>
      </c>
      <c r="DB23" s="27">
        <f t="shared" si="100"/>
        <v>-11.820000000000006</v>
      </c>
      <c r="DC23" s="27">
        <f t="shared" si="100"/>
        <v>-3.8989999999999991</v>
      </c>
      <c r="DD23" s="27">
        <f t="shared" si="100"/>
        <v>-4.1870000000000003</v>
      </c>
      <c r="DE23" s="27">
        <f t="shared" si="100"/>
        <v>-8.7779999999999987</v>
      </c>
      <c r="DF23" s="27">
        <f t="shared" si="100"/>
        <v>-3.3299999999999996</v>
      </c>
      <c r="DG23" s="27">
        <f t="shared" si="100"/>
        <v>-20.194000000000003</v>
      </c>
      <c r="DH23" s="27">
        <f t="shared" si="100"/>
        <v>0.10699999999999998</v>
      </c>
      <c r="DI23" s="27">
        <f t="shared" si="100"/>
        <v>7.9000000000000001E-2</v>
      </c>
      <c r="DJ23" s="27">
        <f t="shared" si="100"/>
        <v>1.6999999999999994E-2</v>
      </c>
      <c r="DK23" s="27">
        <f t="shared" si="100"/>
        <v>0.05</v>
      </c>
      <c r="DL23" s="27">
        <f t="shared" si="100"/>
        <v>0.253</v>
      </c>
      <c r="DM23" s="27">
        <f t="shared" si="100"/>
        <v>6.7000000000000004E-2</v>
      </c>
      <c r="DN23" s="27">
        <f t="shared" si="100"/>
        <v>0.113</v>
      </c>
      <c r="DO23" s="27">
        <f t="shared" si="100"/>
        <v>0.17699999999999999</v>
      </c>
      <c r="DP23" s="27">
        <f t="shared" si="100"/>
        <v>0.14700000000000002</v>
      </c>
      <c r="DQ23" s="27">
        <f t="shared" si="100"/>
        <v>0.504</v>
      </c>
      <c r="DR23" s="27">
        <f t="shared" si="100"/>
        <v>0.39299999999999996</v>
      </c>
      <c r="DS23" s="27">
        <f t="shared" si="100"/>
        <v>0.432</v>
      </c>
      <c r="DT23" s="27">
        <f t="shared" si="100"/>
        <v>-3.6000000000000004E-2</v>
      </c>
      <c r="DU23" s="27">
        <f t="shared" si="100"/>
        <v>2.7E-2</v>
      </c>
      <c r="DV23" s="27">
        <f t="shared" si="100"/>
        <v>0.81599999999999995</v>
      </c>
      <c r="DW23" s="27">
        <f t="shared" si="100"/>
        <v>2.3E-2</v>
      </c>
      <c r="DX23" s="27">
        <f t="shared" si="100"/>
        <v>1.2878000000000001E-2</v>
      </c>
      <c r="DY23" s="27">
        <v>1.2279710000000003E-2</v>
      </c>
      <c r="DZ23" s="27">
        <f t="shared" si="70"/>
        <v>1.725579E-2</v>
      </c>
      <c r="EA23" s="27">
        <f t="shared" si="70"/>
        <v>6.5413500000000013E-2</v>
      </c>
      <c r="EB23" s="27">
        <f t="shared" si="70"/>
        <v>0.20290975</v>
      </c>
      <c r="EC23" s="27">
        <f t="shared" si="70"/>
        <v>0.17278226000000002</v>
      </c>
      <c r="ED23" s="27">
        <f t="shared" ref="ED23" si="101">ED51+ED79+ED107+ED135</f>
        <v>0.17899999999999999</v>
      </c>
      <c r="EE23" s="27">
        <f t="shared" ref="EE23:EG23" si="102">EE51+EE79+EE107+EE135</f>
        <v>0.23305431000000004</v>
      </c>
      <c r="EF23" s="27">
        <f t="shared" si="10"/>
        <v>0.78774632000000011</v>
      </c>
      <c r="EG23" s="27">
        <f t="shared" si="102"/>
        <v>0.26619781999999997</v>
      </c>
      <c r="EH23" s="27">
        <f t="shared" ref="EH23:EI23" si="103">EH51+EH79+EH107+EH135</f>
        <v>0.42503159999999995</v>
      </c>
      <c r="EI23" s="27">
        <f t="shared" si="103"/>
        <v>-1.3996049799999999</v>
      </c>
    </row>
    <row r="24" spans="1:139" ht="15" thickBot="1" x14ac:dyDescent="0.35">
      <c r="A24" s="2" t="s">
        <v>331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28">
        <f t="shared" ref="BJ24:CO24" si="104">BJ52+BJ80+BJ108+BJ136</f>
        <v>-0.42490053999999999</v>
      </c>
      <c r="BK24" s="28">
        <f t="shared" si="104"/>
        <v>16.614858469999998</v>
      </c>
      <c r="BL24" s="28">
        <f t="shared" si="104"/>
        <v>22.226573199999997</v>
      </c>
      <c r="BM24" s="28">
        <f t="shared" si="104"/>
        <v>18.705472060000009</v>
      </c>
      <c r="BN24" s="28">
        <f t="shared" si="104"/>
        <v>57.122003189999994</v>
      </c>
      <c r="BO24" s="28">
        <f t="shared" si="104"/>
        <v>10.047950599999998</v>
      </c>
      <c r="BP24" s="28">
        <f t="shared" si="104"/>
        <v>7.3583906700000021</v>
      </c>
      <c r="BQ24" s="28">
        <f t="shared" si="104"/>
        <v>6.2214541999999975</v>
      </c>
      <c r="BR24" s="28">
        <f t="shared" si="104"/>
        <v>3.5932675600000006</v>
      </c>
      <c r="BS24" s="28">
        <f t="shared" si="104"/>
        <v>27.22106303</v>
      </c>
      <c r="BT24" s="28">
        <f t="shared" si="104"/>
        <v>2.1176167399999999</v>
      </c>
      <c r="BU24" s="28">
        <f t="shared" si="104"/>
        <v>-0.25567121000000015</v>
      </c>
      <c r="BV24" s="28">
        <f t="shared" si="104"/>
        <v>-11.206819969999998</v>
      </c>
      <c r="BW24" s="28">
        <f t="shared" si="104"/>
        <v>-8.9139285300000033</v>
      </c>
      <c r="BX24" s="28">
        <f t="shared" si="104"/>
        <v>-18.258802969999998</v>
      </c>
      <c r="BY24" s="28">
        <f t="shared" si="104"/>
        <v>-4.6931769099999991</v>
      </c>
      <c r="BZ24" s="28">
        <f t="shared" si="104"/>
        <v>-4.4109731900000027</v>
      </c>
      <c r="CA24" s="28">
        <f t="shared" si="104"/>
        <v>-3.9038483200000016</v>
      </c>
      <c r="CB24" s="28">
        <f t="shared" si="104"/>
        <v>-2.6106448100000001</v>
      </c>
      <c r="CC24" s="28">
        <f t="shared" si="104"/>
        <v>-58.778249350000003</v>
      </c>
      <c r="CD24" s="28">
        <f t="shared" si="104"/>
        <v>-3.9278154699999996</v>
      </c>
      <c r="CE24" s="28">
        <f t="shared" si="104"/>
        <v>-2.3300940099999989</v>
      </c>
      <c r="CF24" s="28">
        <f t="shared" si="104"/>
        <v>-6.9836861700000021</v>
      </c>
      <c r="CG24" s="28">
        <f t="shared" si="104"/>
        <v>-8.4692263100000016</v>
      </c>
      <c r="CH24" s="28">
        <f t="shared" si="104"/>
        <v>-21.710821960000001</v>
      </c>
      <c r="CI24" s="28">
        <f t="shared" si="104"/>
        <v>-14.242398830000001</v>
      </c>
      <c r="CJ24" s="28">
        <f t="shared" si="104"/>
        <v>-23.103677089999998</v>
      </c>
      <c r="CK24" s="28">
        <f t="shared" si="104"/>
        <v>-32.487278430000003</v>
      </c>
      <c r="CL24" s="28">
        <f t="shared" si="104"/>
        <v>-30.223945489999991</v>
      </c>
      <c r="CM24" s="28">
        <f t="shared" si="104"/>
        <v>-100.05729983999998</v>
      </c>
      <c r="CN24" s="28">
        <f t="shared" si="104"/>
        <v>-27.508771519999996</v>
      </c>
      <c r="CO24" s="28">
        <f t="shared" si="104"/>
        <v>-27.165225270000001</v>
      </c>
      <c r="CP24" s="28">
        <f t="shared" ref="CP24:DX24" si="105">CP52+CP80+CP108+CP136</f>
        <v>-30.670965080000016</v>
      </c>
      <c r="CQ24" s="28">
        <f t="shared" si="105"/>
        <v>-30.99616023999998</v>
      </c>
      <c r="CR24" s="28">
        <f t="shared" si="105"/>
        <v>-116.34112210999999</v>
      </c>
      <c r="CS24" s="28">
        <f t="shared" si="105"/>
        <v>-29.07</v>
      </c>
      <c r="CT24" s="28">
        <f t="shared" si="105"/>
        <v>-24.956</v>
      </c>
      <c r="CU24" s="28">
        <f t="shared" si="105"/>
        <v>-25.708843540000007</v>
      </c>
      <c r="CV24" s="28">
        <f t="shared" si="105"/>
        <v>-21.698685809999979</v>
      </c>
      <c r="CW24" s="28">
        <f t="shared" si="105"/>
        <v>-101.43352934999999</v>
      </c>
      <c r="CX24" s="28">
        <f t="shared" si="105"/>
        <v>-20.475999999999999</v>
      </c>
      <c r="CY24" s="28">
        <f t="shared" si="105"/>
        <v>-16.329999999999998</v>
      </c>
      <c r="CZ24" s="28">
        <f t="shared" si="105"/>
        <v>-13.693</v>
      </c>
      <c r="DA24" s="28">
        <f t="shared" si="105"/>
        <v>-50.130999999999993</v>
      </c>
      <c r="DB24" s="28">
        <f t="shared" si="105"/>
        <v>-100.63000000000001</v>
      </c>
      <c r="DC24" s="28">
        <f t="shared" si="105"/>
        <v>-22.77</v>
      </c>
      <c r="DD24" s="28">
        <f t="shared" si="105"/>
        <v>-23.263000000000002</v>
      </c>
      <c r="DE24" s="28">
        <f t="shared" si="105"/>
        <v>-29.904999999999998</v>
      </c>
      <c r="DF24" s="28">
        <f t="shared" si="105"/>
        <v>-25.257999999999999</v>
      </c>
      <c r="DG24" s="28">
        <f t="shared" si="105"/>
        <v>-101.19599999999998</v>
      </c>
      <c r="DH24" s="28">
        <f t="shared" si="105"/>
        <v>-22.916999999999998</v>
      </c>
      <c r="DI24" s="28">
        <f t="shared" si="105"/>
        <v>-29.564</v>
      </c>
      <c r="DJ24" s="28">
        <f t="shared" si="105"/>
        <v>-23.606999999999996</v>
      </c>
      <c r="DK24" s="28">
        <f t="shared" si="105"/>
        <v>-22.975000000000001</v>
      </c>
      <c r="DL24" s="28">
        <f t="shared" si="105"/>
        <v>-99.063000000000017</v>
      </c>
      <c r="DM24" s="28">
        <f t="shared" si="105"/>
        <v>-22.448999999999998</v>
      </c>
      <c r="DN24" s="28">
        <f t="shared" si="105"/>
        <v>-25.602999999999998</v>
      </c>
      <c r="DO24" s="28">
        <f t="shared" si="105"/>
        <v>-11.978999999999999</v>
      </c>
      <c r="DP24" s="28">
        <f t="shared" si="105"/>
        <v>-43.986000000000004</v>
      </c>
      <c r="DQ24" s="28">
        <f t="shared" si="105"/>
        <v>-104.017</v>
      </c>
      <c r="DR24" s="28">
        <f t="shared" si="105"/>
        <v>-48.366</v>
      </c>
      <c r="DS24" s="28">
        <f t="shared" si="105"/>
        <v>-34.49</v>
      </c>
      <c r="DT24" s="28">
        <f t="shared" si="105"/>
        <v>-36.886000000000003</v>
      </c>
      <c r="DU24" s="28">
        <f t="shared" si="105"/>
        <v>-34.834000000000003</v>
      </c>
      <c r="DV24" s="28">
        <f t="shared" si="105"/>
        <v>-154.57599999999999</v>
      </c>
      <c r="DW24" s="28">
        <f t="shared" si="105"/>
        <v>-36.518000000000001</v>
      </c>
      <c r="DX24" s="28">
        <f t="shared" si="105"/>
        <v>-34.833531999999998</v>
      </c>
      <c r="DY24" s="28">
        <v>-36.169657579999999</v>
      </c>
      <c r="DZ24" s="28">
        <f t="shared" si="70"/>
        <v>-31.485642300000009</v>
      </c>
      <c r="EA24" s="28">
        <f t="shared" si="70"/>
        <v>-139.00683188000002</v>
      </c>
      <c r="EB24" s="28">
        <f t="shared" si="70"/>
        <v>-26.391830429999995</v>
      </c>
      <c r="EC24" s="28">
        <f t="shared" si="70"/>
        <v>-17.348019530000006</v>
      </c>
      <c r="ED24" s="28">
        <f t="shared" ref="ED24" si="106">ED52+ED80+ED108+ED136</f>
        <v>-18.618000000000002</v>
      </c>
      <c r="EE24" s="28">
        <f t="shared" ref="EE24:EG24" si="107">EE52+EE80+EE108+EE136</f>
        <v>-18.392297409999994</v>
      </c>
      <c r="EF24" s="28">
        <f t="shared" si="10"/>
        <v>-80.750147369999993</v>
      </c>
      <c r="EG24" s="28">
        <f t="shared" si="107"/>
        <v>-17.607232140000001</v>
      </c>
      <c r="EH24" s="28">
        <f t="shared" ref="EH24:EI24" si="108">EH52+EH80+EH108+EH136</f>
        <v>-10.927964159999997</v>
      </c>
      <c r="EI24" s="28">
        <f t="shared" si="108"/>
        <v>-12.526809230000001</v>
      </c>
    </row>
    <row r="25" spans="1:139" ht="15" thickTop="1" x14ac:dyDescent="0.3">
      <c r="A25" s="1" t="s">
        <v>308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27">
        <f t="shared" ref="BJ25:CO25" si="109">BJ53+BJ81+BJ109+BJ137</f>
        <v>0</v>
      </c>
      <c r="BK25" s="27">
        <f t="shared" si="109"/>
        <v>0.55600880000000008</v>
      </c>
      <c r="BL25" s="27">
        <f t="shared" si="109"/>
        <v>0.23395709999999989</v>
      </c>
      <c r="BM25" s="27">
        <f t="shared" si="109"/>
        <v>-0.13884803000000018</v>
      </c>
      <c r="BN25" s="27">
        <f t="shared" si="109"/>
        <v>0.65111786999999965</v>
      </c>
      <c r="BO25" s="27">
        <f t="shared" si="109"/>
        <v>1.0076455100000012</v>
      </c>
      <c r="BP25" s="27">
        <f t="shared" si="109"/>
        <v>0.98790598999999779</v>
      </c>
      <c r="BQ25" s="27">
        <f t="shared" si="109"/>
        <v>2.0475236700000061</v>
      </c>
      <c r="BR25" s="27">
        <f t="shared" si="109"/>
        <v>1.6114519399999987</v>
      </c>
      <c r="BS25" s="27">
        <f t="shared" si="109"/>
        <v>5.6545271100000027</v>
      </c>
      <c r="BT25" s="27">
        <f t="shared" si="109"/>
        <v>0</v>
      </c>
      <c r="BU25" s="27">
        <f t="shared" si="109"/>
        <v>5.9</v>
      </c>
      <c r="BV25" s="27">
        <f t="shared" si="109"/>
        <v>-3.1999999999999997</v>
      </c>
      <c r="BW25" s="27">
        <f t="shared" si="109"/>
        <v>-17.600000000000001</v>
      </c>
      <c r="BX25" s="27">
        <f t="shared" si="109"/>
        <v>-14.9</v>
      </c>
      <c r="BY25" s="27">
        <f t="shared" si="109"/>
        <v>0</v>
      </c>
      <c r="BZ25" s="27">
        <f t="shared" si="109"/>
        <v>0</v>
      </c>
      <c r="CA25" s="27">
        <f t="shared" si="109"/>
        <v>0</v>
      </c>
      <c r="CB25" s="27">
        <f t="shared" si="109"/>
        <v>0</v>
      </c>
      <c r="CC25" s="27">
        <f t="shared" si="109"/>
        <v>0</v>
      </c>
      <c r="CD25" s="27">
        <f t="shared" si="109"/>
        <v>0</v>
      </c>
      <c r="CE25" s="27">
        <f t="shared" si="109"/>
        <v>0</v>
      </c>
      <c r="CF25" s="27">
        <f t="shared" si="109"/>
        <v>0</v>
      </c>
      <c r="CG25" s="27">
        <f t="shared" si="109"/>
        <v>0</v>
      </c>
      <c r="CH25" s="27">
        <f t="shared" si="109"/>
        <v>0</v>
      </c>
      <c r="CI25" s="27">
        <f t="shared" si="109"/>
        <v>0</v>
      </c>
      <c r="CJ25" s="27">
        <f t="shared" si="109"/>
        <v>0</v>
      </c>
      <c r="CK25" s="27">
        <f t="shared" si="109"/>
        <v>0</v>
      </c>
      <c r="CL25" s="27">
        <f t="shared" si="109"/>
        <v>0</v>
      </c>
      <c r="CM25" s="27">
        <f t="shared" si="109"/>
        <v>0</v>
      </c>
      <c r="CN25" s="27">
        <f t="shared" si="109"/>
        <v>0</v>
      </c>
      <c r="CO25" s="27">
        <f t="shared" si="109"/>
        <v>0</v>
      </c>
      <c r="CP25" s="27">
        <f t="shared" ref="CP25:DX25" si="110">CP53+CP81+CP109+CP137</f>
        <v>0</v>
      </c>
      <c r="CQ25" s="27">
        <f t="shared" si="110"/>
        <v>0</v>
      </c>
      <c r="CR25" s="27">
        <f t="shared" si="110"/>
        <v>0</v>
      </c>
      <c r="CS25" s="27">
        <f t="shared" si="110"/>
        <v>0</v>
      </c>
      <c r="CT25" s="27">
        <f t="shared" si="110"/>
        <v>0</v>
      </c>
      <c r="CU25" s="27">
        <f t="shared" si="110"/>
        <v>3.1904000000793076E-4</v>
      </c>
      <c r="CV25" s="27">
        <f t="shared" si="110"/>
        <v>-4.5619000000840515E-4</v>
      </c>
      <c r="CW25" s="27">
        <f t="shared" si="110"/>
        <v>-1.3715000000047439E-4</v>
      </c>
      <c r="CX25" s="27">
        <f t="shared" si="110"/>
        <v>11.687000000000001</v>
      </c>
      <c r="CY25" s="27">
        <f t="shared" si="110"/>
        <v>0</v>
      </c>
      <c r="CZ25" s="27">
        <f t="shared" si="110"/>
        <v>0</v>
      </c>
      <c r="DA25" s="27">
        <f t="shared" si="110"/>
        <v>9.9999999999944578E-4</v>
      </c>
      <c r="DB25" s="27">
        <f t="shared" si="110"/>
        <v>11.687999999999995</v>
      </c>
      <c r="DC25" s="27">
        <f t="shared" si="110"/>
        <v>0</v>
      </c>
      <c r="DD25" s="27">
        <f t="shared" si="110"/>
        <v>0</v>
      </c>
      <c r="DE25" s="27">
        <f t="shared" si="110"/>
        <v>0</v>
      </c>
      <c r="DF25" s="27">
        <f t="shared" si="110"/>
        <v>0</v>
      </c>
      <c r="DG25" s="27">
        <f t="shared" si="110"/>
        <v>0</v>
      </c>
      <c r="DH25" s="27">
        <f t="shared" si="110"/>
        <v>0</v>
      </c>
      <c r="DI25" s="27">
        <f t="shared" si="110"/>
        <v>0</v>
      </c>
      <c r="DJ25" s="27">
        <f t="shared" si="110"/>
        <v>0</v>
      </c>
      <c r="DK25" s="27">
        <f t="shared" si="110"/>
        <v>0</v>
      </c>
      <c r="DL25" s="27">
        <f t="shared" si="110"/>
        <v>0</v>
      </c>
      <c r="DM25" s="27">
        <f t="shared" si="110"/>
        <v>0</v>
      </c>
      <c r="DN25" s="27">
        <f t="shared" si="110"/>
        <v>0</v>
      </c>
      <c r="DO25" s="27">
        <f t="shared" si="110"/>
        <v>4.9999999999998934E-2</v>
      </c>
      <c r="DP25" s="27">
        <f t="shared" si="110"/>
        <v>0.53200000000000003</v>
      </c>
      <c r="DQ25" s="27">
        <f t="shared" si="110"/>
        <v>0.58200000000000074</v>
      </c>
      <c r="DR25" s="27">
        <f t="shared" si="110"/>
        <v>6.0999999999999943E-2</v>
      </c>
      <c r="DS25" s="27">
        <f t="shared" si="110"/>
        <v>7.6999999999998181E-2</v>
      </c>
      <c r="DT25" s="27">
        <f t="shared" si="110"/>
        <v>8.5000000000000853E-2</v>
      </c>
      <c r="DU25" s="27">
        <f t="shared" si="110"/>
        <v>8.6999999999999744E-2</v>
      </c>
      <c r="DV25" s="27">
        <f t="shared" si="110"/>
        <v>0.31000000000000227</v>
      </c>
      <c r="DW25" s="27">
        <f t="shared" si="110"/>
        <v>9.100000000000108E-2</v>
      </c>
      <c r="DX25" s="27">
        <f t="shared" si="110"/>
        <v>9.7391999999999257E-2</v>
      </c>
      <c r="DY25" s="27">
        <v>0.10048979999999999</v>
      </c>
      <c r="DZ25" s="27">
        <f t="shared" si="70"/>
        <v>0.10048979999999655</v>
      </c>
      <c r="EA25" s="27">
        <f t="shared" si="70"/>
        <v>0.38937159999999693</v>
      </c>
      <c r="EB25" s="27">
        <f t="shared" si="70"/>
        <v>0.1004897899999994</v>
      </c>
      <c r="EC25" s="27">
        <f t="shared" si="70"/>
        <v>0.10048981000000021</v>
      </c>
      <c r="ED25" s="27">
        <f t="shared" ref="ED25" si="111">ED53+ED81+ED109+ED137</f>
        <v>0.11399999999999948</v>
      </c>
      <c r="EE25" s="27">
        <f t="shared" ref="EE25:EG25" si="112">EE53+EE81+EE109+EE137</f>
        <v>0.30877045000000408</v>
      </c>
      <c r="EF25" s="27">
        <f t="shared" si="10"/>
        <v>0.62375005000000316</v>
      </c>
      <c r="EG25" s="27">
        <f t="shared" si="112"/>
        <v>0.13016077000000004</v>
      </c>
      <c r="EH25" s="27">
        <f t="shared" ref="EH25" si="113">EH53+EH81+EH109+EH137</f>
        <v>0.13900685999999096</v>
      </c>
      <c r="EI25" s="27">
        <f>EI53+EI81+EI109+EI137</f>
        <v>0.14342991999999333</v>
      </c>
    </row>
    <row r="26" spans="1:139" x14ac:dyDescent="0.3">
      <c r="A26" s="5" t="s">
        <v>311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29">
        <f t="shared" ref="BJ26:CO26" si="114">SUM(BJ3:BJ25)</f>
        <v>-65.401255559999981</v>
      </c>
      <c r="BK26" s="29">
        <f t="shared" si="114"/>
        <v>-52.422936409999991</v>
      </c>
      <c r="BL26" s="29">
        <f t="shared" si="114"/>
        <v>-35.787641130000019</v>
      </c>
      <c r="BM26" s="29">
        <f t="shared" si="114"/>
        <v>-45.848433089999979</v>
      </c>
      <c r="BN26" s="29">
        <f t="shared" si="114"/>
        <v>-199.46026619000003</v>
      </c>
      <c r="BO26" s="29">
        <f t="shared" si="114"/>
        <v>-47.96430852999999</v>
      </c>
      <c r="BP26" s="29">
        <f t="shared" si="114"/>
        <v>-43.059423290000005</v>
      </c>
      <c r="BQ26" s="29">
        <f t="shared" si="114"/>
        <v>-45.804969359999994</v>
      </c>
      <c r="BR26" s="29">
        <f t="shared" si="114"/>
        <v>-46.25154994999999</v>
      </c>
      <c r="BS26" s="29">
        <f t="shared" si="114"/>
        <v>-183.08025112999999</v>
      </c>
      <c r="BT26" s="29">
        <f t="shared" si="114"/>
        <v>-36.199086989999998</v>
      </c>
      <c r="BU26" s="29">
        <f t="shared" si="114"/>
        <v>-49.034109449999995</v>
      </c>
      <c r="BV26" s="29">
        <f t="shared" si="114"/>
        <v>-75.686658300000019</v>
      </c>
      <c r="BW26" s="29">
        <f t="shared" si="114"/>
        <v>-135.10719029000003</v>
      </c>
      <c r="BX26" s="29">
        <f t="shared" si="114"/>
        <v>-296.02704502999995</v>
      </c>
      <c r="BY26" s="29">
        <f t="shared" si="114"/>
        <v>-74.606899440000007</v>
      </c>
      <c r="BZ26" s="29">
        <f t="shared" si="114"/>
        <v>-86.796405059999998</v>
      </c>
      <c r="CA26" s="29">
        <f t="shared" si="114"/>
        <v>-67.972800250000006</v>
      </c>
      <c r="CB26" s="29">
        <f t="shared" si="114"/>
        <v>-96.157503710000015</v>
      </c>
      <c r="CC26" s="29">
        <f t="shared" si="114"/>
        <v>-516.75558996000007</v>
      </c>
      <c r="CD26" s="29">
        <f t="shared" si="114"/>
        <v>-101.59493718999998</v>
      </c>
      <c r="CE26" s="29">
        <f t="shared" si="114"/>
        <v>-95.045619800000011</v>
      </c>
      <c r="CF26" s="29">
        <f t="shared" si="114"/>
        <v>-80.755303319999982</v>
      </c>
      <c r="CG26" s="29">
        <f t="shared" si="114"/>
        <v>-115.09051111999997</v>
      </c>
      <c r="CH26" s="29">
        <f t="shared" si="114"/>
        <v>-392.48637142999996</v>
      </c>
      <c r="CI26" s="29">
        <f t="shared" si="114"/>
        <v>-181.55323074</v>
      </c>
      <c r="CJ26" s="29">
        <f t="shared" si="114"/>
        <v>-140.83471491</v>
      </c>
      <c r="CK26" s="29">
        <f t="shared" si="114"/>
        <v>-178.82811644999995</v>
      </c>
      <c r="CL26" s="29">
        <f t="shared" si="114"/>
        <v>-161.98379775999996</v>
      </c>
      <c r="CM26" s="29">
        <f t="shared" si="114"/>
        <v>-663.19985985999983</v>
      </c>
      <c r="CN26" s="29">
        <f t="shared" si="114"/>
        <v>-156.42423677999994</v>
      </c>
      <c r="CO26" s="29">
        <f t="shared" si="114"/>
        <v>-145.22994859999997</v>
      </c>
      <c r="CP26" s="29">
        <f t="shared" ref="CP26:DU26" si="115">SUM(CP3:CP25)</f>
        <v>-135.29952462</v>
      </c>
      <c r="CQ26" s="29">
        <f t="shared" si="115"/>
        <v>-117.40507710999995</v>
      </c>
      <c r="CR26" s="29">
        <f t="shared" si="115"/>
        <v>-554.35878710999998</v>
      </c>
      <c r="CS26" s="29">
        <f t="shared" si="115"/>
        <v>-128.70779453</v>
      </c>
      <c r="CT26" s="29">
        <f t="shared" si="115"/>
        <v>-119.83681144000001</v>
      </c>
      <c r="CU26" s="29">
        <f t="shared" si="115"/>
        <v>-93.334476469999998</v>
      </c>
      <c r="CV26" s="29">
        <f t="shared" si="115"/>
        <v>-113.55379534000001</v>
      </c>
      <c r="CW26" s="29">
        <f t="shared" si="115"/>
        <v>-455.43287778000001</v>
      </c>
      <c r="CX26" s="29">
        <f t="shared" si="115"/>
        <v>-103.664</v>
      </c>
      <c r="CY26" s="29">
        <f t="shared" si="115"/>
        <v>-119.06299999999999</v>
      </c>
      <c r="CZ26" s="29">
        <f t="shared" si="115"/>
        <v>-125.53299999999999</v>
      </c>
      <c r="DA26" s="29">
        <f t="shared" si="115"/>
        <v>-112.482</v>
      </c>
      <c r="DB26" s="29">
        <f t="shared" si="115"/>
        <v>-460.74200000000002</v>
      </c>
      <c r="DC26" s="29">
        <f t="shared" si="115"/>
        <v>-130.92400000000001</v>
      </c>
      <c r="DD26" s="29">
        <f t="shared" si="115"/>
        <v>-176.30000000000004</v>
      </c>
      <c r="DE26" s="29">
        <f t="shared" si="115"/>
        <v>-180.392</v>
      </c>
      <c r="DF26" s="29">
        <f t="shared" si="115"/>
        <v>-212.45500000000001</v>
      </c>
      <c r="DG26" s="29">
        <f t="shared" si="115"/>
        <v>-700.07099999999991</v>
      </c>
      <c r="DH26" s="29">
        <f t="shared" si="115"/>
        <v>-193.07900000000001</v>
      </c>
      <c r="DI26" s="29">
        <f t="shared" si="115"/>
        <v>-103.83000000000001</v>
      </c>
      <c r="DJ26" s="29">
        <f t="shared" si="115"/>
        <v>-202.22300000000001</v>
      </c>
      <c r="DK26" s="29">
        <f t="shared" si="115"/>
        <v>-287.53399999999993</v>
      </c>
      <c r="DL26" s="29">
        <f t="shared" si="115"/>
        <v>-786.66599999999994</v>
      </c>
      <c r="DM26" s="29">
        <f t="shared" si="115"/>
        <v>-244.14</v>
      </c>
      <c r="DN26" s="29">
        <f t="shared" si="115"/>
        <v>-165.97999999999996</v>
      </c>
      <c r="DO26" s="29">
        <f t="shared" si="115"/>
        <v>-256.82299999999998</v>
      </c>
      <c r="DP26" s="29">
        <f t="shared" si="115"/>
        <v>-248.51200000000003</v>
      </c>
      <c r="DQ26" s="29">
        <f t="shared" si="115"/>
        <v>-915.45499999999981</v>
      </c>
      <c r="DR26" s="29">
        <f t="shared" si="115"/>
        <v>-264.74700000000001</v>
      </c>
      <c r="DS26" s="29">
        <f t="shared" si="115"/>
        <v>-286.39699999999999</v>
      </c>
      <c r="DT26" s="29">
        <f t="shared" si="115"/>
        <v>-185.01799999999997</v>
      </c>
      <c r="DU26" s="29">
        <f t="shared" si="115"/>
        <v>-295.93400000000008</v>
      </c>
      <c r="DV26" s="29">
        <f t="shared" ref="DV26:EA26" si="116">SUM(DV3:DV25)</f>
        <v>-1032.096</v>
      </c>
      <c r="DW26" s="29">
        <f t="shared" si="116"/>
        <v>-343.05799999999988</v>
      </c>
      <c r="DX26" s="29">
        <f t="shared" si="116"/>
        <v>-403.93471099999999</v>
      </c>
      <c r="DY26" s="29">
        <f t="shared" si="116"/>
        <v>-379.23852727000002</v>
      </c>
      <c r="DZ26" s="29">
        <f t="shared" si="116"/>
        <v>-375.67120274000007</v>
      </c>
      <c r="EA26" s="29">
        <f t="shared" si="116"/>
        <v>-1501.9024410100001</v>
      </c>
      <c r="EB26" s="29">
        <f>SUM(EB3:EB25)</f>
        <v>-412.55884371999997</v>
      </c>
      <c r="EC26" s="29">
        <f>SUM(EC3:EC25)</f>
        <v>-402.47022468999995</v>
      </c>
      <c r="ED26" s="29">
        <f>SUM(ED3:ED25)</f>
        <v>-447.82300000000004</v>
      </c>
      <c r="EE26" s="29">
        <f>SUM(EE3:EE25)</f>
        <v>-539.19881724999982</v>
      </c>
      <c r="EF26" s="29">
        <f t="shared" ref="EF26" si="117">SUM(EF3:EF25)</f>
        <v>-1802.0508856599997</v>
      </c>
      <c r="EG26" s="29">
        <f>SUM(EG3:EG25)</f>
        <v>-623.60066721999999</v>
      </c>
      <c r="EH26" s="29">
        <f>SUM(EH3:EH25)</f>
        <v>-614.20582196999999</v>
      </c>
      <c r="EI26" s="29">
        <f>SUM(EI3:EI25)</f>
        <v>-639.21509162000007</v>
      </c>
    </row>
    <row r="27" spans="1:139" x14ac:dyDescent="0.3"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</row>
    <row r="29" spans="1:139" x14ac:dyDescent="0.3">
      <c r="A29" s="3" t="s">
        <v>341</v>
      </c>
      <c r="B29" s="6" t="s">
        <v>4</v>
      </c>
      <c r="C29" s="6" t="s">
        <v>5</v>
      </c>
      <c r="D29" s="6" t="s">
        <v>6</v>
      </c>
      <c r="E29" s="6" t="s">
        <v>7</v>
      </c>
      <c r="F29" s="6">
        <v>2018</v>
      </c>
      <c r="G29" s="6" t="s">
        <v>8</v>
      </c>
      <c r="H29" s="6" t="s">
        <v>9</v>
      </c>
      <c r="I29" s="6" t="s">
        <v>10</v>
      </c>
      <c r="J29" s="6" t="s">
        <v>11</v>
      </c>
      <c r="K29" s="6">
        <v>2019</v>
      </c>
      <c r="L29" s="6" t="s">
        <v>12</v>
      </c>
      <c r="M29" s="6" t="s">
        <v>13</v>
      </c>
      <c r="N29" s="6" t="s">
        <v>14</v>
      </c>
      <c r="O29" s="6" t="s">
        <v>15</v>
      </c>
      <c r="P29" s="6">
        <v>2000</v>
      </c>
      <c r="Q29" s="6" t="s">
        <v>16</v>
      </c>
      <c r="R29" s="6" t="s">
        <v>17</v>
      </c>
      <c r="S29" s="6" t="s">
        <v>18</v>
      </c>
      <c r="T29" s="6" t="s">
        <v>19</v>
      </c>
      <c r="U29" s="6">
        <v>2001</v>
      </c>
      <c r="V29" s="6" t="s">
        <v>20</v>
      </c>
      <c r="W29" s="6" t="s">
        <v>21</v>
      </c>
      <c r="X29" s="6" t="s">
        <v>22</v>
      </c>
      <c r="Y29" s="6" t="s">
        <v>23</v>
      </c>
      <c r="Z29" s="6">
        <v>2002</v>
      </c>
      <c r="AA29" s="6" t="s">
        <v>24</v>
      </c>
      <c r="AB29" s="6" t="s">
        <v>25</v>
      </c>
      <c r="AC29" s="6" t="s">
        <v>26</v>
      </c>
      <c r="AD29" s="6" t="s">
        <v>27</v>
      </c>
      <c r="AE29" s="6">
        <v>2003</v>
      </c>
      <c r="AF29" s="6" t="s">
        <v>28</v>
      </c>
      <c r="AG29" s="6" t="s">
        <v>29</v>
      </c>
      <c r="AH29" s="6" t="s">
        <v>30</v>
      </c>
      <c r="AI29" s="6" t="s">
        <v>31</v>
      </c>
      <c r="AJ29" s="6">
        <v>2004</v>
      </c>
      <c r="AK29" s="6" t="s">
        <v>32</v>
      </c>
      <c r="AL29" s="6" t="s">
        <v>33</v>
      </c>
      <c r="AM29" s="6" t="s">
        <v>34</v>
      </c>
      <c r="AN29" s="6" t="s">
        <v>35</v>
      </c>
      <c r="AO29" s="6">
        <v>2005</v>
      </c>
      <c r="AP29" s="6" t="s">
        <v>36</v>
      </c>
      <c r="AQ29" s="6" t="s">
        <v>37</v>
      </c>
      <c r="AR29" s="6" t="s">
        <v>38</v>
      </c>
      <c r="AS29" s="6" t="s">
        <v>39</v>
      </c>
      <c r="AT29" s="6">
        <v>2006</v>
      </c>
      <c r="AU29" s="6" t="s">
        <v>40</v>
      </c>
      <c r="AV29" s="6" t="s">
        <v>41</v>
      </c>
      <c r="AW29" s="6" t="s">
        <v>42</v>
      </c>
      <c r="AX29" s="6" t="s">
        <v>43</v>
      </c>
      <c r="AY29" s="6">
        <v>2007</v>
      </c>
      <c r="AZ29" s="6" t="s">
        <v>44</v>
      </c>
      <c r="BA29" s="6" t="s">
        <v>45</v>
      </c>
      <c r="BB29" s="6" t="s">
        <v>46</v>
      </c>
      <c r="BC29" s="6" t="s">
        <v>47</v>
      </c>
      <c r="BD29" s="6">
        <v>2008</v>
      </c>
      <c r="BE29" s="6" t="s">
        <v>48</v>
      </c>
      <c r="BF29" s="6" t="s">
        <v>49</v>
      </c>
      <c r="BG29" s="6" t="s">
        <v>50</v>
      </c>
      <c r="BH29" s="6" t="s">
        <v>51</v>
      </c>
      <c r="BI29" s="6">
        <v>2009</v>
      </c>
      <c r="BJ29" s="6" t="s">
        <v>52</v>
      </c>
      <c r="BK29" s="6" t="s">
        <v>53</v>
      </c>
      <c r="BL29" s="6" t="s">
        <v>54</v>
      </c>
      <c r="BM29" s="6" t="s">
        <v>55</v>
      </c>
      <c r="BN29" s="6">
        <v>2010</v>
      </c>
      <c r="BO29" s="6" t="s">
        <v>56</v>
      </c>
      <c r="BP29" s="6" t="s">
        <v>57</v>
      </c>
      <c r="BQ29" s="6" t="s">
        <v>58</v>
      </c>
      <c r="BR29" s="6" t="s">
        <v>59</v>
      </c>
      <c r="BS29" s="6">
        <v>2011</v>
      </c>
      <c r="BT29" s="6" t="s">
        <v>60</v>
      </c>
      <c r="BU29" s="6" t="s">
        <v>61</v>
      </c>
      <c r="BV29" s="6" t="s">
        <v>62</v>
      </c>
      <c r="BW29" s="6" t="s">
        <v>63</v>
      </c>
      <c r="BX29" s="6">
        <v>2012</v>
      </c>
      <c r="BY29" s="6" t="s">
        <v>64</v>
      </c>
      <c r="BZ29" s="6" t="s">
        <v>65</v>
      </c>
      <c r="CA29" s="6" t="s">
        <v>66</v>
      </c>
      <c r="CB29" s="6" t="s">
        <v>67</v>
      </c>
      <c r="CC29" s="6">
        <v>2013</v>
      </c>
      <c r="CD29" s="6" t="s">
        <v>68</v>
      </c>
      <c r="CE29" s="6" t="s">
        <v>69</v>
      </c>
      <c r="CF29" s="6" t="s">
        <v>70</v>
      </c>
      <c r="CG29" s="6" t="s">
        <v>71</v>
      </c>
      <c r="CH29" s="6">
        <v>2014</v>
      </c>
      <c r="CI29" s="6" t="s">
        <v>72</v>
      </c>
      <c r="CJ29" s="6" t="s">
        <v>73</v>
      </c>
      <c r="CK29" s="6" t="s">
        <v>74</v>
      </c>
      <c r="CL29" s="6" t="s">
        <v>75</v>
      </c>
      <c r="CM29" s="6">
        <v>2015</v>
      </c>
      <c r="CN29" s="6" t="s">
        <v>76</v>
      </c>
      <c r="CO29" s="6" t="s">
        <v>77</v>
      </c>
      <c r="CP29" s="6" t="s">
        <v>78</v>
      </c>
      <c r="CQ29" s="6" t="s">
        <v>79</v>
      </c>
      <c r="CR29" s="6">
        <v>2016</v>
      </c>
      <c r="CS29" s="6" t="s">
        <v>80</v>
      </c>
      <c r="CT29" s="6" t="s">
        <v>81</v>
      </c>
      <c r="CU29" s="6" t="s">
        <v>82</v>
      </c>
      <c r="CV29" s="6" t="s">
        <v>83</v>
      </c>
      <c r="CW29" s="6">
        <v>2017</v>
      </c>
      <c r="CX29" s="6" t="s">
        <v>84</v>
      </c>
      <c r="CY29" s="6" t="s">
        <v>85</v>
      </c>
      <c r="CZ29" s="6" t="s">
        <v>86</v>
      </c>
      <c r="DA29" s="6" t="s">
        <v>87</v>
      </c>
      <c r="DB29" s="6">
        <v>2018</v>
      </c>
      <c r="DC29" s="6" t="s">
        <v>88</v>
      </c>
      <c r="DD29" s="6" t="s">
        <v>89</v>
      </c>
      <c r="DE29" s="6" t="s">
        <v>90</v>
      </c>
      <c r="DF29" s="6" t="s">
        <v>91</v>
      </c>
      <c r="DG29" s="6">
        <v>2019</v>
      </c>
      <c r="DH29" s="6" t="s">
        <v>92</v>
      </c>
      <c r="DI29" s="6" t="s">
        <v>93</v>
      </c>
      <c r="DJ29" s="6" t="s">
        <v>94</v>
      </c>
      <c r="DK29" s="6" t="s">
        <v>95</v>
      </c>
      <c r="DL29" s="6">
        <v>2020</v>
      </c>
      <c r="DM29" s="6" t="s">
        <v>96</v>
      </c>
      <c r="DN29" s="6" t="s">
        <v>97</v>
      </c>
      <c r="DO29" s="6" t="s">
        <v>98</v>
      </c>
      <c r="DP29" s="6" t="s">
        <v>99</v>
      </c>
      <c r="DQ29" s="6">
        <v>2021</v>
      </c>
      <c r="DR29" s="6" t="s">
        <v>100</v>
      </c>
      <c r="DS29" s="6" t="s">
        <v>101</v>
      </c>
      <c r="DT29" s="6" t="s">
        <v>200</v>
      </c>
      <c r="DU29" s="6" t="s">
        <v>380</v>
      </c>
      <c r="DV29" s="6">
        <v>2022</v>
      </c>
      <c r="DW29" s="6" t="s">
        <v>379</v>
      </c>
      <c r="DX29" s="6" t="s">
        <v>402</v>
      </c>
      <c r="DY29" s="6" t="s">
        <v>414</v>
      </c>
      <c r="DZ29" s="6" t="s">
        <v>419</v>
      </c>
      <c r="EA29" s="6">
        <v>2023</v>
      </c>
      <c r="EB29" s="6" t="s">
        <v>424</v>
      </c>
      <c r="EC29" s="6" t="s">
        <v>429</v>
      </c>
      <c r="ED29" s="6" t="str">
        <f>$ED$1</f>
        <v>3T24</v>
      </c>
      <c r="EE29" s="6" t="str">
        <f>$EE$1</f>
        <v>4T24</v>
      </c>
      <c r="EF29" s="6">
        <f>$EF$1</f>
        <v>2024</v>
      </c>
      <c r="EG29" s="6" t="str">
        <f>EG$1</f>
        <v>1T25</v>
      </c>
      <c r="EH29" s="6" t="str">
        <f>EH$1</f>
        <v>2T25</v>
      </c>
      <c r="EI29" s="6" t="str">
        <f>EI$1</f>
        <v>3T25</v>
      </c>
    </row>
    <row r="30" spans="1:139" ht="15" thickBot="1" x14ac:dyDescent="0.35">
      <c r="A30" s="4" t="s">
        <v>342</v>
      </c>
      <c r="B30" s="7" t="s">
        <v>102</v>
      </c>
      <c r="C30" s="7" t="s">
        <v>103</v>
      </c>
      <c r="D30" s="7" t="s">
        <v>104</v>
      </c>
      <c r="E30" s="7" t="s">
        <v>105</v>
      </c>
      <c r="F30" s="7">
        <v>2018</v>
      </c>
      <c r="G30" s="7" t="s">
        <v>106</v>
      </c>
      <c r="H30" s="7" t="s">
        <v>107</v>
      </c>
      <c r="I30" s="7" t="s">
        <v>108</v>
      </c>
      <c r="J30" s="7" t="s">
        <v>109</v>
      </c>
      <c r="K30" s="7">
        <v>2019</v>
      </c>
      <c r="L30" s="7" t="s">
        <v>110</v>
      </c>
      <c r="M30" s="7" t="s">
        <v>111</v>
      </c>
      <c r="N30" s="7" t="s">
        <v>112</v>
      </c>
      <c r="O30" s="7" t="s">
        <v>113</v>
      </c>
      <c r="P30" s="7">
        <v>2000</v>
      </c>
      <c r="Q30" s="7" t="s">
        <v>114</v>
      </c>
      <c r="R30" s="7" t="s">
        <v>115</v>
      </c>
      <c r="S30" s="7" t="s">
        <v>116</v>
      </c>
      <c r="T30" s="7" t="s">
        <v>117</v>
      </c>
      <c r="U30" s="7">
        <v>2001</v>
      </c>
      <c r="V30" s="7" t="s">
        <v>118</v>
      </c>
      <c r="W30" s="7" t="s">
        <v>119</v>
      </c>
      <c r="X30" s="7" t="s">
        <v>120</v>
      </c>
      <c r="Y30" s="7" t="s">
        <v>121</v>
      </c>
      <c r="Z30" s="7">
        <v>2002</v>
      </c>
      <c r="AA30" s="7" t="s">
        <v>122</v>
      </c>
      <c r="AB30" s="7" t="s">
        <v>123</v>
      </c>
      <c r="AC30" s="7" t="s">
        <v>124</v>
      </c>
      <c r="AD30" s="7" t="s">
        <v>125</v>
      </c>
      <c r="AE30" s="7">
        <v>2003</v>
      </c>
      <c r="AF30" s="7" t="s">
        <v>126</v>
      </c>
      <c r="AG30" s="7" t="s">
        <v>127</v>
      </c>
      <c r="AH30" s="7" t="s">
        <v>128</v>
      </c>
      <c r="AI30" s="7" t="s">
        <v>129</v>
      </c>
      <c r="AJ30" s="7">
        <v>2004</v>
      </c>
      <c r="AK30" s="7" t="s">
        <v>130</v>
      </c>
      <c r="AL30" s="7" t="s">
        <v>131</v>
      </c>
      <c r="AM30" s="7" t="s">
        <v>132</v>
      </c>
      <c r="AN30" s="7" t="s">
        <v>133</v>
      </c>
      <c r="AO30" s="7">
        <v>2005</v>
      </c>
      <c r="AP30" s="7" t="s">
        <v>134</v>
      </c>
      <c r="AQ30" s="7" t="s">
        <v>135</v>
      </c>
      <c r="AR30" s="7" t="s">
        <v>136</v>
      </c>
      <c r="AS30" s="7" t="s">
        <v>137</v>
      </c>
      <c r="AT30" s="7">
        <v>2006</v>
      </c>
      <c r="AU30" s="7" t="s">
        <v>138</v>
      </c>
      <c r="AV30" s="7" t="s">
        <v>139</v>
      </c>
      <c r="AW30" s="7" t="s">
        <v>140</v>
      </c>
      <c r="AX30" s="7" t="s">
        <v>141</v>
      </c>
      <c r="AY30" s="7">
        <v>2007</v>
      </c>
      <c r="AZ30" s="7" t="s">
        <v>142</v>
      </c>
      <c r="BA30" s="7" t="s">
        <v>143</v>
      </c>
      <c r="BB30" s="7" t="s">
        <v>144</v>
      </c>
      <c r="BC30" s="7" t="s">
        <v>145</v>
      </c>
      <c r="BD30" s="7">
        <v>2008</v>
      </c>
      <c r="BE30" s="7" t="s">
        <v>146</v>
      </c>
      <c r="BF30" s="7" t="s">
        <v>147</v>
      </c>
      <c r="BG30" s="7" t="s">
        <v>148</v>
      </c>
      <c r="BH30" s="7" t="s">
        <v>149</v>
      </c>
      <c r="BI30" s="7">
        <v>2009</v>
      </c>
      <c r="BJ30" s="7" t="s">
        <v>150</v>
      </c>
      <c r="BK30" s="7" t="s">
        <v>151</v>
      </c>
      <c r="BL30" s="7" t="s">
        <v>152</v>
      </c>
      <c r="BM30" s="7" t="s">
        <v>153</v>
      </c>
      <c r="BN30" s="7">
        <v>2010</v>
      </c>
      <c r="BO30" s="7" t="s">
        <v>154</v>
      </c>
      <c r="BP30" s="7" t="s">
        <v>155</v>
      </c>
      <c r="BQ30" s="7" t="s">
        <v>156</v>
      </c>
      <c r="BR30" s="7" t="s">
        <v>157</v>
      </c>
      <c r="BS30" s="7">
        <v>2011</v>
      </c>
      <c r="BT30" s="7" t="s">
        <v>158</v>
      </c>
      <c r="BU30" s="7" t="s">
        <v>159</v>
      </c>
      <c r="BV30" s="7" t="s">
        <v>160</v>
      </c>
      <c r="BW30" s="7" t="s">
        <v>161</v>
      </c>
      <c r="BX30" s="7">
        <v>2012</v>
      </c>
      <c r="BY30" s="7" t="s">
        <v>162</v>
      </c>
      <c r="BZ30" s="7" t="s">
        <v>163</v>
      </c>
      <c r="CA30" s="7" t="s">
        <v>164</v>
      </c>
      <c r="CB30" s="7" t="s">
        <v>165</v>
      </c>
      <c r="CC30" s="7">
        <v>2013</v>
      </c>
      <c r="CD30" s="7" t="s">
        <v>166</v>
      </c>
      <c r="CE30" s="7" t="s">
        <v>167</v>
      </c>
      <c r="CF30" s="7" t="s">
        <v>168</v>
      </c>
      <c r="CG30" s="7" t="s">
        <v>169</v>
      </c>
      <c r="CH30" s="7">
        <v>2014</v>
      </c>
      <c r="CI30" s="7" t="s">
        <v>170</v>
      </c>
      <c r="CJ30" s="7" t="s">
        <v>171</v>
      </c>
      <c r="CK30" s="7" t="s">
        <v>172</v>
      </c>
      <c r="CL30" s="7" t="s">
        <v>173</v>
      </c>
      <c r="CM30" s="7">
        <v>2015</v>
      </c>
      <c r="CN30" s="7" t="s">
        <v>174</v>
      </c>
      <c r="CO30" s="7" t="s">
        <v>175</v>
      </c>
      <c r="CP30" s="7" t="s">
        <v>176</v>
      </c>
      <c r="CQ30" s="7" t="s">
        <v>177</v>
      </c>
      <c r="CR30" s="7">
        <v>2016</v>
      </c>
      <c r="CS30" s="7" t="s">
        <v>178</v>
      </c>
      <c r="CT30" s="7" t="s">
        <v>179</v>
      </c>
      <c r="CU30" s="7" t="s">
        <v>180</v>
      </c>
      <c r="CV30" s="7" t="s">
        <v>181</v>
      </c>
      <c r="CW30" s="7">
        <v>2017</v>
      </c>
      <c r="CX30" s="7" t="s">
        <v>182</v>
      </c>
      <c r="CY30" s="7" t="s">
        <v>183</v>
      </c>
      <c r="CZ30" s="7" t="s">
        <v>184</v>
      </c>
      <c r="DA30" s="7" t="s">
        <v>185</v>
      </c>
      <c r="DB30" s="7">
        <v>2018</v>
      </c>
      <c r="DC30" s="7" t="s">
        <v>186</v>
      </c>
      <c r="DD30" s="7" t="s">
        <v>187</v>
      </c>
      <c r="DE30" s="7" t="s">
        <v>188</v>
      </c>
      <c r="DF30" s="7" t="s">
        <v>189</v>
      </c>
      <c r="DG30" s="7">
        <v>2019</v>
      </c>
      <c r="DH30" s="7" t="s">
        <v>190</v>
      </c>
      <c r="DI30" s="7" t="s">
        <v>191</v>
      </c>
      <c r="DJ30" s="7" t="s">
        <v>192</v>
      </c>
      <c r="DK30" s="7" t="s">
        <v>193</v>
      </c>
      <c r="DL30" s="7">
        <v>2020</v>
      </c>
      <c r="DM30" s="7" t="s">
        <v>194</v>
      </c>
      <c r="DN30" s="7" t="s">
        <v>195</v>
      </c>
      <c r="DO30" s="7" t="s">
        <v>196</v>
      </c>
      <c r="DP30" s="7" t="s">
        <v>197</v>
      </c>
      <c r="DQ30" s="7">
        <v>2021</v>
      </c>
      <c r="DR30" s="7" t="s">
        <v>198</v>
      </c>
      <c r="DS30" s="7" t="s">
        <v>199</v>
      </c>
      <c r="DT30" s="7" t="s">
        <v>201</v>
      </c>
      <c r="DU30" s="7" t="s">
        <v>381</v>
      </c>
      <c r="DV30" s="7">
        <v>2022</v>
      </c>
      <c r="DW30" s="7" t="s">
        <v>382</v>
      </c>
      <c r="DX30" s="7" t="s">
        <v>403</v>
      </c>
      <c r="DY30" s="7" t="s">
        <v>415</v>
      </c>
      <c r="DZ30" s="7" t="s">
        <v>420</v>
      </c>
      <c r="EA30" s="7">
        <v>2023</v>
      </c>
      <c r="EB30" s="7" t="s">
        <v>425</v>
      </c>
      <c r="EC30" s="7" t="s">
        <v>430</v>
      </c>
      <c r="ED30" s="7" t="str">
        <f>$ED$2</f>
        <v>3Q24</v>
      </c>
      <c r="EE30" s="7" t="str">
        <f>$EE$2</f>
        <v>4Q24</v>
      </c>
      <c r="EF30" s="7">
        <f>$EF$2</f>
        <v>2024</v>
      </c>
      <c r="EG30" s="7" t="str">
        <f>EG$2</f>
        <v>1Q25</v>
      </c>
      <c r="EH30" s="7" t="str">
        <f>EH$2</f>
        <v>2Q25</v>
      </c>
      <c r="EI30" s="7" t="str">
        <f>EI$2</f>
        <v>3Q25</v>
      </c>
    </row>
    <row r="31" spans="1:139" ht="15" thickTop="1" x14ac:dyDescent="0.3">
      <c r="A31" s="1" t="s">
        <v>2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27">
        <v>0.36681031999999997</v>
      </c>
      <c r="BK31" s="27">
        <v>0.4513875200000001</v>
      </c>
      <c r="BL31" s="27">
        <v>0.48418222999999977</v>
      </c>
      <c r="BM31" s="27">
        <v>0.29481993000000001</v>
      </c>
      <c r="BN31" s="27">
        <f t="shared" ref="BN31:BN37" si="118">SUM(BJ31:BM31)</f>
        <v>1.5972</v>
      </c>
      <c r="BO31" s="27">
        <v>0.37317113999999996</v>
      </c>
      <c r="BP31" s="27">
        <v>0.52149261000000013</v>
      </c>
      <c r="BQ31" s="27">
        <v>0.32864200999999982</v>
      </c>
      <c r="BR31" s="27">
        <v>0.27620723999999997</v>
      </c>
      <c r="BS31" s="27">
        <f t="shared" ref="BS31:BS37" si="119">SUM(BO31:BR31)</f>
        <v>1.4995129999999999</v>
      </c>
      <c r="BT31" s="27">
        <v>0.30889220000000001</v>
      </c>
      <c r="BU31" s="27">
        <v>0.32998396000000002</v>
      </c>
      <c r="BV31" s="27">
        <v>0.25990479999999999</v>
      </c>
      <c r="BW31" s="27">
        <v>0.15597497999999999</v>
      </c>
      <c r="BX31" s="27">
        <f t="shared" ref="BX31:BX37" si="120">SUM(BT31:BW31)</f>
        <v>1.0547559400000002</v>
      </c>
      <c r="BY31" s="27">
        <v>0.1054056</v>
      </c>
      <c r="BZ31" s="27">
        <v>0.10797916</v>
      </c>
      <c r="CA31" s="27">
        <v>0.11342715000000002</v>
      </c>
      <c r="CB31" s="27">
        <v>0.22574495999999994</v>
      </c>
      <c r="CC31" s="27">
        <f t="shared" ref="CC31:CC37" si="121">(SUM(BY31:CB31))*-1</f>
        <v>-0.55255686999999998</v>
      </c>
      <c r="CD31" s="27">
        <v>0.29785918</v>
      </c>
      <c r="CE31" s="27">
        <v>0.56568020000000008</v>
      </c>
      <c r="CF31" s="27">
        <v>0.37301162999999982</v>
      </c>
      <c r="CG31" s="27">
        <v>0.30271652999999998</v>
      </c>
      <c r="CH31" s="27">
        <f t="shared" ref="CH31:CH37" si="122">SUM(CD31:CG31)</f>
        <v>1.53926754</v>
      </c>
      <c r="CI31" s="27">
        <v>0.31558712999999999</v>
      </c>
      <c r="CJ31" s="27">
        <v>0.24779792000000006</v>
      </c>
      <c r="CK31" s="27">
        <v>0.27178002999999989</v>
      </c>
      <c r="CL31" s="27">
        <v>0.24897989000000004</v>
      </c>
      <c r="CM31" s="27">
        <f t="shared" ref="CM31:CM37" si="123">SUM(CI31:CL31)</f>
        <v>1.0841449699999999</v>
      </c>
      <c r="CN31" s="27">
        <v>0.55283724000000001</v>
      </c>
      <c r="CO31" s="27">
        <v>0.59846314999999983</v>
      </c>
      <c r="CP31" s="27">
        <v>0.65709187000000002</v>
      </c>
      <c r="CQ31" s="27">
        <v>0.24360774000000029</v>
      </c>
      <c r="CR31" s="27">
        <f t="shared" ref="CR31:CR37" si="124">SUM(CN31:CQ31)</f>
        <v>2.052</v>
      </c>
      <c r="CS31" s="27">
        <v>1.028</v>
      </c>
      <c r="CT31" s="27">
        <v>0.68500000000000005</v>
      </c>
      <c r="CU31" s="27">
        <f>(2.353-CT31-CS31)</f>
        <v>0.64000000000000012</v>
      </c>
      <c r="CV31" s="27">
        <f>(2.978-CU31-CT31-CS31)</f>
        <v>0.625</v>
      </c>
      <c r="CW31" s="27">
        <f t="shared" ref="CW31:CW37" si="125">SUM(CS31:CV31)</f>
        <v>2.9780000000000002</v>
      </c>
      <c r="CX31" s="27">
        <v>0.79500000000000004</v>
      </c>
      <c r="CY31" s="27">
        <v>0.93300000000000005</v>
      </c>
      <c r="CZ31" s="27">
        <v>1.0880000000000001</v>
      </c>
      <c r="DA31" s="27">
        <v>1.2310000000000001</v>
      </c>
      <c r="DB31" s="27">
        <f t="shared" ref="DB31:DB42" si="126">SUM(CX31:DA31)</f>
        <v>4.0470000000000006</v>
      </c>
      <c r="DC31" s="27">
        <v>1.5629999999999999</v>
      </c>
      <c r="DD31" s="27">
        <v>0.38300000000000001</v>
      </c>
      <c r="DE31" s="27">
        <v>0.45900000000000002</v>
      </c>
      <c r="DF31" s="27">
        <v>0.63700000000000001</v>
      </c>
      <c r="DG31" s="27">
        <f t="shared" ref="DG31:DG42" si="127">SUM(DC31:DF31)</f>
        <v>3.0419999999999998</v>
      </c>
      <c r="DH31" s="27">
        <v>1.0489999999999999</v>
      </c>
      <c r="DI31" s="27">
        <v>0.68200000000000005</v>
      </c>
      <c r="DJ31" s="27">
        <v>0.16600000000000001</v>
      </c>
      <c r="DK31" s="27">
        <v>0.254</v>
      </c>
      <c r="DL31" s="27">
        <f t="shared" ref="DL31:DL42" si="128">SUM(DH31:DK31)</f>
        <v>2.1509999999999998</v>
      </c>
      <c r="DM31" s="27">
        <v>0.435</v>
      </c>
      <c r="DN31" s="27">
        <v>0.83399999999999996</v>
      </c>
      <c r="DO31" s="27">
        <v>1.0740000000000001</v>
      </c>
      <c r="DP31" s="27">
        <v>1.038</v>
      </c>
      <c r="DQ31" s="27">
        <f t="shared" ref="DQ31:DQ42" si="129">SUM(DM31:DP31)</f>
        <v>3.3810000000000002</v>
      </c>
      <c r="DR31" s="27">
        <v>4.5999999999999999E-2</v>
      </c>
      <c r="DS31" s="27">
        <v>4.8000000000000001E-2</v>
      </c>
      <c r="DT31" s="27">
        <v>0.05</v>
      </c>
      <c r="DU31" s="27">
        <v>4.5999999999999999E-2</v>
      </c>
      <c r="DV31" s="27">
        <f t="shared" ref="DV31:DV42" si="130">SUM(DR31:DU31)</f>
        <v>0.19</v>
      </c>
      <c r="DW31" s="27">
        <v>3.5000000000000003E-2</v>
      </c>
      <c r="DX31" s="27">
        <v>0.179863</v>
      </c>
      <c r="DY31" s="27">
        <v>0.3911213999999999</v>
      </c>
      <c r="DZ31" s="27">
        <v>0.34813368000000017</v>
      </c>
      <c r="EA31" s="27">
        <f t="shared" ref="EA31:EA43" si="131">SUM(DW31:DZ31)</f>
        <v>0.95411807999999998</v>
      </c>
      <c r="EB31" s="27">
        <v>0.31560513000000001</v>
      </c>
      <c r="EC31" s="27">
        <v>0.30806869999999997</v>
      </c>
      <c r="ED31" s="27">
        <v>0.30099999999999999</v>
      </c>
      <c r="EE31" s="27">
        <v>0.28910964999999988</v>
      </c>
      <c r="EF31" s="27">
        <f t="shared" ref="EF31:EF43" si="132">SUM(EB31:EE31)</f>
        <v>1.2137834799999998</v>
      </c>
      <c r="EG31" s="27">
        <v>0.28435461000000001</v>
      </c>
      <c r="EH31" s="27">
        <v>0.31287629000000006</v>
      </c>
      <c r="EI31" s="27">
        <v>0.33421083999999995</v>
      </c>
    </row>
    <row r="32" spans="1:139" ht="15" thickBot="1" x14ac:dyDescent="0.35">
      <c r="A32" s="2" t="s">
        <v>454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28">
        <v>7.3507710000000004E-2</v>
      </c>
      <c r="BK32" s="28">
        <v>0.20244048999999997</v>
      </c>
      <c r="BL32" s="28">
        <v>0.43550014000000004</v>
      </c>
      <c r="BM32" s="28">
        <v>0.64005104999999984</v>
      </c>
      <c r="BN32" s="28">
        <f t="shared" si="118"/>
        <v>1.3514993899999999</v>
      </c>
      <c r="BO32" s="28">
        <v>0.8970920200000001</v>
      </c>
      <c r="BP32" s="28">
        <v>0.59321414999999988</v>
      </c>
      <c r="BQ32" s="28">
        <v>0.46267038000000005</v>
      </c>
      <c r="BR32" s="28">
        <v>0.45222821999999963</v>
      </c>
      <c r="BS32" s="28">
        <f t="shared" si="119"/>
        <v>2.4052047699999997</v>
      </c>
      <c r="BT32" s="28">
        <v>0.40936025999999998</v>
      </c>
      <c r="BU32" s="28">
        <v>0.32114977000000006</v>
      </c>
      <c r="BV32" s="28">
        <v>0.37336506999999991</v>
      </c>
      <c r="BW32" s="28">
        <v>0.14285271000000005</v>
      </c>
      <c r="BX32" s="28">
        <f t="shared" si="120"/>
        <v>1.2467278100000001</v>
      </c>
      <c r="BY32" s="28">
        <v>7.9390289999999988E-2</v>
      </c>
      <c r="BZ32" s="28">
        <v>0.19848427000000002</v>
      </c>
      <c r="CA32" s="28">
        <v>0.17264465000000001</v>
      </c>
      <c r="CB32" s="28">
        <v>0.26874530000000008</v>
      </c>
      <c r="CC32" s="28">
        <f t="shared" si="121"/>
        <v>-0.71926451000000013</v>
      </c>
      <c r="CD32" s="28">
        <v>0.15250524999999998</v>
      </c>
      <c r="CE32" s="28">
        <v>0.36328105000000005</v>
      </c>
      <c r="CF32" s="28">
        <v>0.53314121999999986</v>
      </c>
      <c r="CG32" s="28">
        <v>0.42027617000000017</v>
      </c>
      <c r="CH32" s="28">
        <f t="shared" si="122"/>
        <v>1.4692036900000001</v>
      </c>
      <c r="CI32" s="28">
        <v>0.34709364000000004</v>
      </c>
      <c r="CJ32" s="28">
        <v>0.45036685999999998</v>
      </c>
      <c r="CK32" s="28">
        <v>0.58262033000000013</v>
      </c>
      <c r="CL32" s="28">
        <v>0.49534316999999994</v>
      </c>
      <c r="CM32" s="28">
        <f t="shared" si="123"/>
        <v>1.8754240000000002</v>
      </c>
      <c r="CN32" s="28">
        <v>0.5432428199999999</v>
      </c>
      <c r="CO32" s="28">
        <v>0.38735770000000014</v>
      </c>
      <c r="CP32" s="28">
        <v>0.58085052999999998</v>
      </c>
      <c r="CQ32" s="28">
        <v>0.28954894999999992</v>
      </c>
      <c r="CR32" s="28">
        <f t="shared" si="124"/>
        <v>1.8009999999999999</v>
      </c>
      <c r="CS32" s="28">
        <v>0.61499999999999999</v>
      </c>
      <c r="CT32" s="28">
        <v>0.55099999999999993</v>
      </c>
      <c r="CU32" s="28">
        <f>(1.927-CT32-CS32)</f>
        <v>0.76100000000000012</v>
      </c>
      <c r="CV32" s="28">
        <f>(2.427-CU32-CT32-CS32)</f>
        <v>0.5</v>
      </c>
      <c r="CW32" s="28">
        <f t="shared" si="125"/>
        <v>2.427</v>
      </c>
      <c r="CX32" s="28">
        <v>0.434</v>
      </c>
      <c r="CY32" s="28">
        <v>0.42399999999999999</v>
      </c>
      <c r="CZ32" s="28">
        <v>0.32700000000000001</v>
      </c>
      <c r="DA32" s="28">
        <v>0.38700000000000001</v>
      </c>
      <c r="DB32" s="28">
        <f t="shared" si="126"/>
        <v>1.5720000000000001</v>
      </c>
      <c r="DC32" s="28">
        <v>0.41099999999999998</v>
      </c>
      <c r="DD32" s="28">
        <v>0.66200000000000003</v>
      </c>
      <c r="DE32" s="28">
        <v>0.55000000000000004</v>
      </c>
      <c r="DF32" s="28">
        <v>0.27300000000000002</v>
      </c>
      <c r="DG32" s="28">
        <f t="shared" si="127"/>
        <v>1.8959999999999999</v>
      </c>
      <c r="DH32" s="28">
        <v>0.255</v>
      </c>
      <c r="DI32" s="28">
        <v>0.39900000000000002</v>
      </c>
      <c r="DJ32" s="28">
        <v>0.223</v>
      </c>
      <c r="DK32" s="28">
        <v>0.28699999999999998</v>
      </c>
      <c r="DL32" s="28">
        <f t="shared" si="128"/>
        <v>1.1639999999999999</v>
      </c>
      <c r="DM32" s="28">
        <v>0.152</v>
      </c>
      <c r="DN32" s="28">
        <v>0.58799999999999997</v>
      </c>
      <c r="DO32" s="28">
        <v>0.36</v>
      </c>
      <c r="DP32" s="28">
        <v>0.313</v>
      </c>
      <c r="DQ32" s="28">
        <f t="shared" si="129"/>
        <v>1.413</v>
      </c>
      <c r="DR32" s="28">
        <v>0.39600000000000002</v>
      </c>
      <c r="DS32" s="28">
        <v>0.68600000000000005</v>
      </c>
      <c r="DT32" s="28">
        <v>0.54800000000000004</v>
      </c>
      <c r="DU32" s="28">
        <v>1.0009999999999999</v>
      </c>
      <c r="DV32" s="28">
        <f t="shared" si="130"/>
        <v>2.6310000000000002</v>
      </c>
      <c r="DW32" s="28">
        <v>1.4950000000000001</v>
      </c>
      <c r="DX32" s="28">
        <v>2.8431009999999999</v>
      </c>
      <c r="DY32" s="28">
        <v>2.4786043400000008</v>
      </c>
      <c r="DZ32" s="28">
        <v>3.2704779000000004</v>
      </c>
      <c r="EA32" s="28">
        <f t="shared" si="131"/>
        <v>10.087183240000002</v>
      </c>
      <c r="EB32" s="28">
        <v>3.8082722000000002</v>
      </c>
      <c r="EC32" s="28">
        <v>4.1720498700000004</v>
      </c>
      <c r="ED32" s="28">
        <v>1.423</v>
      </c>
      <c r="EE32" s="28">
        <v>1.5413400099999999</v>
      </c>
      <c r="EF32" s="28">
        <f t="shared" si="132"/>
        <v>10.944662080000001</v>
      </c>
      <c r="EG32" s="28">
        <v>2.3947386000000002</v>
      </c>
      <c r="EH32" s="28">
        <v>2.5287516499999998</v>
      </c>
      <c r="EI32" s="28">
        <v>2.1971277800000002</v>
      </c>
    </row>
    <row r="33" spans="1:139" ht="15" thickTop="1" x14ac:dyDescent="0.3">
      <c r="A33" s="1" t="s">
        <v>442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27">
        <v>1.3877676799999998</v>
      </c>
      <c r="BK33" s="27">
        <v>1.5178513500000002</v>
      </c>
      <c r="BL33" s="27">
        <v>2.7169536900000004</v>
      </c>
      <c r="BM33" s="27">
        <v>1.8671978000000002</v>
      </c>
      <c r="BN33" s="27">
        <f t="shared" si="118"/>
        <v>7.4897705200000013</v>
      </c>
      <c r="BO33" s="27">
        <v>2.3476727099999999</v>
      </c>
      <c r="BP33" s="27">
        <v>1.7961045199999996</v>
      </c>
      <c r="BQ33" s="27">
        <v>2.3223569100000012</v>
      </c>
      <c r="BR33" s="27">
        <v>2.0512496199999997</v>
      </c>
      <c r="BS33" s="27">
        <f t="shared" si="119"/>
        <v>8.5173837600000013</v>
      </c>
      <c r="BT33" s="27">
        <v>2.2469858</v>
      </c>
      <c r="BU33" s="27">
        <v>1.4340419299999998</v>
      </c>
      <c r="BV33" s="27">
        <v>1.6186933200000007</v>
      </c>
      <c r="BW33" s="27">
        <v>1.1391337400000006</v>
      </c>
      <c r="BX33" s="27">
        <f t="shared" si="120"/>
        <v>6.4388547900000006</v>
      </c>
      <c r="BY33" s="27">
        <v>1.2218912</v>
      </c>
      <c r="BZ33" s="27">
        <v>6.7220040000000001</v>
      </c>
      <c r="CA33" s="27">
        <v>10.256544999999999</v>
      </c>
      <c r="CB33" s="27">
        <v>9.9892790299999987</v>
      </c>
      <c r="CC33" s="27">
        <f t="shared" si="121"/>
        <v>-28.189719229999998</v>
      </c>
      <c r="CD33" s="27">
        <v>8.5980843499999988</v>
      </c>
      <c r="CE33" s="27">
        <v>7.2201457300000005</v>
      </c>
      <c r="CF33" s="27">
        <v>5.5881663100000019</v>
      </c>
      <c r="CG33" s="27">
        <v>2.5826764899999972</v>
      </c>
      <c r="CH33" s="27">
        <f t="shared" si="122"/>
        <v>23.989072879999998</v>
      </c>
      <c r="CI33" s="27">
        <v>2.7482561899999998</v>
      </c>
      <c r="CJ33" s="27">
        <v>3.7431827800000002</v>
      </c>
      <c r="CK33" s="27">
        <v>5.2909778400000018</v>
      </c>
      <c r="CL33" s="27">
        <v>6.4534080899999964</v>
      </c>
      <c r="CM33" s="27">
        <f t="shared" si="123"/>
        <v>18.235824899999997</v>
      </c>
      <c r="CN33" s="27">
        <v>8.7372651000000001</v>
      </c>
      <c r="CO33" s="27">
        <v>8.6417546500000011</v>
      </c>
      <c r="CP33" s="27">
        <v>10.195881699999996</v>
      </c>
      <c r="CQ33" s="27">
        <v>10.166098550000001</v>
      </c>
      <c r="CR33" s="27">
        <f t="shared" si="124"/>
        <v>37.741</v>
      </c>
      <c r="CS33" s="27">
        <v>11.666</v>
      </c>
      <c r="CT33" s="27">
        <f>(14.036-CS33)</f>
        <v>2.3699999999999992</v>
      </c>
      <c r="CU33" s="27">
        <f>(15.872-CT33-CS33)</f>
        <v>1.8360000000000003</v>
      </c>
      <c r="CV33" s="27">
        <f>(17.702-CU33-CT33-CS33)</f>
        <v>1.8300000000000018</v>
      </c>
      <c r="CW33" s="27">
        <f t="shared" si="125"/>
        <v>17.702000000000002</v>
      </c>
      <c r="CX33" s="27">
        <v>2.6030000000000002</v>
      </c>
      <c r="CY33" s="27">
        <v>2.1459999999999999</v>
      </c>
      <c r="CZ33" s="27">
        <v>1.9430000000000001</v>
      </c>
      <c r="DA33" s="27">
        <v>2.3439999999999999</v>
      </c>
      <c r="DB33" s="27">
        <f t="shared" si="126"/>
        <v>9.0359999999999996</v>
      </c>
      <c r="DC33" s="27">
        <v>3.4</v>
      </c>
      <c r="DD33" s="27">
        <v>2.3820000000000001</v>
      </c>
      <c r="DE33" s="27">
        <v>1.87</v>
      </c>
      <c r="DF33" s="27">
        <v>0.84199999999999997</v>
      </c>
      <c r="DG33" s="27">
        <f t="shared" si="127"/>
        <v>8.4939999999999998</v>
      </c>
      <c r="DH33" s="27">
        <v>1.526</v>
      </c>
      <c r="DI33" s="27">
        <v>0.51400000000000001</v>
      </c>
      <c r="DJ33" s="27">
        <v>0.246</v>
      </c>
      <c r="DK33" s="27">
        <v>0.316</v>
      </c>
      <c r="DL33" s="27">
        <f t="shared" si="128"/>
        <v>2.6019999999999999</v>
      </c>
      <c r="DM33" s="27">
        <v>0.82099999999999995</v>
      </c>
      <c r="DN33" s="27">
        <v>1.268</v>
      </c>
      <c r="DO33" s="27">
        <v>0.81899999999999995</v>
      </c>
      <c r="DP33" s="27">
        <v>0.64900000000000002</v>
      </c>
      <c r="DQ33" s="27">
        <f t="shared" si="129"/>
        <v>3.5569999999999999</v>
      </c>
      <c r="DR33" s="27">
        <v>3.4260000000000002</v>
      </c>
      <c r="DS33" s="27">
        <v>5.3579999999999997</v>
      </c>
      <c r="DT33" s="27">
        <v>3.65</v>
      </c>
      <c r="DU33" s="27">
        <v>2.5790000000000002</v>
      </c>
      <c r="DV33" s="27">
        <f t="shared" si="130"/>
        <v>15.013</v>
      </c>
      <c r="DW33" s="27">
        <v>3.2730000000000001</v>
      </c>
      <c r="DX33" s="27">
        <v>8.6588370000000001</v>
      </c>
      <c r="DY33" s="27">
        <v>23.833217489999996</v>
      </c>
      <c r="DZ33" s="27">
        <v>18.379247890000009</v>
      </c>
      <c r="EA33" s="27">
        <f t="shared" si="131"/>
        <v>54.144302380000006</v>
      </c>
      <c r="EB33" s="27">
        <v>29.080840200000001</v>
      </c>
      <c r="EC33" s="27">
        <v>26.451171029999998</v>
      </c>
      <c r="ED33" s="27">
        <v>20.225000000000001</v>
      </c>
      <c r="EE33" s="27">
        <v>18.655740730000005</v>
      </c>
      <c r="EF33" s="27">
        <f t="shared" si="132"/>
        <v>94.412751959999994</v>
      </c>
      <c r="EG33" s="27">
        <v>28.48819821</v>
      </c>
      <c r="EH33" s="27">
        <v>42.070600470000009</v>
      </c>
      <c r="EI33" s="27">
        <v>49.326024899999993</v>
      </c>
    </row>
    <row r="34" spans="1:139" ht="15" thickBot="1" x14ac:dyDescent="0.35">
      <c r="A34" s="2" t="s">
        <v>3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28">
        <v>0.13511981000000001</v>
      </c>
      <c r="BK34" s="28">
        <v>0.35227112999999999</v>
      </c>
      <c r="BL34" s="28">
        <v>0.75330248000000011</v>
      </c>
      <c r="BM34" s="28">
        <v>0.46641457999999975</v>
      </c>
      <c r="BN34" s="28">
        <f t="shared" si="118"/>
        <v>1.7071079999999998</v>
      </c>
      <c r="BO34" s="28">
        <v>0.21840535</v>
      </c>
      <c r="BP34" s="28">
        <v>0.39739063999999996</v>
      </c>
      <c r="BQ34" s="28">
        <v>0.59937124999999991</v>
      </c>
      <c r="BR34" s="28">
        <v>0.66348363999999993</v>
      </c>
      <c r="BS34" s="28">
        <f t="shared" si="119"/>
        <v>1.8786508799999999</v>
      </c>
      <c r="BT34" s="28">
        <v>0.33524786000000001</v>
      </c>
      <c r="BU34" s="28">
        <v>0.19848170000000004</v>
      </c>
      <c r="BV34" s="28">
        <v>0.22400386</v>
      </c>
      <c r="BW34" s="28">
        <v>0.23911812999999976</v>
      </c>
      <c r="BX34" s="28">
        <f t="shared" si="120"/>
        <v>0.99685154999999992</v>
      </c>
      <c r="BY34" s="28">
        <v>0.14587889000000001</v>
      </c>
      <c r="BZ34" s="28">
        <v>0.31627663000000006</v>
      </c>
      <c r="CA34" s="28">
        <v>0.38258822999999997</v>
      </c>
      <c r="CB34" s="28">
        <v>0.34742082999999979</v>
      </c>
      <c r="CC34" s="28">
        <f t="shared" si="121"/>
        <v>-1.1921645799999998</v>
      </c>
      <c r="CD34" s="28">
        <v>0.44296195999999999</v>
      </c>
      <c r="CE34" s="28">
        <v>0.67382903999999988</v>
      </c>
      <c r="CF34" s="28">
        <v>0.9685598000000003</v>
      </c>
      <c r="CG34" s="28">
        <v>1.0680926400000001</v>
      </c>
      <c r="CH34" s="28">
        <f t="shared" si="122"/>
        <v>3.1534434400000002</v>
      </c>
      <c r="CI34" s="28">
        <v>0.52517192000000001</v>
      </c>
      <c r="CJ34" s="28">
        <v>0.72550270999999977</v>
      </c>
      <c r="CK34" s="28">
        <v>1.1124369199999999</v>
      </c>
      <c r="CL34" s="28">
        <v>0.99460752000000019</v>
      </c>
      <c r="CM34" s="28">
        <f t="shared" si="123"/>
        <v>3.3577190699999999</v>
      </c>
      <c r="CN34" s="28">
        <v>1.4823453100000001</v>
      </c>
      <c r="CO34" s="28">
        <v>1.7466404899999997</v>
      </c>
      <c r="CP34" s="28">
        <v>2.1039679699999994</v>
      </c>
      <c r="CQ34" s="28">
        <v>2.0750462300000008</v>
      </c>
      <c r="CR34" s="28">
        <f t="shared" si="124"/>
        <v>7.4080000000000004</v>
      </c>
      <c r="CS34" s="28">
        <v>2.7709999999999999</v>
      </c>
      <c r="CT34" s="28">
        <v>1.8579999999999997</v>
      </c>
      <c r="CU34" s="28">
        <f>(6.032-CT34-CS34)</f>
        <v>1.4030000000000005</v>
      </c>
      <c r="CV34" s="28">
        <f>(6.797-CU34-CT34-CS34)</f>
        <v>0.76499999999999968</v>
      </c>
      <c r="CW34" s="28">
        <f t="shared" si="125"/>
        <v>6.7969999999999997</v>
      </c>
      <c r="CX34" s="28">
        <v>0.68700000000000006</v>
      </c>
      <c r="CY34" s="28">
        <v>0.73399999999999999</v>
      </c>
      <c r="CZ34" s="28">
        <v>0.85599999999999998</v>
      </c>
      <c r="DA34" s="28">
        <v>0.93799999999999994</v>
      </c>
      <c r="DB34" s="28">
        <f t="shared" si="126"/>
        <v>3.2149999999999999</v>
      </c>
      <c r="DC34" s="28">
        <v>1.3959999999999999</v>
      </c>
      <c r="DD34" s="28">
        <v>0.41399999999999998</v>
      </c>
      <c r="DE34" s="28">
        <v>0.52400000000000002</v>
      </c>
      <c r="DF34" s="28">
        <v>0.69499999999999995</v>
      </c>
      <c r="DG34" s="28">
        <f t="shared" si="127"/>
        <v>3.0289999999999995</v>
      </c>
      <c r="DH34" s="28">
        <v>1.139</v>
      </c>
      <c r="DI34" s="28">
        <v>0.63300000000000001</v>
      </c>
      <c r="DJ34" s="28">
        <v>0.14399999999999999</v>
      </c>
      <c r="DK34" s="28">
        <v>0.2</v>
      </c>
      <c r="DL34" s="28">
        <f t="shared" si="128"/>
        <v>2.1160000000000001</v>
      </c>
      <c r="DM34" s="28">
        <v>0.32500000000000001</v>
      </c>
      <c r="DN34" s="28">
        <v>0.70599999999999996</v>
      </c>
      <c r="DO34" s="28">
        <v>1.3340000000000001</v>
      </c>
      <c r="DP34" s="28">
        <v>1.32</v>
      </c>
      <c r="DQ34" s="28">
        <f t="shared" si="129"/>
        <v>3.6850000000000005</v>
      </c>
      <c r="DR34" s="28">
        <v>4.4999999999999998E-2</v>
      </c>
      <c r="DS34" s="28">
        <v>5.3999999999999999E-2</v>
      </c>
      <c r="DT34" s="28">
        <v>0.05</v>
      </c>
      <c r="DU34" s="28">
        <v>5.8999999999999997E-2</v>
      </c>
      <c r="DV34" s="28">
        <f t="shared" si="130"/>
        <v>0.20800000000000002</v>
      </c>
      <c r="DW34" s="28">
        <v>5.0999999999999997E-2</v>
      </c>
      <c r="DX34" s="28">
        <v>0.134433</v>
      </c>
      <c r="DY34" s="28">
        <v>0.28180019000000006</v>
      </c>
      <c r="DZ34" s="28">
        <v>0.33928386999999988</v>
      </c>
      <c r="EA34" s="28">
        <f t="shared" si="131"/>
        <v>0.80651706000000001</v>
      </c>
      <c r="EB34" s="28">
        <v>0.20085006</v>
      </c>
      <c r="EC34" s="28">
        <v>0.18254329999999999</v>
      </c>
      <c r="ED34" s="28">
        <v>0.22</v>
      </c>
      <c r="EE34" s="28">
        <v>0.25537284999999998</v>
      </c>
      <c r="EF34" s="28">
        <f t="shared" si="132"/>
        <v>0.85876620999999997</v>
      </c>
      <c r="EG34" s="28">
        <v>0.26562880999999999</v>
      </c>
      <c r="EH34" s="28">
        <v>0.30133815999999997</v>
      </c>
      <c r="EI34" s="28">
        <v>0.40061440000000004</v>
      </c>
    </row>
    <row r="35" spans="1:139" ht="15" thickTop="1" x14ac:dyDescent="0.3">
      <c r="A35" s="1" t="s">
        <v>443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27">
        <v>0.86369119000000005</v>
      </c>
      <c r="BK35" s="27">
        <v>0.10281110999999998</v>
      </c>
      <c r="BL35" s="27">
        <v>0.12377376999999978</v>
      </c>
      <c r="BM35" s="27">
        <v>0.14137229000000018</v>
      </c>
      <c r="BN35" s="27">
        <f t="shared" si="118"/>
        <v>1.2316483599999999</v>
      </c>
      <c r="BO35" s="27">
        <v>11.66576731</v>
      </c>
      <c r="BP35" s="27">
        <v>1.2074111700000003</v>
      </c>
      <c r="BQ35" s="27">
        <v>2.4326982400000006</v>
      </c>
      <c r="BR35" s="27">
        <v>3.4401577900000007</v>
      </c>
      <c r="BS35" s="27">
        <f t="shared" si="119"/>
        <v>18.746034510000001</v>
      </c>
      <c r="BT35" s="27">
        <v>3.3577069700000002</v>
      </c>
      <c r="BU35" s="27">
        <v>1.8950149199999999</v>
      </c>
      <c r="BV35" s="27">
        <v>1.3274566300000008</v>
      </c>
      <c r="BW35" s="27">
        <v>0.89555471999999847</v>
      </c>
      <c r="BX35" s="27">
        <f t="shared" si="120"/>
        <v>7.4757332399999985</v>
      </c>
      <c r="BY35" s="27">
        <v>1.5345409999999999</v>
      </c>
      <c r="BZ35" s="27">
        <v>1.7323840400000003</v>
      </c>
      <c r="CA35" s="27">
        <v>1.78447947</v>
      </c>
      <c r="CB35" s="27">
        <v>1.7920976199999998</v>
      </c>
      <c r="CC35" s="27">
        <f t="shared" si="121"/>
        <v>-6.8435021300000001</v>
      </c>
      <c r="CD35" s="27">
        <v>1.8460384200000002</v>
      </c>
      <c r="CE35" s="27">
        <v>2.4290517899999999</v>
      </c>
      <c r="CF35" s="27">
        <v>2.0773215299999999</v>
      </c>
      <c r="CG35" s="27">
        <v>3.2226711499999992</v>
      </c>
      <c r="CH35" s="27">
        <f t="shared" si="122"/>
        <v>9.5750828899999991</v>
      </c>
      <c r="CI35" s="27">
        <v>2.9232738700000001</v>
      </c>
      <c r="CJ35" s="27">
        <v>2.8666395099999997</v>
      </c>
      <c r="CK35" s="27">
        <v>2.8465992900000003</v>
      </c>
      <c r="CL35" s="27">
        <v>3.1277053300000004</v>
      </c>
      <c r="CM35" s="27">
        <f t="shared" si="123"/>
        <v>11.764218</v>
      </c>
      <c r="CN35" s="27">
        <v>2.9816848500000002</v>
      </c>
      <c r="CO35" s="27">
        <v>3.1735834099999995</v>
      </c>
      <c r="CP35" s="27">
        <v>2.33723474</v>
      </c>
      <c r="CQ35" s="27">
        <v>2.0424970000000009</v>
      </c>
      <c r="CR35" s="27">
        <f t="shared" si="124"/>
        <v>10.535</v>
      </c>
      <c r="CS35" s="27">
        <v>2.1840000000000002</v>
      </c>
      <c r="CT35" s="27">
        <v>1.827</v>
      </c>
      <c r="CU35" s="27">
        <f>(6.586-CT35-CS35)</f>
        <v>2.5750000000000002</v>
      </c>
      <c r="CV35" s="27">
        <f>(8.384-CU35-CT35-CS35)</f>
        <v>1.798</v>
      </c>
      <c r="CW35" s="27">
        <f t="shared" si="125"/>
        <v>8.3840000000000003</v>
      </c>
      <c r="CX35" s="27">
        <v>2.2130000000000001</v>
      </c>
      <c r="CY35" s="27">
        <v>2</v>
      </c>
      <c r="CZ35" s="27">
        <v>1.8819999999999999</v>
      </c>
      <c r="DA35" s="27">
        <v>1.929</v>
      </c>
      <c r="DB35" s="27">
        <f t="shared" si="126"/>
        <v>8.0239999999999991</v>
      </c>
      <c r="DC35" s="27">
        <v>1.889</v>
      </c>
      <c r="DD35" s="27">
        <v>1.8919999999999999</v>
      </c>
      <c r="DE35" s="27">
        <v>1.647</v>
      </c>
      <c r="DF35" s="27">
        <v>1.3029999999999999</v>
      </c>
      <c r="DG35" s="27">
        <f t="shared" si="127"/>
        <v>6.7309999999999999</v>
      </c>
      <c r="DH35" s="27">
        <v>1.214</v>
      </c>
      <c r="DI35" s="27">
        <v>0.68799999999999994</v>
      </c>
      <c r="DJ35" s="27">
        <v>0.32200000000000001</v>
      </c>
      <c r="DK35" s="27">
        <v>0.33100000000000002</v>
      </c>
      <c r="DL35" s="27">
        <f t="shared" si="128"/>
        <v>2.5549999999999997</v>
      </c>
      <c r="DM35" s="27">
        <v>0.29199999999999998</v>
      </c>
      <c r="DN35" s="27">
        <v>0.50900000000000001</v>
      </c>
      <c r="DO35" s="27">
        <v>1.044</v>
      </c>
      <c r="DP35" s="27">
        <v>1.502</v>
      </c>
      <c r="DQ35" s="27">
        <f t="shared" si="129"/>
        <v>3.347</v>
      </c>
      <c r="DR35" s="27">
        <v>2.444</v>
      </c>
      <c r="DS35" s="27">
        <v>3.3380000000000001</v>
      </c>
      <c r="DT35" s="27">
        <v>3.5670000000000002</v>
      </c>
      <c r="DU35" s="27">
        <v>1.65</v>
      </c>
      <c r="DV35" s="27">
        <f t="shared" si="130"/>
        <v>10.999000000000001</v>
      </c>
      <c r="DW35" s="27">
        <v>1.1120000000000001</v>
      </c>
      <c r="DX35" s="27">
        <v>12.259931999999999</v>
      </c>
      <c r="DY35" s="27">
        <v>2.6431445200000012</v>
      </c>
      <c r="DZ35" s="27">
        <v>2.6180667799999973</v>
      </c>
      <c r="EA35" s="27">
        <f t="shared" si="131"/>
        <v>18.633143299999997</v>
      </c>
      <c r="EB35" s="27">
        <v>2.91151523</v>
      </c>
      <c r="EC35" s="27">
        <v>2.7583834899999999</v>
      </c>
      <c r="ED35" s="27">
        <v>3.4249999999999998</v>
      </c>
      <c r="EE35" s="27">
        <v>2.9293154399999994</v>
      </c>
      <c r="EF35" s="27">
        <f t="shared" si="132"/>
        <v>12.02421416</v>
      </c>
      <c r="EG35" s="27">
        <v>3.7025068299999999</v>
      </c>
      <c r="EH35" s="27">
        <v>2.8615367900000002</v>
      </c>
      <c r="EI35" s="27">
        <v>2.7627817299999995</v>
      </c>
    </row>
    <row r="36" spans="1:139" ht="15" thickBot="1" x14ac:dyDescent="0.35">
      <c r="A36" s="2" t="s">
        <v>481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28">
        <v>0</v>
      </c>
      <c r="BK36" s="28">
        <v>0</v>
      </c>
      <c r="BL36" s="28">
        <v>0</v>
      </c>
      <c r="BM36" s="28">
        <v>0</v>
      </c>
      <c r="BN36" s="28">
        <f t="shared" si="118"/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f t="shared" si="119"/>
        <v>0</v>
      </c>
      <c r="BT36" s="28">
        <v>0</v>
      </c>
      <c r="BU36" s="28">
        <v>0.28661633000000003</v>
      </c>
      <c r="BV36" s="28">
        <v>1.2795912599999999</v>
      </c>
      <c r="BW36" s="28">
        <v>1.1455944599999999</v>
      </c>
      <c r="BX36" s="28">
        <f t="shared" si="120"/>
        <v>2.7118020499999997</v>
      </c>
      <c r="BY36" s="28">
        <v>1.0664043999999999</v>
      </c>
      <c r="BZ36" s="28">
        <v>1.1278697999999998</v>
      </c>
      <c r="CA36" s="28">
        <v>1.1859986800000006</v>
      </c>
      <c r="CB36" s="28">
        <v>0.72399090999999949</v>
      </c>
      <c r="CC36" s="28">
        <f t="shared" si="121"/>
        <v>-4.1042637900000001</v>
      </c>
      <c r="CD36" s="28">
        <v>0.22090864999999998</v>
      </c>
      <c r="CE36" s="28">
        <v>0.72568578000000006</v>
      </c>
      <c r="CF36" s="28">
        <v>0.75772510000000004</v>
      </c>
      <c r="CG36" s="28">
        <v>0.99755272999999978</v>
      </c>
      <c r="CH36" s="28">
        <f t="shared" si="122"/>
        <v>2.70187226</v>
      </c>
      <c r="CI36" s="28">
        <v>1.1064047100000001</v>
      </c>
      <c r="CJ36" s="28">
        <v>1.2473371200000001</v>
      </c>
      <c r="CK36" s="28">
        <v>1.3265803900000002</v>
      </c>
      <c r="CL36" s="28">
        <v>2.2982907799999994</v>
      </c>
      <c r="CM36" s="28">
        <f t="shared" si="123"/>
        <v>5.9786129999999993</v>
      </c>
      <c r="CN36" s="28">
        <v>2.0187989100000001</v>
      </c>
      <c r="CO36" s="28">
        <v>1.63568421</v>
      </c>
      <c r="CP36" s="28">
        <v>1.3321621600000002</v>
      </c>
      <c r="CQ36" s="28">
        <v>0.72835471999999957</v>
      </c>
      <c r="CR36" s="28">
        <f t="shared" si="124"/>
        <v>5.7149999999999999</v>
      </c>
      <c r="CS36" s="28">
        <v>0.46</v>
      </c>
      <c r="CT36" s="28">
        <v>0.6100000000000001</v>
      </c>
      <c r="CU36" s="28">
        <f>(1.876-CT36-CS36)</f>
        <v>0.80599999999999983</v>
      </c>
      <c r="CV36" s="28">
        <f>(2.303-CU36-CT36-CS36)</f>
        <v>0.42699999999999999</v>
      </c>
      <c r="CW36" s="28">
        <f t="shared" si="125"/>
        <v>2.3029999999999999</v>
      </c>
      <c r="CX36" s="28">
        <v>0.35099999999999998</v>
      </c>
      <c r="CY36" s="28">
        <v>0.32100000000000001</v>
      </c>
      <c r="CZ36" s="28">
        <v>0.34200000000000003</v>
      </c>
      <c r="DA36" s="28">
        <v>0.46800000000000003</v>
      </c>
      <c r="DB36" s="28">
        <f t="shared" si="126"/>
        <v>1.482</v>
      </c>
      <c r="DC36" s="28">
        <v>0.45500000000000002</v>
      </c>
      <c r="DD36" s="28">
        <v>0.57199999999999995</v>
      </c>
      <c r="DE36" s="28">
        <v>0.45400000000000001</v>
      </c>
      <c r="DF36" s="28">
        <v>0.38500000000000001</v>
      </c>
      <c r="DG36" s="28">
        <f t="shared" si="127"/>
        <v>1.8659999999999999</v>
      </c>
      <c r="DH36" s="28">
        <v>0.58499999999999996</v>
      </c>
      <c r="DI36" s="28">
        <v>0.26900000000000002</v>
      </c>
      <c r="DJ36" s="28">
        <v>0.10299999999999999</v>
      </c>
      <c r="DK36" s="28">
        <v>0.14299999999999999</v>
      </c>
      <c r="DL36" s="28">
        <f t="shared" si="128"/>
        <v>1.0999999999999999</v>
      </c>
      <c r="DM36" s="28">
        <v>0.13800000000000001</v>
      </c>
      <c r="DN36" s="28">
        <v>0.251</v>
      </c>
      <c r="DO36" s="28">
        <v>0.53600000000000003</v>
      </c>
      <c r="DP36" s="28">
        <v>0.752</v>
      </c>
      <c r="DQ36" s="28">
        <f t="shared" si="129"/>
        <v>1.677</v>
      </c>
      <c r="DR36" s="28">
        <v>1.0049999999999999</v>
      </c>
      <c r="DS36" s="28">
        <v>1.1140000000000001</v>
      </c>
      <c r="DT36" s="28">
        <v>1.2929999999999999</v>
      </c>
      <c r="DU36" s="28">
        <v>1.256</v>
      </c>
      <c r="DV36" s="28">
        <f t="shared" si="130"/>
        <v>4.6680000000000001</v>
      </c>
      <c r="DW36" s="28">
        <v>1.044</v>
      </c>
      <c r="DX36" s="28">
        <v>1.1573599999999999</v>
      </c>
      <c r="DY36" s="28">
        <v>1.2008020400000001</v>
      </c>
      <c r="DZ36" s="28">
        <v>0.93011275000000004</v>
      </c>
      <c r="EA36" s="28">
        <f t="shared" si="131"/>
        <v>4.3322747900000005</v>
      </c>
      <c r="EB36" s="28">
        <v>1.29259824</v>
      </c>
      <c r="EC36" s="28">
        <v>1.05615945</v>
      </c>
      <c r="ED36" s="28">
        <v>1.282</v>
      </c>
      <c r="EE36" s="28">
        <v>1.0819230299999998</v>
      </c>
      <c r="EF36" s="28">
        <f t="shared" si="132"/>
        <v>4.7126807199999998</v>
      </c>
      <c r="EG36" s="28">
        <v>1.5674029299999999</v>
      </c>
      <c r="EH36" s="28">
        <v>1.9365861599999998</v>
      </c>
      <c r="EI36" s="28">
        <v>9.0533487699999995</v>
      </c>
    </row>
    <row r="37" spans="1:139" ht="15" thickTop="1" x14ac:dyDescent="0.3">
      <c r="A37" s="1" t="s">
        <v>445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27">
        <v>0</v>
      </c>
      <c r="BK37" s="27">
        <v>0</v>
      </c>
      <c r="BL37" s="27">
        <v>0</v>
      </c>
      <c r="BM37" s="27">
        <v>0</v>
      </c>
      <c r="BN37" s="27">
        <f t="shared" si="118"/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f t="shared" si="119"/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f t="shared" si="120"/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f t="shared" si="121"/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f t="shared" si="122"/>
        <v>0</v>
      </c>
      <c r="CI37" s="27">
        <v>0</v>
      </c>
      <c r="CJ37" s="27">
        <v>1.3550143000000001</v>
      </c>
      <c r="CK37" s="27">
        <v>2.8679632199999996</v>
      </c>
      <c r="CL37" s="27">
        <v>2.7329847799999993</v>
      </c>
      <c r="CM37" s="27">
        <f t="shared" si="123"/>
        <v>6.9559622999999995</v>
      </c>
      <c r="CN37" s="27">
        <v>2.6421918999999998</v>
      </c>
      <c r="CO37" s="27">
        <v>2.9320833900000003</v>
      </c>
      <c r="CP37" s="27">
        <v>3.1242826699999999</v>
      </c>
      <c r="CQ37" s="27">
        <v>2.2704420399999989</v>
      </c>
      <c r="CR37" s="27">
        <f t="shared" si="124"/>
        <v>10.968999999999999</v>
      </c>
      <c r="CS37" s="27">
        <v>1.69326719</v>
      </c>
      <c r="CT37" s="27">
        <v>0.75173280999999981</v>
      </c>
      <c r="CU37" s="27">
        <f>(2.749-CT37-CS37)</f>
        <v>0.30400000000000027</v>
      </c>
      <c r="CV37" s="27">
        <f>(2.99-CU37-CT37-CS37)</f>
        <v>0.2410000000000001</v>
      </c>
      <c r="CW37" s="27">
        <f t="shared" si="125"/>
        <v>2.99</v>
      </c>
      <c r="CX37" s="27">
        <v>0.872</v>
      </c>
      <c r="CY37" s="27">
        <v>0.89500000000000002</v>
      </c>
      <c r="CZ37" s="27">
        <v>0.96599999999999997</v>
      </c>
      <c r="DA37" s="27">
        <v>1.044</v>
      </c>
      <c r="DB37" s="27">
        <f t="shared" si="126"/>
        <v>3.7769999999999997</v>
      </c>
      <c r="DC37" s="27">
        <v>0.439</v>
      </c>
      <c r="DD37" s="27">
        <v>0.53700000000000003</v>
      </c>
      <c r="DE37" s="27">
        <v>0.46400000000000002</v>
      </c>
      <c r="DF37" s="27">
        <v>1.2569999999999999</v>
      </c>
      <c r="DG37" s="27">
        <f t="shared" si="127"/>
        <v>2.6970000000000001</v>
      </c>
      <c r="DH37" s="27">
        <v>1.7829999999999999</v>
      </c>
      <c r="DI37" s="27">
        <v>1.07</v>
      </c>
      <c r="DJ37" s="27">
        <v>0.65</v>
      </c>
      <c r="DK37" s="27">
        <v>0.59799999999999998</v>
      </c>
      <c r="DL37" s="27">
        <f t="shared" si="128"/>
        <v>4.101</v>
      </c>
      <c r="DM37" s="27">
        <v>0.57699999999999996</v>
      </c>
      <c r="DN37" s="27">
        <v>1.046</v>
      </c>
      <c r="DO37" s="27">
        <v>1.748</v>
      </c>
      <c r="DP37" s="27">
        <v>2.5950000000000002</v>
      </c>
      <c r="DQ37" s="27">
        <f t="shared" si="129"/>
        <v>5.9660000000000002</v>
      </c>
      <c r="DR37" s="27">
        <v>3.5139999999999998</v>
      </c>
      <c r="DS37" s="27">
        <v>4.4000000000000004</v>
      </c>
      <c r="DT37" s="27">
        <v>5.4420000000000002</v>
      </c>
      <c r="DU37" s="27">
        <v>5.181</v>
      </c>
      <c r="DV37" s="27">
        <f t="shared" si="130"/>
        <v>18.536999999999999</v>
      </c>
      <c r="DW37" s="27">
        <v>5.4589999999999996</v>
      </c>
      <c r="DX37" s="27">
        <v>3.539898</v>
      </c>
      <c r="DY37" s="27">
        <v>3.0381981099999993</v>
      </c>
      <c r="DZ37" s="27">
        <v>2.0289822699999998</v>
      </c>
      <c r="EA37" s="27">
        <f t="shared" si="131"/>
        <v>14.06607838</v>
      </c>
      <c r="EB37" s="27">
        <v>1.7807935700000002</v>
      </c>
      <c r="EC37" s="27">
        <v>1.7281197800000001</v>
      </c>
      <c r="ED37" s="27">
        <v>1.8560000000000001</v>
      </c>
      <c r="EE37" s="27">
        <v>1.3996847199999998</v>
      </c>
      <c r="EF37" s="27">
        <f t="shared" si="132"/>
        <v>6.7645980699999999</v>
      </c>
      <c r="EG37" s="27">
        <v>1.8194575800000001</v>
      </c>
      <c r="EH37" s="27">
        <v>2.3709421900000001</v>
      </c>
      <c r="EI37" s="27">
        <v>2.8636330299999999</v>
      </c>
    </row>
    <row r="38" spans="1:139" ht="15" thickBot="1" x14ac:dyDescent="0.35">
      <c r="A38" s="2" t="s">
        <v>444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v>0</v>
      </c>
      <c r="BT38" s="28">
        <v>0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0</v>
      </c>
      <c r="CA38" s="28">
        <v>0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</v>
      </c>
      <c r="CH38" s="28">
        <v>0</v>
      </c>
      <c r="CI38" s="28">
        <v>0</v>
      </c>
      <c r="CJ38" s="28">
        <v>0</v>
      </c>
      <c r="CK38" s="28">
        <v>0</v>
      </c>
      <c r="CL38" s="28">
        <v>0</v>
      </c>
      <c r="CM38" s="28">
        <v>0</v>
      </c>
      <c r="CN38" s="28">
        <v>0</v>
      </c>
      <c r="CO38" s="28">
        <v>0</v>
      </c>
      <c r="CP38" s="28">
        <v>0</v>
      </c>
      <c r="CQ38" s="28">
        <v>0</v>
      </c>
      <c r="CR38" s="28">
        <v>0</v>
      </c>
      <c r="CS38" s="28">
        <v>0</v>
      </c>
      <c r="CT38" s="28">
        <v>0</v>
      </c>
      <c r="CU38" s="28">
        <v>0</v>
      </c>
      <c r="CV38" s="28">
        <v>0</v>
      </c>
      <c r="CW38" s="28">
        <v>0</v>
      </c>
      <c r="CX38" s="28">
        <v>0</v>
      </c>
      <c r="CY38" s="28">
        <v>0</v>
      </c>
      <c r="CZ38" s="28">
        <v>0</v>
      </c>
      <c r="DA38" s="28">
        <v>0</v>
      </c>
      <c r="DB38" s="28">
        <f t="shared" si="126"/>
        <v>0</v>
      </c>
      <c r="DC38" s="28">
        <v>0</v>
      </c>
      <c r="DD38" s="28">
        <v>0.19</v>
      </c>
      <c r="DE38" s="28">
        <v>0.82099999999999995</v>
      </c>
      <c r="DF38" s="28">
        <v>0.65300000000000002</v>
      </c>
      <c r="DG38" s="28">
        <f t="shared" si="127"/>
        <v>1.6639999999999999</v>
      </c>
      <c r="DH38" s="28">
        <v>0.64900000000000002</v>
      </c>
      <c r="DI38" s="28">
        <v>0.73399999999999999</v>
      </c>
      <c r="DJ38" s="28">
        <v>0.3</v>
      </c>
      <c r="DK38" s="28">
        <v>0.28699999999999998</v>
      </c>
      <c r="DL38" s="28">
        <f t="shared" si="128"/>
        <v>1.97</v>
      </c>
      <c r="DM38" s="28">
        <v>0.27800000000000002</v>
      </c>
      <c r="DN38" s="28">
        <v>0.41499999999999998</v>
      </c>
      <c r="DO38" s="28">
        <v>0.90200000000000002</v>
      </c>
      <c r="DP38" s="28">
        <v>1.528</v>
      </c>
      <c r="DQ38" s="28">
        <f t="shared" si="129"/>
        <v>3.1230000000000002</v>
      </c>
      <c r="DR38" s="28">
        <v>2.79</v>
      </c>
      <c r="DS38" s="28">
        <v>3.8490000000000002</v>
      </c>
      <c r="DT38" s="28">
        <v>6.9429999999999996</v>
      </c>
      <c r="DU38" s="28">
        <v>6.6769999999999996</v>
      </c>
      <c r="DV38" s="28">
        <f t="shared" si="130"/>
        <v>20.259</v>
      </c>
      <c r="DW38" s="28">
        <v>4.8239999999999998</v>
      </c>
      <c r="DX38" s="28">
        <v>3.7376969999999998</v>
      </c>
      <c r="DY38" s="28">
        <v>3.1249217000000011</v>
      </c>
      <c r="DZ38" s="28">
        <v>2.6306704799999987</v>
      </c>
      <c r="EA38" s="28">
        <f t="shared" si="131"/>
        <v>14.31728918</v>
      </c>
      <c r="EB38" s="28">
        <v>2.3719615899999997</v>
      </c>
      <c r="EC38" s="28">
        <v>2.4024126699999999</v>
      </c>
      <c r="ED38" s="28">
        <v>2.383</v>
      </c>
      <c r="EE38" s="28">
        <v>2.5817375600000005</v>
      </c>
      <c r="EF38" s="28">
        <f t="shared" si="132"/>
        <v>9.7391118200000015</v>
      </c>
      <c r="EG38" s="28">
        <v>2.44459077</v>
      </c>
      <c r="EH38" s="28">
        <v>3.0082545100000004</v>
      </c>
      <c r="EI38" s="28">
        <v>3.4482845300000005</v>
      </c>
    </row>
    <row r="39" spans="1:139" ht="15" thickTop="1" x14ac:dyDescent="0.3">
      <c r="A39" s="1" t="s">
        <v>456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0.122</v>
      </c>
      <c r="CZ39" s="27">
        <v>1.909</v>
      </c>
      <c r="DA39" s="27">
        <v>3.3340000000000001</v>
      </c>
      <c r="DB39" s="27">
        <f t="shared" si="126"/>
        <v>5.3650000000000002</v>
      </c>
      <c r="DC39" s="27">
        <v>2.266</v>
      </c>
      <c r="DD39" s="27">
        <v>1.3660000000000001</v>
      </c>
      <c r="DE39" s="27">
        <v>1.5</v>
      </c>
      <c r="DF39" s="27">
        <v>1.2929999999999999</v>
      </c>
      <c r="DG39" s="27">
        <f t="shared" si="127"/>
        <v>6.4249999999999998</v>
      </c>
      <c r="DH39" s="27">
        <v>1.095</v>
      </c>
      <c r="DI39" s="27">
        <v>0.82099999999999995</v>
      </c>
      <c r="DJ39" s="27">
        <v>0.57699999999999996</v>
      </c>
      <c r="DK39" s="27">
        <v>0.124</v>
      </c>
      <c r="DL39" s="27">
        <f t="shared" si="128"/>
        <v>2.617</v>
      </c>
      <c r="DM39" s="27">
        <v>0.26800000000000002</v>
      </c>
      <c r="DN39" s="27">
        <v>1.0089999999999999</v>
      </c>
      <c r="DO39" s="27">
        <v>1.3029999999999999</v>
      </c>
      <c r="DP39" s="27">
        <v>1.1970000000000001</v>
      </c>
      <c r="DQ39" s="27">
        <f t="shared" si="129"/>
        <v>3.7770000000000001</v>
      </c>
      <c r="DR39" s="27">
        <v>1.7849999999999999</v>
      </c>
      <c r="DS39" s="27">
        <v>2.181</v>
      </c>
      <c r="DT39" s="27">
        <v>1.7010000000000001</v>
      </c>
      <c r="DU39" s="27">
        <v>1.4019999999999999</v>
      </c>
      <c r="DV39" s="27">
        <f t="shared" si="130"/>
        <v>7.069</v>
      </c>
      <c r="DW39" s="27">
        <v>3.51</v>
      </c>
      <c r="DX39" s="27">
        <v>1.399162</v>
      </c>
      <c r="DY39" s="27">
        <v>7.923400309999999</v>
      </c>
      <c r="DZ39" s="27">
        <v>9.5906849700000034</v>
      </c>
      <c r="EA39" s="27">
        <f t="shared" si="131"/>
        <v>22.423247280000005</v>
      </c>
      <c r="EB39" s="27">
        <v>3.1867093</v>
      </c>
      <c r="EC39" s="27">
        <v>1.4595346600000001</v>
      </c>
      <c r="ED39" s="27">
        <v>3.7530000000000001</v>
      </c>
      <c r="EE39" s="27">
        <v>3.8681312300000004</v>
      </c>
      <c r="EF39" s="27">
        <f t="shared" si="132"/>
        <v>12.267375189999999</v>
      </c>
      <c r="EG39" s="27">
        <v>4.5368527800000003</v>
      </c>
      <c r="EH39" s="27">
        <v>2.6797420599999997</v>
      </c>
      <c r="EI39" s="27">
        <v>6.1330937900000011</v>
      </c>
    </row>
    <row r="40" spans="1:139" ht="15" thickBot="1" x14ac:dyDescent="0.35">
      <c r="A40" s="2" t="s">
        <v>446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f t="shared" si="126"/>
        <v>0</v>
      </c>
      <c r="DC40" s="28">
        <v>0</v>
      </c>
      <c r="DD40" s="28">
        <v>0</v>
      </c>
      <c r="DE40" s="28">
        <v>0</v>
      </c>
      <c r="DF40" s="28">
        <v>0.92700000000000005</v>
      </c>
      <c r="DG40" s="28">
        <f t="shared" si="127"/>
        <v>0.92700000000000005</v>
      </c>
      <c r="DH40" s="28">
        <v>2.629</v>
      </c>
      <c r="DI40" s="28">
        <v>1.6859999999999999</v>
      </c>
      <c r="DJ40" s="28">
        <v>0.64</v>
      </c>
      <c r="DK40" s="28">
        <v>1.619</v>
      </c>
      <c r="DL40" s="28">
        <f t="shared" si="128"/>
        <v>6.573999999999999</v>
      </c>
      <c r="DM40" s="28">
        <v>1.4350000000000001</v>
      </c>
      <c r="DN40" s="28">
        <v>2.2559999999999998</v>
      </c>
      <c r="DO40" s="28">
        <v>3.548</v>
      </c>
      <c r="DP40" s="28">
        <v>4.54</v>
      </c>
      <c r="DQ40" s="28">
        <f t="shared" si="129"/>
        <v>11.779</v>
      </c>
      <c r="DR40" s="28">
        <v>4.5739999999999998</v>
      </c>
      <c r="DS40" s="28">
        <v>3.44</v>
      </c>
      <c r="DT40" s="28">
        <v>2.883</v>
      </c>
      <c r="DU40" s="28">
        <v>4.9169999999999998</v>
      </c>
      <c r="DV40" s="28">
        <f t="shared" si="130"/>
        <v>15.813999999999998</v>
      </c>
      <c r="DW40" s="28">
        <v>2.3780000000000001</v>
      </c>
      <c r="DX40" s="28">
        <v>0.86297299999999999</v>
      </c>
      <c r="DY40" s="28">
        <v>4.2252970899999998</v>
      </c>
      <c r="DZ40" s="28">
        <v>10.410265760000001</v>
      </c>
      <c r="EA40" s="28">
        <f t="shared" si="131"/>
        <v>17.876535850000003</v>
      </c>
      <c r="EB40" s="28">
        <v>7.5009818600000004</v>
      </c>
      <c r="EC40" s="28">
        <v>5.8326933600000004</v>
      </c>
      <c r="ED40" s="28">
        <v>4.9930000000000003</v>
      </c>
      <c r="EE40" s="28">
        <v>4.2384703400000001</v>
      </c>
      <c r="EF40" s="28">
        <f t="shared" si="132"/>
        <v>22.565145559999998</v>
      </c>
      <c r="EG40" s="28">
        <v>8.0863385300000008</v>
      </c>
      <c r="EH40" s="28">
        <v>7.3604858399999991</v>
      </c>
      <c r="EI40" s="28">
        <v>7.0108873000000029</v>
      </c>
    </row>
    <row r="41" spans="1:139" ht="15" thickTop="1" x14ac:dyDescent="0.3">
      <c r="A41" s="1" t="s">
        <v>447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f t="shared" si="126"/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f t="shared" si="127"/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f t="shared" si="128"/>
        <v>0</v>
      </c>
      <c r="DM41" s="27">
        <v>0</v>
      </c>
      <c r="DN41" s="27">
        <v>0</v>
      </c>
      <c r="DO41" s="27">
        <v>5.0490000000000004</v>
      </c>
      <c r="DP41" s="27">
        <v>8.4369999999999994</v>
      </c>
      <c r="DQ41" s="27">
        <f t="shared" si="129"/>
        <v>13.486000000000001</v>
      </c>
      <c r="DR41" s="27">
        <v>9.52</v>
      </c>
      <c r="DS41" s="27">
        <v>6.867</v>
      </c>
      <c r="DT41" s="27">
        <v>21.96</v>
      </c>
      <c r="DU41" s="27">
        <v>8.4719999999999995</v>
      </c>
      <c r="DV41" s="27">
        <f t="shared" si="130"/>
        <v>46.819000000000003</v>
      </c>
      <c r="DW41" s="27">
        <v>6.5279999999999996</v>
      </c>
      <c r="DX41" s="27">
        <v>5.1417890000000002</v>
      </c>
      <c r="DY41" s="27">
        <v>8.1155830800000004</v>
      </c>
      <c r="DZ41" s="27">
        <v>8.8392410999999971</v>
      </c>
      <c r="EA41" s="27">
        <f t="shared" si="131"/>
        <v>28.624613179999997</v>
      </c>
      <c r="EB41" s="27">
        <v>10.319112240000001</v>
      </c>
      <c r="EC41" s="27">
        <v>7.3060586899999995</v>
      </c>
      <c r="ED41" s="27">
        <v>9.1869999999999994</v>
      </c>
      <c r="EE41" s="27">
        <v>11.159211069999996</v>
      </c>
      <c r="EF41" s="27">
        <f t="shared" si="132"/>
        <v>37.971381999999998</v>
      </c>
      <c r="EG41" s="27">
        <v>10.57396118</v>
      </c>
      <c r="EH41" s="27">
        <v>10.224323129999998</v>
      </c>
      <c r="EI41" s="27">
        <v>9.7903822500000004</v>
      </c>
    </row>
    <row r="42" spans="1:139" ht="15" thickBot="1" x14ac:dyDescent="0.35">
      <c r="A42" s="2" t="s">
        <v>448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0</v>
      </c>
      <c r="CN42" s="28">
        <v>0</v>
      </c>
      <c r="CO42" s="28">
        <v>0</v>
      </c>
      <c r="CP42" s="28">
        <v>0</v>
      </c>
      <c r="CQ42" s="28">
        <v>0</v>
      </c>
      <c r="CR42" s="28"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v>0</v>
      </c>
      <c r="CX42" s="28">
        <v>0</v>
      </c>
      <c r="CY42" s="28">
        <v>0</v>
      </c>
      <c r="CZ42" s="28">
        <v>0</v>
      </c>
      <c r="DA42" s="28">
        <v>0</v>
      </c>
      <c r="DB42" s="28">
        <f t="shared" si="126"/>
        <v>0</v>
      </c>
      <c r="DC42" s="28">
        <v>0</v>
      </c>
      <c r="DD42" s="28">
        <v>0</v>
      </c>
      <c r="DE42" s="28">
        <v>0</v>
      </c>
      <c r="DF42" s="28">
        <v>0</v>
      </c>
      <c r="DG42" s="28">
        <f t="shared" si="127"/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f t="shared" si="128"/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f t="shared" si="129"/>
        <v>0</v>
      </c>
      <c r="DR42" s="28">
        <v>0</v>
      </c>
      <c r="DS42" s="28">
        <v>0</v>
      </c>
      <c r="DT42" s="28">
        <v>8.8019999999999996</v>
      </c>
      <c r="DU42" s="28">
        <v>11.872999999999999</v>
      </c>
      <c r="DV42" s="28">
        <f t="shared" si="130"/>
        <v>20.674999999999997</v>
      </c>
      <c r="DW42" s="28">
        <v>10.891999999999999</v>
      </c>
      <c r="DX42" s="28">
        <v>7.1415009999999999</v>
      </c>
      <c r="DY42" s="28">
        <v>7.2525840599999984</v>
      </c>
      <c r="DZ42" s="28">
        <v>7.3727883399999996</v>
      </c>
      <c r="EA42" s="28">
        <f t="shared" si="131"/>
        <v>32.658873399999997</v>
      </c>
      <c r="EB42" s="28">
        <v>1.8063805100000001</v>
      </c>
      <c r="EC42" s="28">
        <v>9.2111212900000012</v>
      </c>
      <c r="ED42" s="28">
        <v>10.885</v>
      </c>
      <c r="EE42" s="28">
        <v>8.0691021300000028</v>
      </c>
      <c r="EF42" s="28">
        <f t="shared" si="132"/>
        <v>29.971603930000008</v>
      </c>
      <c r="EG42" s="28">
        <v>11.57359976</v>
      </c>
      <c r="EH42" s="28">
        <v>12.125905160000002</v>
      </c>
      <c r="EI42" s="28">
        <v>6.3735230399999994</v>
      </c>
    </row>
    <row r="43" spans="1:139" ht="15" thickTop="1" x14ac:dyDescent="0.3">
      <c r="A43" s="1" t="s">
        <v>449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6.4409679999999998</v>
      </c>
      <c r="DY43" s="27">
        <v>7.9262005199999992</v>
      </c>
      <c r="DZ43" s="27">
        <v>6.8995486500000007</v>
      </c>
      <c r="EA43" s="27">
        <f t="shared" si="131"/>
        <v>21.26671717</v>
      </c>
      <c r="EB43" s="27">
        <v>26.481946499999999</v>
      </c>
      <c r="EC43" s="27">
        <v>21.933496659999996</v>
      </c>
      <c r="ED43" s="27">
        <v>22.148</v>
      </c>
      <c r="EE43" s="27">
        <v>18.849058980000006</v>
      </c>
      <c r="EF43" s="27">
        <f t="shared" si="132"/>
        <v>89.412502140000001</v>
      </c>
      <c r="EG43" s="27">
        <v>19.063332389999999</v>
      </c>
      <c r="EH43" s="27">
        <v>16.227920799999996</v>
      </c>
      <c r="EI43" s="27">
        <v>28.038499410000004</v>
      </c>
    </row>
    <row r="44" spans="1:139" ht="15" thickBot="1" x14ac:dyDescent="0.35">
      <c r="A44" s="2" t="s">
        <v>460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>
        <v>1.4298491499999999</v>
      </c>
      <c r="EH44" s="28">
        <v>1.6066471499999999</v>
      </c>
      <c r="EI44" s="28">
        <v>5.8014190100000009</v>
      </c>
    </row>
    <row r="45" spans="1:139" ht="13.5" customHeight="1" thickTop="1" x14ac:dyDescent="0.3">
      <c r="A45" s="1" t="s">
        <v>304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27">
        <v>0</v>
      </c>
      <c r="BK45" s="27">
        <v>0</v>
      </c>
      <c r="BL45" s="27">
        <v>0</v>
      </c>
      <c r="BM45" s="27">
        <v>0</v>
      </c>
      <c r="BN45" s="27">
        <f t="shared" ref="BN45:BN53" si="133">SUM(BJ45:BM45)</f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f t="shared" ref="BS45:BS53" si="134">SUM(BO45:BR45)</f>
        <v>0</v>
      </c>
      <c r="BT45" s="27">
        <v>0</v>
      </c>
      <c r="BU45" s="27">
        <v>2.6642556799999997</v>
      </c>
      <c r="BV45" s="27">
        <v>0.98964296000000074</v>
      </c>
      <c r="BW45" s="27">
        <v>1.9207064299999996</v>
      </c>
      <c r="BX45" s="27">
        <f t="shared" ref="BX45:BX53" si="135">SUM(BT45:BW45)</f>
        <v>5.5746050700000005</v>
      </c>
      <c r="BY45" s="27">
        <v>3.3355326699999996</v>
      </c>
      <c r="BZ45" s="27">
        <v>2.1904991300000005</v>
      </c>
      <c r="CA45" s="27">
        <v>3.483473249999999</v>
      </c>
      <c r="CB45" s="27">
        <v>4.1226895100000007</v>
      </c>
      <c r="CC45" s="27">
        <f t="shared" ref="CC45:CC53" si="136">(SUM(BY45:CB45))*-1</f>
        <v>-13.13219456</v>
      </c>
      <c r="CD45" s="27">
        <v>4.5034667900000001</v>
      </c>
      <c r="CE45" s="27">
        <v>3.849984410000002</v>
      </c>
      <c r="CF45" s="27">
        <v>0.96490588999999893</v>
      </c>
      <c r="CG45" s="27">
        <v>1.2809278899999992</v>
      </c>
      <c r="CH45" s="27">
        <f t="shared" ref="CH45:CH53" si="137">SUM(CD45:CG45)</f>
        <v>10.59928498</v>
      </c>
      <c r="CI45" s="27">
        <v>1.29039499</v>
      </c>
      <c r="CJ45" s="27">
        <v>0.86234940999999998</v>
      </c>
      <c r="CK45" s="27">
        <v>0.5296089300000002</v>
      </c>
      <c r="CL45" s="27">
        <v>0.35518384000000003</v>
      </c>
      <c r="CM45" s="27">
        <f t="shared" ref="CM45:CM53" si="138">SUM(CI45:CL45)</f>
        <v>3.0375371700000002</v>
      </c>
      <c r="CN45" s="27">
        <v>0.48404014000000001</v>
      </c>
      <c r="CO45" s="27">
        <v>0.76208593000000002</v>
      </c>
      <c r="CP45" s="27">
        <v>0.44210302000000007</v>
      </c>
      <c r="CQ45" s="27">
        <v>0.26277090999999997</v>
      </c>
      <c r="CR45" s="27">
        <f t="shared" ref="CR45:CR53" si="139">SUM(CN45:CQ45)</f>
        <v>1.9510000000000001</v>
      </c>
      <c r="CS45" s="27">
        <v>0.42199999999999999</v>
      </c>
      <c r="CT45" s="27">
        <v>0.39599999999999996</v>
      </c>
      <c r="CU45" s="27">
        <f>(1.171-CT45-CS45)</f>
        <v>0.35300000000000015</v>
      </c>
      <c r="CV45" s="27">
        <f>(1.567-CU45-CT45-CS45)</f>
        <v>0.39599999999999985</v>
      </c>
      <c r="CW45" s="27">
        <f t="shared" ref="CW45:CW53" si="140">SUM(CS45:CV45)</f>
        <v>1.5669999999999999</v>
      </c>
      <c r="CX45" s="27">
        <v>0.23499999999999999</v>
      </c>
      <c r="CY45" s="27">
        <v>0.152</v>
      </c>
      <c r="CZ45" s="27">
        <v>0.28399999999999997</v>
      </c>
      <c r="DA45" s="27">
        <v>0.26800000000000002</v>
      </c>
      <c r="DB45" s="27">
        <f t="shared" ref="DB45:DB53" si="141">SUM(CX45:DA45)</f>
        <v>0.93900000000000006</v>
      </c>
      <c r="DC45" s="27">
        <v>0.26900000000000002</v>
      </c>
      <c r="DD45" s="27">
        <v>0.26900000000000002</v>
      </c>
      <c r="DE45" s="27">
        <v>0.24299999999999999</v>
      </c>
      <c r="DF45" s="27">
        <v>0.183</v>
      </c>
      <c r="DG45" s="27">
        <f t="shared" ref="DG45:DG53" si="142">SUM(DC45:DF45)</f>
        <v>0.96399999999999997</v>
      </c>
      <c r="DH45" s="27">
        <v>0.115</v>
      </c>
      <c r="DI45" s="27">
        <v>0.11700000000000001</v>
      </c>
      <c r="DJ45" s="27">
        <v>0.13700000000000001</v>
      </c>
      <c r="DK45" s="27">
        <v>0.13500000000000001</v>
      </c>
      <c r="DL45" s="27">
        <f t="shared" ref="DL45:DL53" si="143">SUM(DH45:DK45)</f>
        <v>0.504</v>
      </c>
      <c r="DM45" s="27">
        <v>0.13400000000000001</v>
      </c>
      <c r="DN45" s="27">
        <v>0.29299999999999998</v>
      </c>
      <c r="DO45" s="27">
        <v>0.434</v>
      </c>
      <c r="DP45" s="27">
        <v>0.76500000000000001</v>
      </c>
      <c r="DQ45" s="27">
        <f t="shared" ref="DQ45:DQ53" si="144">SUM(DM45:DP45)</f>
        <v>1.6259999999999999</v>
      </c>
      <c r="DR45" s="27">
        <v>0.875</v>
      </c>
      <c r="DS45" s="27">
        <v>1.2949999999999999</v>
      </c>
      <c r="DT45" s="27">
        <v>1.8580000000000001</v>
      </c>
      <c r="DU45" s="27">
        <v>2.5659999999999998</v>
      </c>
      <c r="DV45" s="27">
        <f t="shared" ref="DV45:DV53" si="145">SUM(DR45:DU45)</f>
        <v>6.5940000000000003</v>
      </c>
      <c r="DW45" s="27">
        <v>3.7410000000000001</v>
      </c>
      <c r="DX45" s="27">
        <v>4.6085019999999997</v>
      </c>
      <c r="DY45" s="27">
        <f>((-47707.3900000005-1131459.66)/1000000)*-1</f>
        <v>1.1791670500000004</v>
      </c>
      <c r="DZ45" s="27">
        <v>18.798845750000005</v>
      </c>
      <c r="EA45" s="27">
        <f t="shared" ref="EA45:EA53" si="146">SUM(DW45:DZ45)</f>
        <v>28.327514800000003</v>
      </c>
      <c r="EB45" s="27">
        <f>((-4103714.79+-895369.95)/1000000)*-1</f>
        <v>4.9990847399999998</v>
      </c>
      <c r="EC45" s="27">
        <v>7.4157219999999988</v>
      </c>
      <c r="ED45" s="27">
        <v>9.173</v>
      </c>
      <c r="EE45" s="27">
        <v>16.906856210000001</v>
      </c>
      <c r="EF45" s="27">
        <f t="shared" ref="EF45:EF53" si="147">SUM(EB45:EE45)</f>
        <v>38.494662949999999</v>
      </c>
      <c r="EG45" s="27">
        <v>8.4763813399999997</v>
      </c>
      <c r="EH45" s="27">
        <v>8.01211728</v>
      </c>
      <c r="EI45" s="27">
        <v>11.94709847</v>
      </c>
    </row>
    <row r="46" spans="1:139" ht="15" thickBot="1" x14ac:dyDescent="0.35">
      <c r="A46" s="2" t="s">
        <v>305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28">
        <v>0</v>
      </c>
      <c r="BK46" s="28">
        <v>0</v>
      </c>
      <c r="BL46" s="28">
        <v>0</v>
      </c>
      <c r="BM46" s="28">
        <v>0</v>
      </c>
      <c r="BN46" s="28">
        <f t="shared" si="133"/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f t="shared" si="134"/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f t="shared" si="135"/>
        <v>0</v>
      </c>
      <c r="BY46" s="28">
        <v>0</v>
      </c>
      <c r="BZ46" s="28">
        <v>0</v>
      </c>
      <c r="CA46" s="28">
        <v>0</v>
      </c>
      <c r="CB46" s="28">
        <v>0</v>
      </c>
      <c r="CC46" s="28">
        <f t="shared" si="136"/>
        <v>0</v>
      </c>
      <c r="CD46" s="28">
        <v>0</v>
      </c>
      <c r="CE46" s="28">
        <v>0</v>
      </c>
      <c r="CF46" s="28">
        <v>0</v>
      </c>
      <c r="CG46" s="28">
        <v>0</v>
      </c>
      <c r="CH46" s="28">
        <f t="shared" si="137"/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f t="shared" si="138"/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f t="shared" si="139"/>
        <v>0</v>
      </c>
      <c r="CS46" s="28">
        <v>0</v>
      </c>
      <c r="CT46" s="28">
        <v>0</v>
      </c>
      <c r="CU46" s="28">
        <v>0</v>
      </c>
      <c r="CV46" s="28">
        <v>0</v>
      </c>
      <c r="CW46" s="28">
        <f t="shared" si="140"/>
        <v>0</v>
      </c>
      <c r="CX46" s="28">
        <v>0</v>
      </c>
      <c r="CY46" s="28">
        <v>0</v>
      </c>
      <c r="CZ46" s="28">
        <v>0</v>
      </c>
      <c r="DA46" s="28">
        <v>0</v>
      </c>
      <c r="DB46" s="28">
        <f t="shared" si="141"/>
        <v>0</v>
      </c>
      <c r="DC46" s="28">
        <v>6.3E-2</v>
      </c>
      <c r="DD46" s="28">
        <v>9.1999999999999998E-2</v>
      </c>
      <c r="DE46" s="28">
        <v>0.106</v>
      </c>
      <c r="DF46" s="28">
        <v>8.7999999999999995E-2</v>
      </c>
      <c r="DG46" s="28">
        <f t="shared" si="142"/>
        <v>0.34899999999999998</v>
      </c>
      <c r="DH46" s="28">
        <v>6.8000000000000005E-2</v>
      </c>
      <c r="DI46" s="28">
        <v>8.8999999999999996E-2</v>
      </c>
      <c r="DJ46" s="28">
        <v>8.4000000000000005E-2</v>
      </c>
      <c r="DK46" s="28">
        <v>8.2000000000000003E-2</v>
      </c>
      <c r="DL46" s="28">
        <f t="shared" si="143"/>
        <v>0.32300000000000001</v>
      </c>
      <c r="DM46" s="28">
        <v>7.9000000000000001E-2</v>
      </c>
      <c r="DN46" s="28">
        <v>0.16200000000000001</v>
      </c>
      <c r="DO46" s="28">
        <v>0.27800000000000002</v>
      </c>
      <c r="DP46" s="28">
        <v>0.36</v>
      </c>
      <c r="DQ46" s="28">
        <f t="shared" si="144"/>
        <v>0.879</v>
      </c>
      <c r="DR46" s="28">
        <v>0.29899999999999999</v>
      </c>
      <c r="DS46" s="28">
        <v>0.28499999999999998</v>
      </c>
      <c r="DT46" s="28">
        <v>0.435</v>
      </c>
      <c r="DU46" s="28">
        <v>0.30199999999999999</v>
      </c>
      <c r="DV46" s="28">
        <f t="shared" si="145"/>
        <v>1.321</v>
      </c>
      <c r="DW46" s="28">
        <v>0.33300000000000002</v>
      </c>
      <c r="DX46" s="28">
        <v>0.55182699999999996</v>
      </c>
      <c r="DY46" s="28">
        <v>0.86399031000000004</v>
      </c>
      <c r="DZ46" s="28">
        <v>0.93824455999999978</v>
      </c>
      <c r="EA46" s="28">
        <f t="shared" si="146"/>
        <v>2.68706187</v>
      </c>
      <c r="EB46" s="28">
        <v>0.56732574000000002</v>
      </c>
      <c r="EC46" s="28">
        <v>0.70401711000000011</v>
      </c>
      <c r="ED46" s="28">
        <v>0.86099999999999999</v>
      </c>
      <c r="EE46" s="28">
        <v>0.90390139999999985</v>
      </c>
      <c r="EF46" s="28">
        <f t="shared" si="147"/>
        <v>3.0362442500000002</v>
      </c>
      <c r="EG46" s="28">
        <v>1.0292790699999999</v>
      </c>
      <c r="EH46" s="28">
        <v>1.3477312800000003</v>
      </c>
      <c r="EI46" s="28">
        <v>1.600007</v>
      </c>
    </row>
    <row r="47" spans="1:139" ht="15" thickTop="1" x14ac:dyDescent="0.3">
      <c r="A47" s="1" t="s">
        <v>306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27">
        <v>5.0426972400000007</v>
      </c>
      <c r="BK47" s="27">
        <v>2.414105039999999</v>
      </c>
      <c r="BL47" s="27">
        <v>2.1284433000000007</v>
      </c>
      <c r="BM47" s="27">
        <v>1.3379548799999998</v>
      </c>
      <c r="BN47" s="27">
        <f t="shared" si="133"/>
        <v>10.92320046</v>
      </c>
      <c r="BO47" s="27">
        <v>4.9546784100000005</v>
      </c>
      <c r="BP47" s="27">
        <v>5.0569161300000003</v>
      </c>
      <c r="BQ47" s="27">
        <v>5.680512369999998</v>
      </c>
      <c r="BR47" s="27">
        <v>5.1926370199999985</v>
      </c>
      <c r="BS47" s="27">
        <f t="shared" si="134"/>
        <v>20.884743929999999</v>
      </c>
      <c r="BT47" s="27">
        <v>6.6148504300000006</v>
      </c>
      <c r="BU47" s="27">
        <v>1.7119446699999994</v>
      </c>
      <c r="BV47" s="27">
        <v>0.69629780999999902</v>
      </c>
      <c r="BW47" s="27">
        <v>6.4298688500000019</v>
      </c>
      <c r="BX47" s="27">
        <f t="shared" si="135"/>
        <v>15.452961760000001</v>
      </c>
      <c r="BY47" s="27">
        <v>0.13809978000000001</v>
      </c>
      <c r="BZ47" s="27">
        <v>3.1914244300000001</v>
      </c>
      <c r="CA47" s="27">
        <v>7.9790307199999999</v>
      </c>
      <c r="CB47" s="27">
        <v>7.9889670899999983</v>
      </c>
      <c r="CC47" s="27">
        <f t="shared" si="136"/>
        <v>-19.297522019999999</v>
      </c>
      <c r="CD47" s="27">
        <v>8.4462159999999997</v>
      </c>
      <c r="CE47" s="27">
        <v>7.8049568899999997</v>
      </c>
      <c r="CF47" s="27">
        <v>9.3424725000000031</v>
      </c>
      <c r="CG47" s="27">
        <v>8.2478331700000034</v>
      </c>
      <c r="CH47" s="27">
        <f t="shared" si="137"/>
        <v>33.841478560000006</v>
      </c>
      <c r="CI47" s="27">
        <v>9.6903614600000001</v>
      </c>
      <c r="CJ47" s="27">
        <v>7.6445630999999974</v>
      </c>
      <c r="CK47" s="27">
        <v>3.8088688800000048</v>
      </c>
      <c r="CL47" s="27">
        <v>3.2063922999999948</v>
      </c>
      <c r="CM47" s="27">
        <f t="shared" si="138"/>
        <v>24.350185739999997</v>
      </c>
      <c r="CN47" s="27">
        <v>5.9791881600000005</v>
      </c>
      <c r="CO47" s="27">
        <v>5.0875870000000001</v>
      </c>
      <c r="CP47" s="27">
        <v>5.3213255100000003</v>
      </c>
      <c r="CQ47" s="27">
        <v>1.4678993300000016</v>
      </c>
      <c r="CR47" s="27">
        <f t="shared" si="139"/>
        <v>17.856000000000002</v>
      </c>
      <c r="CS47" s="27">
        <v>1.1930000000000001</v>
      </c>
      <c r="CT47" s="27">
        <f>(7.243-CS47)</f>
        <v>6.0500000000000007</v>
      </c>
      <c r="CU47" s="27">
        <f>(11.044-CT47-CS47)</f>
        <v>3.8009999999999997</v>
      </c>
      <c r="CV47" s="27">
        <f>(14.972-CU47-CT47-CS47)</f>
        <v>3.9279999999999986</v>
      </c>
      <c r="CW47" s="27">
        <f t="shared" si="140"/>
        <v>14.972</v>
      </c>
      <c r="CX47" s="27">
        <v>16.135999999999999</v>
      </c>
      <c r="CY47" s="27">
        <v>10.67</v>
      </c>
      <c r="CZ47" s="27">
        <v>15.7</v>
      </c>
      <c r="DA47" s="27">
        <v>12.273</v>
      </c>
      <c r="DB47" s="27">
        <f t="shared" si="141"/>
        <v>54.778999999999996</v>
      </c>
      <c r="DC47" s="27">
        <v>13.04</v>
      </c>
      <c r="DD47" s="27">
        <v>13.739000000000001</v>
      </c>
      <c r="DE47" s="27">
        <v>24.581</v>
      </c>
      <c r="DF47" s="27">
        <v>14</v>
      </c>
      <c r="DG47" s="27">
        <f t="shared" si="142"/>
        <v>65.36</v>
      </c>
      <c r="DH47" s="27">
        <v>6.8209999999999997</v>
      </c>
      <c r="DI47" s="27">
        <v>3.5870000000000002</v>
      </c>
      <c r="DJ47" s="27">
        <v>7.468</v>
      </c>
      <c r="DK47" s="27">
        <v>4.0960000000000001</v>
      </c>
      <c r="DL47" s="27">
        <f t="shared" si="143"/>
        <v>21.971999999999998</v>
      </c>
      <c r="DM47" s="27">
        <v>2.5150000000000001</v>
      </c>
      <c r="DN47" s="27">
        <v>3.5270000000000001</v>
      </c>
      <c r="DO47" s="27">
        <v>6.14</v>
      </c>
      <c r="DP47" s="27">
        <v>22.321000000000002</v>
      </c>
      <c r="DQ47" s="27">
        <f t="shared" si="144"/>
        <v>34.503</v>
      </c>
      <c r="DR47" s="27">
        <v>24.635999999999999</v>
      </c>
      <c r="DS47" s="27">
        <v>11.840999999999999</v>
      </c>
      <c r="DT47" s="27">
        <v>13.106</v>
      </c>
      <c r="DU47" s="27">
        <v>11.826000000000001</v>
      </c>
      <c r="DV47" s="27">
        <f t="shared" si="145"/>
        <v>61.408999999999999</v>
      </c>
      <c r="DW47" s="27">
        <v>2.7850000000000001</v>
      </c>
      <c r="DX47" s="27">
        <v>29.113166</v>
      </c>
      <c r="DY47" s="27">
        <v>23.719700109999998</v>
      </c>
      <c r="DZ47" s="27">
        <v>38.503590580000001</v>
      </c>
      <c r="EA47" s="27">
        <f t="shared" si="146"/>
        <v>94.121456690000002</v>
      </c>
      <c r="EB47" s="27">
        <v>44.449127049999994</v>
      </c>
      <c r="EC47" s="27">
        <v>16.353225620000003</v>
      </c>
      <c r="ED47" s="27">
        <v>55.737000000000002</v>
      </c>
      <c r="EE47" s="27">
        <v>46.154547349999994</v>
      </c>
      <c r="EF47" s="27">
        <f t="shared" si="147"/>
        <v>162.69390002</v>
      </c>
      <c r="EG47" s="27">
        <v>30.189452260000003</v>
      </c>
      <c r="EH47" s="27">
        <v>52.805362069999994</v>
      </c>
      <c r="EI47" s="27">
        <v>33.503921950000006</v>
      </c>
    </row>
    <row r="48" spans="1:139" ht="15" thickBot="1" x14ac:dyDescent="0.35">
      <c r="A48" s="2" t="s">
        <v>323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28">
        <v>0</v>
      </c>
      <c r="BK48" s="28">
        <v>0</v>
      </c>
      <c r="BL48" s="28">
        <v>0</v>
      </c>
      <c r="BM48" s="28">
        <v>0</v>
      </c>
      <c r="BN48" s="28">
        <f t="shared" si="133"/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f t="shared" si="134"/>
        <v>0</v>
      </c>
      <c r="BT48" s="28">
        <v>0</v>
      </c>
      <c r="BU48" s="28">
        <v>0</v>
      </c>
      <c r="BV48" s="28">
        <v>0</v>
      </c>
      <c r="BW48" s="28">
        <v>0</v>
      </c>
      <c r="BX48" s="28">
        <f t="shared" si="135"/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f t="shared" si="136"/>
        <v>0</v>
      </c>
      <c r="CD48" s="28">
        <v>0</v>
      </c>
      <c r="CE48" s="28">
        <v>0</v>
      </c>
      <c r="CF48" s="28">
        <v>0</v>
      </c>
      <c r="CG48" s="28">
        <v>0</v>
      </c>
      <c r="CH48" s="28">
        <f t="shared" si="137"/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f t="shared" si="138"/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f t="shared" si="139"/>
        <v>0</v>
      </c>
      <c r="CS48" s="28">
        <v>0</v>
      </c>
      <c r="CT48" s="28">
        <v>0</v>
      </c>
      <c r="CU48" s="28">
        <v>0</v>
      </c>
      <c r="CV48" s="28">
        <v>0</v>
      </c>
      <c r="CW48" s="28">
        <f t="shared" si="140"/>
        <v>0</v>
      </c>
      <c r="CX48" s="28">
        <v>0</v>
      </c>
      <c r="CY48" s="28">
        <v>0</v>
      </c>
      <c r="CZ48" s="28">
        <v>0</v>
      </c>
      <c r="DA48" s="28">
        <v>0</v>
      </c>
      <c r="DB48" s="28">
        <f t="shared" si="141"/>
        <v>0</v>
      </c>
      <c r="DC48" s="28">
        <v>0</v>
      </c>
      <c r="DD48" s="28">
        <v>2E-3</v>
      </c>
      <c r="DE48" s="28">
        <v>7.0000000000000001E-3</v>
      </c>
      <c r="DF48" s="28">
        <v>5.0000000000000001E-3</v>
      </c>
      <c r="DG48" s="28">
        <f t="shared" si="142"/>
        <v>1.4000000000000002E-2</v>
      </c>
      <c r="DH48" s="28">
        <v>0</v>
      </c>
      <c r="DI48" s="28">
        <v>0</v>
      </c>
      <c r="DJ48" s="28">
        <v>0</v>
      </c>
      <c r="DK48" s="28">
        <v>0</v>
      </c>
      <c r="DL48" s="28">
        <f t="shared" si="143"/>
        <v>0</v>
      </c>
      <c r="DM48" s="28">
        <v>0</v>
      </c>
      <c r="DN48" s="28">
        <v>2E-3</v>
      </c>
      <c r="DO48" s="28">
        <v>2E-3</v>
      </c>
      <c r="DP48" s="28">
        <v>4.0000000000000001E-3</v>
      </c>
      <c r="DQ48" s="28">
        <f t="shared" si="144"/>
        <v>8.0000000000000002E-3</v>
      </c>
      <c r="DR48" s="28">
        <v>5.0000000000000001E-3</v>
      </c>
      <c r="DS48" s="28">
        <v>6.0000000000000001E-3</v>
      </c>
      <c r="DT48" s="28">
        <v>7.0000000000000001E-3</v>
      </c>
      <c r="DU48" s="28">
        <v>7.0000000000000001E-3</v>
      </c>
      <c r="DV48" s="28">
        <f t="shared" si="145"/>
        <v>2.4999999999999998E-2</v>
      </c>
      <c r="DW48" s="28">
        <v>7.0000000000000001E-3</v>
      </c>
      <c r="DX48" s="28">
        <v>7.1159999999999999E-3</v>
      </c>
      <c r="DY48" s="28">
        <v>7.8689700000000012E-3</v>
      </c>
      <c r="DZ48" s="28">
        <v>7.3735699999999994E-3</v>
      </c>
      <c r="EA48" s="28">
        <f t="shared" si="146"/>
        <v>2.9358539999999999E-2</v>
      </c>
      <c r="EB48" s="28">
        <v>6.24393E-3</v>
      </c>
      <c r="EC48" s="28">
        <v>6.567110000000001E-3</v>
      </c>
      <c r="ED48" s="28">
        <v>5.0000000000000001E-3</v>
      </c>
      <c r="EE48" s="28">
        <v>-6.2834500000000003E-3</v>
      </c>
      <c r="EF48" s="28">
        <f t="shared" si="147"/>
        <v>1.1527590000000001E-2</v>
      </c>
      <c r="EG48" s="28">
        <v>6.9975899999999997E-3</v>
      </c>
      <c r="EH48" s="28">
        <v>8.5158899999999999E-3</v>
      </c>
      <c r="EI48" s="28">
        <v>9.34836E-3</v>
      </c>
    </row>
    <row r="49" spans="1:139" ht="15" thickTop="1" x14ac:dyDescent="0.3">
      <c r="A49" s="1" t="s">
        <v>322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27">
        <v>0</v>
      </c>
      <c r="BK49" s="27">
        <v>0</v>
      </c>
      <c r="BL49" s="27">
        <v>0</v>
      </c>
      <c r="BM49" s="27">
        <v>0</v>
      </c>
      <c r="BN49" s="27">
        <f t="shared" si="133"/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f t="shared" si="134"/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f t="shared" si="135"/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f t="shared" si="136"/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f t="shared" si="137"/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f t="shared" si="138"/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f t="shared" si="139"/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f t="shared" si="140"/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f t="shared" si="141"/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f t="shared" si="142"/>
        <v>0</v>
      </c>
      <c r="DH49" s="27">
        <v>0</v>
      </c>
      <c r="DI49" s="27">
        <v>0</v>
      </c>
      <c r="DJ49" s="27">
        <v>0</v>
      </c>
      <c r="DK49" s="27">
        <v>0</v>
      </c>
      <c r="DL49" s="27">
        <f t="shared" si="143"/>
        <v>0</v>
      </c>
      <c r="DM49" s="27">
        <v>0</v>
      </c>
      <c r="DN49" s="27">
        <v>0</v>
      </c>
      <c r="DO49" s="27">
        <v>5.1999999999999998E-2</v>
      </c>
      <c r="DP49" s="27">
        <v>0.53800000000000003</v>
      </c>
      <c r="DQ49" s="27">
        <f t="shared" si="144"/>
        <v>0.59000000000000008</v>
      </c>
      <c r="DR49" s="27">
        <v>0.29699999999999999</v>
      </c>
      <c r="DS49" s="27">
        <v>0.33200000000000002</v>
      </c>
      <c r="DT49" s="27">
        <v>0.36799999999999999</v>
      </c>
      <c r="DU49" s="27">
        <v>0.27900000000000003</v>
      </c>
      <c r="DV49" s="27">
        <f t="shared" si="145"/>
        <v>1.276</v>
      </c>
      <c r="DW49" s="27">
        <v>0.27600000000000002</v>
      </c>
      <c r="DX49" s="27">
        <v>0.100995</v>
      </c>
      <c r="DY49" s="27">
        <v>7.6343489999999986E-2</v>
      </c>
      <c r="DZ49" s="27">
        <v>0.14791697000000004</v>
      </c>
      <c r="EA49" s="27">
        <f t="shared" si="146"/>
        <v>0.60125546000000007</v>
      </c>
      <c r="EB49" s="27">
        <v>0.20437660999999999</v>
      </c>
      <c r="EC49" s="27">
        <v>0.41429908999999998</v>
      </c>
      <c r="ED49" s="27">
        <v>0.379</v>
      </c>
      <c r="EE49" s="27">
        <v>0.48099191000000002</v>
      </c>
      <c r="EF49" s="27">
        <f t="shared" si="147"/>
        <v>1.47866761</v>
      </c>
      <c r="EG49" s="27">
        <v>0.79751442000000006</v>
      </c>
      <c r="EH49" s="27">
        <v>0.78160328999999995</v>
      </c>
      <c r="EI49" s="27">
        <v>0.74998072000000016</v>
      </c>
    </row>
    <row r="50" spans="1:139" ht="15" thickBot="1" x14ac:dyDescent="0.35">
      <c r="A50" s="2" t="s">
        <v>370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28">
        <v>1.2456209999999999E-2</v>
      </c>
      <c r="BK50" s="28">
        <v>1.2876791699999999</v>
      </c>
      <c r="BL50" s="28">
        <v>1.4765150399999998</v>
      </c>
      <c r="BM50" s="28">
        <v>2.3729917300000007</v>
      </c>
      <c r="BN50" s="28">
        <f t="shared" si="133"/>
        <v>5.14964215</v>
      </c>
      <c r="BO50" s="28">
        <v>4.0660229000000001</v>
      </c>
      <c r="BP50" s="28">
        <v>4.0734937500000008</v>
      </c>
      <c r="BQ50" s="28">
        <v>3.5790375599999997</v>
      </c>
      <c r="BR50" s="28">
        <v>2.7528837200000016</v>
      </c>
      <c r="BS50" s="28">
        <f t="shared" si="134"/>
        <v>14.471437930000002</v>
      </c>
      <c r="BT50" s="28">
        <v>0</v>
      </c>
      <c r="BU50" s="28">
        <v>0</v>
      </c>
      <c r="BV50" s="28">
        <v>0</v>
      </c>
      <c r="BW50" s="28">
        <v>0</v>
      </c>
      <c r="BX50" s="28">
        <f t="shared" si="135"/>
        <v>0</v>
      </c>
      <c r="BY50" s="28">
        <v>0</v>
      </c>
      <c r="BZ50" s="28">
        <v>0</v>
      </c>
      <c r="CA50" s="28">
        <v>0</v>
      </c>
      <c r="CB50" s="28">
        <v>0</v>
      </c>
      <c r="CC50" s="28">
        <f t="shared" si="136"/>
        <v>0</v>
      </c>
      <c r="CD50" s="28">
        <v>0</v>
      </c>
      <c r="CE50" s="28">
        <v>0</v>
      </c>
      <c r="CF50" s="28">
        <v>0</v>
      </c>
      <c r="CG50" s="28">
        <v>0</v>
      </c>
      <c r="CH50" s="28">
        <f t="shared" si="137"/>
        <v>0</v>
      </c>
      <c r="CI50" s="28">
        <v>0</v>
      </c>
      <c r="CJ50" s="28">
        <v>0</v>
      </c>
      <c r="CK50" s="28">
        <v>0</v>
      </c>
      <c r="CL50" s="28">
        <v>0</v>
      </c>
      <c r="CM50" s="28">
        <f t="shared" si="138"/>
        <v>0</v>
      </c>
      <c r="CN50" s="28">
        <v>0</v>
      </c>
      <c r="CO50" s="28">
        <v>0</v>
      </c>
      <c r="CP50" s="28">
        <v>0</v>
      </c>
      <c r="CQ50" s="28">
        <v>0</v>
      </c>
      <c r="CR50" s="28">
        <f t="shared" si="139"/>
        <v>0</v>
      </c>
      <c r="CS50" s="28">
        <v>0</v>
      </c>
      <c r="CT50" s="28">
        <v>0</v>
      </c>
      <c r="CU50" s="28">
        <v>0</v>
      </c>
      <c r="CV50" s="28">
        <v>0</v>
      </c>
      <c r="CW50" s="28">
        <f t="shared" si="140"/>
        <v>0</v>
      </c>
      <c r="CX50" s="28">
        <v>0</v>
      </c>
      <c r="CY50" s="28">
        <v>0</v>
      </c>
      <c r="CZ50" s="28">
        <v>0</v>
      </c>
      <c r="DA50" s="28">
        <v>0</v>
      </c>
      <c r="DB50" s="28">
        <f t="shared" si="141"/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f t="shared" si="142"/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f t="shared" si="143"/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f t="shared" si="144"/>
        <v>0</v>
      </c>
      <c r="DR50" s="28">
        <v>0</v>
      </c>
      <c r="DS50" s="28">
        <v>0</v>
      </c>
      <c r="DT50" s="28">
        <v>0</v>
      </c>
      <c r="DU50" s="28">
        <v>0</v>
      </c>
      <c r="DV50" s="28">
        <f t="shared" si="145"/>
        <v>0</v>
      </c>
      <c r="DW50" s="28">
        <v>0</v>
      </c>
      <c r="DX50" s="28">
        <v>0</v>
      </c>
      <c r="DY50" s="28">
        <v>0</v>
      </c>
      <c r="DZ50" s="28">
        <v>0</v>
      </c>
      <c r="EA50" s="28">
        <f t="shared" si="146"/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f t="shared" si="147"/>
        <v>0</v>
      </c>
      <c r="EG50" s="28">
        <v>0</v>
      </c>
      <c r="EH50" s="28">
        <v>0</v>
      </c>
      <c r="EI50" s="28">
        <v>0</v>
      </c>
    </row>
    <row r="51" spans="1:139" ht="15" thickTop="1" x14ac:dyDescent="0.3">
      <c r="A51" s="1" t="s">
        <v>338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27">
        <v>0.16527509000000001</v>
      </c>
      <c r="BK51" s="27">
        <v>0.14163312</v>
      </c>
      <c r="BL51" s="27">
        <v>0.15580335000000001</v>
      </c>
      <c r="BM51" s="27">
        <v>0.20662627</v>
      </c>
      <c r="BN51" s="27">
        <f t="shared" si="133"/>
        <v>0.66933783000000002</v>
      </c>
      <c r="BO51" s="27">
        <v>0.27129135999999998</v>
      </c>
      <c r="BP51" s="27">
        <v>0.30991305000000002</v>
      </c>
      <c r="BQ51" s="27">
        <v>0.41816291999999999</v>
      </c>
      <c r="BR51" s="27">
        <v>0.41472811000000009</v>
      </c>
      <c r="BS51" s="27">
        <f t="shared" si="134"/>
        <v>1.4140954400000001</v>
      </c>
      <c r="BT51" s="27">
        <v>0</v>
      </c>
      <c r="BU51" s="27">
        <v>0</v>
      </c>
      <c r="BV51" s="27">
        <v>0</v>
      </c>
      <c r="BW51" s="27">
        <v>0</v>
      </c>
      <c r="BX51" s="27">
        <f t="shared" si="135"/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f t="shared" si="136"/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f t="shared" si="137"/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f t="shared" si="138"/>
        <v>0</v>
      </c>
      <c r="CN51" s="27">
        <v>0</v>
      </c>
      <c r="CO51" s="27">
        <v>0</v>
      </c>
      <c r="CP51" s="27">
        <v>0</v>
      </c>
      <c r="CQ51" s="27">
        <v>1.2999999999999999E-2</v>
      </c>
      <c r="CR51" s="27">
        <f t="shared" si="139"/>
        <v>1.2999999999999999E-2</v>
      </c>
      <c r="CS51" s="27">
        <v>3.0000000000000001E-3</v>
      </c>
      <c r="CT51" s="27">
        <v>6.0000000000000001E-3</v>
      </c>
      <c r="CU51" s="27">
        <v>5.3948900000000003E-3</v>
      </c>
      <c r="CV51" s="27">
        <v>4.2106699999999997E-3</v>
      </c>
      <c r="CW51" s="27">
        <f t="shared" si="140"/>
        <v>1.860556E-2</v>
      </c>
      <c r="CX51" s="27">
        <v>5.0000000000000001E-3</v>
      </c>
      <c r="CY51" s="27">
        <v>14.071</v>
      </c>
      <c r="CZ51" s="27">
        <v>14.272</v>
      </c>
      <c r="DA51" s="27">
        <v>13.775</v>
      </c>
      <c r="DB51" s="27">
        <f t="shared" si="141"/>
        <v>42.122999999999998</v>
      </c>
      <c r="DC51" s="27">
        <v>13.504</v>
      </c>
      <c r="DD51" s="27">
        <v>13.537000000000001</v>
      </c>
      <c r="DE51" s="27">
        <v>13.46</v>
      </c>
      <c r="DF51" s="27">
        <v>1.0980000000000001</v>
      </c>
      <c r="DG51" s="27">
        <f t="shared" si="142"/>
        <v>41.599000000000004</v>
      </c>
      <c r="DH51" s="27">
        <v>1.8000000000000002E-2</v>
      </c>
      <c r="DI51" s="27">
        <v>1.3999999999999999E-2</v>
      </c>
      <c r="DJ51" s="27">
        <v>3.0000000000000001E-3</v>
      </c>
      <c r="DK51" s="27">
        <v>2E-3</v>
      </c>
      <c r="DL51" s="27">
        <f t="shared" si="143"/>
        <v>3.7000000000000005E-2</v>
      </c>
      <c r="DM51" s="27">
        <v>3.0000000000000001E-3</v>
      </c>
      <c r="DN51" s="27">
        <v>3.0000000000000001E-3</v>
      </c>
      <c r="DO51" s="27">
        <v>4.0000000000000001E-3</v>
      </c>
      <c r="DP51" s="27">
        <v>1.4999999999999999E-2</v>
      </c>
      <c r="DQ51" s="27">
        <f t="shared" si="144"/>
        <v>2.5000000000000001E-2</v>
      </c>
      <c r="DR51" s="27">
        <v>2.0999999999999998E-2</v>
      </c>
      <c r="DS51" s="27">
        <v>2.1000000000000001E-2</v>
      </c>
      <c r="DT51" s="27">
        <v>2.8000000000000001E-2</v>
      </c>
      <c r="DU51" s="27">
        <v>2.8000000000000001E-2</v>
      </c>
      <c r="DV51" s="27">
        <f t="shared" si="145"/>
        <v>9.799999999999999E-2</v>
      </c>
      <c r="DW51" s="27">
        <v>2.7E-2</v>
      </c>
      <c r="DX51" s="27">
        <v>2.1648000000000001E-2</v>
      </c>
      <c r="DY51" s="27">
        <v>2.1989849999999998E-2</v>
      </c>
      <c r="DZ51" s="27">
        <v>2.9818330000000001E-2</v>
      </c>
      <c r="EA51" s="27">
        <f t="shared" si="146"/>
        <v>0.10045618000000001</v>
      </c>
      <c r="EB51" s="27">
        <f>((-9833.85+-76903.23+-131057.95)/1000000)*-1</f>
        <v>0.21779503</v>
      </c>
      <c r="EC51" s="27">
        <v>0.18846056000000003</v>
      </c>
      <c r="ED51" s="27">
        <v>0.192</v>
      </c>
      <c r="EE51" s="27">
        <v>0.24786406000000005</v>
      </c>
      <c r="EF51" s="27">
        <f t="shared" si="147"/>
        <v>0.84611965</v>
      </c>
      <c r="EG51" s="27">
        <v>0.31556561999999999</v>
      </c>
      <c r="EH51" s="27">
        <v>0.36395048999999996</v>
      </c>
      <c r="EI51" s="27">
        <v>0.44262449000000004</v>
      </c>
    </row>
    <row r="52" spans="1:139" ht="15" thickBot="1" x14ac:dyDescent="0.35">
      <c r="A52" s="2" t="s">
        <v>331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28">
        <v>0.24845598000000002</v>
      </c>
      <c r="BK52" s="28">
        <v>16.797109759999998</v>
      </c>
      <c r="BL52" s="28">
        <v>22.305572209999998</v>
      </c>
      <c r="BM52" s="28">
        <v>17.863723910000008</v>
      </c>
      <c r="BN52" s="28">
        <f t="shared" si="133"/>
        <v>57.214861859999999</v>
      </c>
      <c r="BO52" s="28">
        <v>9.5828110199999994</v>
      </c>
      <c r="BP52" s="28">
        <v>8.1081084600000022</v>
      </c>
      <c r="BQ52" s="28">
        <v>6.7999596299999983</v>
      </c>
      <c r="BR52" s="28">
        <v>4.1721688300000004</v>
      </c>
      <c r="BS52" s="28">
        <f t="shared" si="134"/>
        <v>28.663047940000002</v>
      </c>
      <c r="BT52" s="28">
        <v>2.4733304199999999</v>
      </c>
      <c r="BU52" s="28">
        <v>4.9375633800000003</v>
      </c>
      <c r="BV52" s="28">
        <v>2.0156617199999989</v>
      </c>
      <c r="BW52" s="28">
        <v>4.5696060799999998</v>
      </c>
      <c r="BX52" s="28">
        <f t="shared" si="135"/>
        <v>13.996161599999999</v>
      </c>
      <c r="BY52" s="28">
        <v>7.4630803100000005</v>
      </c>
      <c r="BZ52" s="28">
        <v>6.8648626199999985</v>
      </c>
      <c r="CA52" s="28">
        <v>2.7458066500000022</v>
      </c>
      <c r="CB52" s="28">
        <f>(-4.40605348-0.1)*-1</f>
        <v>4.5060534799999994</v>
      </c>
      <c r="CC52" s="28">
        <f t="shared" si="136"/>
        <v>-21.57980306</v>
      </c>
      <c r="CD52" s="28">
        <v>4.2999619500000001</v>
      </c>
      <c r="CE52" s="28">
        <v>5.312048540000001</v>
      </c>
      <c r="CF52" s="28">
        <v>1.188912349999999</v>
      </c>
      <c r="CG52" s="28">
        <v>1.6060653799999987</v>
      </c>
      <c r="CH52" s="28">
        <f t="shared" si="137"/>
        <v>12.406988219999999</v>
      </c>
      <c r="CI52" s="28">
        <v>0.66365093999999991</v>
      </c>
      <c r="CJ52" s="28">
        <v>6.0175900499999999</v>
      </c>
      <c r="CK52" s="28">
        <v>0.99678112000000074</v>
      </c>
      <c r="CL52" s="28">
        <v>2.1807150099999983</v>
      </c>
      <c r="CM52" s="28">
        <f t="shared" si="138"/>
        <v>9.8587371199999989</v>
      </c>
      <c r="CN52" s="28">
        <v>1.4365291100000002</v>
      </c>
      <c r="CO52" s="28">
        <v>2.9420372099999996</v>
      </c>
      <c r="CP52" s="28">
        <v>0.5905029700000004</v>
      </c>
      <c r="CQ52" s="28">
        <v>0.86493070999999944</v>
      </c>
      <c r="CR52" s="28">
        <f t="shared" si="139"/>
        <v>5.8339999999999996</v>
      </c>
      <c r="CS52" s="28">
        <v>0.376</v>
      </c>
      <c r="CT52" s="28">
        <v>1.3090000000000002</v>
      </c>
      <c r="CU52" s="28">
        <f>(3.93-CT52-CS52)</f>
        <v>2.2450000000000001</v>
      </c>
      <c r="CV52" s="28">
        <f>(6.077-CU52-CT52-CS52)</f>
        <v>2.1469999999999998</v>
      </c>
      <c r="CW52" s="28">
        <f t="shared" si="140"/>
        <v>6.077</v>
      </c>
      <c r="CX52" s="28">
        <v>1.423</v>
      </c>
      <c r="CY52" s="28">
        <v>2.62</v>
      </c>
      <c r="CZ52" s="28">
        <v>1.2190000000000001</v>
      </c>
      <c r="DA52" s="28">
        <v>0.77100000000000002</v>
      </c>
      <c r="DB52" s="28">
        <f t="shared" si="141"/>
        <v>6.0330000000000004</v>
      </c>
      <c r="DC52" s="28">
        <v>2.2549999999999999</v>
      </c>
      <c r="DD52" s="28">
        <v>0.156</v>
      </c>
      <c r="DE52" s="28">
        <v>0.17799999999999999</v>
      </c>
      <c r="DF52" s="28">
        <v>0.65600000000000003</v>
      </c>
      <c r="DG52" s="28">
        <f t="shared" si="142"/>
        <v>3.2450000000000001</v>
      </c>
      <c r="DH52" s="28">
        <v>0.32100000000000001</v>
      </c>
      <c r="DI52" s="28">
        <v>1.5329999999999999</v>
      </c>
      <c r="DJ52" s="28">
        <v>5.8999999999999997E-2</v>
      </c>
      <c r="DK52" s="28">
        <v>4.3999999999999997E-2</v>
      </c>
      <c r="DL52" s="28">
        <f t="shared" si="143"/>
        <v>1.9569999999999999</v>
      </c>
      <c r="DM52" s="28">
        <v>2.7E-2</v>
      </c>
      <c r="DN52" s="28">
        <v>0.78</v>
      </c>
      <c r="DO52" s="28">
        <v>18.824000000000002</v>
      </c>
      <c r="DP52" s="28">
        <v>3.1440000000000001</v>
      </c>
      <c r="DQ52" s="28">
        <f t="shared" si="144"/>
        <v>22.774999999999999</v>
      </c>
      <c r="DR52" s="28">
        <v>3.9359999999999999</v>
      </c>
      <c r="DS52" s="28">
        <v>0.38500000000000001</v>
      </c>
      <c r="DT52" s="28">
        <v>0.55000000000000004</v>
      </c>
      <c r="DU52" s="28">
        <v>0.19500000000000001</v>
      </c>
      <c r="DV52" s="28">
        <f t="shared" si="145"/>
        <v>5.0659999999999998</v>
      </c>
      <c r="DW52" s="28">
        <v>0.26800000000000002</v>
      </c>
      <c r="DX52" s="28">
        <v>0.25666899999999998</v>
      </c>
      <c r="DY52" s="28">
        <v>1.3718950499999998</v>
      </c>
      <c r="DZ52" s="28">
        <v>0.95450454999999979</v>
      </c>
      <c r="EA52" s="28">
        <f t="shared" si="146"/>
        <v>2.8510685999999996</v>
      </c>
      <c r="EB52" s="28">
        <v>2.0147873000000001</v>
      </c>
      <c r="EC52" s="28">
        <v>0.57035944999999999</v>
      </c>
      <c r="ED52" s="28">
        <v>0.44700000000000001</v>
      </c>
      <c r="EE52" s="28">
        <v>0.32667399000000025</v>
      </c>
      <c r="EF52" s="28">
        <f t="shared" si="147"/>
        <v>3.3588207400000001</v>
      </c>
      <c r="EG52" s="28">
        <v>0.37024286000000001</v>
      </c>
      <c r="EH52" s="28">
        <v>0.33815532000000009</v>
      </c>
      <c r="EI52" s="28">
        <v>0.30226057999999995</v>
      </c>
    </row>
    <row r="53" spans="1:139" ht="15" thickTop="1" x14ac:dyDescent="0.3">
      <c r="A53" s="1" t="s">
        <v>308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27">
        <v>0</v>
      </c>
      <c r="BK53" s="27">
        <v>-0.25753584000000002</v>
      </c>
      <c r="BL53" s="27">
        <v>-0.29530300000000004</v>
      </c>
      <c r="BM53" s="27">
        <v>-0.47459835</v>
      </c>
      <c r="BN53" s="27">
        <f t="shared" si="133"/>
        <v>-1.0274371900000001</v>
      </c>
      <c r="BO53" s="27">
        <v>-0.81320457999999995</v>
      </c>
      <c r="BP53" s="27">
        <v>-0.81469875000000014</v>
      </c>
      <c r="BQ53" s="27">
        <v>-0.7158075199999997</v>
      </c>
      <c r="BR53" s="27">
        <v>-0.55057673999999979</v>
      </c>
      <c r="BS53" s="27">
        <f t="shared" si="134"/>
        <v>-2.8942875899999998</v>
      </c>
      <c r="BT53" s="27">
        <v>0</v>
      </c>
      <c r="BU53" s="27">
        <v>-0.3</v>
      </c>
      <c r="BV53" s="27">
        <v>0</v>
      </c>
      <c r="BW53" s="27">
        <v>0.3</v>
      </c>
      <c r="BX53" s="27">
        <f t="shared" si="135"/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f t="shared" si="136"/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f t="shared" si="137"/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f t="shared" si="138"/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f t="shared" si="139"/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f t="shared" si="140"/>
        <v>0</v>
      </c>
      <c r="CX53" s="27">
        <v>0</v>
      </c>
      <c r="CY53" s="27">
        <v>0</v>
      </c>
      <c r="CZ53" s="27">
        <v>0</v>
      </c>
      <c r="DA53" s="27">
        <v>0</v>
      </c>
      <c r="DB53" s="27">
        <f t="shared" si="141"/>
        <v>0</v>
      </c>
      <c r="DC53" s="27">
        <v>0</v>
      </c>
      <c r="DD53" s="27">
        <v>0</v>
      </c>
      <c r="DE53" s="27">
        <v>0</v>
      </c>
      <c r="DF53" s="27">
        <v>0</v>
      </c>
      <c r="DG53" s="27">
        <f t="shared" si="142"/>
        <v>0</v>
      </c>
      <c r="DH53" s="27">
        <v>0</v>
      </c>
      <c r="DI53" s="27">
        <v>0</v>
      </c>
      <c r="DJ53" s="27">
        <v>0</v>
      </c>
      <c r="DK53" s="27">
        <v>0</v>
      </c>
      <c r="DL53" s="27">
        <f t="shared" si="143"/>
        <v>0</v>
      </c>
      <c r="DM53" s="27">
        <v>0</v>
      </c>
      <c r="DN53" s="27">
        <v>0</v>
      </c>
      <c r="DO53" s="27">
        <v>0</v>
      </c>
      <c r="DP53" s="27">
        <v>0</v>
      </c>
      <c r="DQ53" s="27">
        <f t="shared" si="144"/>
        <v>0</v>
      </c>
      <c r="DR53" s="27">
        <v>0</v>
      </c>
      <c r="DS53" s="27">
        <v>0</v>
      </c>
      <c r="DT53" s="27">
        <v>0</v>
      </c>
      <c r="DU53" s="27">
        <v>0</v>
      </c>
      <c r="DV53" s="27">
        <f t="shared" si="145"/>
        <v>0</v>
      </c>
      <c r="DW53" s="27">
        <v>0</v>
      </c>
      <c r="DX53" s="27">
        <v>0</v>
      </c>
      <c r="DY53" s="27">
        <v>-16.166449329999999</v>
      </c>
      <c r="DZ53" s="27">
        <v>-14.73311425</v>
      </c>
      <c r="EA53" s="27">
        <f t="shared" si="146"/>
        <v>-30.899563579999999</v>
      </c>
      <c r="EB53" s="27">
        <v>-14.033743189999999</v>
      </c>
      <c r="EC53" s="27">
        <v>-13.903189939999999</v>
      </c>
      <c r="ED53" s="27">
        <v>-14.848000000000001</v>
      </c>
      <c r="EE53" s="27">
        <v>-8.8083400599999955</v>
      </c>
      <c r="EF53" s="27">
        <f t="shared" si="147"/>
        <v>-51.593273189999991</v>
      </c>
      <c r="EG53" s="27">
        <v>-0.78289737000000004</v>
      </c>
      <c r="EH53" s="27">
        <v>-40.559852660000004</v>
      </c>
      <c r="EI53" s="27">
        <v>-47.562736150000006</v>
      </c>
    </row>
    <row r="54" spans="1:139" x14ac:dyDescent="0.3">
      <c r="A54" s="5" t="s">
        <v>311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29">
        <f t="shared" ref="BJ54:CO54" si="148">SUM(BJ31:BJ53)</f>
        <v>8.2957812299999993</v>
      </c>
      <c r="BK54" s="29">
        <f t="shared" si="148"/>
        <v>23.009752849999998</v>
      </c>
      <c r="BL54" s="29">
        <f t="shared" si="148"/>
        <v>30.284743209999998</v>
      </c>
      <c r="BM54" s="29">
        <f t="shared" si="148"/>
        <v>24.71655409000001</v>
      </c>
      <c r="BN54" s="29">
        <f t="shared" si="148"/>
        <v>86.306831380000006</v>
      </c>
      <c r="BO54" s="29">
        <f t="shared" si="148"/>
        <v>33.563707640000004</v>
      </c>
      <c r="BP54" s="29">
        <f t="shared" si="148"/>
        <v>21.249345730000002</v>
      </c>
      <c r="BQ54" s="29">
        <f t="shared" si="148"/>
        <v>21.90760375</v>
      </c>
      <c r="BR54" s="29">
        <f t="shared" si="148"/>
        <v>18.865167450000001</v>
      </c>
      <c r="BS54" s="29">
        <f t="shared" si="148"/>
        <v>95.58582457</v>
      </c>
      <c r="BT54" s="29">
        <f t="shared" si="148"/>
        <v>15.746373940000002</v>
      </c>
      <c r="BU54" s="29">
        <f t="shared" si="148"/>
        <v>13.479052339999999</v>
      </c>
      <c r="BV54" s="29">
        <f t="shared" si="148"/>
        <v>8.7846174299999991</v>
      </c>
      <c r="BW54" s="29">
        <f t="shared" si="148"/>
        <v>16.938410100000002</v>
      </c>
      <c r="BX54" s="29">
        <f t="shared" si="148"/>
        <v>54.948453809999997</v>
      </c>
      <c r="BY54" s="29">
        <f t="shared" si="148"/>
        <v>15.09022414</v>
      </c>
      <c r="BZ54" s="29">
        <f t="shared" si="148"/>
        <v>22.451784079999996</v>
      </c>
      <c r="CA54" s="29">
        <f t="shared" si="148"/>
        <v>28.103993800000001</v>
      </c>
      <c r="CB54" s="29">
        <f t="shared" si="148"/>
        <v>29.964988729999995</v>
      </c>
      <c r="CC54" s="29">
        <f t="shared" si="148"/>
        <v>-95.610990749999999</v>
      </c>
      <c r="CD54" s="29">
        <f t="shared" si="148"/>
        <v>28.808002549999998</v>
      </c>
      <c r="CE54" s="29">
        <f t="shared" si="148"/>
        <v>28.944663429999999</v>
      </c>
      <c r="CF54" s="29">
        <f t="shared" si="148"/>
        <v>21.794216330000001</v>
      </c>
      <c r="CG54" s="29">
        <f t="shared" si="148"/>
        <v>19.728812149999996</v>
      </c>
      <c r="CH54" s="29">
        <f t="shared" si="148"/>
        <v>99.275694460000011</v>
      </c>
      <c r="CI54" s="29">
        <f t="shared" si="148"/>
        <v>19.610194849999999</v>
      </c>
      <c r="CJ54" s="29">
        <f t="shared" si="148"/>
        <v>25.16034376</v>
      </c>
      <c r="CK54" s="29">
        <f t="shared" si="148"/>
        <v>19.63421695000001</v>
      </c>
      <c r="CL54" s="29">
        <f t="shared" si="148"/>
        <v>22.093610709999986</v>
      </c>
      <c r="CM54" s="29">
        <f t="shared" si="148"/>
        <v>86.498366269999991</v>
      </c>
      <c r="CN54" s="29">
        <f t="shared" si="148"/>
        <v>26.858123540000001</v>
      </c>
      <c r="CO54" s="29">
        <f t="shared" si="148"/>
        <v>27.907277139999998</v>
      </c>
      <c r="CP54" s="29">
        <f t="shared" ref="CP54:DU54" si="149">SUM(CP31:CP53)</f>
        <v>26.685403139999995</v>
      </c>
      <c r="CQ54" s="29">
        <f t="shared" si="149"/>
        <v>20.424196180000003</v>
      </c>
      <c r="CR54" s="29">
        <f t="shared" si="149"/>
        <v>101.875</v>
      </c>
      <c r="CS54" s="29">
        <f t="shared" si="149"/>
        <v>22.411267190000007</v>
      </c>
      <c r="CT54" s="29">
        <f t="shared" si="149"/>
        <v>16.413732809999999</v>
      </c>
      <c r="CU54" s="29">
        <f t="shared" si="149"/>
        <v>14.729394890000002</v>
      </c>
      <c r="CV54" s="29">
        <f t="shared" si="149"/>
        <v>12.661210670000001</v>
      </c>
      <c r="CW54" s="29">
        <f t="shared" si="149"/>
        <v>66.21560556</v>
      </c>
      <c r="CX54" s="29">
        <f t="shared" si="149"/>
        <v>25.753999999999998</v>
      </c>
      <c r="CY54" s="29">
        <f t="shared" si="149"/>
        <v>35.087999999999994</v>
      </c>
      <c r="CZ54" s="29">
        <f t="shared" si="149"/>
        <v>40.788000000000004</v>
      </c>
      <c r="DA54" s="29">
        <f t="shared" si="149"/>
        <v>38.762</v>
      </c>
      <c r="DB54" s="29">
        <f t="shared" si="149"/>
        <v>140.39199999999997</v>
      </c>
      <c r="DC54" s="29">
        <f t="shared" si="149"/>
        <v>40.950000000000003</v>
      </c>
      <c r="DD54" s="29">
        <f t="shared" si="149"/>
        <v>36.193000000000005</v>
      </c>
      <c r="DE54" s="29">
        <f t="shared" si="149"/>
        <v>46.863999999999997</v>
      </c>
      <c r="DF54" s="29">
        <f t="shared" si="149"/>
        <v>24.294999999999998</v>
      </c>
      <c r="DG54" s="29">
        <f t="shared" si="149"/>
        <v>148.30199999999999</v>
      </c>
      <c r="DH54" s="29">
        <f t="shared" si="149"/>
        <v>19.266999999999999</v>
      </c>
      <c r="DI54" s="29">
        <f t="shared" si="149"/>
        <v>12.835999999999999</v>
      </c>
      <c r="DJ54" s="29">
        <f t="shared" si="149"/>
        <v>11.122</v>
      </c>
      <c r="DK54" s="29">
        <f t="shared" si="149"/>
        <v>8.5180000000000007</v>
      </c>
      <c r="DL54" s="29">
        <f t="shared" si="149"/>
        <v>51.742999999999995</v>
      </c>
      <c r="DM54" s="29">
        <f t="shared" si="149"/>
        <v>7.4790000000000001</v>
      </c>
      <c r="DN54" s="29">
        <f t="shared" si="149"/>
        <v>13.649000000000001</v>
      </c>
      <c r="DO54" s="29">
        <f t="shared" si="149"/>
        <v>43.451000000000008</v>
      </c>
      <c r="DP54" s="29">
        <f t="shared" si="149"/>
        <v>51.018000000000001</v>
      </c>
      <c r="DQ54" s="29">
        <f t="shared" si="149"/>
        <v>115.59700000000001</v>
      </c>
      <c r="DR54" s="29">
        <f t="shared" si="149"/>
        <v>59.613999999999997</v>
      </c>
      <c r="DS54" s="29">
        <f t="shared" si="149"/>
        <v>45.5</v>
      </c>
      <c r="DT54" s="29">
        <f t="shared" si="149"/>
        <v>73.241</v>
      </c>
      <c r="DU54" s="29">
        <f t="shared" si="149"/>
        <v>60.316000000000003</v>
      </c>
      <c r="DV54" s="29">
        <f t="shared" ref="DV54:EA54" si="150">SUM(DV31:DV53)</f>
        <v>238.67100000000002</v>
      </c>
      <c r="DW54" s="29">
        <f t="shared" si="150"/>
        <v>48.037999999999997</v>
      </c>
      <c r="DX54" s="29">
        <f t="shared" si="150"/>
        <v>88.157436999999987</v>
      </c>
      <c r="DY54" s="29">
        <f t="shared" si="150"/>
        <v>83.509380350000015</v>
      </c>
      <c r="DZ54" s="29">
        <f t="shared" si="150"/>
        <v>118.30468450000004</v>
      </c>
      <c r="EA54" s="29">
        <f t="shared" si="150"/>
        <v>338.00950184999999</v>
      </c>
      <c r="EB54" s="29">
        <f>SUM(EB31:EB53)</f>
        <v>129.48256383999998</v>
      </c>
      <c r="EC54" s="29">
        <f>SUM(EC31:EC53)</f>
        <v>96.551273949999995</v>
      </c>
      <c r="ED54" s="29">
        <f>SUM(ED31:ED53)</f>
        <v>134.02699999999999</v>
      </c>
      <c r="EE54" s="29">
        <f>SUM(EE31:EE53)</f>
        <v>131.12440914999999</v>
      </c>
      <c r="EF54" s="29">
        <f t="shared" ref="EF54" si="151">SUM(EF31:EF53)</f>
        <v>491.18524694000007</v>
      </c>
      <c r="EG54" s="29">
        <f>SUM(EG31:EG53)</f>
        <v>136.63334792000001</v>
      </c>
      <c r="EH54" s="29">
        <f>SUM(EH31:EH53)</f>
        <v>128.71349332</v>
      </c>
      <c r="EI54" s="29">
        <f>SUM(EI31:EI53)</f>
        <v>134.52633619999997</v>
      </c>
    </row>
    <row r="55" spans="1:139" x14ac:dyDescent="0.3">
      <c r="A55" s="20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42"/>
      <c r="CS55" s="42"/>
      <c r="CT55" s="42"/>
      <c r="CU55" s="42" t="s">
        <v>378</v>
      </c>
      <c r="CV55" s="42"/>
      <c r="CW55" s="42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</row>
    <row r="57" spans="1:139" x14ac:dyDescent="0.3">
      <c r="A57" s="3" t="s">
        <v>376</v>
      </c>
      <c r="B57" s="6" t="s">
        <v>4</v>
      </c>
      <c r="C57" s="6" t="s">
        <v>5</v>
      </c>
      <c r="D57" s="6" t="s">
        <v>6</v>
      </c>
      <c r="E57" s="6" t="s">
        <v>7</v>
      </c>
      <c r="F57" s="6">
        <v>2018</v>
      </c>
      <c r="G57" s="6" t="s">
        <v>8</v>
      </c>
      <c r="H57" s="6" t="s">
        <v>9</v>
      </c>
      <c r="I57" s="6" t="s">
        <v>10</v>
      </c>
      <c r="J57" s="6" t="s">
        <v>11</v>
      </c>
      <c r="K57" s="6">
        <v>2019</v>
      </c>
      <c r="L57" s="6" t="s">
        <v>12</v>
      </c>
      <c r="M57" s="6" t="s">
        <v>13</v>
      </c>
      <c r="N57" s="6" t="s">
        <v>14</v>
      </c>
      <c r="O57" s="6" t="s">
        <v>15</v>
      </c>
      <c r="P57" s="6">
        <v>2000</v>
      </c>
      <c r="Q57" s="6" t="s">
        <v>16</v>
      </c>
      <c r="R57" s="6" t="s">
        <v>17</v>
      </c>
      <c r="S57" s="6" t="s">
        <v>18</v>
      </c>
      <c r="T57" s="6" t="s">
        <v>19</v>
      </c>
      <c r="U57" s="6">
        <v>2001</v>
      </c>
      <c r="V57" s="6" t="s">
        <v>20</v>
      </c>
      <c r="W57" s="6" t="s">
        <v>21</v>
      </c>
      <c r="X57" s="6" t="s">
        <v>22</v>
      </c>
      <c r="Y57" s="6" t="s">
        <v>23</v>
      </c>
      <c r="Z57" s="6">
        <v>2002</v>
      </c>
      <c r="AA57" s="6" t="s">
        <v>24</v>
      </c>
      <c r="AB57" s="6" t="s">
        <v>25</v>
      </c>
      <c r="AC57" s="6" t="s">
        <v>26</v>
      </c>
      <c r="AD57" s="6" t="s">
        <v>27</v>
      </c>
      <c r="AE57" s="6">
        <v>2003</v>
      </c>
      <c r="AF57" s="6" t="s">
        <v>28</v>
      </c>
      <c r="AG57" s="6" t="s">
        <v>29</v>
      </c>
      <c r="AH57" s="6" t="s">
        <v>30</v>
      </c>
      <c r="AI57" s="6" t="s">
        <v>31</v>
      </c>
      <c r="AJ57" s="6">
        <v>2004</v>
      </c>
      <c r="AK57" s="6" t="s">
        <v>32</v>
      </c>
      <c r="AL57" s="6" t="s">
        <v>33</v>
      </c>
      <c r="AM57" s="6" t="s">
        <v>34</v>
      </c>
      <c r="AN57" s="6" t="s">
        <v>35</v>
      </c>
      <c r="AO57" s="6">
        <v>2005</v>
      </c>
      <c r="AP57" s="6" t="s">
        <v>36</v>
      </c>
      <c r="AQ57" s="6" t="s">
        <v>37</v>
      </c>
      <c r="AR57" s="6" t="s">
        <v>38</v>
      </c>
      <c r="AS57" s="6" t="s">
        <v>39</v>
      </c>
      <c r="AT57" s="6">
        <v>2006</v>
      </c>
      <c r="AU57" s="6" t="s">
        <v>40</v>
      </c>
      <c r="AV57" s="6" t="s">
        <v>41</v>
      </c>
      <c r="AW57" s="6" t="s">
        <v>42</v>
      </c>
      <c r="AX57" s="6" t="s">
        <v>43</v>
      </c>
      <c r="AY57" s="6">
        <v>2007</v>
      </c>
      <c r="AZ57" s="6" t="s">
        <v>44</v>
      </c>
      <c r="BA57" s="6" t="s">
        <v>45</v>
      </c>
      <c r="BB57" s="6" t="s">
        <v>46</v>
      </c>
      <c r="BC57" s="6" t="s">
        <v>47</v>
      </c>
      <c r="BD57" s="6">
        <v>2008</v>
      </c>
      <c r="BE57" s="6" t="s">
        <v>48</v>
      </c>
      <c r="BF57" s="6" t="s">
        <v>49</v>
      </c>
      <c r="BG57" s="6" t="s">
        <v>50</v>
      </c>
      <c r="BH57" s="6" t="s">
        <v>51</v>
      </c>
      <c r="BI57" s="6">
        <v>2009</v>
      </c>
      <c r="BJ57" s="6" t="s">
        <v>52</v>
      </c>
      <c r="BK57" s="6" t="s">
        <v>53</v>
      </c>
      <c r="BL57" s="6" t="s">
        <v>54</v>
      </c>
      <c r="BM57" s="6" t="s">
        <v>55</v>
      </c>
      <c r="BN57" s="6">
        <v>2010</v>
      </c>
      <c r="BO57" s="6" t="s">
        <v>56</v>
      </c>
      <c r="BP57" s="6" t="s">
        <v>57</v>
      </c>
      <c r="BQ57" s="6" t="s">
        <v>58</v>
      </c>
      <c r="BR57" s="6" t="s">
        <v>59</v>
      </c>
      <c r="BS57" s="6">
        <v>2011</v>
      </c>
      <c r="BT57" s="6" t="s">
        <v>60</v>
      </c>
      <c r="BU57" s="6" t="s">
        <v>61</v>
      </c>
      <c r="BV57" s="6" t="s">
        <v>62</v>
      </c>
      <c r="BW57" s="6" t="s">
        <v>63</v>
      </c>
      <c r="BX57" s="6">
        <v>2012</v>
      </c>
      <c r="BY57" s="6" t="s">
        <v>64</v>
      </c>
      <c r="BZ57" s="6" t="s">
        <v>65</v>
      </c>
      <c r="CA57" s="6" t="s">
        <v>66</v>
      </c>
      <c r="CB57" s="6" t="s">
        <v>67</v>
      </c>
      <c r="CC57" s="6">
        <v>2013</v>
      </c>
      <c r="CD57" s="6" t="s">
        <v>68</v>
      </c>
      <c r="CE57" s="6" t="s">
        <v>69</v>
      </c>
      <c r="CF57" s="6" t="s">
        <v>70</v>
      </c>
      <c r="CG57" s="6" t="s">
        <v>71</v>
      </c>
      <c r="CH57" s="6">
        <v>2014</v>
      </c>
      <c r="CI57" s="6" t="s">
        <v>72</v>
      </c>
      <c r="CJ57" s="6" t="s">
        <v>73</v>
      </c>
      <c r="CK57" s="6" t="s">
        <v>74</v>
      </c>
      <c r="CL57" s="6" t="s">
        <v>75</v>
      </c>
      <c r="CM57" s="6">
        <v>2015</v>
      </c>
      <c r="CN57" s="6" t="s">
        <v>76</v>
      </c>
      <c r="CO57" s="6" t="s">
        <v>77</v>
      </c>
      <c r="CP57" s="6" t="s">
        <v>78</v>
      </c>
      <c r="CQ57" s="6" t="s">
        <v>79</v>
      </c>
      <c r="CR57" s="6">
        <v>2016</v>
      </c>
      <c r="CS57" s="6" t="s">
        <v>80</v>
      </c>
      <c r="CT57" s="6" t="s">
        <v>81</v>
      </c>
      <c r="CU57" s="6" t="s">
        <v>82</v>
      </c>
      <c r="CV57" s="6" t="s">
        <v>83</v>
      </c>
      <c r="CW57" s="6">
        <v>2017</v>
      </c>
      <c r="CX57" s="6" t="s">
        <v>84</v>
      </c>
      <c r="CY57" s="6" t="s">
        <v>85</v>
      </c>
      <c r="CZ57" s="6" t="s">
        <v>86</v>
      </c>
      <c r="DA57" s="6" t="s">
        <v>87</v>
      </c>
      <c r="DB57" s="6">
        <v>2018</v>
      </c>
      <c r="DC57" s="6" t="s">
        <v>88</v>
      </c>
      <c r="DD57" s="6" t="s">
        <v>89</v>
      </c>
      <c r="DE57" s="6" t="s">
        <v>90</v>
      </c>
      <c r="DF57" s="6" t="s">
        <v>91</v>
      </c>
      <c r="DG57" s="6">
        <v>2019</v>
      </c>
      <c r="DH57" s="6" t="s">
        <v>92</v>
      </c>
      <c r="DI57" s="6" t="s">
        <v>93</v>
      </c>
      <c r="DJ57" s="6" t="s">
        <v>94</v>
      </c>
      <c r="DK57" s="6" t="s">
        <v>95</v>
      </c>
      <c r="DL57" s="6">
        <v>2020</v>
      </c>
      <c r="DM57" s="6" t="s">
        <v>96</v>
      </c>
      <c r="DN57" s="6" t="s">
        <v>97</v>
      </c>
      <c r="DO57" s="6" t="s">
        <v>98</v>
      </c>
      <c r="DP57" s="6" t="s">
        <v>99</v>
      </c>
      <c r="DQ57" s="6">
        <v>2021</v>
      </c>
      <c r="DR57" s="6" t="s">
        <v>100</v>
      </c>
      <c r="DS57" s="6" t="s">
        <v>101</v>
      </c>
      <c r="DT57" s="6" t="s">
        <v>200</v>
      </c>
      <c r="DU57" s="6" t="s">
        <v>380</v>
      </c>
      <c r="DV57" s="6">
        <v>2022</v>
      </c>
      <c r="DW57" s="6" t="s">
        <v>379</v>
      </c>
      <c r="DX57" s="6" t="s">
        <v>402</v>
      </c>
      <c r="DY57" s="6" t="s">
        <v>414</v>
      </c>
      <c r="DZ57" s="6" t="s">
        <v>419</v>
      </c>
      <c r="EA57" s="6">
        <v>2023</v>
      </c>
      <c r="EB57" s="6" t="s">
        <v>424</v>
      </c>
      <c r="EC57" s="6" t="s">
        <v>429</v>
      </c>
      <c r="ED57" s="6" t="str">
        <f>$ED$1</f>
        <v>3T24</v>
      </c>
      <c r="EE57" s="6" t="str">
        <f>$EE$1</f>
        <v>4T24</v>
      </c>
      <c r="EF57" s="6">
        <f>$EF$1</f>
        <v>2024</v>
      </c>
      <c r="EG57" s="6" t="str">
        <f>EG$1</f>
        <v>1T25</v>
      </c>
      <c r="EH57" s="64" t="str">
        <f>EH$1</f>
        <v>2T25</v>
      </c>
      <c r="EI57" s="64" t="str">
        <f>EI$1</f>
        <v>3T25</v>
      </c>
    </row>
    <row r="58" spans="1:139" ht="15" thickBot="1" x14ac:dyDescent="0.35">
      <c r="A58" s="4" t="s">
        <v>377</v>
      </c>
      <c r="B58" s="7" t="s">
        <v>102</v>
      </c>
      <c r="C58" s="7" t="s">
        <v>103</v>
      </c>
      <c r="D58" s="7" t="s">
        <v>104</v>
      </c>
      <c r="E58" s="7" t="s">
        <v>105</v>
      </c>
      <c r="F58" s="7">
        <v>2018</v>
      </c>
      <c r="G58" s="7" t="s">
        <v>106</v>
      </c>
      <c r="H58" s="7" t="s">
        <v>107</v>
      </c>
      <c r="I58" s="7" t="s">
        <v>108</v>
      </c>
      <c r="J58" s="7" t="s">
        <v>109</v>
      </c>
      <c r="K58" s="7">
        <v>2019</v>
      </c>
      <c r="L58" s="7" t="s">
        <v>110</v>
      </c>
      <c r="M58" s="7" t="s">
        <v>111</v>
      </c>
      <c r="N58" s="7" t="s">
        <v>112</v>
      </c>
      <c r="O58" s="7" t="s">
        <v>113</v>
      </c>
      <c r="P58" s="7">
        <v>2000</v>
      </c>
      <c r="Q58" s="7" t="s">
        <v>114</v>
      </c>
      <c r="R58" s="7" t="s">
        <v>115</v>
      </c>
      <c r="S58" s="7" t="s">
        <v>116</v>
      </c>
      <c r="T58" s="7" t="s">
        <v>117</v>
      </c>
      <c r="U58" s="7">
        <v>2001</v>
      </c>
      <c r="V58" s="7" t="s">
        <v>118</v>
      </c>
      <c r="W58" s="7" t="s">
        <v>119</v>
      </c>
      <c r="X58" s="7" t="s">
        <v>120</v>
      </c>
      <c r="Y58" s="7" t="s">
        <v>121</v>
      </c>
      <c r="Z58" s="7">
        <v>2002</v>
      </c>
      <c r="AA58" s="7" t="s">
        <v>122</v>
      </c>
      <c r="AB58" s="7" t="s">
        <v>123</v>
      </c>
      <c r="AC58" s="7" t="s">
        <v>124</v>
      </c>
      <c r="AD58" s="7" t="s">
        <v>125</v>
      </c>
      <c r="AE58" s="7">
        <v>2003</v>
      </c>
      <c r="AF58" s="7" t="s">
        <v>126</v>
      </c>
      <c r="AG58" s="7" t="s">
        <v>127</v>
      </c>
      <c r="AH58" s="7" t="s">
        <v>128</v>
      </c>
      <c r="AI58" s="7" t="s">
        <v>129</v>
      </c>
      <c r="AJ58" s="7">
        <v>2004</v>
      </c>
      <c r="AK58" s="7" t="s">
        <v>130</v>
      </c>
      <c r="AL58" s="7" t="s">
        <v>131</v>
      </c>
      <c r="AM58" s="7" t="s">
        <v>132</v>
      </c>
      <c r="AN58" s="7" t="s">
        <v>133</v>
      </c>
      <c r="AO58" s="7">
        <v>2005</v>
      </c>
      <c r="AP58" s="7" t="s">
        <v>134</v>
      </c>
      <c r="AQ58" s="7" t="s">
        <v>135</v>
      </c>
      <c r="AR58" s="7" t="s">
        <v>136</v>
      </c>
      <c r="AS58" s="7" t="s">
        <v>137</v>
      </c>
      <c r="AT58" s="7">
        <v>2006</v>
      </c>
      <c r="AU58" s="7" t="s">
        <v>138</v>
      </c>
      <c r="AV58" s="7" t="s">
        <v>139</v>
      </c>
      <c r="AW58" s="7" t="s">
        <v>140</v>
      </c>
      <c r="AX58" s="7" t="s">
        <v>141</v>
      </c>
      <c r="AY58" s="7">
        <v>2007</v>
      </c>
      <c r="AZ58" s="7" t="s">
        <v>142</v>
      </c>
      <c r="BA58" s="7" t="s">
        <v>143</v>
      </c>
      <c r="BB58" s="7" t="s">
        <v>144</v>
      </c>
      <c r="BC58" s="7" t="s">
        <v>145</v>
      </c>
      <c r="BD58" s="7">
        <v>2008</v>
      </c>
      <c r="BE58" s="7" t="s">
        <v>146</v>
      </c>
      <c r="BF58" s="7" t="s">
        <v>147</v>
      </c>
      <c r="BG58" s="7" t="s">
        <v>148</v>
      </c>
      <c r="BH58" s="7" t="s">
        <v>149</v>
      </c>
      <c r="BI58" s="7">
        <v>2009</v>
      </c>
      <c r="BJ58" s="7" t="s">
        <v>150</v>
      </c>
      <c r="BK58" s="7" t="s">
        <v>151</v>
      </c>
      <c r="BL58" s="7" t="s">
        <v>152</v>
      </c>
      <c r="BM58" s="7" t="s">
        <v>153</v>
      </c>
      <c r="BN58" s="7">
        <v>2010</v>
      </c>
      <c r="BO58" s="7" t="s">
        <v>154</v>
      </c>
      <c r="BP58" s="7" t="s">
        <v>155</v>
      </c>
      <c r="BQ58" s="7" t="s">
        <v>156</v>
      </c>
      <c r="BR58" s="7" t="s">
        <v>157</v>
      </c>
      <c r="BS58" s="7">
        <v>2011</v>
      </c>
      <c r="BT58" s="7" t="s">
        <v>158</v>
      </c>
      <c r="BU58" s="7" t="s">
        <v>159</v>
      </c>
      <c r="BV58" s="7" t="s">
        <v>160</v>
      </c>
      <c r="BW58" s="7" t="s">
        <v>161</v>
      </c>
      <c r="BX58" s="7">
        <v>2012</v>
      </c>
      <c r="BY58" s="7" t="s">
        <v>162</v>
      </c>
      <c r="BZ58" s="7" t="s">
        <v>163</v>
      </c>
      <c r="CA58" s="7" t="s">
        <v>164</v>
      </c>
      <c r="CB58" s="7" t="s">
        <v>165</v>
      </c>
      <c r="CC58" s="7">
        <v>2013</v>
      </c>
      <c r="CD58" s="7" t="s">
        <v>166</v>
      </c>
      <c r="CE58" s="7" t="s">
        <v>167</v>
      </c>
      <c r="CF58" s="7" t="s">
        <v>168</v>
      </c>
      <c r="CG58" s="7" t="s">
        <v>169</v>
      </c>
      <c r="CH58" s="7">
        <v>2014</v>
      </c>
      <c r="CI58" s="7" t="s">
        <v>170</v>
      </c>
      <c r="CJ58" s="7" t="s">
        <v>171</v>
      </c>
      <c r="CK58" s="7" t="s">
        <v>172</v>
      </c>
      <c r="CL58" s="7" t="s">
        <v>173</v>
      </c>
      <c r="CM58" s="7">
        <v>2015</v>
      </c>
      <c r="CN58" s="7" t="s">
        <v>174</v>
      </c>
      <c r="CO58" s="7" t="s">
        <v>175</v>
      </c>
      <c r="CP58" s="7" t="s">
        <v>176</v>
      </c>
      <c r="CQ58" s="7" t="s">
        <v>177</v>
      </c>
      <c r="CR58" s="7">
        <v>2016</v>
      </c>
      <c r="CS58" s="7" t="s">
        <v>178</v>
      </c>
      <c r="CT58" s="7" t="s">
        <v>179</v>
      </c>
      <c r="CU58" s="7" t="s">
        <v>180</v>
      </c>
      <c r="CV58" s="7" t="s">
        <v>181</v>
      </c>
      <c r="CW58" s="7">
        <v>2017</v>
      </c>
      <c r="CX58" s="7" t="s">
        <v>182</v>
      </c>
      <c r="CY58" s="7" t="s">
        <v>183</v>
      </c>
      <c r="CZ58" s="7" t="s">
        <v>184</v>
      </c>
      <c r="DA58" s="7" t="s">
        <v>185</v>
      </c>
      <c r="DB58" s="7">
        <v>2018</v>
      </c>
      <c r="DC58" s="7" t="s">
        <v>186</v>
      </c>
      <c r="DD58" s="7" t="s">
        <v>187</v>
      </c>
      <c r="DE58" s="7" t="s">
        <v>188</v>
      </c>
      <c r="DF58" s="7" t="s">
        <v>189</v>
      </c>
      <c r="DG58" s="7">
        <v>2019</v>
      </c>
      <c r="DH58" s="7" t="s">
        <v>190</v>
      </c>
      <c r="DI58" s="7" t="s">
        <v>191</v>
      </c>
      <c r="DJ58" s="7" t="s">
        <v>192</v>
      </c>
      <c r="DK58" s="7" t="s">
        <v>193</v>
      </c>
      <c r="DL58" s="7">
        <v>2020</v>
      </c>
      <c r="DM58" s="7" t="s">
        <v>194</v>
      </c>
      <c r="DN58" s="7" t="s">
        <v>195</v>
      </c>
      <c r="DO58" s="7" t="s">
        <v>196</v>
      </c>
      <c r="DP58" s="7" t="s">
        <v>197</v>
      </c>
      <c r="DQ58" s="7">
        <v>2021</v>
      </c>
      <c r="DR58" s="7" t="s">
        <v>198</v>
      </c>
      <c r="DS58" s="7" t="s">
        <v>199</v>
      </c>
      <c r="DT58" s="7" t="s">
        <v>201</v>
      </c>
      <c r="DU58" s="7" t="s">
        <v>381</v>
      </c>
      <c r="DV58" s="7">
        <v>2022</v>
      </c>
      <c r="DW58" s="7" t="s">
        <v>382</v>
      </c>
      <c r="DX58" s="7" t="s">
        <v>403</v>
      </c>
      <c r="DY58" s="7" t="s">
        <v>415</v>
      </c>
      <c r="DZ58" s="7" t="s">
        <v>420</v>
      </c>
      <c r="EA58" s="7">
        <v>2023</v>
      </c>
      <c r="EB58" s="7" t="s">
        <v>425</v>
      </c>
      <c r="EC58" s="7" t="s">
        <v>430</v>
      </c>
      <c r="ED58" s="7" t="str">
        <f>$ED$2</f>
        <v>3Q24</v>
      </c>
      <c r="EE58" s="7" t="str">
        <f>$EE$2</f>
        <v>4Q24</v>
      </c>
      <c r="EF58" s="7">
        <f>$EF$2</f>
        <v>2024</v>
      </c>
      <c r="EG58" s="7" t="str">
        <f>EG$2</f>
        <v>1Q25</v>
      </c>
      <c r="EH58" s="65" t="str">
        <f>EH$2</f>
        <v>2Q25</v>
      </c>
      <c r="EI58" s="65" t="str">
        <f>EI$2</f>
        <v>3Q25</v>
      </c>
    </row>
    <row r="59" spans="1:139" ht="15" thickTop="1" x14ac:dyDescent="0.3">
      <c r="A59" s="1" t="s">
        <v>2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27">
        <v>-1.4404956199999999</v>
      </c>
      <c r="BK59" s="27">
        <v>-1.58890613</v>
      </c>
      <c r="BL59" s="27">
        <v>-1.715287610000001</v>
      </c>
      <c r="BM59" s="27">
        <v>-1.0806561599999995</v>
      </c>
      <c r="BN59" s="27">
        <f t="shared" ref="BN59:BN64" si="152">SUM(BJ59:BM59)</f>
        <v>-5.8253455199999999</v>
      </c>
      <c r="BO59" s="27">
        <v>-1.3711963900000002</v>
      </c>
      <c r="BP59" s="27">
        <v>-1.49712055</v>
      </c>
      <c r="BQ59" s="27">
        <v>-2.0235437699999994</v>
      </c>
      <c r="BR59" s="27">
        <v>-1.3686463500000001</v>
      </c>
      <c r="BS59" s="27">
        <f t="shared" ref="BS59:BS64" si="153">SUM(BO59:BR59)</f>
        <v>-6.2605070600000001</v>
      </c>
      <c r="BT59" s="27">
        <v>-2.4235479399999997</v>
      </c>
      <c r="BU59" s="27">
        <v>-1.5264757300000005</v>
      </c>
      <c r="BV59" s="27">
        <v>-1.7535740999999998</v>
      </c>
      <c r="BW59" s="27">
        <v>-1.67936028</v>
      </c>
      <c r="BX59" s="27">
        <f t="shared" ref="BX59:BX64" si="154">SUM(BT59:BW59)</f>
        <v>-7.38295805</v>
      </c>
      <c r="BY59" s="27">
        <v>-1.9125647100000001</v>
      </c>
      <c r="BZ59" s="27">
        <v>-2.1541962400000001</v>
      </c>
      <c r="CA59" s="27">
        <v>-2.6030438800000004</v>
      </c>
      <c r="CB59" s="27">
        <v>-2.7490400400000006</v>
      </c>
      <c r="CC59" s="27">
        <f t="shared" ref="CC59:CC64" si="155">SUM(BY59:CB59)</f>
        <v>-9.4188448700000009</v>
      </c>
      <c r="CD59" s="27">
        <v>-2.7755057499999998</v>
      </c>
      <c r="CE59" s="27">
        <v>-2.9738535700000002</v>
      </c>
      <c r="CF59" s="27">
        <v>-3.3107991800000001</v>
      </c>
      <c r="CG59" s="27">
        <v>-3.8516791099999983</v>
      </c>
      <c r="CH59" s="27">
        <f t="shared" ref="CH59:CH64" si="156">SUM(CD59:CG59)</f>
        <v>-12.911837609999999</v>
      </c>
      <c r="CI59" s="27">
        <v>-4.3216637599999999</v>
      </c>
      <c r="CJ59" s="27">
        <v>-4.7960411000000001</v>
      </c>
      <c r="CK59" s="27">
        <v>-5.6128044500000005</v>
      </c>
      <c r="CL59" s="27">
        <v>-5.7011598899999978</v>
      </c>
      <c r="CM59" s="27">
        <f t="shared" ref="CM59:CM64" si="157">SUM(CI59:CL59)</f>
        <v>-20.431669199999998</v>
      </c>
      <c r="CN59" s="27">
        <v>-5.5670236700000002</v>
      </c>
      <c r="CO59" s="27">
        <v>-5.5985405600000009</v>
      </c>
      <c r="CP59" s="27">
        <v>-6.0036180099999976</v>
      </c>
      <c r="CQ59" s="27">
        <v>-5.8368177600000024</v>
      </c>
      <c r="CR59" s="27">
        <f t="shared" ref="CR59:CR64" si="158">SUM(CN59:CQ59)</f>
        <v>-23.006</v>
      </c>
      <c r="CS59" s="27">
        <v>-5.6651720399999999</v>
      </c>
      <c r="CT59" s="27">
        <v>-4.3490935400000001</v>
      </c>
      <c r="CU59" s="27">
        <v>-3.4933569200000001</v>
      </c>
      <c r="CV59" s="27">
        <v>-2.7900734399999996</v>
      </c>
      <c r="CW59" s="27">
        <f t="shared" ref="CW59:CW70" si="159">SUM(CS59:CV59)</f>
        <v>-16.297695940000001</v>
      </c>
      <c r="CX59" s="27">
        <v>-2.5630000000000002</v>
      </c>
      <c r="CY59" s="27">
        <v>-2.5590000000000002</v>
      </c>
      <c r="CZ59" s="27">
        <v>-2.6429999999999998</v>
      </c>
      <c r="DA59" s="27">
        <v>-2.6059999999999999</v>
      </c>
      <c r="DB59" s="27">
        <f t="shared" ref="DB59:DB70" si="160">SUM(CX59:DA59)</f>
        <v>-10.370999999999999</v>
      </c>
      <c r="DC59" s="27">
        <v>-2.6059999999999999</v>
      </c>
      <c r="DD59" s="27">
        <v>-1.34</v>
      </c>
      <c r="DE59" s="27">
        <v>0</v>
      </c>
      <c r="DF59" s="27">
        <v>0</v>
      </c>
      <c r="DG59" s="27">
        <f t="shared" ref="DG59:DG70" si="161">SUM(DC59:DF59)</f>
        <v>-3.9459999999999997</v>
      </c>
      <c r="DH59" s="27">
        <v>0</v>
      </c>
      <c r="DI59" s="27">
        <v>0</v>
      </c>
      <c r="DJ59" s="27">
        <v>0</v>
      </c>
      <c r="DK59" s="27">
        <v>0</v>
      </c>
      <c r="DL59" s="27">
        <f t="shared" ref="DL59:DL70" si="162">SUM(DH59:DK59)</f>
        <v>0</v>
      </c>
      <c r="DM59" s="27">
        <v>0</v>
      </c>
      <c r="DN59" s="27">
        <v>0</v>
      </c>
      <c r="DO59" s="27">
        <v>0</v>
      </c>
      <c r="DP59" s="27">
        <v>0</v>
      </c>
      <c r="DQ59" s="27">
        <f t="shared" ref="DQ59:DQ70" si="163">SUM(DM59:DP59)</f>
        <v>0</v>
      </c>
      <c r="DR59" s="27">
        <v>0</v>
      </c>
      <c r="DS59" s="27">
        <v>0</v>
      </c>
      <c r="DT59" s="27">
        <v>0</v>
      </c>
      <c r="DU59" s="27">
        <v>0</v>
      </c>
      <c r="DV59" s="27">
        <f t="shared" ref="DV59:DV70" si="164">SUM(DR59:DU59)</f>
        <v>0</v>
      </c>
      <c r="DW59" s="27">
        <v>0</v>
      </c>
      <c r="DX59" s="27">
        <v>0</v>
      </c>
      <c r="DY59" s="27">
        <v>0</v>
      </c>
      <c r="DZ59" s="27">
        <v>0</v>
      </c>
      <c r="EA59" s="27">
        <f t="shared" ref="EA59:EA71" si="165">SUM(DW59:DZ59)</f>
        <v>0</v>
      </c>
      <c r="EB59" s="27">
        <v>0</v>
      </c>
      <c r="EC59" s="27">
        <v>0</v>
      </c>
      <c r="ED59" s="27">
        <v>0</v>
      </c>
      <c r="EE59" s="27">
        <v>0</v>
      </c>
      <c r="EF59" s="27">
        <f t="shared" ref="EF59:EF81" si="166">SUM(EB59:EE59)</f>
        <v>0</v>
      </c>
      <c r="EG59" s="27">
        <v>0</v>
      </c>
      <c r="EH59" s="27">
        <v>0</v>
      </c>
      <c r="EI59" s="27">
        <v>0</v>
      </c>
    </row>
    <row r="60" spans="1:139" ht="15" thickBot="1" x14ac:dyDescent="0.35">
      <c r="A60" s="2" t="s">
        <v>454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28">
        <v>-0.81637315999999993</v>
      </c>
      <c r="BK60" s="28">
        <v>-0.8650284399999999</v>
      </c>
      <c r="BL60" s="28">
        <v>-1.0065548300000005</v>
      </c>
      <c r="BM60" s="28">
        <v>-1.25996759</v>
      </c>
      <c r="BN60" s="28">
        <f t="shared" si="152"/>
        <v>-3.9479240200000003</v>
      </c>
      <c r="BO60" s="28">
        <v>-1.1368635499999999</v>
      </c>
      <c r="BP60" s="28">
        <v>-0.87605836000000026</v>
      </c>
      <c r="BQ60" s="28">
        <v>-1.3926436299999996</v>
      </c>
      <c r="BR60" s="28">
        <v>-1.669779040000001</v>
      </c>
      <c r="BS60" s="28">
        <f t="shared" si="153"/>
        <v>-5.0753445800000003</v>
      </c>
      <c r="BT60" s="28">
        <v>-2.18934351</v>
      </c>
      <c r="BU60" s="28">
        <v>-1.9594018000000006</v>
      </c>
      <c r="BV60" s="28">
        <v>-1.7570774699999996</v>
      </c>
      <c r="BW60" s="28">
        <v>-1.9545083600000006</v>
      </c>
      <c r="BX60" s="28">
        <f t="shared" si="154"/>
        <v>-7.8603311400000013</v>
      </c>
      <c r="BY60" s="28">
        <v>-1.6103334299999998</v>
      </c>
      <c r="BZ60" s="28">
        <v>-1.6958147399999999</v>
      </c>
      <c r="CA60" s="28">
        <v>-1.9543350400000006</v>
      </c>
      <c r="CB60" s="28">
        <v>-2.4963833699999993</v>
      </c>
      <c r="CC60" s="28">
        <f t="shared" si="155"/>
        <v>-7.7568665799999996</v>
      </c>
      <c r="CD60" s="28">
        <v>-2.844163</v>
      </c>
      <c r="CE60" s="28">
        <v>-2.9117720999999994</v>
      </c>
      <c r="CF60" s="28">
        <v>-3.1561787900000011</v>
      </c>
      <c r="CG60" s="28">
        <v>-3.6581491599999989</v>
      </c>
      <c r="CH60" s="28">
        <f t="shared" si="156"/>
        <v>-12.570263049999999</v>
      </c>
      <c r="CI60" s="28">
        <v>-4.4590644199999998</v>
      </c>
      <c r="CJ60" s="28">
        <v>-4.9481255800000001</v>
      </c>
      <c r="CK60" s="28">
        <v>-5.7899852500000017</v>
      </c>
      <c r="CL60" s="28">
        <v>-5.8808802699999978</v>
      </c>
      <c r="CM60" s="28">
        <f t="shared" si="157"/>
        <v>-21.078055519999999</v>
      </c>
      <c r="CN60" s="28">
        <v>-5.7955034799999998</v>
      </c>
      <c r="CO60" s="28">
        <v>-5.7509103900000005</v>
      </c>
      <c r="CP60" s="28">
        <v>-6.2167285200000011</v>
      </c>
      <c r="CQ60" s="28">
        <v>-6.0438576099999963</v>
      </c>
      <c r="CR60" s="28">
        <f t="shared" si="158"/>
        <v>-23.806999999999999</v>
      </c>
      <c r="CS60" s="28">
        <v>-7.1664445999999993</v>
      </c>
      <c r="CT60" s="28">
        <v>-6.3015178299999999</v>
      </c>
      <c r="CU60" s="28">
        <v>-6.075553789999999</v>
      </c>
      <c r="CV60" s="28">
        <v>-4.8481590900000038</v>
      </c>
      <c r="CW60" s="28">
        <f t="shared" si="159"/>
        <v>-24.391675310000004</v>
      </c>
      <c r="CX60" s="28">
        <v>-4.4210000000000003</v>
      </c>
      <c r="CY60" s="28">
        <v>-4.4119999999999999</v>
      </c>
      <c r="CZ60" s="28">
        <v>-4.5549999999999997</v>
      </c>
      <c r="DA60" s="28">
        <v>-4.4889999999999999</v>
      </c>
      <c r="DB60" s="28">
        <f t="shared" si="160"/>
        <v>-17.876999999999999</v>
      </c>
      <c r="DC60" s="28">
        <v>-4.4640000000000004</v>
      </c>
      <c r="DD60" s="28">
        <v>-4.6079999999999997</v>
      </c>
      <c r="DE60" s="28">
        <v>-4.6790000000000003</v>
      </c>
      <c r="DF60" s="28">
        <v>-3.8250000000000002</v>
      </c>
      <c r="DG60" s="28">
        <f t="shared" si="161"/>
        <v>-17.576000000000001</v>
      </c>
      <c r="DH60" s="28">
        <v>-3.149</v>
      </c>
      <c r="DI60" s="28">
        <v>-2.2040000000000002</v>
      </c>
      <c r="DJ60" s="28">
        <v>-2.8260000000000001</v>
      </c>
      <c r="DK60" s="28">
        <v>-2.6960000000000002</v>
      </c>
      <c r="DL60" s="28">
        <f t="shared" si="162"/>
        <v>-10.875</v>
      </c>
      <c r="DM60" s="28">
        <v>-2.6760000000000002</v>
      </c>
      <c r="DN60" s="28">
        <v>-4.0069999999999997</v>
      </c>
      <c r="DO60" s="28">
        <v>-6.1340000000000003</v>
      </c>
      <c r="DP60" s="28">
        <v>-8.4160000000000004</v>
      </c>
      <c r="DQ60" s="28">
        <f t="shared" si="163"/>
        <v>-21.233000000000001</v>
      </c>
      <c r="DR60" s="28">
        <v>-10.596</v>
      </c>
      <c r="DS60" s="28">
        <v>-12.489000000000001</v>
      </c>
      <c r="DT60" s="28">
        <v>-14.032</v>
      </c>
      <c r="DU60" s="28">
        <v>-13.693</v>
      </c>
      <c r="DV60" s="28">
        <f t="shared" si="164"/>
        <v>-50.81</v>
      </c>
      <c r="DW60" s="28">
        <v>-13.766</v>
      </c>
      <c r="DX60" s="28">
        <v>-14.060775</v>
      </c>
      <c r="DY60" s="28">
        <v>-16.476892020000001</v>
      </c>
      <c r="DZ60" s="28">
        <v>-12.981998089999999</v>
      </c>
      <c r="EA60" s="28">
        <f t="shared" si="165"/>
        <v>-57.285665109999997</v>
      </c>
      <c r="EB60" s="28">
        <v>-12.196223040000001</v>
      </c>
      <c r="EC60" s="28">
        <v>-10.882498499999999</v>
      </c>
      <c r="ED60" s="28">
        <v>-7.4690000000000003</v>
      </c>
      <c r="EE60" s="28">
        <v>-7.6654232700000025</v>
      </c>
      <c r="EF60" s="28">
        <f t="shared" si="166"/>
        <v>-38.213144810000003</v>
      </c>
      <c r="EG60" s="28">
        <v>-8.5792152599999998</v>
      </c>
      <c r="EH60" s="28">
        <v>-7.7661784399999991</v>
      </c>
      <c r="EI60" s="28">
        <v>-6.6177243700000004</v>
      </c>
    </row>
    <row r="61" spans="1:139" ht="15" thickTop="1" x14ac:dyDescent="0.3">
      <c r="A61" s="1" t="s">
        <v>442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27">
        <v>-12.074248590000002</v>
      </c>
      <c r="BK61" s="27">
        <v>-11.789340049999998</v>
      </c>
      <c r="BL61" s="27">
        <v>-12.450068590000003</v>
      </c>
      <c r="BM61" s="27">
        <v>-11.146615949999992</v>
      </c>
      <c r="BN61" s="27">
        <f t="shared" si="152"/>
        <v>-47.460273179999994</v>
      </c>
      <c r="BO61" s="27">
        <v>-11.091179189999998</v>
      </c>
      <c r="BP61" s="27">
        <v>-10.062118390000006</v>
      </c>
      <c r="BQ61" s="27">
        <v>-10.237749239999996</v>
      </c>
      <c r="BR61" s="27">
        <v>-8.5768158599999964</v>
      </c>
      <c r="BS61" s="27">
        <f t="shared" si="153"/>
        <v>-39.967862679999996</v>
      </c>
      <c r="BT61" s="27">
        <v>-8.0776595399999991</v>
      </c>
      <c r="BU61" s="27">
        <v>-13.395674659999997</v>
      </c>
      <c r="BV61" s="27">
        <v>-0.89055092000000258</v>
      </c>
      <c r="BW61" s="27">
        <v>-5.5306103700000016</v>
      </c>
      <c r="BX61" s="27">
        <f t="shared" si="154"/>
        <v>-27.894495490000001</v>
      </c>
      <c r="BY61" s="27">
        <v>-4.9068864299999992</v>
      </c>
      <c r="BZ61" s="27">
        <v>-11.811178009999999</v>
      </c>
      <c r="CA61" s="27">
        <v>-13.892699939999996</v>
      </c>
      <c r="CB61" s="27">
        <v>-13.039717490000005</v>
      </c>
      <c r="CC61" s="27">
        <f t="shared" si="155"/>
        <v>-43.65048187</v>
      </c>
      <c r="CD61" s="27">
        <v>-12.552751840000001</v>
      </c>
      <c r="CE61" s="27">
        <v>-11.360650489999999</v>
      </c>
      <c r="CF61" s="27">
        <v>-11.641567130000004</v>
      </c>
      <c r="CG61" s="27">
        <v>-11.247732539999996</v>
      </c>
      <c r="CH61" s="27">
        <f t="shared" si="156"/>
        <v>-46.802701999999996</v>
      </c>
      <c r="CI61" s="27">
        <v>-11.33732756</v>
      </c>
      <c r="CJ61" s="27">
        <v>-10.533605079999999</v>
      </c>
      <c r="CK61" s="27">
        <v>-11.26258277</v>
      </c>
      <c r="CL61" s="27">
        <v>-11.787182720000006</v>
      </c>
      <c r="CM61" s="27">
        <f t="shared" si="157"/>
        <v>-44.920698130000005</v>
      </c>
      <c r="CN61" s="27">
        <v>-12.300243529999999</v>
      </c>
      <c r="CO61" s="27">
        <v>-11.578930329999999</v>
      </c>
      <c r="CP61" s="27">
        <v>-12.280424110000002</v>
      </c>
      <c r="CQ61" s="27">
        <v>-11.856402029999998</v>
      </c>
      <c r="CR61" s="27">
        <f t="shared" si="158"/>
        <v>-48.015999999999998</v>
      </c>
      <c r="CS61" s="27">
        <v>-12.590825220000001</v>
      </c>
      <c r="CT61" s="27">
        <v>-11.64807774</v>
      </c>
      <c r="CU61" s="27">
        <v>-12.271965339999996</v>
      </c>
      <c r="CV61" s="27">
        <v>-12.106192670000002</v>
      </c>
      <c r="CW61" s="27">
        <f t="shared" si="159"/>
        <v>-48.617060969999997</v>
      </c>
      <c r="CX61" s="27">
        <v>-12.522</v>
      </c>
      <c r="CY61" s="27">
        <v>-12.302</v>
      </c>
      <c r="CZ61" s="27">
        <v>-12.885</v>
      </c>
      <c r="DA61" s="27">
        <v>-12.72</v>
      </c>
      <c r="DB61" s="27">
        <f t="shared" si="160"/>
        <v>-50.428999999999995</v>
      </c>
      <c r="DC61" s="27">
        <v>-13.071999999999999</v>
      </c>
      <c r="DD61" s="27">
        <v>-11.885999999999999</v>
      </c>
      <c r="DE61" s="27">
        <v>-12.238</v>
      </c>
      <c r="DF61" s="27">
        <v>-12.226000000000001</v>
      </c>
      <c r="DG61" s="27">
        <f t="shared" si="161"/>
        <v>-49.421999999999997</v>
      </c>
      <c r="DH61" s="27">
        <v>-12.483000000000001</v>
      </c>
      <c r="DI61" s="27">
        <v>-10.288</v>
      </c>
      <c r="DJ61" s="27">
        <v>-11.002000000000001</v>
      </c>
      <c r="DK61" s="27">
        <v>-11.509</v>
      </c>
      <c r="DL61" s="27">
        <f t="shared" si="162"/>
        <v>-45.282000000000004</v>
      </c>
      <c r="DM61" s="27">
        <v>-11.769</v>
      </c>
      <c r="DN61" s="27">
        <v>-15.23</v>
      </c>
      <c r="DO61" s="27">
        <v>-21.257999999999999</v>
      </c>
      <c r="DP61" s="27">
        <v>-25.588000000000001</v>
      </c>
      <c r="DQ61" s="27">
        <f t="shared" si="163"/>
        <v>-73.844999999999999</v>
      </c>
      <c r="DR61" s="27">
        <v>-30.95</v>
      </c>
      <c r="DS61" s="27">
        <v>-40.106999999999999</v>
      </c>
      <c r="DT61" s="27">
        <v>-44.286999999999999</v>
      </c>
      <c r="DU61" s="27">
        <v>-42.088000000000001</v>
      </c>
      <c r="DV61" s="27">
        <f t="shared" si="164"/>
        <v>-157.43199999999999</v>
      </c>
      <c r="DW61" s="27">
        <v>-45.768999999999998</v>
      </c>
      <c r="DX61" s="27">
        <v>-70.864531999999997</v>
      </c>
      <c r="DY61" s="27">
        <v>-74.024220069999998</v>
      </c>
      <c r="DZ61" s="27">
        <v>-64.713967690000018</v>
      </c>
      <c r="EA61" s="27">
        <f t="shared" si="165"/>
        <v>-255.37171976000002</v>
      </c>
      <c r="EB61" s="27">
        <v>-68.668061710000003</v>
      </c>
      <c r="EC61" s="27">
        <v>-59.077940069999997</v>
      </c>
      <c r="ED61" s="27">
        <v>-55.88</v>
      </c>
      <c r="EE61" s="27">
        <v>-54.623443749999993</v>
      </c>
      <c r="EF61" s="27">
        <f t="shared" si="166"/>
        <v>-238.24944553</v>
      </c>
      <c r="EG61" s="27">
        <v>-65.666800690000002</v>
      </c>
      <c r="EH61" s="27">
        <v>-77.564169369999988</v>
      </c>
      <c r="EI61" s="27">
        <v>-85.952080449999997</v>
      </c>
    </row>
    <row r="62" spans="1:139" ht="15" thickBot="1" x14ac:dyDescent="0.35">
      <c r="A62" s="2" t="s">
        <v>3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28">
        <v>-1.1435740599999999</v>
      </c>
      <c r="BK62" s="28">
        <v>-1.2764320400000002</v>
      </c>
      <c r="BL62" s="28">
        <v>-1.4939644799999996</v>
      </c>
      <c r="BM62" s="28">
        <v>-0.94986159999999997</v>
      </c>
      <c r="BN62" s="28">
        <f t="shared" si="152"/>
        <v>-4.8638321800000002</v>
      </c>
      <c r="BO62" s="28">
        <v>-0.27533945999999998</v>
      </c>
      <c r="BP62" s="28">
        <v>-1.37293E-2</v>
      </c>
      <c r="BQ62" s="28">
        <v>-1.9702050000000026E-2</v>
      </c>
      <c r="BR62" s="28">
        <v>-2.5290809999999997E-2</v>
      </c>
      <c r="BS62" s="28">
        <f t="shared" si="153"/>
        <v>-0.33406162</v>
      </c>
      <c r="BT62" s="28">
        <v>-2.537433E-2</v>
      </c>
      <c r="BU62" s="28">
        <v>-2.4423449999999999E-2</v>
      </c>
      <c r="BV62" s="28">
        <v>2.8832509999999999E-2</v>
      </c>
      <c r="BW62" s="28">
        <v>-2.4910689999999999E-2</v>
      </c>
      <c r="BX62" s="28">
        <f t="shared" si="154"/>
        <v>-4.587596E-2</v>
      </c>
      <c r="BY62" s="28">
        <v>-2.8937270000000001E-2</v>
      </c>
      <c r="BZ62" s="28">
        <v>-0.44994707999999994</v>
      </c>
      <c r="CA62" s="28">
        <v>-0.32611506000000001</v>
      </c>
      <c r="CB62" s="28">
        <v>-0.59640029000000006</v>
      </c>
      <c r="CC62" s="28">
        <f t="shared" si="155"/>
        <v>-1.4013997</v>
      </c>
      <c r="CD62" s="28">
        <v>-0.55338666000000003</v>
      </c>
      <c r="CE62" s="28">
        <v>-0.54238109000000001</v>
      </c>
      <c r="CF62" s="28">
        <v>-0.52985544000000007</v>
      </c>
      <c r="CG62" s="28">
        <v>-0.50890482999999997</v>
      </c>
      <c r="CH62" s="28">
        <f t="shared" si="156"/>
        <v>-2.1345280200000003</v>
      </c>
      <c r="CI62" s="28">
        <v>-0.47747590999999995</v>
      </c>
      <c r="CJ62" s="28">
        <v>-0.47440191999999998</v>
      </c>
      <c r="CK62" s="28">
        <v>-0.47734626000000019</v>
      </c>
      <c r="CL62" s="28">
        <v>-3.5504442799999998</v>
      </c>
      <c r="CM62" s="28">
        <f t="shared" si="157"/>
        <v>-4.9796683699999997</v>
      </c>
      <c r="CN62" s="28">
        <v>-7.84292151</v>
      </c>
      <c r="CO62" s="28">
        <v>-8.1808943399999983</v>
      </c>
      <c r="CP62" s="28">
        <v>-8.7600729700000031</v>
      </c>
      <c r="CQ62" s="28">
        <v>-8.5601111799999998</v>
      </c>
      <c r="CR62" s="28">
        <f t="shared" si="158"/>
        <v>-33.344000000000001</v>
      </c>
      <c r="CS62" s="28">
        <v>-8.4134427499999997</v>
      </c>
      <c r="CT62" s="28">
        <v>-6.3919634599999986</v>
      </c>
      <c r="CU62" s="28">
        <v>-4.6602906300000004</v>
      </c>
      <c r="CV62" s="28">
        <v>-3.7133908900000008</v>
      </c>
      <c r="CW62" s="28">
        <f t="shared" si="159"/>
        <v>-23.179087729999999</v>
      </c>
      <c r="CX62" s="28">
        <v>-3.383</v>
      </c>
      <c r="CY62" s="28">
        <v>-3.3439999999999999</v>
      </c>
      <c r="CZ62" s="28">
        <v>-3.4239999999999999</v>
      </c>
      <c r="DA62" s="28">
        <v>-3.375</v>
      </c>
      <c r="DB62" s="28">
        <f t="shared" si="160"/>
        <v>-13.526</v>
      </c>
      <c r="DC62" s="28">
        <v>-3.3730000000000002</v>
      </c>
      <c r="DD62" s="28">
        <v>-1.849</v>
      </c>
      <c r="DE62" s="28">
        <v>-3.0000000000000001E-3</v>
      </c>
      <c r="DF62" s="28">
        <v>-3.0000000000000001E-3</v>
      </c>
      <c r="DG62" s="28">
        <f t="shared" si="161"/>
        <v>-5.2280000000000006</v>
      </c>
      <c r="DH62" s="28">
        <v>-2E-3</v>
      </c>
      <c r="DI62" s="28">
        <v>-1E-3</v>
      </c>
      <c r="DJ62" s="28">
        <v>-1E-3</v>
      </c>
      <c r="DK62" s="28">
        <v>-1E-3</v>
      </c>
      <c r="DL62" s="28">
        <f t="shared" si="162"/>
        <v>-5.0000000000000001E-3</v>
      </c>
      <c r="DM62" s="28">
        <v>0</v>
      </c>
      <c r="DN62" s="28">
        <v>0</v>
      </c>
      <c r="DO62" s="28">
        <v>0</v>
      </c>
      <c r="DP62" s="28">
        <v>0</v>
      </c>
      <c r="DQ62" s="28">
        <f t="shared" si="163"/>
        <v>0</v>
      </c>
      <c r="DR62" s="28">
        <v>0</v>
      </c>
      <c r="DS62" s="28">
        <v>0</v>
      </c>
      <c r="DT62" s="28">
        <v>0</v>
      </c>
      <c r="DU62" s="28">
        <v>0</v>
      </c>
      <c r="DV62" s="28">
        <f t="shared" si="164"/>
        <v>0</v>
      </c>
      <c r="DW62" s="28">
        <v>0</v>
      </c>
      <c r="DX62" s="28">
        <v>0</v>
      </c>
      <c r="DY62" s="28">
        <v>0</v>
      </c>
      <c r="DZ62" s="28">
        <v>0</v>
      </c>
      <c r="EA62" s="28">
        <f t="shared" si="165"/>
        <v>0</v>
      </c>
      <c r="EB62" s="28">
        <v>0</v>
      </c>
      <c r="EC62" s="28">
        <v>0</v>
      </c>
      <c r="ED62" s="28">
        <v>0</v>
      </c>
      <c r="EE62" s="28">
        <v>0</v>
      </c>
      <c r="EF62" s="28">
        <f t="shared" si="166"/>
        <v>0</v>
      </c>
      <c r="EG62" s="28">
        <v>0</v>
      </c>
      <c r="EH62" s="28">
        <v>0</v>
      </c>
      <c r="EI62" s="28">
        <v>0</v>
      </c>
    </row>
    <row r="63" spans="1:139" ht="15" thickTop="1" x14ac:dyDescent="0.3">
      <c r="A63" s="1" t="s">
        <v>443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27">
        <v>-9.87889309</v>
      </c>
      <c r="BK63" s="27">
        <v>-10.103491879999998</v>
      </c>
      <c r="BL63" s="27">
        <v>-10.55766725</v>
      </c>
      <c r="BM63" s="27">
        <v>-10.41349831</v>
      </c>
      <c r="BN63" s="27">
        <f t="shared" si="152"/>
        <v>-40.953550530000001</v>
      </c>
      <c r="BO63" s="27">
        <v>-15.11427158</v>
      </c>
      <c r="BP63" s="27">
        <v>-8.7806034199999985</v>
      </c>
      <c r="BQ63" s="27">
        <v>-9.7903356599999967</v>
      </c>
      <c r="BR63" s="27">
        <v>-10.419038950000001</v>
      </c>
      <c r="BS63" s="27">
        <f t="shared" si="153"/>
        <v>-44.104249609999997</v>
      </c>
      <c r="BT63" s="27">
        <v>-10.908672340000001</v>
      </c>
      <c r="BU63" s="27">
        <v>-10.564661859999996</v>
      </c>
      <c r="BV63" s="27">
        <v>-10.659598840000003</v>
      </c>
      <c r="BW63" s="27">
        <v>-10.728315210000007</v>
      </c>
      <c r="BX63" s="27">
        <f t="shared" si="154"/>
        <v>-42.861248250000003</v>
      </c>
      <c r="BY63" s="27">
        <v>-11.30165455</v>
      </c>
      <c r="BZ63" s="27">
        <v>-13.029030819999997</v>
      </c>
      <c r="CA63" s="27">
        <v>-11.679238630000002</v>
      </c>
      <c r="CB63" s="27">
        <v>-13.431341370000007</v>
      </c>
      <c r="CC63" s="27">
        <f t="shared" si="155"/>
        <v>-49.441265370000004</v>
      </c>
      <c r="CD63" s="27">
        <v>-12.856927089999999</v>
      </c>
      <c r="CE63" s="27">
        <v>-13.330747410000001</v>
      </c>
      <c r="CF63" s="27">
        <v>-13.008645990000005</v>
      </c>
      <c r="CG63" s="27">
        <v>-14.437620510000002</v>
      </c>
      <c r="CH63" s="27">
        <f t="shared" si="156"/>
        <v>-53.633941000000007</v>
      </c>
      <c r="CI63" s="27">
        <v>-14.160977820000003</v>
      </c>
      <c r="CJ63" s="27">
        <v>-16.330361139999997</v>
      </c>
      <c r="CK63" s="27">
        <v>-12.477697039999992</v>
      </c>
      <c r="CL63" s="27">
        <v>-14.628070780000005</v>
      </c>
      <c r="CM63" s="27">
        <f t="shared" si="157"/>
        <v>-57.59710677999999</v>
      </c>
      <c r="CN63" s="27">
        <v>-16.230284449999999</v>
      </c>
      <c r="CO63" s="27">
        <v>-12.702344240000002</v>
      </c>
      <c r="CP63" s="27">
        <v>-14.0989073</v>
      </c>
      <c r="CQ63" s="27">
        <v>-13.38546401</v>
      </c>
      <c r="CR63" s="27">
        <f t="shared" si="158"/>
        <v>-56.417000000000002</v>
      </c>
      <c r="CS63" s="27">
        <v>-13.42498586</v>
      </c>
      <c r="CT63" s="27">
        <v>-12.872360929999999</v>
      </c>
      <c r="CU63" s="27">
        <v>-14.598880359999999</v>
      </c>
      <c r="CV63" s="27">
        <v>-14.468881219999998</v>
      </c>
      <c r="CW63" s="27">
        <f t="shared" si="159"/>
        <v>-55.365108370000002</v>
      </c>
      <c r="CX63" s="27">
        <v>-16.13</v>
      </c>
      <c r="CY63" s="27">
        <v>-16.018000000000001</v>
      </c>
      <c r="CZ63" s="27">
        <v>-16.042999999999999</v>
      </c>
      <c r="DA63" s="27">
        <v>-15.266</v>
      </c>
      <c r="DB63" s="27">
        <f t="shared" si="160"/>
        <v>-63.456999999999994</v>
      </c>
      <c r="DC63" s="27">
        <v>-14.798</v>
      </c>
      <c r="DD63" s="27">
        <v>-14.778</v>
      </c>
      <c r="DE63" s="27">
        <v>-14.054</v>
      </c>
      <c r="DF63" s="27">
        <v>-12.695</v>
      </c>
      <c r="DG63" s="27">
        <f t="shared" si="161"/>
        <v>-56.325000000000003</v>
      </c>
      <c r="DH63" s="27">
        <v>-11.933</v>
      </c>
      <c r="DI63" s="27">
        <v>-9.8710000000000004</v>
      </c>
      <c r="DJ63" s="27">
        <v>-8.9009999999999998</v>
      </c>
      <c r="DK63" s="27">
        <v>-8.1449999999999996</v>
      </c>
      <c r="DL63" s="27">
        <f t="shared" si="162"/>
        <v>-38.85</v>
      </c>
      <c r="DM63" s="27">
        <v>-7.4589999999999996</v>
      </c>
      <c r="DN63" s="27">
        <v>-7.8620000000000001</v>
      </c>
      <c r="DO63" s="27">
        <v>-8.8109999999999999</v>
      </c>
      <c r="DP63" s="27">
        <v>-10.441000000000001</v>
      </c>
      <c r="DQ63" s="27">
        <f t="shared" si="163"/>
        <v>-34.573</v>
      </c>
      <c r="DR63" s="27">
        <v>-11.904999999999999</v>
      </c>
      <c r="DS63" s="27">
        <v>-13.641</v>
      </c>
      <c r="DT63" s="27">
        <v>-14.939</v>
      </c>
      <c r="DU63" s="27">
        <v>-14.413</v>
      </c>
      <c r="DV63" s="27">
        <f t="shared" si="164"/>
        <v>-54.897999999999996</v>
      </c>
      <c r="DW63" s="27">
        <v>-14.676</v>
      </c>
      <c r="DX63" s="27">
        <v>-22.443037</v>
      </c>
      <c r="DY63" s="27">
        <v>-23.728383649999998</v>
      </c>
      <c r="DZ63" s="27">
        <v>-22.737012199999999</v>
      </c>
      <c r="EA63" s="27">
        <f t="shared" si="165"/>
        <v>-83.584432849999999</v>
      </c>
      <c r="EB63" s="27">
        <v>-23.842508590000001</v>
      </c>
      <c r="EC63" s="27">
        <v>-24.282470319999998</v>
      </c>
      <c r="ED63" s="27">
        <v>-25.85</v>
      </c>
      <c r="EE63" s="27">
        <v>-24.408085799999998</v>
      </c>
      <c r="EF63" s="27">
        <f t="shared" si="166"/>
        <v>-98.383064709999999</v>
      </c>
      <c r="EG63" s="27">
        <v>-24.68422301</v>
      </c>
      <c r="EH63" s="27">
        <v>-23.907836460000002</v>
      </c>
      <c r="EI63" s="27">
        <v>-26.250834539999993</v>
      </c>
    </row>
    <row r="64" spans="1:139" ht="15" thickBot="1" x14ac:dyDescent="0.35">
      <c r="A64" s="2" t="s">
        <v>481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28">
        <v>0</v>
      </c>
      <c r="BK64" s="28">
        <v>0</v>
      </c>
      <c r="BL64" s="28">
        <v>0</v>
      </c>
      <c r="BM64" s="28">
        <v>0</v>
      </c>
      <c r="BN64" s="28">
        <f t="shared" si="152"/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f t="shared" si="153"/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f t="shared" si="154"/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f t="shared" si="155"/>
        <v>0</v>
      </c>
      <c r="CD64" s="28">
        <v>-2.222087E-2</v>
      </c>
      <c r="CE64" s="28">
        <v>-1.63301345</v>
      </c>
      <c r="CF64" s="28">
        <v>-8.5316527399999984</v>
      </c>
      <c r="CG64" s="28">
        <v>-9.5291194699999977</v>
      </c>
      <c r="CH64" s="28">
        <f t="shared" si="156"/>
        <v>-19.716006529999994</v>
      </c>
      <c r="CI64" s="28">
        <v>-4.1715747499999996</v>
      </c>
      <c r="CJ64" s="28">
        <v>-4.7395546000000017</v>
      </c>
      <c r="CK64" s="28">
        <v>-6.0324795499999908</v>
      </c>
      <c r="CL64" s="28">
        <v>-7.6959148200000058</v>
      </c>
      <c r="CM64" s="28">
        <f t="shared" si="157"/>
        <v>-22.63952372</v>
      </c>
      <c r="CN64" s="28">
        <v>-12.027110159999999</v>
      </c>
      <c r="CO64" s="28">
        <v>-0.79253510999999932</v>
      </c>
      <c r="CP64" s="28">
        <v>-8.5594326700000032</v>
      </c>
      <c r="CQ64" s="28">
        <v>-6.7379220599999989</v>
      </c>
      <c r="CR64" s="28">
        <f t="shared" si="158"/>
        <v>-28.117000000000001</v>
      </c>
      <c r="CS64" s="28">
        <v>-6.7016089400000007</v>
      </c>
      <c r="CT64" s="28">
        <v>-6.5707844500000006</v>
      </c>
      <c r="CU64" s="28">
        <v>-7.4383806399999965</v>
      </c>
      <c r="CV64" s="28">
        <v>-7.0880979400000053</v>
      </c>
      <c r="CW64" s="28">
        <f t="shared" si="159"/>
        <v>-27.79887197</v>
      </c>
      <c r="CX64" s="28">
        <v>-7.4189999999999996</v>
      </c>
      <c r="CY64" s="28">
        <v>-7.9560000000000004</v>
      </c>
      <c r="CZ64" s="28">
        <v>-8.0579999999999998</v>
      </c>
      <c r="DA64" s="28">
        <v>-8.8309999999999995</v>
      </c>
      <c r="DB64" s="28">
        <f t="shared" si="160"/>
        <v>-32.263999999999996</v>
      </c>
      <c r="DC64" s="28">
        <v>-9.2260000000000009</v>
      </c>
      <c r="DD64" s="28">
        <v>-9.8239999999999998</v>
      </c>
      <c r="DE64" s="28">
        <v>-10.491</v>
      </c>
      <c r="DF64" s="28">
        <v>-8.4550000000000001</v>
      </c>
      <c r="DG64" s="28">
        <f t="shared" si="161"/>
        <v>-37.996000000000002</v>
      </c>
      <c r="DH64" s="28">
        <v>-8.9190000000000005</v>
      </c>
      <c r="DI64" s="28">
        <v>-8.407</v>
      </c>
      <c r="DJ64" s="28">
        <v>-8.3339999999999996</v>
      </c>
      <c r="DK64" s="28">
        <v>-8.32</v>
      </c>
      <c r="DL64" s="28">
        <f t="shared" si="162"/>
        <v>-33.980000000000004</v>
      </c>
      <c r="DM64" s="28">
        <v>-7.8520000000000003</v>
      </c>
      <c r="DN64" s="28">
        <v>-7.6239999999999997</v>
      </c>
      <c r="DO64" s="28">
        <v>-7.7469999999999999</v>
      </c>
      <c r="DP64" s="28">
        <v>-8.0030000000000001</v>
      </c>
      <c r="DQ64" s="28">
        <f t="shared" si="163"/>
        <v>-31.225999999999999</v>
      </c>
      <c r="DR64" s="28">
        <v>-8.4290000000000003</v>
      </c>
      <c r="DS64" s="28">
        <v>-8.2110000000000003</v>
      </c>
      <c r="DT64" s="28">
        <v>-7.95</v>
      </c>
      <c r="DU64" s="28">
        <v>-7.9539999999999997</v>
      </c>
      <c r="DV64" s="28">
        <f t="shared" si="164"/>
        <v>-32.543999999999997</v>
      </c>
      <c r="DW64" s="28">
        <v>-7.7229999999999999</v>
      </c>
      <c r="DX64" s="28">
        <v>-8.0154639999999997</v>
      </c>
      <c r="DY64" s="28">
        <v>-7.826790960000003</v>
      </c>
      <c r="DZ64" s="28">
        <v>-9.6118375499999988</v>
      </c>
      <c r="EA64" s="28">
        <f t="shared" si="165"/>
        <v>-33.177092510000001</v>
      </c>
      <c r="EB64" s="28">
        <v>-8.0629535899999993</v>
      </c>
      <c r="EC64" s="28">
        <v>-7.94180858</v>
      </c>
      <c r="ED64" s="28">
        <v>-7.56</v>
      </c>
      <c r="EE64" s="28">
        <v>-7.2781435100000014</v>
      </c>
      <c r="EF64" s="28">
        <f t="shared" si="166"/>
        <v>-30.842905680000001</v>
      </c>
      <c r="EG64" s="28">
        <v>-6.9321532000000001</v>
      </c>
      <c r="EH64" s="28">
        <v>-6.8189496900000002</v>
      </c>
      <c r="EI64" s="28">
        <v>-8.3201300300000014</v>
      </c>
    </row>
    <row r="65" spans="1:139" ht="15" thickTop="1" x14ac:dyDescent="0.3">
      <c r="A65" s="1" t="s">
        <v>445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-0.19534167999999999</v>
      </c>
      <c r="CW65" s="27">
        <f t="shared" si="159"/>
        <v>-0.19534167999999999</v>
      </c>
      <c r="CX65" s="27">
        <v>-1.222</v>
      </c>
      <c r="CY65" s="27">
        <v>-1.1830000000000001</v>
      </c>
      <c r="CZ65" s="27">
        <v>-1.4419999999999999</v>
      </c>
      <c r="DA65" s="27">
        <v>-1.9670000000000001</v>
      </c>
      <c r="DB65" s="27">
        <f t="shared" si="160"/>
        <v>-5.8140000000000001</v>
      </c>
      <c r="DC65" s="27">
        <v>-2.0089999999999999</v>
      </c>
      <c r="DD65" s="27">
        <v>-3.89</v>
      </c>
      <c r="DE65" s="27">
        <v>-3.4609999999999999</v>
      </c>
      <c r="DF65" s="27">
        <v>-5.14</v>
      </c>
      <c r="DG65" s="27">
        <f t="shared" si="161"/>
        <v>-14.5</v>
      </c>
      <c r="DH65" s="27">
        <v>-6.72</v>
      </c>
      <c r="DI65" s="27">
        <v>-6.5579999999999998</v>
      </c>
      <c r="DJ65" s="27">
        <v>-6.98</v>
      </c>
      <c r="DK65" s="27">
        <v>-7.0389999999999997</v>
      </c>
      <c r="DL65" s="27">
        <f t="shared" si="162"/>
        <v>-27.296999999999997</v>
      </c>
      <c r="DM65" s="27">
        <v>-7.2149999999999999</v>
      </c>
      <c r="DN65" s="27">
        <v>-7.7450000000000001</v>
      </c>
      <c r="DO65" s="27">
        <v>-8.1669999999999998</v>
      </c>
      <c r="DP65" s="27">
        <v>-8.1669999999999998</v>
      </c>
      <c r="DQ65" s="27">
        <f t="shared" si="163"/>
        <v>-31.294000000000004</v>
      </c>
      <c r="DR65" s="27">
        <v>-8.5299999999999994</v>
      </c>
      <c r="DS65" s="27">
        <v>-8.827</v>
      </c>
      <c r="DT65" s="27">
        <v>-8.7010000000000005</v>
      </c>
      <c r="DU65" s="27">
        <v>-8.5419999999999998</v>
      </c>
      <c r="DV65" s="27">
        <f t="shared" si="164"/>
        <v>-34.6</v>
      </c>
      <c r="DW65" s="27">
        <v>-8.6080000000000005</v>
      </c>
      <c r="DX65" s="27">
        <v>-8.7178280000000008</v>
      </c>
      <c r="DY65" s="27">
        <v>-8.8050201099999992</v>
      </c>
      <c r="DZ65" s="27">
        <v>-8.4624188300000007</v>
      </c>
      <c r="EA65" s="27">
        <f t="shared" si="165"/>
        <v>-34.593266940000007</v>
      </c>
      <c r="EB65" s="27">
        <v>-8.4453397700000004</v>
      </c>
      <c r="EC65" s="27">
        <v>-8.5174258199999997</v>
      </c>
      <c r="ED65" s="27">
        <v>-8.593</v>
      </c>
      <c r="EE65" s="27">
        <v>-8.3124925300000001</v>
      </c>
      <c r="EF65" s="27">
        <f t="shared" si="166"/>
        <v>-33.86825812</v>
      </c>
      <c r="EG65" s="27">
        <v>-8.2548269699999999</v>
      </c>
      <c r="EH65" s="27">
        <v>-8.3244443500000003</v>
      </c>
      <c r="EI65" s="27">
        <v>-8.5025018299999999</v>
      </c>
    </row>
    <row r="66" spans="1:139" ht="15" thickBot="1" x14ac:dyDescent="0.35">
      <c r="A66" s="2" t="s">
        <v>444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28">
        <v>0</v>
      </c>
      <c r="BW66" s="28">
        <v>0</v>
      </c>
      <c r="BX66" s="28">
        <v>0</v>
      </c>
      <c r="BY66" s="28">
        <v>0</v>
      </c>
      <c r="BZ66" s="28">
        <v>0</v>
      </c>
      <c r="CA66" s="28">
        <v>0</v>
      </c>
      <c r="CB66" s="28">
        <v>0</v>
      </c>
      <c r="CC66" s="28">
        <v>0</v>
      </c>
      <c r="CD66" s="28">
        <v>0</v>
      </c>
      <c r="CE66" s="28">
        <v>0</v>
      </c>
      <c r="CF66" s="28">
        <v>0</v>
      </c>
      <c r="CG66" s="28">
        <v>0</v>
      </c>
      <c r="CH66" s="28">
        <v>0</v>
      </c>
      <c r="CI66" s="28">
        <v>0</v>
      </c>
      <c r="CJ66" s="28">
        <v>0</v>
      </c>
      <c r="CK66" s="28">
        <v>0</v>
      </c>
      <c r="CL66" s="28">
        <v>0</v>
      </c>
      <c r="CM66" s="28">
        <v>0</v>
      </c>
      <c r="CN66" s="28">
        <v>0</v>
      </c>
      <c r="CO66" s="28">
        <v>0</v>
      </c>
      <c r="CP66" s="28">
        <v>0</v>
      </c>
      <c r="CQ66" s="28">
        <v>0</v>
      </c>
      <c r="CR66" s="28">
        <v>0</v>
      </c>
      <c r="CS66" s="28">
        <v>0</v>
      </c>
      <c r="CT66" s="28">
        <v>0</v>
      </c>
      <c r="CU66" s="28">
        <v>0</v>
      </c>
      <c r="CV66" s="28">
        <v>0</v>
      </c>
      <c r="CW66" s="28">
        <f t="shared" si="159"/>
        <v>0</v>
      </c>
      <c r="CX66" s="28">
        <v>0</v>
      </c>
      <c r="CY66" s="28">
        <v>0</v>
      </c>
      <c r="CZ66" s="28">
        <v>0</v>
      </c>
      <c r="DA66" s="28">
        <v>0</v>
      </c>
      <c r="DB66" s="28">
        <f t="shared" si="160"/>
        <v>0</v>
      </c>
      <c r="DC66" s="28">
        <v>0</v>
      </c>
      <c r="DD66" s="28">
        <v>-2.4E-2</v>
      </c>
      <c r="DE66" s="28">
        <v>-11.981</v>
      </c>
      <c r="DF66" s="28">
        <v>-26.846</v>
      </c>
      <c r="DG66" s="28">
        <f t="shared" si="161"/>
        <v>-38.850999999999999</v>
      </c>
      <c r="DH66" s="28">
        <v>-14.8</v>
      </c>
      <c r="DI66" s="28">
        <v>-14.542</v>
      </c>
      <c r="DJ66" s="28">
        <v>-14.954000000000001</v>
      </c>
      <c r="DK66" s="28">
        <v>-14.686999999999999</v>
      </c>
      <c r="DL66" s="28">
        <f t="shared" si="162"/>
        <v>-58.982999999999997</v>
      </c>
      <c r="DM66" s="28">
        <v>-14.631</v>
      </c>
      <c r="DN66" s="28">
        <v>-14.997999999999999</v>
      </c>
      <c r="DO66" s="28">
        <v>-15.57</v>
      </c>
      <c r="DP66" s="28">
        <v>-16.298999999999999</v>
      </c>
      <c r="DQ66" s="28">
        <f t="shared" si="163"/>
        <v>-61.497999999999998</v>
      </c>
      <c r="DR66" s="28">
        <v>-17.670999999999999</v>
      </c>
      <c r="DS66" s="28">
        <v>-17.917000000000002</v>
      </c>
      <c r="DT66" s="28">
        <v>-19.754000000000001</v>
      </c>
      <c r="DU66" s="28">
        <v>-20.390999999999998</v>
      </c>
      <c r="DV66" s="28">
        <f t="shared" si="164"/>
        <v>-75.733000000000004</v>
      </c>
      <c r="DW66" s="28">
        <v>-19.817</v>
      </c>
      <c r="DX66" s="28">
        <v>-20.220504999999999</v>
      </c>
      <c r="DY66" s="28">
        <v>-20.141861149999997</v>
      </c>
      <c r="DZ66" s="28">
        <v>-20.044327190000001</v>
      </c>
      <c r="EA66" s="28">
        <f t="shared" si="165"/>
        <v>-80.223693339999997</v>
      </c>
      <c r="EB66" s="28">
        <v>-19.823214180000001</v>
      </c>
      <c r="EC66" s="28">
        <v>-20.577996400000004</v>
      </c>
      <c r="ED66" s="28">
        <v>-20.869</v>
      </c>
      <c r="EE66" s="28">
        <v>-20.914985080000001</v>
      </c>
      <c r="EF66" s="28">
        <f t="shared" si="166"/>
        <v>-82.185195660000005</v>
      </c>
      <c r="EG66" s="28">
        <v>-20.610003990000003</v>
      </c>
      <c r="EH66" s="28">
        <v>-20.635879689999996</v>
      </c>
      <c r="EI66" s="28">
        <v>-20.811879000000001</v>
      </c>
    </row>
    <row r="67" spans="1:139" ht="15" thickTop="1" x14ac:dyDescent="0.3">
      <c r="A67" s="1" t="s">
        <v>456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f t="shared" si="159"/>
        <v>0</v>
      </c>
      <c r="CX67" s="27">
        <v>0</v>
      </c>
      <c r="CY67" s="27">
        <v>0</v>
      </c>
      <c r="CZ67" s="27">
        <v>-2.0230000000000001</v>
      </c>
      <c r="DA67" s="27">
        <v>-4.0720000000000001</v>
      </c>
      <c r="DB67" s="27">
        <f t="shared" si="160"/>
        <v>-6.0950000000000006</v>
      </c>
      <c r="DC67" s="27">
        <v>-4.0060000000000002</v>
      </c>
      <c r="DD67" s="27">
        <v>-4.07</v>
      </c>
      <c r="DE67" s="27">
        <v>-4.0910000000000002</v>
      </c>
      <c r="DF67" s="27">
        <v>-3.294</v>
      </c>
      <c r="DG67" s="27">
        <f t="shared" si="161"/>
        <v>-15.461000000000002</v>
      </c>
      <c r="DH67" s="27">
        <v>-2.6869999999999998</v>
      </c>
      <c r="DI67" s="27">
        <v>-2.0470000000000002</v>
      </c>
      <c r="DJ67" s="27">
        <v>-2.2519999999999998</v>
      </c>
      <c r="DK67" s="27">
        <v>-1.554</v>
      </c>
      <c r="DL67" s="27">
        <f t="shared" si="162"/>
        <v>-8.5399999999999991</v>
      </c>
      <c r="DM67" s="27">
        <v>-1.6319999999999999</v>
      </c>
      <c r="DN67" s="27">
        <v>-2.4830000000000001</v>
      </c>
      <c r="DO67" s="27">
        <v>-2.891</v>
      </c>
      <c r="DP67" s="27">
        <v>-3.0979999999999999</v>
      </c>
      <c r="DQ67" s="27">
        <f t="shared" si="163"/>
        <v>-10.103999999999999</v>
      </c>
      <c r="DR67" s="27">
        <v>-4.1399999999999997</v>
      </c>
      <c r="DS67" s="27">
        <v>-5.6719999999999997</v>
      </c>
      <c r="DT67" s="27">
        <v>-5.4</v>
      </c>
      <c r="DU67" s="27">
        <v>-5.4089999999999998</v>
      </c>
      <c r="DV67" s="27">
        <f t="shared" si="164"/>
        <v>-20.620999999999999</v>
      </c>
      <c r="DW67" s="27">
        <v>-6.97</v>
      </c>
      <c r="DX67" s="27">
        <v>-7.2019270000000004</v>
      </c>
      <c r="DY67" s="27">
        <v>-11.907273699999998</v>
      </c>
      <c r="DZ67" s="27">
        <v>-16.992492070000001</v>
      </c>
      <c r="EA67" s="27">
        <f t="shared" si="165"/>
        <v>-43.071692769999999</v>
      </c>
      <c r="EB67" s="27">
        <v>-17.527707190000001</v>
      </c>
      <c r="EC67" s="27">
        <v>-17.272521620000003</v>
      </c>
      <c r="ED67" s="27">
        <v>-20.036000000000001</v>
      </c>
      <c r="EE67" s="27">
        <v>-21.336398049999996</v>
      </c>
      <c r="EF67" s="27">
        <f t="shared" si="166"/>
        <v>-76.172626860000008</v>
      </c>
      <c r="EG67" s="27">
        <v>-20.874476310000002</v>
      </c>
      <c r="EH67" s="27">
        <v>-20.990321590000001</v>
      </c>
      <c r="EI67" s="27">
        <v>-24.052960489999997</v>
      </c>
    </row>
    <row r="68" spans="1:139" ht="15" thickBot="1" x14ac:dyDescent="0.35">
      <c r="A68" s="2" t="s">
        <v>446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f t="shared" si="159"/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f t="shared" si="160"/>
        <v>0</v>
      </c>
      <c r="DC68" s="28">
        <v>0</v>
      </c>
      <c r="DD68" s="28">
        <v>0</v>
      </c>
      <c r="DE68" s="28">
        <v>0</v>
      </c>
      <c r="DF68" s="28">
        <v>0</v>
      </c>
      <c r="DG68" s="28">
        <f t="shared" si="161"/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f t="shared" si="162"/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f t="shared" si="163"/>
        <v>0</v>
      </c>
      <c r="DR68" s="28">
        <f t="shared" ref="DR68:DS70" si="167">(SUM(DN68:DQ68))*-1</f>
        <v>0</v>
      </c>
      <c r="DS68" s="28">
        <f t="shared" si="167"/>
        <v>0</v>
      </c>
      <c r="DT68" s="28">
        <v>-1.1990000000000001</v>
      </c>
      <c r="DU68" s="28">
        <v>-6.3220000000000001</v>
      </c>
      <c r="DV68" s="28">
        <f t="shared" si="164"/>
        <v>-7.5209999999999999</v>
      </c>
      <c r="DW68" s="28">
        <v>-6.65</v>
      </c>
      <c r="DX68" s="28">
        <v>-6.9054729999999998</v>
      </c>
      <c r="DY68" s="28">
        <v>-8.6107367400000019</v>
      </c>
      <c r="DZ68" s="28">
        <v>-10.081655209999999</v>
      </c>
      <c r="EA68" s="28">
        <f t="shared" si="165"/>
        <v>-32.24786495</v>
      </c>
      <c r="EB68" s="28">
        <v>-10.573406589999999</v>
      </c>
      <c r="EC68" s="28">
        <v>-11.176932989999999</v>
      </c>
      <c r="ED68" s="28">
        <v>-12.042</v>
      </c>
      <c r="EE68" s="28">
        <v>-13.486526279999996</v>
      </c>
      <c r="EF68" s="28">
        <f t="shared" si="166"/>
        <v>-47.278865859999996</v>
      </c>
      <c r="EG68" s="28">
        <v>-12.923234569999998</v>
      </c>
      <c r="EH68" s="28">
        <v>-12.871024720000001</v>
      </c>
      <c r="EI68" s="28">
        <v>-13.708481919999999</v>
      </c>
    </row>
    <row r="69" spans="1:139" ht="15" thickTop="1" x14ac:dyDescent="0.3">
      <c r="A69" s="1" t="s">
        <v>447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f t="shared" si="159"/>
        <v>0</v>
      </c>
      <c r="CX69" s="27">
        <v>0</v>
      </c>
      <c r="CY69" s="27">
        <v>0</v>
      </c>
      <c r="CZ69" s="27">
        <v>0</v>
      </c>
      <c r="DA69" s="27">
        <v>0</v>
      </c>
      <c r="DB69" s="27">
        <f t="shared" si="160"/>
        <v>0</v>
      </c>
      <c r="DC69" s="27">
        <v>0</v>
      </c>
      <c r="DD69" s="27">
        <v>0</v>
      </c>
      <c r="DE69" s="27">
        <v>0</v>
      </c>
      <c r="DF69" s="27">
        <v>0</v>
      </c>
      <c r="DG69" s="27">
        <f t="shared" si="161"/>
        <v>0</v>
      </c>
      <c r="DH69" s="27">
        <v>0</v>
      </c>
      <c r="DI69" s="27">
        <v>0</v>
      </c>
      <c r="DJ69" s="27">
        <v>0</v>
      </c>
      <c r="DK69" s="27">
        <v>0</v>
      </c>
      <c r="DL69" s="27">
        <f t="shared" si="162"/>
        <v>0</v>
      </c>
      <c r="DM69" s="27">
        <v>0</v>
      </c>
      <c r="DN69" s="27">
        <v>0</v>
      </c>
      <c r="DO69" s="27">
        <v>0</v>
      </c>
      <c r="DP69" s="27">
        <v>0</v>
      </c>
      <c r="DQ69" s="27">
        <f t="shared" si="163"/>
        <v>0</v>
      </c>
      <c r="DR69" s="27">
        <f t="shared" si="167"/>
        <v>0</v>
      </c>
      <c r="DS69" s="27">
        <f t="shared" si="167"/>
        <v>0</v>
      </c>
      <c r="DT69" s="27">
        <v>-11.43</v>
      </c>
      <c r="DU69" s="27">
        <v>-9.8460000000000001</v>
      </c>
      <c r="DV69" s="27">
        <f t="shared" si="164"/>
        <v>-21.276</v>
      </c>
      <c r="DW69" s="27">
        <v>-9.9979999999999993</v>
      </c>
      <c r="DX69" s="27">
        <v>-10.172739</v>
      </c>
      <c r="DY69" s="27">
        <v>-13.455547209999997</v>
      </c>
      <c r="DZ69" s="27">
        <v>-17.070709010000002</v>
      </c>
      <c r="EA69" s="27">
        <f t="shared" si="165"/>
        <v>-50.696995219999998</v>
      </c>
      <c r="EB69" s="27">
        <v>-19.60902252</v>
      </c>
      <c r="EC69" s="27">
        <v>-19.869952480000002</v>
      </c>
      <c r="ED69" s="27">
        <v>-23.477</v>
      </c>
      <c r="EE69" s="27">
        <v>-27.952230480000004</v>
      </c>
      <c r="EF69" s="27">
        <f t="shared" si="166"/>
        <v>-90.908205480000021</v>
      </c>
      <c r="EG69" s="27">
        <v>-27.413901709999998</v>
      </c>
      <c r="EH69" s="27">
        <v>-28.440427029999999</v>
      </c>
      <c r="EI69" s="27">
        <v>-30.979663980000005</v>
      </c>
    </row>
    <row r="70" spans="1:139" ht="15" thickBot="1" x14ac:dyDescent="0.35">
      <c r="A70" s="2" t="s">
        <v>455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8">
        <v>0</v>
      </c>
      <c r="BS70" s="28">
        <v>0</v>
      </c>
      <c r="BT70" s="28">
        <v>0</v>
      </c>
      <c r="BU70" s="28">
        <v>0</v>
      </c>
      <c r="BV70" s="28">
        <v>0</v>
      </c>
      <c r="BW70" s="28">
        <v>0</v>
      </c>
      <c r="BX70" s="28">
        <v>0</v>
      </c>
      <c r="BY70" s="28">
        <v>0</v>
      </c>
      <c r="BZ70" s="28">
        <v>0</v>
      </c>
      <c r="CA70" s="28">
        <v>0</v>
      </c>
      <c r="CB70" s="28">
        <v>0</v>
      </c>
      <c r="CC70" s="28">
        <v>0</v>
      </c>
      <c r="CD70" s="28">
        <v>0</v>
      </c>
      <c r="CE70" s="28">
        <v>0</v>
      </c>
      <c r="CF70" s="28">
        <v>0</v>
      </c>
      <c r="CG70" s="28">
        <v>0</v>
      </c>
      <c r="CH70" s="28">
        <v>0</v>
      </c>
      <c r="CI70" s="28">
        <v>0</v>
      </c>
      <c r="CJ70" s="28">
        <v>0</v>
      </c>
      <c r="CK70" s="28">
        <v>0</v>
      </c>
      <c r="CL70" s="28">
        <v>0</v>
      </c>
      <c r="CM70" s="28">
        <v>0</v>
      </c>
      <c r="CN70" s="28">
        <v>0</v>
      </c>
      <c r="CO70" s="28">
        <v>0</v>
      </c>
      <c r="CP70" s="28">
        <v>0</v>
      </c>
      <c r="CQ70" s="28">
        <v>0</v>
      </c>
      <c r="CR70" s="28">
        <v>0</v>
      </c>
      <c r="CS70" s="28">
        <v>0</v>
      </c>
      <c r="CT70" s="28">
        <v>0</v>
      </c>
      <c r="CU70" s="28">
        <v>0</v>
      </c>
      <c r="CV70" s="28">
        <v>0</v>
      </c>
      <c r="CW70" s="28">
        <f t="shared" si="159"/>
        <v>0</v>
      </c>
      <c r="CX70" s="28">
        <v>0</v>
      </c>
      <c r="CY70" s="28">
        <v>0</v>
      </c>
      <c r="CZ70" s="28">
        <v>0</v>
      </c>
      <c r="DA70" s="28">
        <v>0</v>
      </c>
      <c r="DB70" s="28">
        <f t="shared" si="160"/>
        <v>0</v>
      </c>
      <c r="DC70" s="28">
        <v>0</v>
      </c>
      <c r="DD70" s="28">
        <v>0</v>
      </c>
      <c r="DE70" s="28">
        <v>0</v>
      </c>
      <c r="DF70" s="28">
        <v>0</v>
      </c>
      <c r="DG70" s="28">
        <f t="shared" si="161"/>
        <v>0</v>
      </c>
      <c r="DH70" s="28">
        <v>0</v>
      </c>
      <c r="DI70" s="28">
        <v>0</v>
      </c>
      <c r="DJ70" s="28">
        <v>0</v>
      </c>
      <c r="DK70" s="28">
        <v>0</v>
      </c>
      <c r="DL70" s="28">
        <f t="shared" si="162"/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f t="shared" si="163"/>
        <v>0</v>
      </c>
      <c r="DR70" s="28">
        <f t="shared" si="167"/>
        <v>0</v>
      </c>
      <c r="DS70" s="28">
        <f t="shared" si="167"/>
        <v>0</v>
      </c>
      <c r="DT70" s="28">
        <f>(SUM(DP70:DS70))*-1</f>
        <v>0</v>
      </c>
      <c r="DU70" s="28">
        <v>0</v>
      </c>
      <c r="DV70" s="28">
        <f t="shared" si="164"/>
        <v>0</v>
      </c>
      <c r="DW70" s="28">
        <v>0</v>
      </c>
      <c r="DX70" s="28">
        <v>-4.1349999999999998E-3</v>
      </c>
      <c r="DY70" s="28">
        <v>-2.2508304700000004</v>
      </c>
      <c r="DZ70" s="28">
        <v>-13.627500769999999</v>
      </c>
      <c r="EA70" s="28">
        <f t="shared" si="165"/>
        <v>-15.882466239999999</v>
      </c>
      <c r="EB70" s="28">
        <v>-13.064179810000001</v>
      </c>
      <c r="EC70" s="28">
        <v>-21.735539579999994</v>
      </c>
      <c r="ED70" s="28">
        <v>-25.509</v>
      </c>
      <c r="EE70" s="28">
        <v>-28.191499850000003</v>
      </c>
      <c r="EF70" s="28">
        <f t="shared" si="166"/>
        <v>-88.500219239999993</v>
      </c>
      <c r="EG70" s="28">
        <v>-31.976306189999999</v>
      </c>
      <c r="EH70" s="28">
        <v>-28.519463440000003</v>
      </c>
      <c r="EI70" s="28">
        <v>-31.420091610000004</v>
      </c>
    </row>
    <row r="71" spans="1:139" ht="15" thickTop="1" x14ac:dyDescent="0.3">
      <c r="A71" s="1" t="s">
        <v>449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0</v>
      </c>
      <c r="CZ71" s="27">
        <v>0</v>
      </c>
      <c r="DA71" s="27">
        <v>0</v>
      </c>
      <c r="DB71" s="27">
        <v>0</v>
      </c>
      <c r="DC71" s="27">
        <v>0</v>
      </c>
      <c r="DD71" s="27">
        <v>0</v>
      </c>
      <c r="DE71" s="27">
        <v>0</v>
      </c>
      <c r="DF71" s="27">
        <v>0</v>
      </c>
      <c r="DG71" s="27">
        <v>0</v>
      </c>
      <c r="DH71" s="27">
        <v>0</v>
      </c>
      <c r="DI71" s="27">
        <v>0</v>
      </c>
      <c r="DJ71" s="27">
        <v>0</v>
      </c>
      <c r="DK71" s="27">
        <v>0</v>
      </c>
      <c r="DL71" s="27">
        <v>0</v>
      </c>
      <c r="DM71" s="27">
        <v>0</v>
      </c>
      <c r="DN71" s="27">
        <v>0</v>
      </c>
      <c r="DO71" s="27">
        <v>0</v>
      </c>
      <c r="DP71" s="27">
        <v>0</v>
      </c>
      <c r="DQ71" s="27">
        <v>0</v>
      </c>
      <c r="DR71" s="27">
        <v>0</v>
      </c>
      <c r="DS71" s="27">
        <v>0</v>
      </c>
      <c r="DT71" s="27">
        <v>0</v>
      </c>
      <c r="DU71" s="27">
        <v>0</v>
      </c>
      <c r="DV71" s="27">
        <v>0</v>
      </c>
      <c r="DW71" s="27">
        <v>0</v>
      </c>
      <c r="DX71" s="27">
        <v>-50.060132000000003</v>
      </c>
      <c r="DY71" s="27">
        <v>-56.11679625</v>
      </c>
      <c r="DZ71" s="27">
        <v>-50.720344570000002</v>
      </c>
      <c r="EA71" s="27">
        <f t="shared" si="165"/>
        <v>-156.89727282000001</v>
      </c>
      <c r="EB71" s="27">
        <v>-70.39438389</v>
      </c>
      <c r="EC71" s="27">
        <v>-67.625470079999985</v>
      </c>
      <c r="ED71" s="27">
        <v>-73.239999999999995</v>
      </c>
      <c r="EE71" s="27">
        <v>-71.192007299999986</v>
      </c>
      <c r="EF71" s="27">
        <f t="shared" si="166"/>
        <v>-282.45186126999999</v>
      </c>
      <c r="EG71" s="27">
        <v>-79.419731599999992</v>
      </c>
      <c r="EH71" s="27">
        <v>-85.464622869999985</v>
      </c>
      <c r="EI71" s="27">
        <v>-90.707055460000021</v>
      </c>
    </row>
    <row r="72" spans="1:139" ht="15" thickBot="1" x14ac:dyDescent="0.35">
      <c r="A72" s="2" t="s">
        <v>460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>
        <v>-11.78652035</v>
      </c>
      <c r="EH72" s="28">
        <v>-43.405689240000001</v>
      </c>
      <c r="EI72" s="28">
        <v>-48.796771849999999</v>
      </c>
    </row>
    <row r="73" spans="1:139" ht="15" thickTop="1" x14ac:dyDescent="0.3">
      <c r="A73" s="1" t="s">
        <v>304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27">
        <v>0</v>
      </c>
      <c r="BK73" s="27">
        <v>0</v>
      </c>
      <c r="BL73" s="27">
        <v>0</v>
      </c>
      <c r="BM73" s="27">
        <v>0</v>
      </c>
      <c r="BN73" s="27">
        <f>SUM(BJ73:BM73)</f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f>SUM(BO73:BR73)</f>
        <v>0</v>
      </c>
      <c r="BT73" s="27">
        <v>0</v>
      </c>
      <c r="BU73" s="27">
        <v>-0.68161961999999987</v>
      </c>
      <c r="BV73" s="27">
        <f>(25-BU73)*-1</f>
        <v>-25.681619619999999</v>
      </c>
      <c r="BW73" s="27">
        <f>(40.5-BV73-BU73)*-1</f>
        <v>-66.863239239999999</v>
      </c>
      <c r="BX73" s="27">
        <f>SUM(BT73:BW73)</f>
        <v>-93.226478479999997</v>
      </c>
      <c r="BY73" s="27">
        <v>-14.51342309</v>
      </c>
      <c r="BZ73" s="27">
        <v>-16.754232909999999</v>
      </c>
      <c r="CA73" s="27">
        <v>-17.172079830000001</v>
      </c>
      <c r="CB73" s="27">
        <v>-18.798905309999995</v>
      </c>
      <c r="CC73" s="27">
        <f>SUM(BY73:CB73)</f>
        <v>-67.238641139999999</v>
      </c>
      <c r="CD73" s="27">
        <v>-19.532807860000002</v>
      </c>
      <c r="CE73" s="27">
        <v>-19.323540770000001</v>
      </c>
      <c r="CF73" s="27">
        <v>-18.304417429999994</v>
      </c>
      <c r="CG73" s="27">
        <v>-19.289225380000012</v>
      </c>
      <c r="CH73" s="27">
        <f>SUM(CD73:CG73)</f>
        <v>-76.449991440000005</v>
      </c>
      <c r="CI73" s="27">
        <v>-19.978681320000003</v>
      </c>
      <c r="CJ73" s="27">
        <v>-14.737509570000004</v>
      </c>
      <c r="CK73" s="27">
        <v>-19.04048791</v>
      </c>
      <c r="CL73" s="27">
        <v>-15.434373379999997</v>
      </c>
      <c r="CM73" s="27">
        <f>SUM(CI73:CL73)</f>
        <v>-69.19105218</v>
      </c>
      <c r="CN73" s="27">
        <v>-19.430768710000002</v>
      </c>
      <c r="CO73" s="27">
        <v>-19.448255020000001</v>
      </c>
      <c r="CP73" s="27">
        <v>-15.567908249999995</v>
      </c>
      <c r="CQ73" s="27">
        <v>-15.193068020000005</v>
      </c>
      <c r="CR73" s="27">
        <f>SUM(CN73:CQ73)</f>
        <v>-69.64</v>
      </c>
      <c r="CS73" s="27">
        <v>-14.837616429999999</v>
      </c>
      <c r="CT73" s="27">
        <v>-12.569010690000002</v>
      </c>
      <c r="CU73" s="27">
        <v>-7.6152900300000015</v>
      </c>
      <c r="CV73" s="27">
        <v>-6.633579799999997</v>
      </c>
      <c r="CW73" s="27">
        <f>SUM(CS73:CV73)</f>
        <v>-41.655496950000007</v>
      </c>
      <c r="CX73" s="27">
        <v>-6.194</v>
      </c>
      <c r="CY73" s="27">
        <v>-6.1109999999999998</v>
      </c>
      <c r="CZ73" s="27">
        <v>-3.65</v>
      </c>
      <c r="DA73" s="27">
        <v>-3.6949999999999998</v>
      </c>
      <c r="DB73" s="27">
        <f>SUM(CX73:DA73)</f>
        <v>-19.649999999999999</v>
      </c>
      <c r="DC73" s="27">
        <v>-3.5270000000000001</v>
      </c>
      <c r="DD73" s="27">
        <v>-3.3860000000000001</v>
      </c>
      <c r="DE73" s="27">
        <v>-3.6819999999999999</v>
      </c>
      <c r="DF73" s="27">
        <v>-4.2869999999999999</v>
      </c>
      <c r="DG73" s="27">
        <f t="shared" ref="DG73:DG81" si="168">SUM(DC73:DF73)</f>
        <v>-14.882000000000001</v>
      </c>
      <c r="DH73" s="27">
        <v>-2.9420000000000002</v>
      </c>
      <c r="DI73" s="27">
        <v>-2.4039999999999999</v>
      </c>
      <c r="DJ73" s="27">
        <v>-1.726</v>
      </c>
      <c r="DK73" s="27">
        <v>-1.603</v>
      </c>
      <c r="DL73" s="27">
        <f t="shared" ref="DL73:DL81" si="169">SUM(DH73:DK73)</f>
        <v>-8.6750000000000007</v>
      </c>
      <c r="DM73" s="27">
        <v>-1.5820000000000001</v>
      </c>
      <c r="DN73" s="27">
        <v>-1.99</v>
      </c>
      <c r="DO73" s="27">
        <v>-1.2</v>
      </c>
      <c r="DP73" s="27">
        <v>-1.3839999999999999</v>
      </c>
      <c r="DQ73" s="27">
        <f t="shared" ref="DQ73:DQ81" si="170">SUM(DM73:DP73)</f>
        <v>-6.1560000000000006</v>
      </c>
      <c r="DR73" s="27">
        <v>0</v>
      </c>
      <c r="DS73" s="27">
        <v>0</v>
      </c>
      <c r="DT73" s="27">
        <v>0</v>
      </c>
      <c r="DU73" s="27">
        <v>0</v>
      </c>
      <c r="DV73" s="27">
        <f t="shared" ref="DV73:DV81" si="171">SUM(DR73:DU73)</f>
        <v>0</v>
      </c>
      <c r="DW73" s="27">
        <v>0</v>
      </c>
      <c r="DX73" s="27">
        <v>-1.561763</v>
      </c>
      <c r="DY73" s="27">
        <v>-2.8711000000033527E-4</v>
      </c>
      <c r="DZ73" s="27">
        <v>0</v>
      </c>
      <c r="EA73" s="27">
        <f t="shared" ref="EA73:EA81" si="172">SUM(DW73:DZ73)</f>
        <v>-1.5620501100000004</v>
      </c>
      <c r="EB73" s="27">
        <v>0</v>
      </c>
      <c r="EC73" s="27">
        <v>-5.3922800000000002E-3</v>
      </c>
      <c r="ED73" s="27">
        <v>-5.0000000000000001E-3</v>
      </c>
      <c r="EE73" s="27">
        <v>-6.3155820000000001E-2</v>
      </c>
      <c r="EF73" s="27">
        <f t="shared" si="166"/>
        <v>-7.3548100000000005E-2</v>
      </c>
      <c r="EG73" s="27">
        <v>-6.9448619999999989E-2</v>
      </c>
      <c r="EH73" s="27">
        <v>-0.12878069999999997</v>
      </c>
      <c r="EI73" s="27">
        <v>-0.24541692000000004</v>
      </c>
    </row>
    <row r="74" spans="1:139" ht="15" thickBot="1" x14ac:dyDescent="0.35">
      <c r="A74" s="2" t="s">
        <v>305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8">
        <v>0</v>
      </c>
      <c r="BS74" s="28">
        <v>0</v>
      </c>
      <c r="BT74" s="28">
        <v>0</v>
      </c>
      <c r="BU74" s="28">
        <v>0</v>
      </c>
      <c r="BV74" s="28">
        <v>0</v>
      </c>
      <c r="BW74" s="28">
        <v>0</v>
      </c>
      <c r="BX74" s="28">
        <v>0</v>
      </c>
      <c r="BY74" s="28">
        <v>0</v>
      </c>
      <c r="BZ74" s="28">
        <v>0</v>
      </c>
      <c r="CA74" s="28">
        <v>0</v>
      </c>
      <c r="CB74" s="28">
        <v>0</v>
      </c>
      <c r="CC74" s="28">
        <v>0</v>
      </c>
      <c r="CD74" s="28">
        <v>0</v>
      </c>
      <c r="CE74" s="28">
        <v>0</v>
      </c>
      <c r="CF74" s="28">
        <v>0</v>
      </c>
      <c r="CG74" s="28">
        <v>0</v>
      </c>
      <c r="CH74" s="28">
        <v>0</v>
      </c>
      <c r="CI74" s="28">
        <v>0</v>
      </c>
      <c r="CJ74" s="28">
        <v>0</v>
      </c>
      <c r="CK74" s="28">
        <v>0</v>
      </c>
      <c r="CL74" s="28">
        <v>0</v>
      </c>
      <c r="CM74" s="28">
        <v>0</v>
      </c>
      <c r="CN74" s="28">
        <v>0</v>
      </c>
      <c r="CO74" s="28">
        <v>0</v>
      </c>
      <c r="CP74" s="28">
        <v>0</v>
      </c>
      <c r="CQ74" s="28">
        <v>0</v>
      </c>
      <c r="CR74" s="28">
        <v>0</v>
      </c>
      <c r="CS74" s="28">
        <v>0</v>
      </c>
      <c r="CT74" s="28">
        <v>0</v>
      </c>
      <c r="CU74" s="28">
        <v>0</v>
      </c>
      <c r="CV74" s="28">
        <v>0</v>
      </c>
      <c r="CW74" s="28">
        <v>0</v>
      </c>
      <c r="CX74" s="28">
        <v>0</v>
      </c>
      <c r="CY74" s="28">
        <v>0</v>
      </c>
      <c r="CZ74" s="28">
        <v>0</v>
      </c>
      <c r="DA74" s="28">
        <v>0</v>
      </c>
      <c r="DB74" s="28">
        <v>0</v>
      </c>
      <c r="DC74" s="28">
        <v>0</v>
      </c>
      <c r="DD74" s="28">
        <v>0</v>
      </c>
      <c r="DE74" s="28">
        <v>0</v>
      </c>
      <c r="DF74" s="28">
        <v>0</v>
      </c>
      <c r="DG74" s="28">
        <f t="shared" si="168"/>
        <v>0</v>
      </c>
      <c r="DH74" s="28">
        <v>0</v>
      </c>
      <c r="DI74" s="28">
        <v>0</v>
      </c>
      <c r="DJ74" s="28">
        <v>0</v>
      </c>
      <c r="DK74" s="28">
        <v>0</v>
      </c>
      <c r="DL74" s="28">
        <f t="shared" si="169"/>
        <v>0</v>
      </c>
      <c r="DM74" s="28">
        <v>0</v>
      </c>
      <c r="DN74" s="28">
        <v>0</v>
      </c>
      <c r="DO74" s="28">
        <v>0</v>
      </c>
      <c r="DP74" s="28">
        <v>0</v>
      </c>
      <c r="DQ74" s="28">
        <f t="shared" si="170"/>
        <v>0</v>
      </c>
      <c r="DR74" s="28">
        <v>0</v>
      </c>
      <c r="DS74" s="28">
        <v>0</v>
      </c>
      <c r="DT74" s="28">
        <v>0</v>
      </c>
      <c r="DU74" s="28">
        <v>0</v>
      </c>
      <c r="DV74" s="28">
        <f t="shared" si="171"/>
        <v>0</v>
      </c>
      <c r="DW74" s="28">
        <v>0</v>
      </c>
      <c r="DX74" s="28">
        <v>0</v>
      </c>
      <c r="DY74" s="28">
        <v>0</v>
      </c>
      <c r="DZ74" s="28">
        <v>0</v>
      </c>
      <c r="EA74" s="28">
        <f t="shared" si="172"/>
        <v>0</v>
      </c>
      <c r="EB74" s="28">
        <v>0</v>
      </c>
      <c r="EC74" s="28">
        <v>0</v>
      </c>
      <c r="ED74" s="28">
        <v>0</v>
      </c>
      <c r="EE74" s="28">
        <v>-4.7724999999999998E-3</v>
      </c>
      <c r="EF74" s="28">
        <f t="shared" si="166"/>
        <v>-4.7724999999999998E-3</v>
      </c>
      <c r="EG74" s="28">
        <v>-1.15547E-3</v>
      </c>
      <c r="EH74" s="28">
        <v>-3.2397100000000002E-3</v>
      </c>
      <c r="EI74" s="28">
        <v>-7.2260299999999987E-3</v>
      </c>
    </row>
    <row r="75" spans="1:139" ht="15" thickTop="1" x14ac:dyDescent="0.3">
      <c r="A75" s="1" t="s">
        <v>306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27">
        <v>-14.312989289999999</v>
      </c>
      <c r="BK75" s="27">
        <v>-15.749011340000001</v>
      </c>
      <c r="BL75" s="27">
        <v>-16.80265936</v>
      </c>
      <c r="BM75" s="27">
        <v>-17.26654328</v>
      </c>
      <c r="BN75" s="27">
        <f>SUM(BJ75:BM75)</f>
        <v>-64.13120327</v>
      </c>
      <c r="BO75" s="27">
        <v>-17.700237279999996</v>
      </c>
      <c r="BP75" s="27">
        <v>-16.824440150000001</v>
      </c>
      <c r="BQ75" s="27">
        <v>-16.319071650000005</v>
      </c>
      <c r="BR75" s="27">
        <v>-13.548059470000005</v>
      </c>
      <c r="BS75" s="27">
        <f>SUM(BO75:BR75)</f>
        <v>-64.391808550000007</v>
      </c>
      <c r="BT75" s="27">
        <v>-11.521564270000001</v>
      </c>
      <c r="BU75" s="27">
        <v>-12.219245799999998</v>
      </c>
      <c r="BV75" s="27">
        <v>-5.0785065400000047</v>
      </c>
      <c r="BW75" s="27">
        <v>-15.088320889999997</v>
      </c>
      <c r="BX75" s="27">
        <f>SUM(BT75:BW75)</f>
        <v>-43.9076375</v>
      </c>
      <c r="BY75" s="27">
        <v>-14.476149509999999</v>
      </c>
      <c r="BZ75" s="27">
        <v>-9.9578532300000013</v>
      </c>
      <c r="CA75" s="27">
        <v>-14.042981710000003</v>
      </c>
      <c r="CB75" s="27">
        <v>-14.015204280000003</v>
      </c>
      <c r="CC75" s="27">
        <f>SUM(BY75:CB75)</f>
        <v>-52.492188730000009</v>
      </c>
      <c r="CD75" s="27">
        <v>-14.24135236</v>
      </c>
      <c r="CE75" s="27">
        <v>-14.793164679999997</v>
      </c>
      <c r="CF75" s="27">
        <v>-16.143115879999996</v>
      </c>
      <c r="CG75" s="27">
        <v>-15.845353220000007</v>
      </c>
      <c r="CH75" s="27">
        <f>SUM(CD75:CG75)</f>
        <v>-61.02298614</v>
      </c>
      <c r="CI75" s="27">
        <v>-16.005282659999999</v>
      </c>
      <c r="CJ75" s="27">
        <v>-16.841297250000004</v>
      </c>
      <c r="CK75" s="27">
        <v>-18.81195915</v>
      </c>
      <c r="CL75" s="27">
        <v>-19.941515630000005</v>
      </c>
      <c r="CM75" s="27">
        <f>SUM(CI75:CL75)</f>
        <v>-71.600054690000007</v>
      </c>
      <c r="CN75" s="27">
        <v>-22.855278680000001</v>
      </c>
      <c r="CO75" s="27">
        <v>-23.919180899999997</v>
      </c>
      <c r="CP75" s="27">
        <v>-38.528705060000007</v>
      </c>
      <c r="CQ75" s="27">
        <v>-43.814835359999989</v>
      </c>
      <c r="CR75" s="27">
        <f>SUM(CN75:CQ75)</f>
        <v>-129.11799999999999</v>
      </c>
      <c r="CS75" s="27">
        <v>-43.788965879999999</v>
      </c>
      <c r="CT75" s="27">
        <v>-38.360735609999992</v>
      </c>
      <c r="CU75" s="27">
        <v>-52.811629149999995</v>
      </c>
      <c r="CV75" s="27">
        <v>-39.604996060000005</v>
      </c>
      <c r="CW75" s="27">
        <f>SUM(CS75:CV75)</f>
        <v>-174.56632669999999</v>
      </c>
      <c r="CX75" s="27">
        <v>-53.622</v>
      </c>
      <c r="CY75" s="27">
        <v>-41.503999999999998</v>
      </c>
      <c r="CZ75" s="27">
        <v>-49.061</v>
      </c>
      <c r="DA75" s="27">
        <v>-9.6029999999999998</v>
      </c>
      <c r="DB75" s="27">
        <f t="shared" ref="DB75:DB81" si="173">SUM(CX75:DA75)</f>
        <v>-153.79000000000002</v>
      </c>
      <c r="DC75" s="27">
        <v>-39.972000000000001</v>
      </c>
      <c r="DD75" s="27">
        <v>-49.741</v>
      </c>
      <c r="DE75" s="27">
        <v>-65.387</v>
      </c>
      <c r="DF75" s="27">
        <v>-53.546999999999997</v>
      </c>
      <c r="DG75" s="27">
        <f t="shared" si="168"/>
        <v>-208.64699999999999</v>
      </c>
      <c r="DH75" s="27">
        <v>-46.225000000000001</v>
      </c>
      <c r="DI75" s="27">
        <v>-38.456000000000003</v>
      </c>
      <c r="DJ75" s="27">
        <v>-47.795999999999999</v>
      </c>
      <c r="DK75" s="27">
        <v>-45.064</v>
      </c>
      <c r="DL75" s="27">
        <f t="shared" si="169"/>
        <v>-177.541</v>
      </c>
      <c r="DM75" s="27">
        <v>-43.914000000000001</v>
      </c>
      <c r="DN75" s="27">
        <v>-54.756999999999998</v>
      </c>
      <c r="DO75" s="27">
        <v>-70.888000000000005</v>
      </c>
      <c r="DP75" s="27">
        <v>-85.194000000000003</v>
      </c>
      <c r="DQ75" s="27">
        <f t="shared" si="170"/>
        <v>-254.75299999999999</v>
      </c>
      <c r="DR75" s="27">
        <v>-99.369</v>
      </c>
      <c r="DS75" s="27">
        <v>-115.922</v>
      </c>
      <c r="DT75" s="27">
        <v>-140.221</v>
      </c>
      <c r="DU75" s="27">
        <v>-141.69900000000001</v>
      </c>
      <c r="DV75" s="27">
        <f t="shared" si="171"/>
        <v>-497.21100000000001</v>
      </c>
      <c r="DW75" s="27">
        <v>-137.69499999999999</v>
      </c>
      <c r="DX75" s="27">
        <v>-135.286835</v>
      </c>
      <c r="DY75" s="27">
        <v>-122.14170156000002</v>
      </c>
      <c r="DZ75" s="27">
        <v>-128.33710209999998</v>
      </c>
      <c r="EA75" s="27">
        <f t="shared" si="172"/>
        <v>-523.46063865999997</v>
      </c>
      <c r="EB75" s="27">
        <v>-133.65785194</v>
      </c>
      <c r="EC75" s="27">
        <v>-109.99794283999999</v>
      </c>
      <c r="ED75" s="27">
        <v>-144.376</v>
      </c>
      <c r="EE75" s="27">
        <v>-138.47778547999997</v>
      </c>
      <c r="EF75" s="27">
        <f t="shared" si="166"/>
        <v>-526.50958026000001</v>
      </c>
      <c r="EG75" s="27">
        <v>-136.09607735999998</v>
      </c>
      <c r="EH75" s="27">
        <v>-183.10497402000004</v>
      </c>
      <c r="EI75" s="27">
        <v>-202.19424464999994</v>
      </c>
    </row>
    <row r="76" spans="1:139" ht="15" thickBot="1" x14ac:dyDescent="0.35">
      <c r="A76" s="2" t="s">
        <v>323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8">
        <v>0</v>
      </c>
      <c r="BS76" s="28">
        <v>0</v>
      </c>
      <c r="BT76" s="28">
        <v>0</v>
      </c>
      <c r="BU76" s="28">
        <v>0</v>
      </c>
      <c r="BV76" s="28">
        <v>0</v>
      </c>
      <c r="BW76" s="28">
        <v>0</v>
      </c>
      <c r="BX76" s="28">
        <v>0</v>
      </c>
      <c r="BY76" s="28">
        <v>0</v>
      </c>
      <c r="BZ76" s="28">
        <v>0</v>
      </c>
      <c r="CA76" s="28">
        <v>0</v>
      </c>
      <c r="CB76" s="28">
        <v>0</v>
      </c>
      <c r="CC76" s="28">
        <v>0</v>
      </c>
      <c r="CD76" s="28">
        <v>0</v>
      </c>
      <c r="CE76" s="28">
        <v>0</v>
      </c>
      <c r="CF76" s="28">
        <v>0</v>
      </c>
      <c r="CG76" s="28">
        <v>0</v>
      </c>
      <c r="CH76" s="28">
        <v>0</v>
      </c>
      <c r="CI76" s="28">
        <v>0</v>
      </c>
      <c r="CJ76" s="28">
        <v>0</v>
      </c>
      <c r="CK76" s="28">
        <v>0</v>
      </c>
      <c r="CL76" s="28">
        <v>0</v>
      </c>
      <c r="CM76" s="28">
        <v>0</v>
      </c>
      <c r="CN76" s="28">
        <v>0</v>
      </c>
      <c r="CO76" s="28">
        <v>0</v>
      </c>
      <c r="CP76" s="28">
        <v>0</v>
      </c>
      <c r="CQ76" s="28">
        <v>0</v>
      </c>
      <c r="CR76" s="28">
        <v>0</v>
      </c>
      <c r="CS76" s="28">
        <v>0</v>
      </c>
      <c r="CT76" s="28">
        <v>0</v>
      </c>
      <c r="CU76" s="28">
        <v>0</v>
      </c>
      <c r="CV76" s="28">
        <v>0</v>
      </c>
      <c r="CW76" s="28">
        <v>0</v>
      </c>
      <c r="CX76" s="28">
        <v>0</v>
      </c>
      <c r="CY76" s="28">
        <v>0</v>
      </c>
      <c r="CZ76" s="28">
        <v>0</v>
      </c>
      <c r="DA76" s="28">
        <v>0</v>
      </c>
      <c r="DB76" s="28">
        <f t="shared" si="173"/>
        <v>0</v>
      </c>
      <c r="DC76" s="28">
        <v>0</v>
      </c>
      <c r="DD76" s="28">
        <v>-0.36599999999999999</v>
      </c>
      <c r="DE76" s="28">
        <v>-2.1280000000000001</v>
      </c>
      <c r="DF76" s="28">
        <v>-0.81799999999999995</v>
      </c>
      <c r="DG76" s="28">
        <f t="shared" si="168"/>
        <v>-3.3120000000000003</v>
      </c>
      <c r="DH76" s="28">
        <v>0</v>
      </c>
      <c r="DI76" s="28">
        <v>0</v>
      </c>
      <c r="DJ76" s="28">
        <v>0</v>
      </c>
      <c r="DK76" s="28">
        <v>0</v>
      </c>
      <c r="DL76" s="28">
        <f t="shared" si="169"/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f t="shared" si="170"/>
        <v>0</v>
      </c>
      <c r="DR76" s="28">
        <v>0</v>
      </c>
      <c r="DS76" s="28">
        <v>0</v>
      </c>
      <c r="DT76" s="28">
        <v>0</v>
      </c>
      <c r="DU76" s="28">
        <v>0</v>
      </c>
      <c r="DV76" s="28">
        <f t="shared" si="171"/>
        <v>0</v>
      </c>
      <c r="DW76" s="28">
        <v>0</v>
      </c>
      <c r="DX76" s="28">
        <v>0</v>
      </c>
      <c r="DY76" s="28">
        <v>0</v>
      </c>
      <c r="DZ76" s="28">
        <v>0</v>
      </c>
      <c r="EA76" s="28">
        <f t="shared" si="172"/>
        <v>0</v>
      </c>
      <c r="EB76" s="28">
        <v>0</v>
      </c>
      <c r="EC76" s="28">
        <v>0</v>
      </c>
      <c r="ED76" s="28">
        <v>0</v>
      </c>
      <c r="EE76" s="28">
        <v>0</v>
      </c>
      <c r="EF76" s="28">
        <f t="shared" si="166"/>
        <v>0</v>
      </c>
      <c r="EG76" s="28">
        <v>0</v>
      </c>
      <c r="EH76" s="28">
        <v>0</v>
      </c>
      <c r="EI76" s="28">
        <v>0</v>
      </c>
    </row>
    <row r="77" spans="1:139" ht="15" thickTop="1" x14ac:dyDescent="0.3">
      <c r="A77" s="1" t="s">
        <v>322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f t="shared" si="173"/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f t="shared" si="168"/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f t="shared" si="169"/>
        <v>0</v>
      </c>
      <c r="DM77" s="27">
        <v>0</v>
      </c>
      <c r="DN77" s="27">
        <v>0</v>
      </c>
      <c r="DO77" s="27">
        <v>-12.616</v>
      </c>
      <c r="DP77" s="27">
        <v>-26.506</v>
      </c>
      <c r="DQ77" s="27">
        <f t="shared" si="170"/>
        <v>-39.122</v>
      </c>
      <c r="DR77" s="27">
        <v>-24.140999999999998</v>
      </c>
      <c r="DS77" s="27">
        <v>-25.08</v>
      </c>
      <c r="DT77" s="27">
        <v>-25.989000000000001</v>
      </c>
      <c r="DU77" s="27">
        <v>-24.452000000000002</v>
      </c>
      <c r="DV77" s="27">
        <f t="shared" si="171"/>
        <v>-99.661999999999992</v>
      </c>
      <c r="DW77" s="27">
        <v>-27.076000000000001</v>
      </c>
      <c r="DX77" s="27">
        <v>-25.483687</v>
      </c>
      <c r="DY77" s="27">
        <v>-27.140563439999998</v>
      </c>
      <c r="DZ77" s="27">
        <v>-25.732701770000009</v>
      </c>
      <c r="EA77" s="27">
        <f t="shared" si="172"/>
        <v>-105.43295221</v>
      </c>
      <c r="EB77" s="27">
        <v>-26.782797129999999</v>
      </c>
      <c r="EC77" s="27">
        <v>-26.712240809999997</v>
      </c>
      <c r="ED77" s="27">
        <v>-28.515000000000001</v>
      </c>
      <c r="EE77" s="27">
        <v>-26.661012689999996</v>
      </c>
      <c r="EF77" s="27">
        <f t="shared" si="166"/>
        <v>-108.67105062999998</v>
      </c>
      <c r="EG77" s="27">
        <v>-26.852146859999998</v>
      </c>
      <c r="EH77" s="27">
        <v>-25.96758496</v>
      </c>
      <c r="EI77" s="27">
        <v>-28.417824070000002</v>
      </c>
    </row>
    <row r="78" spans="1:139" ht="15" thickBot="1" x14ac:dyDescent="0.35">
      <c r="A78" s="2" t="s">
        <v>370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28">
        <v>-1.3585248099999998</v>
      </c>
      <c r="BK78" s="28">
        <v>-2.9642942800000007</v>
      </c>
      <c r="BL78" s="28">
        <v>-2.3545920799999989</v>
      </c>
      <c r="BM78" s="28">
        <v>-2.8572377400000004</v>
      </c>
      <c r="BN78" s="28">
        <f>SUM(BJ78:BM78)</f>
        <v>-9.5346489099999996</v>
      </c>
      <c r="BO78" s="28">
        <v>-8.0040244000000005</v>
      </c>
      <c r="BP78" s="28">
        <v>-8.3876465999999983</v>
      </c>
      <c r="BQ78" s="28">
        <v>-9.7483797699999979</v>
      </c>
      <c r="BR78" s="28">
        <v>-8.6584474400000015</v>
      </c>
      <c r="BS78" s="28">
        <f>SUM(BO78:BR78)</f>
        <v>-34.798498209999998</v>
      </c>
      <c r="BT78" s="28">
        <v>0</v>
      </c>
      <c r="BU78" s="28">
        <v>0</v>
      </c>
      <c r="BV78" s="28">
        <v>0</v>
      </c>
      <c r="BW78" s="28">
        <v>0</v>
      </c>
      <c r="BX78" s="28">
        <f>SUM(BT78:BW78)</f>
        <v>0</v>
      </c>
      <c r="BY78" s="28">
        <v>0</v>
      </c>
      <c r="BZ78" s="28">
        <v>0</v>
      </c>
      <c r="CA78" s="28">
        <v>0</v>
      </c>
      <c r="CB78" s="28">
        <v>0</v>
      </c>
      <c r="CC78" s="28">
        <f>SUM(BY78:CB78)</f>
        <v>0</v>
      </c>
      <c r="CD78" s="28">
        <v>0</v>
      </c>
      <c r="CE78" s="28">
        <v>0</v>
      </c>
      <c r="CF78" s="28">
        <v>0</v>
      </c>
      <c r="CG78" s="28">
        <v>0</v>
      </c>
      <c r="CH78" s="28">
        <f>SUM(CD78:CG78)</f>
        <v>0</v>
      </c>
      <c r="CI78" s="28">
        <v>0</v>
      </c>
      <c r="CJ78" s="28">
        <v>0</v>
      </c>
      <c r="CK78" s="28">
        <v>0</v>
      </c>
      <c r="CL78" s="28">
        <v>0</v>
      </c>
      <c r="CM78" s="28">
        <f>SUM(CI78:CL78)</f>
        <v>0</v>
      </c>
      <c r="CN78" s="28">
        <v>0</v>
      </c>
      <c r="CO78" s="28">
        <v>0</v>
      </c>
      <c r="CP78" s="28">
        <v>0</v>
      </c>
      <c r="CQ78" s="28">
        <v>0</v>
      </c>
      <c r="CR78" s="28">
        <f>SUM(CN78:CQ78)</f>
        <v>0</v>
      </c>
      <c r="CS78" s="28">
        <v>0</v>
      </c>
      <c r="CT78" s="28">
        <v>0</v>
      </c>
      <c r="CU78" s="28">
        <v>0</v>
      </c>
      <c r="CV78" s="28">
        <v>0</v>
      </c>
      <c r="CW78" s="28">
        <f>SUM(CS78:CV78)</f>
        <v>0</v>
      </c>
      <c r="CX78" s="28">
        <v>0</v>
      </c>
      <c r="CY78" s="28">
        <v>0</v>
      </c>
      <c r="CZ78" s="28">
        <v>0</v>
      </c>
      <c r="DA78" s="28">
        <v>0</v>
      </c>
      <c r="DB78" s="28">
        <f t="shared" si="173"/>
        <v>0</v>
      </c>
      <c r="DC78" s="28">
        <v>0</v>
      </c>
      <c r="DD78" s="28">
        <v>0</v>
      </c>
      <c r="DE78" s="28">
        <v>0</v>
      </c>
      <c r="DF78" s="28">
        <v>0</v>
      </c>
      <c r="DG78" s="28">
        <f t="shared" si="168"/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f t="shared" si="169"/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f t="shared" si="170"/>
        <v>0</v>
      </c>
      <c r="DR78" s="28">
        <v>0</v>
      </c>
      <c r="DS78" s="28">
        <v>0</v>
      </c>
      <c r="DT78" s="28">
        <v>0</v>
      </c>
      <c r="DU78" s="28">
        <v>0</v>
      </c>
      <c r="DV78" s="28">
        <f t="shared" si="171"/>
        <v>0</v>
      </c>
      <c r="DW78" s="28">
        <v>0</v>
      </c>
      <c r="DX78" s="28">
        <v>0</v>
      </c>
      <c r="DY78" s="28">
        <v>0</v>
      </c>
      <c r="DZ78" s="28">
        <v>0</v>
      </c>
      <c r="EA78" s="28">
        <f t="shared" si="172"/>
        <v>0</v>
      </c>
      <c r="EB78" s="28">
        <v>0</v>
      </c>
      <c r="EC78" s="28">
        <v>0</v>
      </c>
      <c r="ED78" s="28">
        <v>0</v>
      </c>
      <c r="EE78" s="28">
        <v>0</v>
      </c>
      <c r="EF78" s="28">
        <f t="shared" si="166"/>
        <v>0</v>
      </c>
      <c r="EG78" s="28">
        <v>0</v>
      </c>
      <c r="EH78" s="28">
        <v>0</v>
      </c>
      <c r="EI78" s="28">
        <v>0</v>
      </c>
    </row>
    <row r="79" spans="1:139" ht="15" thickTop="1" x14ac:dyDescent="0.3">
      <c r="A79" s="1" t="s">
        <v>338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27">
        <v>-1.2574469999999999E-2</v>
      </c>
      <c r="BK79" s="27">
        <v>-7.0322200000000005E-3</v>
      </c>
      <c r="BL79" s="27">
        <v>-7.1725999999999995E-3</v>
      </c>
      <c r="BM79" s="27">
        <v>-1.0290970000000002E-2</v>
      </c>
      <c r="BN79" s="27">
        <f>SUM(BJ79:BM79)</f>
        <v>-3.7070260000000001E-2</v>
      </c>
      <c r="BO79" s="27">
        <v>-4.38573E-3</v>
      </c>
      <c r="BP79" s="27">
        <v>-7.6800999999999996E-3</v>
      </c>
      <c r="BQ79" s="27">
        <v>-7.1575400000000013E-3</v>
      </c>
      <c r="BR79" s="27">
        <v>-9.5422299999999988E-3</v>
      </c>
      <c r="BS79" s="27">
        <f>SUM(BO79:BR79)</f>
        <v>-2.8765599999999999E-2</v>
      </c>
      <c r="BT79" s="27">
        <v>0</v>
      </c>
      <c r="BU79" s="27">
        <v>0</v>
      </c>
      <c r="BV79" s="27">
        <v>0</v>
      </c>
      <c r="BW79" s="27">
        <v>0</v>
      </c>
      <c r="BX79" s="27">
        <f>SUM(BT79:BW79)</f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f>SUM(BY79:CB79)</f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f>SUM(CD79:CG79)</f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f>SUM(CI79:CL79)</f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f>SUM(CN79:CQ79)</f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f>SUM(CS79:CV79)</f>
        <v>0</v>
      </c>
      <c r="CX79" s="27">
        <v>0</v>
      </c>
      <c r="CY79" s="27">
        <v>-16.696999999999999</v>
      </c>
      <c r="CZ79" s="27">
        <v>-17.010999999999999</v>
      </c>
      <c r="DA79" s="27">
        <v>-16.495000000000001</v>
      </c>
      <c r="DB79" s="27">
        <f t="shared" si="173"/>
        <v>-50.203000000000003</v>
      </c>
      <c r="DC79" s="27">
        <v>-16.222999999999999</v>
      </c>
      <c r="DD79" s="27">
        <v>-16.504000000000001</v>
      </c>
      <c r="DE79" s="27">
        <v>-16.567</v>
      </c>
      <c r="DF79" s="27">
        <v>-3.3769999999999998</v>
      </c>
      <c r="DG79" s="27">
        <f t="shared" si="168"/>
        <v>-52.671000000000006</v>
      </c>
      <c r="DH79" s="27">
        <v>0</v>
      </c>
      <c r="DI79" s="27">
        <v>0</v>
      </c>
      <c r="DJ79" s="27">
        <v>0</v>
      </c>
      <c r="DK79" s="27">
        <v>0</v>
      </c>
      <c r="DL79" s="27">
        <f t="shared" si="169"/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f t="shared" si="170"/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f t="shared" si="171"/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f t="shared" si="172"/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f t="shared" si="166"/>
        <v>0</v>
      </c>
      <c r="EG79" s="27">
        <v>0</v>
      </c>
      <c r="EH79" s="27">
        <v>0</v>
      </c>
      <c r="EI79" s="27">
        <v>0</v>
      </c>
    </row>
    <row r="80" spans="1:139" ht="15" thickBot="1" x14ac:dyDescent="0.35">
      <c r="A80" s="2" t="s">
        <v>331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28">
        <v>0</v>
      </c>
      <c r="BK80" s="28">
        <v>0</v>
      </c>
      <c r="BL80" s="28">
        <v>-2.2792400000000001E-3</v>
      </c>
      <c r="BM80" s="28">
        <v>-1.6226000000000001E-4</v>
      </c>
      <c r="BN80" s="28">
        <f>SUM(BJ80:BM80)</f>
        <v>-2.4415000000000001E-3</v>
      </c>
      <c r="BO80" s="28">
        <v>-5.7500000000000002E-5</v>
      </c>
      <c r="BP80" s="28">
        <v>-1.4825E-4</v>
      </c>
      <c r="BQ80" s="28">
        <v>-3.3130000000000017E-5</v>
      </c>
      <c r="BR80" s="28">
        <v>-1.4200000000000101E-6</v>
      </c>
      <c r="BS80" s="28">
        <f>SUM(BO80:BR80)</f>
        <v>-2.4030000000000004E-4</v>
      </c>
      <c r="BT80" s="28">
        <v>-3.08216E-3</v>
      </c>
      <c r="BU80" s="28">
        <v>-5.2353146500000003</v>
      </c>
      <c r="BV80" s="28">
        <v>-10.628859799999999</v>
      </c>
      <c r="BW80" s="28">
        <v>-10.379301540000002</v>
      </c>
      <c r="BX80" s="28">
        <f>SUM(BT80:BW80)</f>
        <v>-26.246558149999998</v>
      </c>
      <c r="BY80" s="28">
        <v>-10.05158258</v>
      </c>
      <c r="BZ80" s="28">
        <v>-9.5463342999999998</v>
      </c>
      <c r="CA80" s="28">
        <v>-6.1444867200000051</v>
      </c>
      <c r="CB80" s="28">
        <v>-6.8540500499999997</v>
      </c>
      <c r="CC80" s="28">
        <f>SUM(BY80:CB80)</f>
        <v>-32.596453650000001</v>
      </c>
      <c r="CD80" s="28">
        <v>-7.2950586499999996</v>
      </c>
      <c r="CE80" s="28">
        <v>-7.5518364800000004</v>
      </c>
      <c r="CF80" s="28">
        <v>-8.0368896700000008</v>
      </c>
      <c r="CG80" s="28">
        <v>-9.8425513500000008</v>
      </c>
      <c r="CH80" s="28">
        <f>SUM(CD80:CG80)</f>
        <v>-32.726336150000002</v>
      </c>
      <c r="CI80" s="28">
        <v>-14.81881405</v>
      </c>
      <c r="CJ80" s="28">
        <v>-24.191723939999996</v>
      </c>
      <c r="CK80" s="28">
        <v>-31.028780020000006</v>
      </c>
      <c r="CL80" s="28">
        <v>-27.684997799999991</v>
      </c>
      <c r="CM80" s="28">
        <f>SUM(CI80:CL80)</f>
        <v>-97.724315809999993</v>
      </c>
      <c r="CN80" s="28">
        <v>-22.156966219999997</v>
      </c>
      <c r="CO80" s="28">
        <v>-22.347175189999998</v>
      </c>
      <c r="CP80" s="28">
        <v>-10.42819866000001</v>
      </c>
      <c r="CQ80" s="28">
        <v>1.3400700000119059E-3</v>
      </c>
      <c r="CR80" s="28">
        <f>SUM(CN80:CQ80)</f>
        <v>-54.930999999999997</v>
      </c>
      <c r="CS80" s="28">
        <v>0</v>
      </c>
      <c r="CT80" s="28">
        <v>0</v>
      </c>
      <c r="CU80" s="28">
        <v>-57.485843540000005</v>
      </c>
      <c r="CV80" s="28">
        <v>-14.138685809999988</v>
      </c>
      <c r="CW80" s="28">
        <f>SUM(CS80:CV80)</f>
        <v>-71.624529349999989</v>
      </c>
      <c r="CX80" s="28">
        <v>-13.097</v>
      </c>
      <c r="CY80" s="28">
        <v>-11.32</v>
      </c>
      <c r="CZ80" s="28">
        <v>-11.260999999999999</v>
      </c>
      <c r="DA80" s="28">
        <v>-47.061</v>
      </c>
      <c r="DB80" s="28">
        <f t="shared" si="173"/>
        <v>-82.739000000000004</v>
      </c>
      <c r="DC80" s="28">
        <v>-20.622</v>
      </c>
      <c r="DD80" s="28">
        <v>-19.279</v>
      </c>
      <c r="DE80" s="28">
        <v>-28.803999999999998</v>
      </c>
      <c r="DF80" s="28">
        <v>-24.254999999999999</v>
      </c>
      <c r="DG80" s="28">
        <f t="shared" si="168"/>
        <v>-92.96</v>
      </c>
      <c r="DH80" s="28">
        <v>-20.655999999999999</v>
      </c>
      <c r="DI80" s="28">
        <v>-28.419</v>
      </c>
      <c r="DJ80" s="28">
        <v>-23.303999999999998</v>
      </c>
      <c r="DK80" s="28">
        <v>-21.951000000000001</v>
      </c>
      <c r="DL80" s="28">
        <f t="shared" si="169"/>
        <v>-94.330000000000013</v>
      </c>
      <c r="DM80" s="28">
        <v>-21.239000000000001</v>
      </c>
      <c r="DN80" s="28">
        <v>-25.54</v>
      </c>
      <c r="DO80" s="28">
        <v>-32.823</v>
      </c>
      <c r="DP80" s="28">
        <v>-39.6</v>
      </c>
      <c r="DQ80" s="28">
        <f t="shared" si="170"/>
        <v>-119.202</v>
      </c>
      <c r="DR80" s="28">
        <v>-50.732999999999997</v>
      </c>
      <c r="DS80" s="28">
        <v>-32.600999999999999</v>
      </c>
      <c r="DT80" s="28">
        <v>-37.332000000000001</v>
      </c>
      <c r="DU80" s="28">
        <v>-35.502000000000002</v>
      </c>
      <c r="DV80" s="28">
        <f t="shared" si="171"/>
        <v>-156.16800000000001</v>
      </c>
      <c r="DW80" s="28">
        <v>-36.667000000000002</v>
      </c>
      <c r="DX80" s="28">
        <v>-34.991014</v>
      </c>
      <c r="DY80" s="28">
        <v>-36.631298499999986</v>
      </c>
      <c r="DZ80" s="28">
        <v>-31.951725339999992</v>
      </c>
      <c r="EA80" s="28">
        <f t="shared" si="172"/>
        <v>-140.24103783999999</v>
      </c>
      <c r="EB80" s="28">
        <v>-27.654494489999998</v>
      </c>
      <c r="EC80" s="28">
        <v>-17.511555050000005</v>
      </c>
      <c r="ED80" s="28">
        <v>-18.587</v>
      </c>
      <c r="EE80" s="28">
        <v>-18.433170739999994</v>
      </c>
      <c r="EF80" s="28">
        <f t="shared" si="166"/>
        <v>-82.186220280000001</v>
      </c>
      <c r="EG80" s="28">
        <v>-17.737878100000003</v>
      </c>
      <c r="EH80" s="28">
        <v>-11.136549539999997</v>
      </c>
      <c r="EI80" s="28">
        <v>-12.571662040000001</v>
      </c>
    </row>
    <row r="81" spans="1:139" ht="15" thickTop="1" x14ac:dyDescent="0.3">
      <c r="A81" s="1" t="s">
        <v>308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27">
        <v>0</v>
      </c>
      <c r="BK81" s="27">
        <v>0.5928588600000001</v>
      </c>
      <c r="BL81" s="27">
        <v>0.47091841000000001</v>
      </c>
      <c r="BM81" s="27">
        <v>0.57144754999999992</v>
      </c>
      <c r="BN81" s="27">
        <f>SUM(BJ81:BM81)</f>
        <v>1.6352248199999999</v>
      </c>
      <c r="BO81" s="27">
        <v>1.6008048699999999</v>
      </c>
      <c r="BP81" s="27">
        <v>1.6775293400000002</v>
      </c>
      <c r="BQ81" s="27">
        <v>1.9496759599999989</v>
      </c>
      <c r="BR81" s="27">
        <v>1.7316894700000021</v>
      </c>
      <c r="BS81" s="27">
        <f>SUM(BO81:BR81)</f>
        <v>6.9596996400000011</v>
      </c>
      <c r="BT81" s="27">
        <v>0</v>
      </c>
      <c r="BU81" s="27">
        <v>1.5</v>
      </c>
      <c r="BV81" s="27">
        <v>1.4</v>
      </c>
      <c r="BW81" s="27">
        <v>-0.4</v>
      </c>
      <c r="BX81" s="27">
        <f>SUM(BT81:BW81)</f>
        <v>2.5</v>
      </c>
      <c r="BY81" s="27">
        <v>0</v>
      </c>
      <c r="BZ81" s="27">
        <v>0</v>
      </c>
      <c r="CA81" s="27">
        <v>0</v>
      </c>
      <c r="CB81" s="27">
        <v>0</v>
      </c>
      <c r="CC81" s="27">
        <f>SUM(BY81:CB81)</f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f>SUM(CD81:CG81)</f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f>SUM(CI81:CL81)</f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f>SUM(CN81:CQ81)</f>
        <v>0</v>
      </c>
      <c r="CS81" s="27">
        <v>0</v>
      </c>
      <c r="CT81" s="27">
        <v>0</v>
      </c>
      <c r="CU81" s="27">
        <v>73.661319040000009</v>
      </c>
      <c r="CV81" s="27">
        <v>22.293543809999989</v>
      </c>
      <c r="CW81" s="27">
        <f>SUM(CS81:CV81)</f>
        <v>95.954862849999998</v>
      </c>
      <c r="CX81" s="27">
        <v>22.728000000000002</v>
      </c>
      <c r="CY81" s="27">
        <v>11.018000000000001</v>
      </c>
      <c r="CZ81" s="27">
        <v>11.379</v>
      </c>
      <c r="DA81" s="27">
        <v>11.222</v>
      </c>
      <c r="DB81" s="27">
        <f t="shared" si="173"/>
        <v>56.347000000000001</v>
      </c>
      <c r="DC81" s="27">
        <v>11.218</v>
      </c>
      <c r="DD81" s="27">
        <v>11.369</v>
      </c>
      <c r="DE81" s="27">
        <v>10.315</v>
      </c>
      <c r="DF81" s="27">
        <v>8.5079999999999991</v>
      </c>
      <c r="DG81" s="27">
        <f t="shared" si="168"/>
        <v>41.41</v>
      </c>
      <c r="DH81" s="27">
        <v>7.5129999999999999</v>
      </c>
      <c r="DI81" s="27">
        <v>7.5709999999999997</v>
      </c>
      <c r="DJ81" s="27">
        <v>7.3570000000000002</v>
      </c>
      <c r="DK81" s="27">
        <v>6.9169999999999998</v>
      </c>
      <c r="DL81" s="27">
        <f t="shared" si="169"/>
        <v>29.357999999999997</v>
      </c>
      <c r="DM81" s="27">
        <v>7.0309999999999997</v>
      </c>
      <c r="DN81" s="27">
        <v>10.064</v>
      </c>
      <c r="DO81" s="27">
        <v>14.786</v>
      </c>
      <c r="DP81" s="27">
        <v>21.792999999999999</v>
      </c>
      <c r="DQ81" s="27">
        <f t="shared" si="170"/>
        <v>53.673999999999999</v>
      </c>
      <c r="DR81" s="27">
        <v>28.794</v>
      </c>
      <c r="DS81" s="27">
        <v>35.143999999999998</v>
      </c>
      <c r="DT81" s="27">
        <v>38.020000000000003</v>
      </c>
      <c r="DU81" s="27">
        <v>27.905000000000001</v>
      </c>
      <c r="DV81" s="27">
        <f t="shared" si="171"/>
        <v>129.863</v>
      </c>
      <c r="DW81" s="27">
        <v>29.32</v>
      </c>
      <c r="DX81" s="27">
        <v>17.359631</v>
      </c>
      <c r="DY81" s="27">
        <v>16.180391429999997</v>
      </c>
      <c r="DZ81" s="27">
        <v>14.754205230000007</v>
      </c>
      <c r="EA81" s="27">
        <f t="shared" si="172"/>
        <v>77.614227660000012</v>
      </c>
      <c r="EB81" s="27">
        <v>14.057968789999999</v>
      </c>
      <c r="EC81" s="27">
        <v>13.927477809999999</v>
      </c>
      <c r="ED81" s="27">
        <v>14.881</v>
      </c>
      <c r="EE81" s="27">
        <v>9.0331431999999996</v>
      </c>
      <c r="EF81" s="27">
        <f t="shared" si="166"/>
        <v>51.899589799999994</v>
      </c>
      <c r="EG81" s="27">
        <v>0.13016077000000001</v>
      </c>
      <c r="EH81" s="27">
        <v>38.321465589999995</v>
      </c>
      <c r="EI81" s="27">
        <v>44.13396049</v>
      </c>
    </row>
    <row r="82" spans="1:139" x14ac:dyDescent="0.3">
      <c r="A82" s="5" t="s">
        <v>311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29">
        <f t="shared" ref="BJ82:CO82" si="174">SUM(BJ59:BJ81)</f>
        <v>-41.037673089999998</v>
      </c>
      <c r="BK82" s="29">
        <f t="shared" si="174"/>
        <v>-43.750677520000004</v>
      </c>
      <c r="BL82" s="29">
        <f t="shared" si="174"/>
        <v>-45.919327629999991</v>
      </c>
      <c r="BM82" s="29">
        <f t="shared" si="174"/>
        <v>-44.41338631</v>
      </c>
      <c r="BN82" s="29">
        <f t="shared" si="174"/>
        <v>-175.12106455000003</v>
      </c>
      <c r="BO82" s="29">
        <f t="shared" si="174"/>
        <v>-53.096750209999996</v>
      </c>
      <c r="BP82" s="29">
        <f t="shared" si="174"/>
        <v>-44.772015780000004</v>
      </c>
      <c r="BQ82" s="29">
        <f t="shared" si="174"/>
        <v>-47.588940479999998</v>
      </c>
      <c r="BR82" s="29">
        <f t="shared" si="174"/>
        <v>-42.543932100000006</v>
      </c>
      <c r="BS82" s="29">
        <f t="shared" si="174"/>
        <v>-188.00163857000001</v>
      </c>
      <c r="BT82" s="29">
        <f t="shared" si="174"/>
        <v>-35.149244089999996</v>
      </c>
      <c r="BU82" s="29">
        <f t="shared" si="174"/>
        <v>-44.10681756999999</v>
      </c>
      <c r="BV82" s="29">
        <f t="shared" si="174"/>
        <v>-55.020954780000011</v>
      </c>
      <c r="BW82" s="29">
        <f t="shared" si="174"/>
        <v>-112.64856658000001</v>
      </c>
      <c r="BX82" s="29">
        <f t="shared" si="174"/>
        <v>-246.92558302</v>
      </c>
      <c r="BY82" s="29">
        <f t="shared" si="174"/>
        <v>-58.801531569999995</v>
      </c>
      <c r="BZ82" s="29">
        <f t="shared" si="174"/>
        <v>-65.398587329999998</v>
      </c>
      <c r="CA82" s="29">
        <f t="shared" si="174"/>
        <v>-67.814980810000009</v>
      </c>
      <c r="CB82" s="29">
        <f t="shared" si="174"/>
        <v>-71.981042200000005</v>
      </c>
      <c r="CC82" s="29">
        <f t="shared" si="174"/>
        <v>-263.99614191000001</v>
      </c>
      <c r="CD82" s="29">
        <f t="shared" si="174"/>
        <v>-72.674174080000014</v>
      </c>
      <c r="CE82" s="29">
        <f t="shared" si="174"/>
        <v>-74.420960039999997</v>
      </c>
      <c r="CF82" s="29">
        <f t="shared" si="174"/>
        <v>-82.663122249999986</v>
      </c>
      <c r="CG82" s="29">
        <f t="shared" si="174"/>
        <v>-88.210335570000012</v>
      </c>
      <c r="CH82" s="29">
        <f t="shared" si="174"/>
        <v>-317.96859194000001</v>
      </c>
      <c r="CI82" s="29">
        <f t="shared" si="174"/>
        <v>-89.730862250000015</v>
      </c>
      <c r="CJ82" s="29">
        <f t="shared" si="174"/>
        <v>-97.592620180000011</v>
      </c>
      <c r="CK82" s="29">
        <f t="shared" si="174"/>
        <v>-110.53412239999997</v>
      </c>
      <c r="CL82" s="29">
        <f t="shared" si="174"/>
        <v>-112.30453957</v>
      </c>
      <c r="CM82" s="29">
        <f t="shared" si="174"/>
        <v>-410.16214439999999</v>
      </c>
      <c r="CN82" s="29">
        <f t="shared" si="174"/>
        <v>-124.20610041</v>
      </c>
      <c r="CO82" s="29">
        <f t="shared" si="174"/>
        <v>-110.31876608</v>
      </c>
      <c r="CP82" s="29">
        <f t="shared" ref="CP82:DU82" si="175">SUM(CP59:CP81)</f>
        <v>-120.44399555000001</v>
      </c>
      <c r="CQ82" s="29">
        <f t="shared" si="175"/>
        <v>-111.42713795999997</v>
      </c>
      <c r="CR82" s="29">
        <f t="shared" si="175"/>
        <v>-466.39599999999996</v>
      </c>
      <c r="CS82" s="29">
        <f t="shared" si="175"/>
        <v>-112.58906171999999</v>
      </c>
      <c r="CT82" s="29">
        <f t="shared" si="175"/>
        <v>-99.063544249999993</v>
      </c>
      <c r="CU82" s="29">
        <f t="shared" si="175"/>
        <v>-92.789871359999964</v>
      </c>
      <c r="CV82" s="29">
        <f t="shared" si="175"/>
        <v>-83.293854789999997</v>
      </c>
      <c r="CW82" s="29">
        <f t="shared" si="175"/>
        <v>-387.73633211999999</v>
      </c>
      <c r="CX82" s="29">
        <f t="shared" si="175"/>
        <v>-97.844999999999999</v>
      </c>
      <c r="CY82" s="29">
        <f t="shared" si="175"/>
        <v>-112.38800000000001</v>
      </c>
      <c r="CZ82" s="29">
        <f t="shared" si="175"/>
        <v>-120.67699999999998</v>
      </c>
      <c r="DA82" s="29">
        <f t="shared" si="175"/>
        <v>-118.95800000000001</v>
      </c>
      <c r="DB82" s="29">
        <f t="shared" si="175"/>
        <v>-449.86800000000005</v>
      </c>
      <c r="DC82" s="29">
        <f t="shared" si="175"/>
        <v>-122.67999999999999</v>
      </c>
      <c r="DD82" s="29">
        <f t="shared" si="175"/>
        <v>-130.17600000000002</v>
      </c>
      <c r="DE82" s="29">
        <f t="shared" si="175"/>
        <v>-167.251</v>
      </c>
      <c r="DF82" s="29">
        <f t="shared" si="175"/>
        <v>-150.26</v>
      </c>
      <c r="DG82" s="29">
        <f t="shared" si="175"/>
        <v>-570.36700000000008</v>
      </c>
      <c r="DH82" s="29">
        <f t="shared" si="175"/>
        <v>-123.00299999999999</v>
      </c>
      <c r="DI82" s="29">
        <f t="shared" si="175"/>
        <v>-115.626</v>
      </c>
      <c r="DJ82" s="29">
        <f t="shared" si="175"/>
        <v>-120.71899999999999</v>
      </c>
      <c r="DK82" s="29">
        <f t="shared" si="175"/>
        <v>-115.65199999999999</v>
      </c>
      <c r="DL82" s="29">
        <f t="shared" si="175"/>
        <v>-475.00000000000006</v>
      </c>
      <c r="DM82" s="29">
        <f t="shared" si="175"/>
        <v>-112.938</v>
      </c>
      <c r="DN82" s="29">
        <f t="shared" si="175"/>
        <v>-132.172</v>
      </c>
      <c r="DO82" s="29">
        <f t="shared" si="175"/>
        <v>-173.31900000000005</v>
      </c>
      <c r="DP82" s="29">
        <f t="shared" si="175"/>
        <v>-210.90300000000002</v>
      </c>
      <c r="DQ82" s="29">
        <f t="shared" si="175"/>
        <v>-629.33199999999999</v>
      </c>
      <c r="DR82" s="29">
        <f t="shared" si="175"/>
        <v>-237.66999999999993</v>
      </c>
      <c r="DS82" s="29">
        <f t="shared" si="175"/>
        <v>-245.32299999999998</v>
      </c>
      <c r="DT82" s="29">
        <f t="shared" si="175"/>
        <v>-293.214</v>
      </c>
      <c r="DU82" s="29">
        <f t="shared" si="175"/>
        <v>-302.40599999999995</v>
      </c>
      <c r="DV82" s="29">
        <f t="shared" ref="DV82:ED82" si="176">SUM(DV59:DV81)</f>
        <v>-1078.6130000000001</v>
      </c>
      <c r="DW82" s="29">
        <f t="shared" si="176"/>
        <v>-306.09500000000008</v>
      </c>
      <c r="DX82" s="29">
        <f t="shared" si="176"/>
        <v>-398.63021500000002</v>
      </c>
      <c r="DY82" s="29">
        <f t="shared" si="176"/>
        <v>-413.07781150999995</v>
      </c>
      <c r="DZ82" s="29">
        <f t="shared" si="176"/>
        <v>-418.31158716000004</v>
      </c>
      <c r="EA82" s="29">
        <f t="shared" si="176"/>
        <v>-1536.1146136699997</v>
      </c>
      <c r="EB82" s="29">
        <f t="shared" si="176"/>
        <v>-446.24417564999999</v>
      </c>
      <c r="EC82" s="29">
        <f t="shared" si="176"/>
        <v>-409.26020961000006</v>
      </c>
      <c r="ED82" s="29">
        <f t="shared" si="176"/>
        <v>-457.12700000000007</v>
      </c>
      <c r="EE82" s="29">
        <f t="shared" ref="EE82:EF82" si="177">SUM(EE59:EE81)</f>
        <v>-459.96798992999999</v>
      </c>
      <c r="EF82" s="29">
        <f t="shared" si="177"/>
        <v>-1772.59937519</v>
      </c>
      <c r="EG82" s="29">
        <f t="shared" ref="EG82" si="178">SUM(EG59:EG81)</f>
        <v>-499.74793949000002</v>
      </c>
      <c r="EH82" s="29">
        <f t="shared" ref="EH82:EI82" si="179">SUM(EH59:EH81)</f>
        <v>-546.72867023000003</v>
      </c>
      <c r="EI82" s="29">
        <f t="shared" si="179"/>
        <v>-595.42258875000005</v>
      </c>
    </row>
    <row r="85" spans="1:139" x14ac:dyDescent="0.3">
      <c r="A85" s="3" t="s">
        <v>344</v>
      </c>
      <c r="B85" s="6" t="s">
        <v>4</v>
      </c>
      <c r="C85" s="6" t="s">
        <v>5</v>
      </c>
      <c r="D85" s="6" t="s">
        <v>6</v>
      </c>
      <c r="E85" s="6" t="s">
        <v>7</v>
      </c>
      <c r="F85" s="6">
        <v>2018</v>
      </c>
      <c r="G85" s="6" t="s">
        <v>8</v>
      </c>
      <c r="H85" s="6" t="s">
        <v>9</v>
      </c>
      <c r="I85" s="6" t="s">
        <v>10</v>
      </c>
      <c r="J85" s="6" t="s">
        <v>11</v>
      </c>
      <c r="K85" s="6">
        <v>2019</v>
      </c>
      <c r="L85" s="6" t="s">
        <v>12</v>
      </c>
      <c r="M85" s="6" t="s">
        <v>13</v>
      </c>
      <c r="N85" s="6" t="s">
        <v>14</v>
      </c>
      <c r="O85" s="6" t="s">
        <v>15</v>
      </c>
      <c r="P85" s="6">
        <v>2000</v>
      </c>
      <c r="Q85" s="6" t="s">
        <v>16</v>
      </c>
      <c r="R85" s="6" t="s">
        <v>17</v>
      </c>
      <c r="S85" s="6" t="s">
        <v>18</v>
      </c>
      <c r="T85" s="6" t="s">
        <v>19</v>
      </c>
      <c r="U85" s="6">
        <v>2001</v>
      </c>
      <c r="V85" s="6" t="s">
        <v>20</v>
      </c>
      <c r="W85" s="6" t="s">
        <v>21</v>
      </c>
      <c r="X85" s="6" t="s">
        <v>22</v>
      </c>
      <c r="Y85" s="6" t="s">
        <v>23</v>
      </c>
      <c r="Z85" s="6">
        <v>2002</v>
      </c>
      <c r="AA85" s="6" t="s">
        <v>24</v>
      </c>
      <c r="AB85" s="6" t="s">
        <v>25</v>
      </c>
      <c r="AC85" s="6" t="s">
        <v>26</v>
      </c>
      <c r="AD85" s="6" t="s">
        <v>27</v>
      </c>
      <c r="AE85" s="6">
        <v>2003</v>
      </c>
      <c r="AF85" s="6" t="s">
        <v>28</v>
      </c>
      <c r="AG85" s="6" t="s">
        <v>29</v>
      </c>
      <c r="AH85" s="6" t="s">
        <v>30</v>
      </c>
      <c r="AI85" s="6" t="s">
        <v>31</v>
      </c>
      <c r="AJ85" s="6">
        <v>2004</v>
      </c>
      <c r="AK85" s="6" t="s">
        <v>32</v>
      </c>
      <c r="AL85" s="6" t="s">
        <v>33</v>
      </c>
      <c r="AM85" s="6" t="s">
        <v>34</v>
      </c>
      <c r="AN85" s="6" t="s">
        <v>35</v>
      </c>
      <c r="AO85" s="6">
        <v>2005</v>
      </c>
      <c r="AP85" s="6" t="s">
        <v>36</v>
      </c>
      <c r="AQ85" s="6" t="s">
        <v>37</v>
      </c>
      <c r="AR85" s="6" t="s">
        <v>38</v>
      </c>
      <c r="AS85" s="6" t="s">
        <v>39</v>
      </c>
      <c r="AT85" s="6">
        <v>2006</v>
      </c>
      <c r="AU85" s="6" t="s">
        <v>40</v>
      </c>
      <c r="AV85" s="6" t="s">
        <v>41</v>
      </c>
      <c r="AW85" s="6" t="s">
        <v>42</v>
      </c>
      <c r="AX85" s="6" t="s">
        <v>43</v>
      </c>
      <c r="AY85" s="6">
        <v>2007</v>
      </c>
      <c r="AZ85" s="6" t="s">
        <v>44</v>
      </c>
      <c r="BA85" s="6" t="s">
        <v>45</v>
      </c>
      <c r="BB85" s="6" t="s">
        <v>46</v>
      </c>
      <c r="BC85" s="6" t="s">
        <v>47</v>
      </c>
      <c r="BD85" s="6">
        <v>2008</v>
      </c>
      <c r="BE85" s="6" t="s">
        <v>48</v>
      </c>
      <c r="BF85" s="6" t="s">
        <v>49</v>
      </c>
      <c r="BG85" s="6" t="s">
        <v>50</v>
      </c>
      <c r="BH85" s="6" t="s">
        <v>51</v>
      </c>
      <c r="BI85" s="6">
        <v>2009</v>
      </c>
      <c r="BJ85" s="6" t="s">
        <v>52</v>
      </c>
      <c r="BK85" s="6" t="s">
        <v>53</v>
      </c>
      <c r="BL85" s="6" t="s">
        <v>54</v>
      </c>
      <c r="BM85" s="6" t="s">
        <v>55</v>
      </c>
      <c r="BN85" s="6">
        <v>2010</v>
      </c>
      <c r="BO85" s="6" t="s">
        <v>56</v>
      </c>
      <c r="BP85" s="6" t="s">
        <v>57</v>
      </c>
      <c r="BQ85" s="6" t="s">
        <v>58</v>
      </c>
      <c r="BR85" s="6" t="s">
        <v>59</v>
      </c>
      <c r="BS85" s="6">
        <v>2011</v>
      </c>
      <c r="BT85" s="6" t="s">
        <v>60</v>
      </c>
      <c r="BU85" s="6" t="s">
        <v>61</v>
      </c>
      <c r="BV85" s="6" t="s">
        <v>62</v>
      </c>
      <c r="BW85" s="6" t="s">
        <v>63</v>
      </c>
      <c r="BX85" s="6">
        <v>2012</v>
      </c>
      <c r="BY85" s="6" t="s">
        <v>64</v>
      </c>
      <c r="BZ85" s="6" t="s">
        <v>65</v>
      </c>
      <c r="CA85" s="6" t="s">
        <v>66</v>
      </c>
      <c r="CB85" s="6" t="s">
        <v>67</v>
      </c>
      <c r="CC85" s="6">
        <v>2013</v>
      </c>
      <c r="CD85" s="6" t="s">
        <v>68</v>
      </c>
      <c r="CE85" s="6" t="s">
        <v>69</v>
      </c>
      <c r="CF85" s="6" t="s">
        <v>70</v>
      </c>
      <c r="CG85" s="6" t="s">
        <v>71</v>
      </c>
      <c r="CH85" s="6">
        <v>2014</v>
      </c>
      <c r="CI85" s="6" t="s">
        <v>72</v>
      </c>
      <c r="CJ85" s="6" t="s">
        <v>73</v>
      </c>
      <c r="CK85" s="6" t="s">
        <v>74</v>
      </c>
      <c r="CL85" s="6" t="s">
        <v>75</v>
      </c>
      <c r="CM85" s="6">
        <v>2015</v>
      </c>
      <c r="CN85" s="6" t="s">
        <v>76</v>
      </c>
      <c r="CO85" s="6" t="s">
        <v>77</v>
      </c>
      <c r="CP85" s="6" t="s">
        <v>78</v>
      </c>
      <c r="CQ85" s="6" t="s">
        <v>79</v>
      </c>
      <c r="CR85" s="6">
        <v>2016</v>
      </c>
      <c r="CS85" s="6" t="s">
        <v>80</v>
      </c>
      <c r="CT85" s="6" t="s">
        <v>81</v>
      </c>
      <c r="CU85" s="6" t="s">
        <v>82</v>
      </c>
      <c r="CV85" s="6" t="s">
        <v>83</v>
      </c>
      <c r="CW85" s="6">
        <v>2017</v>
      </c>
      <c r="CX85" s="6" t="s">
        <v>84</v>
      </c>
      <c r="CY85" s="6" t="s">
        <v>85</v>
      </c>
      <c r="CZ85" s="6" t="s">
        <v>86</v>
      </c>
      <c r="DA85" s="6" t="s">
        <v>87</v>
      </c>
      <c r="DB85" s="6">
        <v>2018</v>
      </c>
      <c r="DC85" s="6" t="s">
        <v>88</v>
      </c>
      <c r="DD85" s="6" t="s">
        <v>89</v>
      </c>
      <c r="DE85" s="6" t="s">
        <v>90</v>
      </c>
      <c r="DF85" s="6" t="s">
        <v>91</v>
      </c>
      <c r="DG85" s="6">
        <v>2019</v>
      </c>
      <c r="DH85" s="6" t="s">
        <v>92</v>
      </c>
      <c r="DI85" s="6" t="s">
        <v>93</v>
      </c>
      <c r="DJ85" s="6" t="s">
        <v>94</v>
      </c>
      <c r="DK85" s="6" t="s">
        <v>95</v>
      </c>
      <c r="DL85" s="6">
        <v>2020</v>
      </c>
      <c r="DM85" s="6" t="s">
        <v>96</v>
      </c>
      <c r="DN85" s="6" t="s">
        <v>97</v>
      </c>
      <c r="DO85" s="6" t="s">
        <v>98</v>
      </c>
      <c r="DP85" s="6" t="s">
        <v>99</v>
      </c>
      <c r="DQ85" s="6">
        <v>2021</v>
      </c>
      <c r="DR85" s="6" t="s">
        <v>100</v>
      </c>
      <c r="DS85" s="6" t="s">
        <v>101</v>
      </c>
      <c r="DT85" s="6" t="s">
        <v>200</v>
      </c>
      <c r="DU85" s="6" t="s">
        <v>380</v>
      </c>
      <c r="DV85" s="6">
        <v>2022</v>
      </c>
      <c r="DW85" s="6" t="s">
        <v>379</v>
      </c>
      <c r="DX85" s="6" t="s">
        <v>402</v>
      </c>
      <c r="DY85" s="6" t="s">
        <v>414</v>
      </c>
      <c r="DZ85" s="6" t="s">
        <v>419</v>
      </c>
      <c r="EA85" s="6">
        <v>2023</v>
      </c>
      <c r="EB85" s="6" t="s">
        <v>424</v>
      </c>
      <c r="EC85" s="6" t="s">
        <v>429</v>
      </c>
      <c r="ED85" s="6" t="str">
        <f>$ED$1</f>
        <v>3T24</v>
      </c>
      <c r="EE85" s="6" t="str">
        <f>$EE$1</f>
        <v>4T24</v>
      </c>
      <c r="EF85" s="6">
        <f>$EF$1</f>
        <v>2024</v>
      </c>
      <c r="EG85" s="6" t="str">
        <f>EG$1</f>
        <v>1T25</v>
      </c>
      <c r="EH85" s="6" t="str">
        <f>EH$1</f>
        <v>2T25</v>
      </c>
      <c r="EI85" s="6" t="str">
        <f>EI$1</f>
        <v>3T25</v>
      </c>
    </row>
    <row r="86" spans="1:139" ht="15" thickBot="1" x14ac:dyDescent="0.35">
      <c r="A86" s="4" t="s">
        <v>345</v>
      </c>
      <c r="B86" s="7" t="s">
        <v>102</v>
      </c>
      <c r="C86" s="7" t="s">
        <v>103</v>
      </c>
      <c r="D86" s="7" t="s">
        <v>104</v>
      </c>
      <c r="E86" s="7" t="s">
        <v>105</v>
      </c>
      <c r="F86" s="7">
        <v>2018</v>
      </c>
      <c r="G86" s="7" t="s">
        <v>106</v>
      </c>
      <c r="H86" s="7" t="s">
        <v>107</v>
      </c>
      <c r="I86" s="7" t="s">
        <v>108</v>
      </c>
      <c r="J86" s="7" t="s">
        <v>109</v>
      </c>
      <c r="K86" s="7">
        <v>2019</v>
      </c>
      <c r="L86" s="7" t="s">
        <v>110</v>
      </c>
      <c r="M86" s="7" t="s">
        <v>111</v>
      </c>
      <c r="N86" s="7" t="s">
        <v>112</v>
      </c>
      <c r="O86" s="7" t="s">
        <v>113</v>
      </c>
      <c r="P86" s="7">
        <v>2000</v>
      </c>
      <c r="Q86" s="7" t="s">
        <v>114</v>
      </c>
      <c r="R86" s="7" t="s">
        <v>115</v>
      </c>
      <c r="S86" s="7" t="s">
        <v>116</v>
      </c>
      <c r="T86" s="7" t="s">
        <v>117</v>
      </c>
      <c r="U86" s="7">
        <v>2001</v>
      </c>
      <c r="V86" s="7" t="s">
        <v>118</v>
      </c>
      <c r="W86" s="7" t="s">
        <v>119</v>
      </c>
      <c r="X86" s="7" t="s">
        <v>120</v>
      </c>
      <c r="Y86" s="7" t="s">
        <v>121</v>
      </c>
      <c r="Z86" s="7">
        <v>2002</v>
      </c>
      <c r="AA86" s="7" t="s">
        <v>122</v>
      </c>
      <c r="AB86" s="7" t="s">
        <v>123</v>
      </c>
      <c r="AC86" s="7" t="s">
        <v>124</v>
      </c>
      <c r="AD86" s="7" t="s">
        <v>125</v>
      </c>
      <c r="AE86" s="7">
        <v>2003</v>
      </c>
      <c r="AF86" s="7" t="s">
        <v>126</v>
      </c>
      <c r="AG86" s="7" t="s">
        <v>127</v>
      </c>
      <c r="AH86" s="7" t="s">
        <v>128</v>
      </c>
      <c r="AI86" s="7" t="s">
        <v>129</v>
      </c>
      <c r="AJ86" s="7">
        <v>2004</v>
      </c>
      <c r="AK86" s="7" t="s">
        <v>130</v>
      </c>
      <c r="AL86" s="7" t="s">
        <v>131</v>
      </c>
      <c r="AM86" s="7" t="s">
        <v>132</v>
      </c>
      <c r="AN86" s="7" t="s">
        <v>133</v>
      </c>
      <c r="AO86" s="7">
        <v>2005</v>
      </c>
      <c r="AP86" s="7" t="s">
        <v>134</v>
      </c>
      <c r="AQ86" s="7" t="s">
        <v>135</v>
      </c>
      <c r="AR86" s="7" t="s">
        <v>136</v>
      </c>
      <c r="AS86" s="7" t="s">
        <v>137</v>
      </c>
      <c r="AT86" s="7">
        <v>2006</v>
      </c>
      <c r="AU86" s="7" t="s">
        <v>138</v>
      </c>
      <c r="AV86" s="7" t="s">
        <v>139</v>
      </c>
      <c r="AW86" s="7" t="s">
        <v>140</v>
      </c>
      <c r="AX86" s="7" t="s">
        <v>141</v>
      </c>
      <c r="AY86" s="7">
        <v>2007</v>
      </c>
      <c r="AZ86" s="7" t="s">
        <v>142</v>
      </c>
      <c r="BA86" s="7" t="s">
        <v>143</v>
      </c>
      <c r="BB86" s="7" t="s">
        <v>144</v>
      </c>
      <c r="BC86" s="7" t="s">
        <v>145</v>
      </c>
      <c r="BD86" s="7">
        <v>2008</v>
      </c>
      <c r="BE86" s="7" t="s">
        <v>146</v>
      </c>
      <c r="BF86" s="7" t="s">
        <v>147</v>
      </c>
      <c r="BG86" s="7" t="s">
        <v>148</v>
      </c>
      <c r="BH86" s="7" t="s">
        <v>149</v>
      </c>
      <c r="BI86" s="7">
        <v>2009</v>
      </c>
      <c r="BJ86" s="7" t="s">
        <v>150</v>
      </c>
      <c r="BK86" s="7" t="s">
        <v>151</v>
      </c>
      <c r="BL86" s="7" t="s">
        <v>152</v>
      </c>
      <c r="BM86" s="7" t="s">
        <v>153</v>
      </c>
      <c r="BN86" s="7">
        <v>2010</v>
      </c>
      <c r="BO86" s="7" t="s">
        <v>154</v>
      </c>
      <c r="BP86" s="7" t="s">
        <v>155</v>
      </c>
      <c r="BQ86" s="7" t="s">
        <v>156</v>
      </c>
      <c r="BR86" s="7" t="s">
        <v>157</v>
      </c>
      <c r="BS86" s="7">
        <v>2011</v>
      </c>
      <c r="BT86" s="7" t="s">
        <v>158</v>
      </c>
      <c r="BU86" s="7" t="s">
        <v>159</v>
      </c>
      <c r="BV86" s="7" t="s">
        <v>160</v>
      </c>
      <c r="BW86" s="7" t="s">
        <v>161</v>
      </c>
      <c r="BX86" s="7">
        <v>2012</v>
      </c>
      <c r="BY86" s="7" t="s">
        <v>162</v>
      </c>
      <c r="BZ86" s="7" t="s">
        <v>163</v>
      </c>
      <c r="CA86" s="7" t="s">
        <v>164</v>
      </c>
      <c r="CB86" s="7" t="s">
        <v>165</v>
      </c>
      <c r="CC86" s="7">
        <v>2013</v>
      </c>
      <c r="CD86" s="7" t="s">
        <v>166</v>
      </c>
      <c r="CE86" s="7" t="s">
        <v>167</v>
      </c>
      <c r="CF86" s="7" t="s">
        <v>168</v>
      </c>
      <c r="CG86" s="7" t="s">
        <v>169</v>
      </c>
      <c r="CH86" s="7">
        <v>2014</v>
      </c>
      <c r="CI86" s="7" t="s">
        <v>170</v>
      </c>
      <c r="CJ86" s="7" t="s">
        <v>171</v>
      </c>
      <c r="CK86" s="7" t="s">
        <v>172</v>
      </c>
      <c r="CL86" s="7" t="s">
        <v>173</v>
      </c>
      <c r="CM86" s="7">
        <v>2015</v>
      </c>
      <c r="CN86" s="7" t="s">
        <v>174</v>
      </c>
      <c r="CO86" s="7" t="s">
        <v>175</v>
      </c>
      <c r="CP86" s="7" t="s">
        <v>176</v>
      </c>
      <c r="CQ86" s="7" t="s">
        <v>177</v>
      </c>
      <c r="CR86" s="7">
        <v>2016</v>
      </c>
      <c r="CS86" s="7" t="s">
        <v>178</v>
      </c>
      <c r="CT86" s="7" t="s">
        <v>179</v>
      </c>
      <c r="CU86" s="7" t="s">
        <v>180</v>
      </c>
      <c r="CV86" s="7" t="s">
        <v>181</v>
      </c>
      <c r="CW86" s="7">
        <v>2017</v>
      </c>
      <c r="CX86" s="7" t="s">
        <v>182</v>
      </c>
      <c r="CY86" s="7" t="s">
        <v>183</v>
      </c>
      <c r="CZ86" s="7" t="s">
        <v>184</v>
      </c>
      <c r="DA86" s="7" t="s">
        <v>185</v>
      </c>
      <c r="DB86" s="7">
        <v>2018</v>
      </c>
      <c r="DC86" s="7" t="s">
        <v>186</v>
      </c>
      <c r="DD86" s="7" t="s">
        <v>187</v>
      </c>
      <c r="DE86" s="7" t="s">
        <v>188</v>
      </c>
      <c r="DF86" s="7" t="s">
        <v>189</v>
      </c>
      <c r="DG86" s="7">
        <v>2019</v>
      </c>
      <c r="DH86" s="7" t="s">
        <v>190</v>
      </c>
      <c r="DI86" s="7" t="s">
        <v>191</v>
      </c>
      <c r="DJ86" s="7" t="s">
        <v>192</v>
      </c>
      <c r="DK86" s="7" t="s">
        <v>193</v>
      </c>
      <c r="DL86" s="7">
        <v>2020</v>
      </c>
      <c r="DM86" s="7" t="s">
        <v>194</v>
      </c>
      <c r="DN86" s="7" t="s">
        <v>195</v>
      </c>
      <c r="DO86" s="7" t="s">
        <v>196</v>
      </c>
      <c r="DP86" s="7" t="s">
        <v>197</v>
      </c>
      <c r="DQ86" s="7">
        <v>2021</v>
      </c>
      <c r="DR86" s="7" t="s">
        <v>198</v>
      </c>
      <c r="DS86" s="7" t="s">
        <v>199</v>
      </c>
      <c r="DT86" s="7" t="s">
        <v>201</v>
      </c>
      <c r="DU86" s="7" t="s">
        <v>381</v>
      </c>
      <c r="DV86" s="7">
        <v>2022</v>
      </c>
      <c r="DW86" s="7" t="s">
        <v>382</v>
      </c>
      <c r="DX86" s="7" t="s">
        <v>403</v>
      </c>
      <c r="DY86" s="7" t="s">
        <v>415</v>
      </c>
      <c r="DZ86" s="7" t="s">
        <v>420</v>
      </c>
      <c r="EA86" s="7">
        <v>2023</v>
      </c>
      <c r="EB86" s="7" t="s">
        <v>425</v>
      </c>
      <c r="EC86" s="7" t="s">
        <v>430</v>
      </c>
      <c r="ED86" s="7" t="str">
        <f>$ED$2</f>
        <v>3Q24</v>
      </c>
      <c r="EE86" s="7" t="str">
        <f>$EE$2</f>
        <v>4Q24</v>
      </c>
      <c r="EF86" s="7">
        <f>$EF$2</f>
        <v>2024</v>
      </c>
      <c r="EG86" s="7" t="str">
        <f>EG$2</f>
        <v>1Q25</v>
      </c>
      <c r="EH86" s="7" t="str">
        <f>EH$2</f>
        <v>2Q25</v>
      </c>
      <c r="EI86" s="7" t="str">
        <f>EI$2</f>
        <v>3Q25</v>
      </c>
    </row>
    <row r="87" spans="1:139" ht="15" thickTop="1" x14ac:dyDescent="0.3">
      <c r="A87" s="1" t="s">
        <v>2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27">
        <v>1.41136E-2</v>
      </c>
      <c r="BK87" s="27">
        <v>1.581805E-2</v>
      </c>
      <c r="BL87" s="27">
        <v>2.0154589999999997E-2</v>
      </c>
      <c r="BM87" s="27">
        <v>2.3109580000000008E-2</v>
      </c>
      <c r="BN87" s="27">
        <f t="shared" ref="BN87:BN93" si="180">SUM(BJ87:BM87)</f>
        <v>7.3195820000000009E-2</v>
      </c>
      <c r="BO87" s="27">
        <v>7.3355000000000002E-4</v>
      </c>
      <c r="BP87" s="27">
        <v>2.865001E-2</v>
      </c>
      <c r="BQ87" s="27">
        <v>3.0256550000000004E-2</v>
      </c>
      <c r="BR87" s="27">
        <v>5.0040259999999989E-2</v>
      </c>
      <c r="BS87" s="27">
        <f t="shared" ref="BS87:BS93" si="181">SUM(BO87:BR87)</f>
        <v>0.10968037</v>
      </c>
      <c r="BT87" s="27">
        <v>2.601579E-2</v>
      </c>
      <c r="BU87" s="27">
        <v>4.8562939999999999E-2</v>
      </c>
      <c r="BV87" s="27">
        <v>2.6319809999999996E-2</v>
      </c>
      <c r="BW87" s="27">
        <v>-0.10089853999999999</v>
      </c>
      <c r="BX87" s="27">
        <f t="shared" ref="BX87:BX93" si="182">SUM(BT87:BW87)</f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f t="shared" ref="CC87:CC93" si="183">SUM(BY87:CB87)</f>
        <v>0</v>
      </c>
      <c r="CD87" s="27">
        <v>0</v>
      </c>
      <c r="CE87" s="27">
        <v>0</v>
      </c>
      <c r="CF87" s="27">
        <v>0</v>
      </c>
      <c r="CG87" s="27">
        <v>-0.24494220999999997</v>
      </c>
      <c r="CH87" s="27">
        <f t="shared" ref="CH87:CH93" si="184">SUM(CD87:CG87)</f>
        <v>-0.24494220999999997</v>
      </c>
      <c r="CI87" s="27">
        <v>0</v>
      </c>
      <c r="CJ87" s="27">
        <v>0</v>
      </c>
      <c r="CK87" s="27">
        <v>0</v>
      </c>
      <c r="CL87" s="27">
        <v>0</v>
      </c>
      <c r="CM87" s="27">
        <f t="shared" ref="CM87:CM93" si="185">SUM(CI87:CL87)</f>
        <v>0</v>
      </c>
      <c r="CN87" s="27">
        <v>0</v>
      </c>
      <c r="CO87" s="27">
        <v>0</v>
      </c>
      <c r="CP87" s="27">
        <v>0</v>
      </c>
      <c r="CQ87" s="27">
        <v>1.403</v>
      </c>
      <c r="CR87" s="27">
        <f t="shared" ref="CR87:CR93" si="186">SUM(CN87:CQ87)</f>
        <v>1.403</v>
      </c>
      <c r="CS87" s="27">
        <v>-9.1999999999999998E-2</v>
      </c>
      <c r="CT87" s="27">
        <v>1.0999999999999996E-2</v>
      </c>
      <c r="CU87" s="27">
        <v>-2.1999999999999992E-2</v>
      </c>
      <c r="CV87" s="27">
        <f>(-0.085-CU87-CT87-CS87)</f>
        <v>1.7999999999999988E-2</v>
      </c>
      <c r="CW87" s="27">
        <f t="shared" ref="CW87:CW93" si="187">SUM(CS87:CV87)</f>
        <v>-8.5000000000000006E-2</v>
      </c>
      <c r="CX87" s="27">
        <v>-5.8999999999999997E-2</v>
      </c>
      <c r="CY87" s="27">
        <v>-3.0000000000000001E-3</v>
      </c>
      <c r="CZ87" s="27">
        <v>-3.7999999999999999E-2</v>
      </c>
      <c r="DA87" s="27">
        <v>4.0000000000000001E-3</v>
      </c>
      <c r="DB87" s="27">
        <f t="shared" ref="DB87:DB93" si="188">SUM(CX87:DA87)</f>
        <v>-9.6000000000000002E-2</v>
      </c>
      <c r="DC87" s="27">
        <v>4.5999999999999999E-2</v>
      </c>
      <c r="DD87" s="27">
        <v>0.26100000000000001</v>
      </c>
      <c r="DE87" s="27">
        <v>0.32500000000000001</v>
      </c>
      <c r="DF87" s="27">
        <v>0.28799999999999998</v>
      </c>
      <c r="DG87" s="27">
        <f t="shared" ref="DG87:DG98" si="189">SUM(DC87:DF87)</f>
        <v>0.91999999999999993</v>
      </c>
      <c r="DH87" s="27">
        <v>-0.20399999999999999</v>
      </c>
      <c r="DI87" s="27">
        <v>-3.5999999999999997E-2</v>
      </c>
      <c r="DJ87" s="27">
        <v>-0.373</v>
      </c>
      <c r="DK87" s="27">
        <v>-0.311</v>
      </c>
      <c r="DL87" s="27">
        <f t="shared" ref="DL87:DL98" si="190">SUM(DH87:DK87)</f>
        <v>-0.92399999999999993</v>
      </c>
      <c r="DM87" s="27">
        <v>-0.27500000000000002</v>
      </c>
      <c r="DN87" s="27">
        <v>-0.54800000000000004</v>
      </c>
      <c r="DO87" s="27">
        <v>-0.37</v>
      </c>
      <c r="DP87" s="27">
        <v>-0.13200000000000001</v>
      </c>
      <c r="DQ87" s="27">
        <f t="shared" ref="DQ87:DQ98" si="191">SUM(DM87:DP87)</f>
        <v>-1.3250000000000002</v>
      </c>
      <c r="DR87" s="27">
        <v>-0.309</v>
      </c>
      <c r="DS87" s="27">
        <v>-0.311</v>
      </c>
      <c r="DT87" s="27">
        <v>-0.40500000000000003</v>
      </c>
      <c r="DU87" s="27">
        <v>-5.0000000000000001E-3</v>
      </c>
      <c r="DV87" s="27">
        <f t="shared" ref="DV87:DV98" si="192">SUM(DR87:DU87)</f>
        <v>-1.0299999999999998</v>
      </c>
      <c r="DW87" s="27">
        <v>-8.7999999999999995E-2</v>
      </c>
      <c r="DX87" s="27">
        <v>-0.45381300000000002</v>
      </c>
      <c r="DY87" s="27">
        <v>0</v>
      </c>
      <c r="DZ87" s="27">
        <v>0</v>
      </c>
      <c r="EA87" s="27">
        <f t="shared" ref="EA87:EA99" si="193">SUM(DW87:DZ87)</f>
        <v>-0.54181299999999999</v>
      </c>
      <c r="EB87" s="27">
        <v>0</v>
      </c>
      <c r="EC87" s="27">
        <v>0</v>
      </c>
      <c r="ED87" s="27">
        <v>0</v>
      </c>
      <c r="EE87" s="27">
        <v>0</v>
      </c>
      <c r="EF87" s="27">
        <f t="shared" ref="EF87:EF99" si="194">SUM(EB87:EE87)</f>
        <v>0</v>
      </c>
      <c r="EG87" s="27">
        <v>0</v>
      </c>
      <c r="EH87" s="27">
        <v>0</v>
      </c>
      <c r="EI87" s="27">
        <v>0</v>
      </c>
    </row>
    <row r="88" spans="1:139" ht="15" thickBot="1" x14ac:dyDescent="0.35">
      <c r="A88" s="2" t="s">
        <v>454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28">
        <v>-1.0363100000000001E-3</v>
      </c>
      <c r="BK88" s="28">
        <v>1.77483E-3</v>
      </c>
      <c r="BL88" s="28">
        <v>-1.1839249999999999E-2</v>
      </c>
      <c r="BM88" s="28">
        <v>1.0651699999999968E-3</v>
      </c>
      <c r="BN88" s="28">
        <f t="shared" si="180"/>
        <v>-1.0035560000000002E-2</v>
      </c>
      <c r="BO88" s="28">
        <v>5.8451800000000002E-3</v>
      </c>
      <c r="BP88" s="28">
        <v>-2.1177080000000001E-2</v>
      </c>
      <c r="BQ88" s="28">
        <v>3.4452299999999988E-3</v>
      </c>
      <c r="BR88" s="28">
        <v>-3.726769999999999E-3</v>
      </c>
      <c r="BS88" s="28">
        <f t="shared" si="181"/>
        <v>-1.5613440000000001E-2</v>
      </c>
      <c r="BT88" s="28">
        <v>-2.6971600000000001E-3</v>
      </c>
      <c r="BU88" s="28">
        <v>2.2978809999999995E-2</v>
      </c>
      <c r="BV88" s="28">
        <v>2.1733130000000007E-2</v>
      </c>
      <c r="BW88" s="28">
        <v>-6.0126290000000006E-2</v>
      </c>
      <c r="BX88" s="28">
        <f t="shared" si="182"/>
        <v>-1.8111510000000004E-2</v>
      </c>
      <c r="BY88" s="28">
        <v>-2.9518499999999998E-3</v>
      </c>
      <c r="BZ88" s="28">
        <v>-1.9908600000000005E-3</v>
      </c>
      <c r="CA88" s="28">
        <v>0</v>
      </c>
      <c r="CB88" s="28">
        <v>0</v>
      </c>
      <c r="CC88" s="28">
        <f t="shared" si="183"/>
        <v>-4.9427100000000003E-3</v>
      </c>
      <c r="CD88" s="28">
        <v>0</v>
      </c>
      <c r="CE88" s="28">
        <v>-1.3575600000000001E-3</v>
      </c>
      <c r="CF88" s="28">
        <v>-1.3575600000000001E-3</v>
      </c>
      <c r="CG88" s="28">
        <v>-0.18250437999999999</v>
      </c>
      <c r="CH88" s="28">
        <f t="shared" si="184"/>
        <v>-0.18521949999999998</v>
      </c>
      <c r="CI88" s="28">
        <v>0</v>
      </c>
      <c r="CJ88" s="28">
        <v>0</v>
      </c>
      <c r="CK88" s="28">
        <v>0</v>
      </c>
      <c r="CL88" s="28">
        <v>0</v>
      </c>
      <c r="CM88" s="28">
        <f t="shared" si="185"/>
        <v>0</v>
      </c>
      <c r="CN88" s="28">
        <v>0</v>
      </c>
      <c r="CO88" s="28">
        <v>0</v>
      </c>
      <c r="CP88" s="28">
        <v>0</v>
      </c>
      <c r="CQ88" s="28">
        <v>-9.9000000000000005E-2</v>
      </c>
      <c r="CR88" s="28">
        <f t="shared" si="186"/>
        <v>-9.9000000000000005E-2</v>
      </c>
      <c r="CS88" s="28">
        <v>6.0000000000000001E-3</v>
      </c>
      <c r="CT88" s="28">
        <v>-0.24000000000000002</v>
      </c>
      <c r="CU88" s="28">
        <v>-0.215</v>
      </c>
      <c r="CV88" s="28">
        <f>(-0.311-CU88-CT88-CS88)</f>
        <v>0.13800000000000001</v>
      </c>
      <c r="CW88" s="28">
        <f t="shared" si="187"/>
        <v>-0.311</v>
      </c>
      <c r="CX88" s="28">
        <v>0.14399999999999999</v>
      </c>
      <c r="CY88" s="28">
        <v>-0.109</v>
      </c>
      <c r="CZ88" s="28">
        <v>-3.0000000000000001E-3</v>
      </c>
      <c r="DA88" s="28">
        <v>-9.5000000000000001E-2</v>
      </c>
      <c r="DB88" s="28">
        <f t="shared" si="188"/>
        <v>-6.3000000000000014E-2</v>
      </c>
      <c r="DC88" s="28">
        <v>-0.66100000000000003</v>
      </c>
      <c r="DD88" s="28">
        <v>-0.28399999999999997</v>
      </c>
      <c r="DE88" s="28">
        <v>-0.115</v>
      </c>
      <c r="DF88" s="28">
        <v>-0.20699999999999999</v>
      </c>
      <c r="DG88" s="28">
        <f t="shared" si="189"/>
        <v>-1.2670000000000001</v>
      </c>
      <c r="DH88" s="28">
        <v>-0.1</v>
      </c>
      <c r="DI88" s="28">
        <v>-0.16800000000000001</v>
      </c>
      <c r="DJ88" s="28">
        <v>-0.126</v>
      </c>
      <c r="DK88" s="28">
        <v>-5.1999999999999998E-2</v>
      </c>
      <c r="DL88" s="28">
        <f t="shared" si="190"/>
        <v>-0.44600000000000001</v>
      </c>
      <c r="DM88" s="28">
        <v>-0.29099999999999998</v>
      </c>
      <c r="DN88" s="28">
        <v>-0.23</v>
      </c>
      <c r="DO88" s="28">
        <v>-3.2000000000000001E-2</v>
      </c>
      <c r="DP88" s="28">
        <v>-4.7E-2</v>
      </c>
      <c r="DQ88" s="28">
        <f t="shared" si="191"/>
        <v>-0.60000000000000009</v>
      </c>
      <c r="DR88" s="28">
        <v>-0.22800000000000001</v>
      </c>
      <c r="DS88" s="28">
        <v>-0.15</v>
      </c>
      <c r="DT88" s="28">
        <v>-0.20100000000000001</v>
      </c>
      <c r="DU88" s="28">
        <v>2.5000000000000001E-2</v>
      </c>
      <c r="DV88" s="28">
        <f t="shared" si="192"/>
        <v>-0.55399999999999994</v>
      </c>
      <c r="DW88" s="28">
        <v>-0.74</v>
      </c>
      <c r="DX88" s="28">
        <v>-4.6785E-2</v>
      </c>
      <c r="DY88" s="28">
        <v>0</v>
      </c>
      <c r="DZ88" s="28">
        <v>0</v>
      </c>
      <c r="EA88" s="28">
        <f t="shared" si="193"/>
        <v>-0.78678499999999996</v>
      </c>
      <c r="EB88" s="28">
        <v>0</v>
      </c>
      <c r="EC88" s="28">
        <v>0</v>
      </c>
      <c r="ED88" s="28">
        <v>0</v>
      </c>
      <c r="EE88" s="28">
        <v>0</v>
      </c>
      <c r="EF88" s="28">
        <f t="shared" si="194"/>
        <v>0</v>
      </c>
      <c r="EG88" s="28">
        <v>0</v>
      </c>
      <c r="EH88" s="28">
        <v>0</v>
      </c>
      <c r="EI88" s="28">
        <v>0</v>
      </c>
    </row>
    <row r="89" spans="1:139" ht="15" thickTop="1" x14ac:dyDescent="0.3">
      <c r="A89" s="1" t="s">
        <v>442</v>
      </c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27">
        <v>-13.162740479999998</v>
      </c>
      <c r="BK89" s="27">
        <v>-13.579886110000002</v>
      </c>
      <c r="BL89" s="27">
        <v>-9.7380597400000024</v>
      </c>
      <c r="BM89" s="27">
        <v>-14.17442696999999</v>
      </c>
      <c r="BN89" s="27">
        <f t="shared" si="180"/>
        <v>-50.655113299999996</v>
      </c>
      <c r="BO89" s="27">
        <v>-11.435414560000002</v>
      </c>
      <c r="BP89" s="27">
        <v>-3.0019693699999976</v>
      </c>
      <c r="BQ89" s="27">
        <v>-4.5993520200000013</v>
      </c>
      <c r="BR89" s="27">
        <v>-3.9543254599999997</v>
      </c>
      <c r="BS89" s="27">
        <f t="shared" si="181"/>
        <v>-22.99106141</v>
      </c>
      <c r="BT89" s="27">
        <v>-3.2302754</v>
      </c>
      <c r="BU89" s="27">
        <v>-8.1185491499999998</v>
      </c>
      <c r="BV89" s="27">
        <v>-11.586011430000003</v>
      </c>
      <c r="BW89" s="27">
        <v>-3.8711554299999982</v>
      </c>
      <c r="BX89" s="27">
        <f t="shared" si="182"/>
        <v>-26.805991410000001</v>
      </c>
      <c r="BY89" s="27">
        <v>-3.4680825500000001</v>
      </c>
      <c r="BZ89" s="27">
        <v>-12.806458019999999</v>
      </c>
      <c r="CA89" s="27">
        <v>-9.2192843400000051</v>
      </c>
      <c r="CB89" s="27">
        <v>-18.330963639999993</v>
      </c>
      <c r="CC89" s="27">
        <f t="shared" si="183"/>
        <v>-43.824788549999994</v>
      </c>
      <c r="CD89" s="27">
        <v>-25.641208160000001</v>
      </c>
      <c r="CE89" s="27">
        <v>-19.482860560000002</v>
      </c>
      <c r="CF89" s="27">
        <v>-5.7615322899999981</v>
      </c>
      <c r="CG89" s="27">
        <v>-15.999288679999989</v>
      </c>
      <c r="CH89" s="27">
        <f t="shared" si="184"/>
        <v>-66.884889689999994</v>
      </c>
      <c r="CI89" s="27">
        <v>-37.183596810000004</v>
      </c>
      <c r="CJ89" s="27">
        <v>-27.1914114</v>
      </c>
      <c r="CK89" s="27">
        <v>-17.289248699999987</v>
      </c>
      <c r="CL89" s="27">
        <v>-30.017670819999985</v>
      </c>
      <c r="CM89" s="27">
        <f t="shared" si="185"/>
        <v>-111.68192772999998</v>
      </c>
      <c r="CN89" s="27">
        <v>-35.150164169999996</v>
      </c>
      <c r="CO89" s="27">
        <v>-21.173546119999997</v>
      </c>
      <c r="CP89" s="27">
        <v>-13.558153390000015</v>
      </c>
      <c r="CQ89" s="27">
        <v>-6.8101363199999838</v>
      </c>
      <c r="CR89" s="27">
        <f t="shared" si="186"/>
        <v>-76.691999999999993</v>
      </c>
      <c r="CS89" s="27">
        <v>-11.798999999999999</v>
      </c>
      <c r="CT89" s="27">
        <v>-7.125</v>
      </c>
      <c r="CU89" s="27">
        <v>-2.6730000000000018</v>
      </c>
      <c r="CV89" s="27">
        <f>(-32.542-CU89-CT89-CS89)</f>
        <v>-10.945</v>
      </c>
      <c r="CW89" s="27">
        <f t="shared" si="187"/>
        <v>-32.542000000000002</v>
      </c>
      <c r="CX89" s="27">
        <v>-13.131</v>
      </c>
      <c r="CY89" s="27">
        <v>-8.6880000000000006</v>
      </c>
      <c r="CZ89" s="27">
        <v>-14.794</v>
      </c>
      <c r="DA89" s="27">
        <v>-8.56</v>
      </c>
      <c r="DB89" s="27">
        <f t="shared" si="188"/>
        <v>-45.173000000000002</v>
      </c>
      <c r="DC89" s="27">
        <v>-14.736000000000001</v>
      </c>
      <c r="DD89" s="27">
        <v>-15.673</v>
      </c>
      <c r="DE89" s="27">
        <v>-3.7639999999999998</v>
      </c>
      <c r="DF89" s="27">
        <v>-8.8559999999999999</v>
      </c>
      <c r="DG89" s="27">
        <f t="shared" si="189"/>
        <v>-43.029000000000003</v>
      </c>
      <c r="DH89" s="27">
        <v>-17.003</v>
      </c>
      <c r="DI89" s="27">
        <v>9.234</v>
      </c>
      <c r="DJ89" s="27">
        <v>-12.263999999999999</v>
      </c>
      <c r="DK89" s="27">
        <v>-27.341999999999999</v>
      </c>
      <c r="DL89" s="27">
        <f t="shared" si="190"/>
        <v>-47.375</v>
      </c>
      <c r="DM89" s="27">
        <v>-25.927</v>
      </c>
      <c r="DN89" s="27">
        <v>-22.54</v>
      </c>
      <c r="DO89" s="27">
        <v>-27.675999999999998</v>
      </c>
      <c r="DP89" s="27">
        <v>-38.003</v>
      </c>
      <c r="DQ89" s="27">
        <f t="shared" si="191"/>
        <v>-114.146</v>
      </c>
      <c r="DR89" s="27">
        <v>-27.798999999999999</v>
      </c>
      <c r="DS89" s="27">
        <v>-27.361000000000001</v>
      </c>
      <c r="DT89" s="27">
        <v>5.4939999999999998</v>
      </c>
      <c r="DU89" s="27">
        <v>-8.7149999999999999</v>
      </c>
      <c r="DV89" s="27">
        <f t="shared" si="192"/>
        <v>-58.381</v>
      </c>
      <c r="DW89" s="27">
        <v>-18.170999999999999</v>
      </c>
      <c r="DX89" s="27">
        <v>-6.2052930000000002</v>
      </c>
      <c r="DY89" s="27">
        <v>-1.1140420700000002</v>
      </c>
      <c r="DZ89" s="27">
        <v>-3.3076865199999994</v>
      </c>
      <c r="EA89" s="27">
        <f t="shared" si="193"/>
        <v>-28.798021590000001</v>
      </c>
      <c r="EB89" s="27">
        <v>-14.79668356</v>
      </c>
      <c r="EC89" s="27">
        <v>-15.956129679999998</v>
      </c>
      <c r="ED89" s="27">
        <v>-10.903</v>
      </c>
      <c r="EE89" s="27">
        <v>-24.089020179999999</v>
      </c>
      <c r="EF89" s="27">
        <f t="shared" si="194"/>
        <v>-65.744833419999992</v>
      </c>
      <c r="EG89" s="27">
        <v>-33.617824429999999</v>
      </c>
      <c r="EH89" s="27">
        <v>-18.546993240000003</v>
      </c>
      <c r="EI89" s="27">
        <v>-10.00111207</v>
      </c>
    </row>
    <row r="90" spans="1:139" ht="15" thickBot="1" x14ac:dyDescent="0.35">
      <c r="A90" s="2" t="s">
        <v>3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28">
        <v>1.6889540000000001E-2</v>
      </c>
      <c r="BK90" s="28">
        <v>1.9126610000000002E-2</v>
      </c>
      <c r="BL90" s="28">
        <v>2.2765409999999993E-2</v>
      </c>
      <c r="BM90" s="28">
        <v>3.2794230000000001E-2</v>
      </c>
      <c r="BN90" s="28">
        <f t="shared" si="180"/>
        <v>9.157578999999999E-2</v>
      </c>
      <c r="BO90" s="28">
        <v>1.5515859999999999E-2</v>
      </c>
      <c r="BP90" s="28">
        <v>3.8372900000000001E-2</v>
      </c>
      <c r="BQ90" s="28">
        <v>9.8964229999999986E-2</v>
      </c>
      <c r="BR90" s="28">
        <v>5.4872609999999995E-2</v>
      </c>
      <c r="BS90" s="28">
        <f t="shared" si="181"/>
        <v>0.20772559999999998</v>
      </c>
      <c r="BT90" s="28">
        <v>5.5702289999999995E-2</v>
      </c>
      <c r="BU90" s="28">
        <v>5.4793749999999995E-2</v>
      </c>
      <c r="BV90" s="28">
        <v>4.7742470000000002E-2</v>
      </c>
      <c r="BW90" s="28">
        <v>-0.15823851</v>
      </c>
      <c r="BX90" s="28">
        <f t="shared" si="182"/>
        <v>0</v>
      </c>
      <c r="BY90" s="28">
        <v>0</v>
      </c>
      <c r="BZ90" s="28">
        <v>0</v>
      </c>
      <c r="CA90" s="28">
        <v>0</v>
      </c>
      <c r="CB90" s="28">
        <v>0</v>
      </c>
      <c r="CC90" s="28">
        <f t="shared" si="183"/>
        <v>0</v>
      </c>
      <c r="CD90" s="28">
        <v>0</v>
      </c>
      <c r="CE90" s="28">
        <v>0</v>
      </c>
      <c r="CF90" s="28">
        <v>0</v>
      </c>
      <c r="CG90" s="28">
        <v>-1.1174605400000002</v>
      </c>
      <c r="CH90" s="28">
        <f t="shared" si="184"/>
        <v>-1.1174605400000002</v>
      </c>
      <c r="CI90" s="28">
        <v>0</v>
      </c>
      <c r="CJ90" s="28">
        <v>0</v>
      </c>
      <c r="CK90" s="28">
        <v>0</v>
      </c>
      <c r="CL90" s="28">
        <v>0</v>
      </c>
      <c r="CM90" s="28">
        <f t="shared" si="185"/>
        <v>0</v>
      </c>
      <c r="CN90" s="28">
        <v>0</v>
      </c>
      <c r="CO90" s="28">
        <v>-0.11184425000000001</v>
      </c>
      <c r="CP90" s="28">
        <v>-4.7464809999999996E-2</v>
      </c>
      <c r="CQ90" s="28">
        <v>5.9309059999999997E-2</v>
      </c>
      <c r="CR90" s="28">
        <f t="shared" si="186"/>
        <v>-0.1</v>
      </c>
      <c r="CS90" s="28">
        <v>-0.114</v>
      </c>
      <c r="CT90" s="28">
        <v>4.0000000000000008E-2</v>
      </c>
      <c r="CU90" s="28">
        <v>0.34</v>
      </c>
      <c r="CV90" s="28">
        <f>(-0.722-CU90-CT90-CS90)</f>
        <v>-0.9880000000000001</v>
      </c>
      <c r="CW90" s="28">
        <f t="shared" si="187"/>
        <v>-0.72200000000000009</v>
      </c>
      <c r="CX90" s="28">
        <v>-5.8999999999999997E-2</v>
      </c>
      <c r="CY90" s="28">
        <v>-6.7000000000000004E-2</v>
      </c>
      <c r="CZ90" s="28">
        <v>-4.5999999999999999E-2</v>
      </c>
      <c r="DA90" s="28">
        <v>-0.104</v>
      </c>
      <c r="DB90" s="28">
        <f t="shared" si="188"/>
        <v>-0.27599999999999997</v>
      </c>
      <c r="DC90" s="28">
        <v>1.2E-2</v>
      </c>
      <c r="DD90" s="28">
        <v>0.20499999999999999</v>
      </c>
      <c r="DE90" s="28">
        <v>0.62</v>
      </c>
      <c r="DF90" s="28">
        <v>0.26600000000000001</v>
      </c>
      <c r="DG90" s="28">
        <f t="shared" si="189"/>
        <v>1.103</v>
      </c>
      <c r="DH90" s="28">
        <v>-6.4000000000000001E-2</v>
      </c>
      <c r="DI90" s="28">
        <v>-3.5999999999999997E-2</v>
      </c>
      <c r="DJ90" s="28">
        <v>-0.186</v>
      </c>
      <c r="DK90" s="28">
        <v>-0.05</v>
      </c>
      <c r="DL90" s="28">
        <f t="shared" si="190"/>
        <v>-0.33600000000000002</v>
      </c>
      <c r="DM90" s="28">
        <v>-0.54300000000000004</v>
      </c>
      <c r="DN90" s="28">
        <v>-0.47799999999999998</v>
      </c>
      <c r="DO90" s="28">
        <v>-0.20399999999999999</v>
      </c>
      <c r="DP90" s="28">
        <v>-7.5999999999999998E-2</v>
      </c>
      <c r="DQ90" s="28">
        <f t="shared" si="191"/>
        <v>-1.3009999999999999</v>
      </c>
      <c r="DR90" s="28">
        <v>-0.24</v>
      </c>
      <c r="DS90" s="28">
        <v>-0.19800000000000001</v>
      </c>
      <c r="DT90" s="28">
        <v>-0.25700000000000001</v>
      </c>
      <c r="DU90" s="28">
        <v>-0.192</v>
      </c>
      <c r="DV90" s="28">
        <f t="shared" si="192"/>
        <v>-0.88700000000000001</v>
      </c>
      <c r="DW90" s="28">
        <v>-8.1000000000000003E-2</v>
      </c>
      <c r="DX90" s="28">
        <v>-0.10643900000000001</v>
      </c>
      <c r="DY90" s="28">
        <v>0</v>
      </c>
      <c r="DZ90" s="28">
        <v>0</v>
      </c>
      <c r="EA90" s="28">
        <f t="shared" si="193"/>
        <v>-0.18743900000000002</v>
      </c>
      <c r="EB90" s="28">
        <v>0</v>
      </c>
      <c r="EC90" s="28">
        <v>0</v>
      </c>
      <c r="ED90" s="28">
        <v>0</v>
      </c>
      <c r="EE90" s="28">
        <v>0</v>
      </c>
      <c r="EF90" s="28">
        <f t="shared" si="194"/>
        <v>0</v>
      </c>
      <c r="EG90" s="28">
        <v>0</v>
      </c>
      <c r="EH90" s="28">
        <v>0</v>
      </c>
      <c r="EI90" s="28">
        <v>0</v>
      </c>
    </row>
    <row r="91" spans="1:139" ht="15" thickTop="1" x14ac:dyDescent="0.3">
      <c r="A91" s="1" t="s">
        <v>443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27">
        <v>-8.0890185799999994</v>
      </c>
      <c r="BK91" s="27">
        <v>-5.7185091000000003</v>
      </c>
      <c r="BL91" s="27">
        <v>-2.429736400000003</v>
      </c>
      <c r="BM91" s="27">
        <v>-0.73192615999999688</v>
      </c>
      <c r="BN91" s="27">
        <f t="shared" si="180"/>
        <v>-16.96919024</v>
      </c>
      <c r="BO91" s="27">
        <v>-7.2091893300000001</v>
      </c>
      <c r="BP91" s="27">
        <v>-7.3840404299999998</v>
      </c>
      <c r="BQ91" s="27">
        <v>-2.5005809200000018</v>
      </c>
      <c r="BR91" s="27">
        <v>-6.1085697300000001</v>
      </c>
      <c r="BS91" s="27">
        <f t="shared" si="181"/>
        <v>-23.20238041</v>
      </c>
      <c r="BT91" s="27">
        <v>-5.5207913000000008</v>
      </c>
      <c r="BU91" s="27">
        <v>-4.8912694600000002</v>
      </c>
      <c r="BV91" s="27">
        <v>-3.5496744399999987</v>
      </c>
      <c r="BW91" s="27">
        <v>-7.8848932800000018</v>
      </c>
      <c r="BX91" s="27">
        <f t="shared" si="182"/>
        <v>-21.84662848</v>
      </c>
      <c r="BY91" s="27">
        <v>-8.4830659099999988</v>
      </c>
      <c r="BZ91" s="27">
        <v>-5.8842902800000019</v>
      </c>
      <c r="CA91" s="27">
        <v>-2.0093818799999976</v>
      </c>
      <c r="CB91" s="27">
        <v>-6.780030070000004</v>
      </c>
      <c r="CC91" s="27">
        <f t="shared" si="183"/>
        <v>-23.156768140000004</v>
      </c>
      <c r="CD91" s="27">
        <v>-9.41058181</v>
      </c>
      <c r="CE91" s="27">
        <v>-8.2190391900000002</v>
      </c>
      <c r="CF91" s="27">
        <v>-2.4875679999999996</v>
      </c>
      <c r="CG91" s="27">
        <v>-7.0988504500000005</v>
      </c>
      <c r="CH91" s="27">
        <f t="shared" si="184"/>
        <v>-27.21603945</v>
      </c>
      <c r="CI91" s="27">
        <v>-16.940011940000002</v>
      </c>
      <c r="CJ91" s="27">
        <v>-9.9661623699999957</v>
      </c>
      <c r="CK91" s="27">
        <v>-8.8983559400000054</v>
      </c>
      <c r="CL91" s="27">
        <v>-13.968095999999996</v>
      </c>
      <c r="CM91" s="27">
        <f t="shared" si="185"/>
        <v>-49.772626249999995</v>
      </c>
      <c r="CN91" s="27">
        <v>-13.97719257</v>
      </c>
      <c r="CO91" s="27">
        <v>-11.07714202</v>
      </c>
      <c r="CP91" s="27">
        <v>-6.2644421499999972</v>
      </c>
      <c r="CQ91" s="27">
        <v>4.3776739999998426E-2</v>
      </c>
      <c r="CR91" s="27">
        <f t="shared" si="186"/>
        <v>-31.274999999999999</v>
      </c>
      <c r="CS91" s="27">
        <v>-5.41</v>
      </c>
      <c r="CT91" s="27">
        <v>-3.5440000000000005</v>
      </c>
      <c r="CU91" s="27">
        <v>-0.94799999999999862</v>
      </c>
      <c r="CV91" s="27">
        <f>(-14.45-CU91-CT91-CS91)</f>
        <v>-4.548</v>
      </c>
      <c r="CW91" s="27">
        <f t="shared" si="187"/>
        <v>-14.45</v>
      </c>
      <c r="CX91" s="27">
        <v>-5.1390000000000002</v>
      </c>
      <c r="CY91" s="27">
        <v>-3.5419999999999998</v>
      </c>
      <c r="CZ91" s="27">
        <v>-6.069</v>
      </c>
      <c r="DA91" s="27">
        <v>-2.976</v>
      </c>
      <c r="DB91" s="27">
        <f t="shared" si="188"/>
        <v>-17.725999999999999</v>
      </c>
      <c r="DC91" s="27">
        <v>-5.2489999999999997</v>
      </c>
      <c r="DD91" s="27">
        <v>-5.2949999999999999</v>
      </c>
      <c r="DE91" s="27">
        <v>-1.456</v>
      </c>
      <c r="DF91" s="27">
        <v>-2.8919999999999999</v>
      </c>
      <c r="DG91" s="27">
        <f t="shared" si="189"/>
        <v>-14.891999999999999</v>
      </c>
      <c r="DH91" s="27">
        <v>-5.359</v>
      </c>
      <c r="DI91" s="27">
        <v>2.7509999999999999</v>
      </c>
      <c r="DJ91" s="27">
        <v>-3.4430000000000001</v>
      </c>
      <c r="DK91" s="27">
        <v>-7.22</v>
      </c>
      <c r="DL91" s="27">
        <f t="shared" si="190"/>
        <v>-13.271000000000001</v>
      </c>
      <c r="DM91" s="27">
        <v>-6.2190000000000003</v>
      </c>
      <c r="DN91" s="27">
        <v>-4.93</v>
      </c>
      <c r="DO91" s="27">
        <v>-4.3239999999999998</v>
      </c>
      <c r="DP91" s="27">
        <v>-4.8490000000000002</v>
      </c>
      <c r="DQ91" s="27">
        <f t="shared" si="191"/>
        <v>-20.322000000000003</v>
      </c>
      <c r="DR91" s="27">
        <v>-2.9470000000000001</v>
      </c>
      <c r="DS91" s="27">
        <v>-2.2690000000000001</v>
      </c>
      <c r="DT91" s="27">
        <v>1.3149999999999999</v>
      </c>
      <c r="DU91" s="27">
        <v>0.20100000000000001</v>
      </c>
      <c r="DV91" s="27">
        <f t="shared" si="192"/>
        <v>-3.7</v>
      </c>
      <c r="DW91" s="27">
        <v>-0.29899999999999999</v>
      </c>
      <c r="DX91" s="27">
        <v>-11.40047</v>
      </c>
      <c r="DY91" s="27">
        <v>-5.6660758600000012</v>
      </c>
      <c r="DZ91" s="27">
        <v>-10.287278259999997</v>
      </c>
      <c r="EA91" s="27">
        <f t="shared" si="193"/>
        <v>-27.652824119999998</v>
      </c>
      <c r="EB91" s="27">
        <v>-20.3457778</v>
      </c>
      <c r="EC91" s="27">
        <v>-12.64726568</v>
      </c>
      <c r="ED91" s="27">
        <v>-8.14</v>
      </c>
      <c r="EE91" s="27">
        <v>-17.802462899999998</v>
      </c>
      <c r="EF91" s="27">
        <f t="shared" si="194"/>
        <v>-58.935506379999993</v>
      </c>
      <c r="EG91" s="27">
        <v>-24.789932289999999</v>
      </c>
      <c r="EH91" s="27">
        <v>-13.481318020000003</v>
      </c>
      <c r="EI91" s="27">
        <v>-7.2123383099999954</v>
      </c>
    </row>
    <row r="92" spans="1:139" ht="15" thickBot="1" x14ac:dyDescent="0.35">
      <c r="A92" s="2" t="s">
        <v>481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28">
        <v>0</v>
      </c>
      <c r="BK92" s="28">
        <v>0</v>
      </c>
      <c r="BL92" s="28">
        <v>0</v>
      </c>
      <c r="BM92" s="28">
        <v>0</v>
      </c>
      <c r="BN92" s="28">
        <f t="shared" si="180"/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f t="shared" si="181"/>
        <v>0</v>
      </c>
      <c r="BT92" s="28">
        <v>0</v>
      </c>
      <c r="BU92" s="28">
        <v>0</v>
      </c>
      <c r="BV92" s="28">
        <v>0</v>
      </c>
      <c r="BW92" s="28">
        <v>0</v>
      </c>
      <c r="BX92" s="28">
        <f t="shared" si="182"/>
        <v>0</v>
      </c>
      <c r="BY92" s="28">
        <v>0</v>
      </c>
      <c r="BZ92" s="28">
        <v>0</v>
      </c>
      <c r="CA92" s="28">
        <v>0</v>
      </c>
      <c r="CB92" s="28">
        <v>0</v>
      </c>
      <c r="CC92" s="28">
        <f t="shared" si="183"/>
        <v>0</v>
      </c>
      <c r="CD92" s="28">
        <v>0</v>
      </c>
      <c r="CE92" s="28">
        <v>0</v>
      </c>
      <c r="CF92" s="28">
        <v>0</v>
      </c>
      <c r="CG92" s="28">
        <v>4.1963810000000004E-2</v>
      </c>
      <c r="CH92" s="28">
        <f t="shared" si="184"/>
        <v>4.1963810000000004E-2</v>
      </c>
      <c r="CI92" s="28">
        <v>-11.267194720000001</v>
      </c>
      <c r="CJ92" s="28">
        <v>2.2947765999999987</v>
      </c>
      <c r="CK92" s="28">
        <v>-21.456045169999999</v>
      </c>
      <c r="CL92" s="28">
        <v>1.4698360199999954</v>
      </c>
      <c r="CM92" s="28">
        <f t="shared" si="185"/>
        <v>-28.958627270000008</v>
      </c>
      <c r="CN92" s="28">
        <v>13.333005349999999</v>
      </c>
      <c r="CO92" s="28">
        <v>-6.9134550499999978</v>
      </c>
      <c r="CP92" s="28">
        <v>-0.76691697999999953</v>
      </c>
      <c r="CQ92" s="28">
        <v>-2.6836333200000015</v>
      </c>
      <c r="CR92" s="28">
        <f t="shared" si="186"/>
        <v>2.9689999999999999</v>
      </c>
      <c r="CS92" s="28">
        <v>-2.6019999999999999</v>
      </c>
      <c r="CT92" s="28">
        <v>-2.1040000000000005</v>
      </c>
      <c r="CU92" s="28">
        <v>-0.87199999999999989</v>
      </c>
      <c r="CV92" s="28">
        <f>(-6.254-CU92-CT92-CS92)</f>
        <v>-0.67599999999999927</v>
      </c>
      <c r="CW92" s="28">
        <f t="shared" si="187"/>
        <v>-6.2539999999999996</v>
      </c>
      <c r="CX92" s="28">
        <v>-0.52300000000000002</v>
      </c>
      <c r="CY92" s="28">
        <v>-0.46500000000000002</v>
      </c>
      <c r="CZ92" s="28">
        <v>-0.44600000000000001</v>
      </c>
      <c r="DA92" s="28">
        <v>-0.82</v>
      </c>
      <c r="DB92" s="28">
        <f t="shared" si="188"/>
        <v>-2.254</v>
      </c>
      <c r="DC92" s="28">
        <v>-0.98899999999999999</v>
      </c>
      <c r="DD92" s="28">
        <v>-0.313</v>
      </c>
      <c r="DE92" s="28">
        <v>-0.16600000000000001</v>
      </c>
      <c r="DF92" s="28">
        <v>0.249</v>
      </c>
      <c r="DG92" s="28">
        <f t="shared" si="189"/>
        <v>-1.2189999999999999</v>
      </c>
      <c r="DH92" s="28">
        <v>-7.5999999999999998E-2</v>
      </c>
      <c r="DI92" s="28">
        <v>-0.32300000000000001</v>
      </c>
      <c r="DJ92" s="28">
        <v>-0.22700000000000001</v>
      </c>
      <c r="DK92" s="28">
        <v>-6.2169999999999996</v>
      </c>
      <c r="DL92" s="28">
        <f t="shared" si="190"/>
        <v>-6.843</v>
      </c>
      <c r="DM92" s="28">
        <v>-0.318</v>
      </c>
      <c r="DN92" s="28">
        <v>-3.181</v>
      </c>
      <c r="DO92" s="28">
        <v>-5.89</v>
      </c>
      <c r="DP92" s="28">
        <v>-2.1429999999999998</v>
      </c>
      <c r="DQ92" s="28">
        <f t="shared" si="191"/>
        <v>-11.532</v>
      </c>
      <c r="DR92" s="28">
        <v>-2.6349999999999998</v>
      </c>
      <c r="DS92" s="28">
        <v>-4.2880000000000003</v>
      </c>
      <c r="DT92" s="28">
        <v>-6.2290000000000001</v>
      </c>
      <c r="DU92" s="28">
        <v>-4.6440000000000001</v>
      </c>
      <c r="DV92" s="28">
        <f t="shared" si="192"/>
        <v>-17.795999999999999</v>
      </c>
      <c r="DW92" s="28">
        <v>-13.523999999999999</v>
      </c>
      <c r="DX92" s="28">
        <v>-8.6037769999999991</v>
      </c>
      <c r="DY92" s="28">
        <v>-0.7383110599999998</v>
      </c>
      <c r="DZ92" s="28">
        <v>-0.40080860000000007</v>
      </c>
      <c r="EA92" s="28">
        <f t="shared" si="193"/>
        <v>-23.26689666</v>
      </c>
      <c r="EB92" s="28">
        <v>-0.36722455999999998</v>
      </c>
      <c r="EC92" s="28">
        <v>-0.45161244</v>
      </c>
      <c r="ED92" s="28">
        <v>-0.59499999999999997</v>
      </c>
      <c r="EE92" s="28">
        <v>-0.89189805999999983</v>
      </c>
      <c r="EF92" s="28">
        <f t="shared" si="194"/>
        <v>-2.3057350599999999</v>
      </c>
      <c r="EG92" s="28">
        <v>-1.1606452300000001</v>
      </c>
      <c r="EH92" s="28">
        <v>-1.5129694700000003</v>
      </c>
      <c r="EI92" s="28">
        <v>-1.6412405699999995</v>
      </c>
    </row>
    <row r="93" spans="1:139" ht="15" thickTop="1" x14ac:dyDescent="0.3">
      <c r="A93" s="1" t="s">
        <v>445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27">
        <v>0</v>
      </c>
      <c r="BK93" s="27">
        <v>0</v>
      </c>
      <c r="BL93" s="27">
        <v>0</v>
      </c>
      <c r="BM93" s="27">
        <v>0</v>
      </c>
      <c r="BN93" s="27">
        <f t="shared" si="180"/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f t="shared" si="181"/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f t="shared" si="182"/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f t="shared" si="183"/>
        <v>0</v>
      </c>
      <c r="CD93" s="27">
        <v>0</v>
      </c>
      <c r="CE93" s="27">
        <v>0</v>
      </c>
      <c r="CF93" s="27">
        <v>0</v>
      </c>
      <c r="CG93" s="27">
        <v>0</v>
      </c>
      <c r="CH93" s="27">
        <f t="shared" si="184"/>
        <v>0</v>
      </c>
      <c r="CI93" s="27">
        <v>0</v>
      </c>
      <c r="CJ93" s="27">
        <v>0</v>
      </c>
      <c r="CK93" s="27">
        <v>0</v>
      </c>
      <c r="CL93" s="27">
        <v>0</v>
      </c>
      <c r="CM93" s="27">
        <f t="shared" si="185"/>
        <v>0</v>
      </c>
      <c r="CN93" s="27">
        <v>0</v>
      </c>
      <c r="CO93" s="27">
        <v>0</v>
      </c>
      <c r="CP93" s="27">
        <v>0</v>
      </c>
      <c r="CQ93" s="27">
        <v>4.7E-2</v>
      </c>
      <c r="CR93" s="27">
        <f t="shared" si="186"/>
        <v>4.7E-2</v>
      </c>
      <c r="CS93" s="27">
        <v>-8.9999999999999993E-3</v>
      </c>
      <c r="CT93" s="27">
        <v>9.9999999999999915E-4</v>
      </c>
      <c r="CU93" s="27">
        <v>-2E-3</v>
      </c>
      <c r="CV93" s="27">
        <v>-2.3196019999999998E-2</v>
      </c>
      <c r="CW93" s="27">
        <f t="shared" si="187"/>
        <v>-3.319602E-2</v>
      </c>
      <c r="CX93" s="27">
        <v>-9.1999999999999998E-2</v>
      </c>
      <c r="CY93" s="27">
        <v>-7.0999999999999994E-2</v>
      </c>
      <c r="CZ93" s="27">
        <v>-9.4E-2</v>
      </c>
      <c r="DA93" s="27">
        <v>-0.19800000000000001</v>
      </c>
      <c r="DB93" s="27">
        <f t="shared" si="188"/>
        <v>-0.45500000000000002</v>
      </c>
      <c r="DC93" s="27">
        <v>-0.20899999999999999</v>
      </c>
      <c r="DD93" s="27">
        <v>-7.9000000000000001E-2</v>
      </c>
      <c r="DE93" s="27">
        <v>-5.0000000000000001E-3</v>
      </c>
      <c r="DF93" s="27">
        <v>-2.323</v>
      </c>
      <c r="DG93" s="27">
        <f t="shared" si="189"/>
        <v>-2.6160000000000001</v>
      </c>
      <c r="DH93" s="27">
        <v>-2.661</v>
      </c>
      <c r="DI93" s="27">
        <v>1.264</v>
      </c>
      <c r="DJ93" s="27">
        <v>-2.3140000000000001</v>
      </c>
      <c r="DK93" s="27">
        <v>-6.59</v>
      </c>
      <c r="DL93" s="27">
        <f t="shared" si="190"/>
        <v>-10.301</v>
      </c>
      <c r="DM93" s="27">
        <v>-5.8490000000000002</v>
      </c>
      <c r="DN93" s="27">
        <v>-4.4749999999999996</v>
      </c>
      <c r="DO93" s="27">
        <v>-6.923</v>
      </c>
      <c r="DP93" s="27">
        <v>-7.9779999999999998</v>
      </c>
      <c r="DQ93" s="27">
        <f t="shared" si="191"/>
        <v>-25.225000000000001</v>
      </c>
      <c r="DR93" s="27">
        <v>-7.1210000000000004</v>
      </c>
      <c r="DS93" s="27">
        <v>-8.3030000000000008</v>
      </c>
      <c r="DT93" s="27">
        <v>1.9279999999999999</v>
      </c>
      <c r="DU93" s="27">
        <v>-3.6659999999999999</v>
      </c>
      <c r="DV93" s="27">
        <f t="shared" si="192"/>
        <v>-17.162000000000003</v>
      </c>
      <c r="DW93" s="27">
        <v>-6.8390000000000004</v>
      </c>
      <c r="DX93" s="27">
        <v>-3.784707</v>
      </c>
      <c r="DY93" s="27">
        <v>-1.9184680199999993</v>
      </c>
      <c r="DZ93" s="27">
        <v>-2.7146478600000004</v>
      </c>
      <c r="EA93" s="27">
        <f t="shared" si="193"/>
        <v>-15.256822879999998</v>
      </c>
      <c r="EB93" s="27">
        <v>-5.0338026000000005</v>
      </c>
      <c r="EC93" s="27">
        <v>-3.30751822</v>
      </c>
      <c r="ED93" s="27">
        <v>-2.3849999999999998</v>
      </c>
      <c r="EE93" s="27">
        <v>-4.8431802699999995</v>
      </c>
      <c r="EF93" s="27">
        <f t="shared" si="194"/>
        <v>-15.569501089999999</v>
      </c>
      <c r="EG93" s="27">
        <v>-6.6842780399999997</v>
      </c>
      <c r="EH93" s="27">
        <v>-4.4433598599999993</v>
      </c>
      <c r="EI93" s="27">
        <v>-3.1342307100000015</v>
      </c>
    </row>
    <row r="94" spans="1:139" ht="15" thickBot="1" x14ac:dyDescent="0.35">
      <c r="A94" s="2" t="s">
        <v>444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28">
        <v>0</v>
      </c>
      <c r="BW94" s="28">
        <v>0</v>
      </c>
      <c r="BX94" s="28">
        <v>0</v>
      </c>
      <c r="BY94" s="28">
        <v>0</v>
      </c>
      <c r="BZ94" s="28">
        <v>0</v>
      </c>
      <c r="CA94" s="28">
        <v>0</v>
      </c>
      <c r="CB94" s="28">
        <v>0</v>
      </c>
      <c r="CC94" s="28">
        <v>0</v>
      </c>
      <c r="CD94" s="28">
        <v>0</v>
      </c>
      <c r="CE94" s="28">
        <v>0</v>
      </c>
      <c r="CF94" s="28">
        <v>0</v>
      </c>
      <c r="CG94" s="28">
        <v>0</v>
      </c>
      <c r="CH94" s="28">
        <v>0</v>
      </c>
      <c r="CI94" s="28">
        <v>0</v>
      </c>
      <c r="CJ94" s="28">
        <v>0</v>
      </c>
      <c r="CK94" s="28">
        <v>0</v>
      </c>
      <c r="CL94" s="28">
        <v>0</v>
      </c>
      <c r="CM94" s="28">
        <v>0</v>
      </c>
      <c r="CN94" s="28">
        <v>0</v>
      </c>
      <c r="CO94" s="28">
        <v>0</v>
      </c>
      <c r="CP94" s="28">
        <v>0</v>
      </c>
      <c r="CQ94" s="28">
        <v>0</v>
      </c>
      <c r="CR94" s="28">
        <v>0</v>
      </c>
      <c r="CS94" s="28">
        <v>0</v>
      </c>
      <c r="CT94" s="28">
        <v>0</v>
      </c>
      <c r="CU94" s="28">
        <v>0</v>
      </c>
      <c r="CV94" s="28">
        <v>0</v>
      </c>
      <c r="CW94" s="28">
        <v>0</v>
      </c>
      <c r="CX94" s="28">
        <v>0</v>
      </c>
      <c r="CY94" s="28">
        <v>0</v>
      </c>
      <c r="CZ94" s="28">
        <v>0</v>
      </c>
      <c r="DA94" s="28">
        <v>0</v>
      </c>
      <c r="DB94" s="28">
        <v>0</v>
      </c>
      <c r="DC94" s="28">
        <v>0</v>
      </c>
      <c r="DD94" s="28">
        <v>0</v>
      </c>
      <c r="DE94" s="28">
        <v>-0.46700000000000003</v>
      </c>
      <c r="DF94" s="28">
        <v>-1.4219999999999999</v>
      </c>
      <c r="DG94" s="28">
        <f t="shared" si="189"/>
        <v>-1.889</v>
      </c>
      <c r="DH94" s="28">
        <v>-1.155</v>
      </c>
      <c r="DI94" s="28">
        <v>0.46300000000000002</v>
      </c>
      <c r="DJ94" s="28">
        <v>-1.097</v>
      </c>
      <c r="DK94" s="28">
        <v>-2.819</v>
      </c>
      <c r="DL94" s="28">
        <f t="shared" si="190"/>
        <v>-4.6079999999999997</v>
      </c>
      <c r="DM94" s="28">
        <v>-2.5939999999999999</v>
      </c>
      <c r="DN94" s="28">
        <v>-2.0339999999999998</v>
      </c>
      <c r="DO94" s="28">
        <v>-2.952</v>
      </c>
      <c r="DP94" s="28">
        <v>-3.2189999999999999</v>
      </c>
      <c r="DQ94" s="28">
        <f t="shared" si="191"/>
        <v>-10.798999999999999</v>
      </c>
      <c r="DR94" s="28">
        <v>-3.085</v>
      </c>
      <c r="DS94" s="28">
        <v>-4.3940000000000001</v>
      </c>
      <c r="DT94" s="28">
        <v>-0.89100000000000001</v>
      </c>
      <c r="DU94" s="28">
        <v>-3.444</v>
      </c>
      <c r="DV94" s="28">
        <f t="shared" si="192"/>
        <v>-11.814</v>
      </c>
      <c r="DW94" s="28">
        <v>-5.01</v>
      </c>
      <c r="DX94" s="28">
        <v>-3.6925150000000002</v>
      </c>
      <c r="DY94" s="28">
        <v>-2.3447216900000005</v>
      </c>
      <c r="DZ94" s="28">
        <v>-1.9787634000000003</v>
      </c>
      <c r="EA94" s="28">
        <f t="shared" si="193"/>
        <v>-13.02600009</v>
      </c>
      <c r="EB94" s="28">
        <v>-2.84691363</v>
      </c>
      <c r="EC94" s="28">
        <v>-2.4133178700000002</v>
      </c>
      <c r="ED94" s="28">
        <v>-2.4630000000000001</v>
      </c>
      <c r="EE94" s="28">
        <v>-4.29029141</v>
      </c>
      <c r="EF94" s="28">
        <f t="shared" si="194"/>
        <v>-12.013522909999999</v>
      </c>
      <c r="EG94" s="28">
        <v>-5.7940058699999994</v>
      </c>
      <c r="EH94" s="28">
        <v>-6.0263098800000012</v>
      </c>
      <c r="EI94" s="28">
        <v>-6.2518973599999992</v>
      </c>
    </row>
    <row r="95" spans="1:139" ht="15" thickTop="1" x14ac:dyDescent="0.3">
      <c r="A95" s="1" t="s">
        <v>456</v>
      </c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  <c r="DA95" s="27">
        <v>0</v>
      </c>
      <c r="DB95" s="27">
        <v>0</v>
      </c>
      <c r="DC95" s="27">
        <v>0</v>
      </c>
      <c r="DD95" s="27">
        <v>-34.494999999999997</v>
      </c>
      <c r="DE95" s="27">
        <v>-28.119</v>
      </c>
      <c r="DF95" s="27">
        <v>-57.764000000000003</v>
      </c>
      <c r="DG95" s="27">
        <f t="shared" si="189"/>
        <v>-120.378</v>
      </c>
      <c r="DH95" s="27">
        <v>-30.106999999999999</v>
      </c>
      <c r="DI95" s="27">
        <v>-7.7549999999999999</v>
      </c>
      <c r="DJ95" s="27">
        <v>-49.945</v>
      </c>
      <c r="DK95" s="27">
        <v>-94.343999999999994</v>
      </c>
      <c r="DL95" s="27">
        <f t="shared" si="190"/>
        <v>-182.15100000000001</v>
      </c>
      <c r="DM95" s="27">
        <v>-70.078000000000003</v>
      </c>
      <c r="DN95" s="27">
        <v>-19.882999999999999</v>
      </c>
      <c r="DO95" s="27">
        <v>-62.656999999999996</v>
      </c>
      <c r="DP95" s="27">
        <v>-67.05</v>
      </c>
      <c r="DQ95" s="27">
        <f t="shared" si="191"/>
        <v>-219.66800000000001</v>
      </c>
      <c r="DR95" s="27">
        <v>-63.145000000000003</v>
      </c>
      <c r="DS95" s="27">
        <v>-72.268000000000001</v>
      </c>
      <c r="DT95" s="27">
        <v>-5.6070000000000002</v>
      </c>
      <c r="DU95" s="27">
        <v>-33.581000000000003</v>
      </c>
      <c r="DV95" s="27">
        <f t="shared" si="192"/>
        <v>-174.601</v>
      </c>
      <c r="DW95" s="27">
        <v>-46.509</v>
      </c>
      <c r="DX95" s="27">
        <v>-34.677194</v>
      </c>
      <c r="DY95" s="27">
        <v>-28.469349170000005</v>
      </c>
      <c r="DZ95" s="27">
        <v>-52.908708590000003</v>
      </c>
      <c r="EA95" s="27">
        <f t="shared" si="193"/>
        <v>-162.56425175999999</v>
      </c>
      <c r="EB95" s="27">
        <v>-50.138419810000002</v>
      </c>
      <c r="EC95" s="27">
        <v>-42.275623700000004</v>
      </c>
      <c r="ED95" s="27">
        <v>-35.616</v>
      </c>
      <c r="EE95" s="27">
        <v>-58.984669800000013</v>
      </c>
      <c r="EF95" s="27">
        <f t="shared" si="194"/>
        <v>-187.01471330999999</v>
      </c>
      <c r="EG95" s="27">
        <v>-70.807124549999997</v>
      </c>
      <c r="EH95" s="27">
        <v>-56.796319929999996</v>
      </c>
      <c r="EI95" s="27">
        <v>-41.572865280000002</v>
      </c>
    </row>
    <row r="96" spans="1:139" ht="15" thickBot="1" x14ac:dyDescent="0.35">
      <c r="A96" s="2" t="s">
        <v>446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v>0</v>
      </c>
      <c r="CD96" s="28">
        <v>0</v>
      </c>
      <c r="CE96" s="28">
        <v>0</v>
      </c>
      <c r="CF96" s="28">
        <v>0</v>
      </c>
      <c r="CG96" s="28">
        <v>0</v>
      </c>
      <c r="CH96" s="28">
        <v>0</v>
      </c>
      <c r="CI96" s="28">
        <v>0</v>
      </c>
      <c r="CJ96" s="28">
        <v>0</v>
      </c>
      <c r="CK96" s="28">
        <v>0</v>
      </c>
      <c r="CL96" s="28">
        <v>0</v>
      </c>
      <c r="CM96" s="28">
        <v>0</v>
      </c>
      <c r="CN96" s="28">
        <v>0</v>
      </c>
      <c r="CO96" s="28"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v>0</v>
      </c>
      <c r="CU96" s="28">
        <v>0</v>
      </c>
      <c r="CV96" s="28">
        <v>0</v>
      </c>
      <c r="CW96" s="28">
        <v>0</v>
      </c>
      <c r="CX96" s="28">
        <v>0</v>
      </c>
      <c r="CY96" s="28">
        <v>0</v>
      </c>
      <c r="CZ96" s="28">
        <v>0</v>
      </c>
      <c r="DA96" s="28">
        <v>0</v>
      </c>
      <c r="DB96" s="28">
        <v>0</v>
      </c>
      <c r="DC96" s="28">
        <v>0</v>
      </c>
      <c r="DD96" s="28">
        <v>0</v>
      </c>
      <c r="DE96" s="28">
        <v>0</v>
      </c>
      <c r="DF96" s="28">
        <v>0</v>
      </c>
      <c r="DG96" s="28">
        <f t="shared" si="189"/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f t="shared" si="190"/>
        <v>0</v>
      </c>
      <c r="DM96" s="28">
        <v>0</v>
      </c>
      <c r="DN96" s="28">
        <v>-1E-3</v>
      </c>
      <c r="DO96" s="28">
        <v>-1E-3</v>
      </c>
      <c r="DP96" s="28">
        <v>-1E-3</v>
      </c>
      <c r="DQ96" s="28">
        <f t="shared" si="191"/>
        <v>-3.0000000000000001E-3</v>
      </c>
      <c r="DR96" s="28">
        <v>0</v>
      </c>
      <c r="DS96" s="28">
        <v>-1E-3</v>
      </c>
      <c r="DT96" s="28">
        <v>-5.0000000000000001E-3</v>
      </c>
      <c r="DU96" s="28">
        <v>0</v>
      </c>
      <c r="DV96" s="28">
        <f t="shared" si="192"/>
        <v>-6.0000000000000001E-3</v>
      </c>
      <c r="DW96" s="28">
        <v>-2E-3</v>
      </c>
      <c r="DX96" s="28">
        <v>-1.7639999999999999E-3</v>
      </c>
      <c r="DY96" s="28">
        <v>-1.4252031999999999</v>
      </c>
      <c r="DZ96" s="28">
        <v>-5.5110898099999996</v>
      </c>
      <c r="EA96" s="28">
        <f t="shared" si="193"/>
        <v>-6.9400570099999994</v>
      </c>
      <c r="EB96" s="28">
        <v>-10.9027539</v>
      </c>
      <c r="EC96" s="28">
        <v>-6.7773287599999996</v>
      </c>
      <c r="ED96" s="28">
        <v>-4.3840000000000003</v>
      </c>
      <c r="EE96" s="28">
        <v>-9.6851370499999963</v>
      </c>
      <c r="EF96" s="28">
        <f t="shared" si="194"/>
        <v>-31.749219709999998</v>
      </c>
      <c r="EG96" s="28">
        <v>-13.51625074</v>
      </c>
      <c r="EH96" s="28">
        <v>-7.4569314200000001</v>
      </c>
      <c r="EI96" s="28">
        <v>-4.021007919999998</v>
      </c>
    </row>
    <row r="97" spans="1:139" ht="15" thickTop="1" x14ac:dyDescent="0.3">
      <c r="A97" s="1" t="s">
        <v>447</v>
      </c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  <c r="DA97" s="27">
        <v>0</v>
      </c>
      <c r="DB97" s="27">
        <v>0</v>
      </c>
      <c r="DC97" s="27">
        <v>0</v>
      </c>
      <c r="DD97" s="27">
        <v>0</v>
      </c>
      <c r="DE97" s="27">
        <v>0</v>
      </c>
      <c r="DF97" s="27">
        <v>0</v>
      </c>
      <c r="DG97" s="27">
        <f t="shared" si="189"/>
        <v>0</v>
      </c>
      <c r="DH97" s="27">
        <v>0</v>
      </c>
      <c r="DI97" s="27">
        <v>0</v>
      </c>
      <c r="DJ97" s="27">
        <v>0</v>
      </c>
      <c r="DK97" s="27">
        <v>0</v>
      </c>
      <c r="DL97" s="27">
        <f t="shared" si="190"/>
        <v>0</v>
      </c>
      <c r="DM97" s="27">
        <v>0</v>
      </c>
      <c r="DN97" s="27">
        <v>0</v>
      </c>
      <c r="DO97" s="27">
        <v>0</v>
      </c>
      <c r="DP97" s="27">
        <v>0</v>
      </c>
      <c r="DQ97" s="27">
        <f t="shared" si="191"/>
        <v>0</v>
      </c>
      <c r="DR97" s="27">
        <v>0</v>
      </c>
      <c r="DS97" s="27">
        <v>0</v>
      </c>
      <c r="DT97" s="27">
        <v>3.2120000000000002</v>
      </c>
      <c r="DU97" s="27">
        <v>-6.4619999999999997</v>
      </c>
      <c r="DV97" s="27">
        <f t="shared" si="192"/>
        <v>-3.2499999999999996</v>
      </c>
      <c r="DW97" s="27">
        <v>-13.183</v>
      </c>
      <c r="DX97" s="27">
        <v>-6.6762139999999999</v>
      </c>
      <c r="DY97" s="27">
        <v>-3.5690261299999979</v>
      </c>
      <c r="DZ97" s="27">
        <v>-7.3595779600000029</v>
      </c>
      <c r="EA97" s="27">
        <f t="shared" si="193"/>
        <v>-30.787818090000002</v>
      </c>
      <c r="EB97" s="27">
        <v>-14.65860973</v>
      </c>
      <c r="EC97" s="27">
        <v>-9.9025704799999996</v>
      </c>
      <c r="ED97" s="27">
        <v>-7.3289999999999997</v>
      </c>
      <c r="EE97" s="27">
        <v>-17.213963039999999</v>
      </c>
      <c r="EF97" s="27">
        <f t="shared" si="194"/>
        <v>-49.10414325</v>
      </c>
      <c r="EG97" s="27">
        <v>-23.117762030000002</v>
      </c>
      <c r="EH97" s="27">
        <v>-19.445877829999997</v>
      </c>
      <c r="EI97" s="27">
        <v>-7.9558106099999994</v>
      </c>
    </row>
    <row r="98" spans="1:139" ht="15" thickBot="1" x14ac:dyDescent="0.35">
      <c r="A98" s="2" t="s">
        <v>448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28">
        <v>0</v>
      </c>
      <c r="BW98" s="28">
        <v>0</v>
      </c>
      <c r="BX98" s="28">
        <v>0</v>
      </c>
      <c r="BY98" s="28">
        <v>0</v>
      </c>
      <c r="BZ98" s="28">
        <v>0</v>
      </c>
      <c r="CA98" s="28">
        <v>0</v>
      </c>
      <c r="CB98" s="28">
        <v>0</v>
      </c>
      <c r="CC98" s="28">
        <v>0</v>
      </c>
      <c r="CD98" s="28">
        <v>0</v>
      </c>
      <c r="CE98" s="28">
        <v>0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0</v>
      </c>
      <c r="CL98" s="28">
        <v>0</v>
      </c>
      <c r="CM98" s="28">
        <v>0</v>
      </c>
      <c r="CN98" s="28">
        <v>0</v>
      </c>
      <c r="CO98" s="28">
        <v>0</v>
      </c>
      <c r="CP98" s="28">
        <v>0</v>
      </c>
      <c r="CQ98" s="28">
        <v>0</v>
      </c>
      <c r="CR98" s="28">
        <v>0</v>
      </c>
      <c r="CS98" s="28">
        <v>0</v>
      </c>
      <c r="CT98" s="28">
        <v>0</v>
      </c>
      <c r="CU98" s="28">
        <v>0</v>
      </c>
      <c r="CV98" s="28">
        <v>0</v>
      </c>
      <c r="CW98" s="28">
        <v>0</v>
      </c>
      <c r="CX98" s="28">
        <v>0</v>
      </c>
      <c r="CY98" s="28">
        <v>0</v>
      </c>
      <c r="CZ98" s="28">
        <v>0</v>
      </c>
      <c r="DA98" s="28">
        <v>0</v>
      </c>
      <c r="DB98" s="28">
        <v>0</v>
      </c>
      <c r="DC98" s="28">
        <v>0</v>
      </c>
      <c r="DD98" s="28">
        <v>0</v>
      </c>
      <c r="DE98" s="28">
        <v>0</v>
      </c>
      <c r="DF98" s="28">
        <v>0</v>
      </c>
      <c r="DG98" s="28">
        <f t="shared" si="189"/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f t="shared" si="190"/>
        <v>0</v>
      </c>
      <c r="DM98" s="28">
        <v>0</v>
      </c>
      <c r="DN98" s="28">
        <v>0</v>
      </c>
      <c r="DO98" s="28">
        <v>0</v>
      </c>
      <c r="DP98" s="28">
        <v>0</v>
      </c>
      <c r="DQ98" s="28">
        <f t="shared" si="191"/>
        <v>0</v>
      </c>
      <c r="DR98" s="28">
        <v>0</v>
      </c>
      <c r="DS98" s="28">
        <v>0</v>
      </c>
      <c r="DT98" s="28">
        <v>0</v>
      </c>
      <c r="DU98" s="28">
        <v>0</v>
      </c>
      <c r="DV98" s="28">
        <f t="shared" si="192"/>
        <v>0</v>
      </c>
      <c r="DW98" s="28">
        <v>0</v>
      </c>
      <c r="DX98" s="28">
        <v>-1.5499999999999999E-3</v>
      </c>
      <c r="DY98" s="28">
        <v>0</v>
      </c>
      <c r="DZ98" s="28">
        <v>0</v>
      </c>
      <c r="EA98" s="28">
        <f t="shared" si="193"/>
        <v>-1.5499999999999999E-3</v>
      </c>
      <c r="EB98" s="28">
        <v>0</v>
      </c>
      <c r="EC98" s="28">
        <v>0</v>
      </c>
      <c r="ED98" s="28">
        <v>0</v>
      </c>
      <c r="EE98" s="28">
        <v>0</v>
      </c>
      <c r="EF98" s="28">
        <f t="shared" si="194"/>
        <v>0</v>
      </c>
      <c r="EG98" s="28">
        <v>-18.29136257</v>
      </c>
      <c r="EH98" s="28">
        <v>-14.740293370000002</v>
      </c>
      <c r="EI98" s="28">
        <v>-7.94842184</v>
      </c>
    </row>
    <row r="99" spans="1:139" ht="15" thickTop="1" x14ac:dyDescent="0.3">
      <c r="A99" s="1" t="s">
        <v>449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  <c r="DD99" s="27">
        <v>0</v>
      </c>
      <c r="DE99" s="27">
        <v>0</v>
      </c>
      <c r="DF99" s="27">
        <v>0</v>
      </c>
      <c r="DG99" s="27">
        <v>0</v>
      </c>
      <c r="DH99" s="27">
        <v>0</v>
      </c>
      <c r="DI99" s="27">
        <v>0</v>
      </c>
      <c r="DJ99" s="27">
        <v>0</v>
      </c>
      <c r="DK99" s="27">
        <v>0</v>
      </c>
      <c r="DL99" s="27">
        <v>0</v>
      </c>
      <c r="DM99" s="27">
        <v>0</v>
      </c>
      <c r="DN99" s="27">
        <v>0</v>
      </c>
      <c r="DO99" s="27">
        <v>0</v>
      </c>
      <c r="DP99" s="27">
        <v>0</v>
      </c>
      <c r="DQ99" s="27">
        <v>0</v>
      </c>
      <c r="DR99" s="27">
        <v>0</v>
      </c>
      <c r="DS99" s="27">
        <v>0</v>
      </c>
      <c r="DT99" s="27">
        <v>0</v>
      </c>
      <c r="DU99" s="27">
        <v>0</v>
      </c>
      <c r="DV99" s="27">
        <v>0</v>
      </c>
      <c r="DW99" s="27">
        <v>0</v>
      </c>
      <c r="DX99" s="27">
        <v>0</v>
      </c>
      <c r="DY99" s="27">
        <v>0</v>
      </c>
      <c r="DZ99" s="27">
        <v>0</v>
      </c>
      <c r="EA99" s="27">
        <f t="shared" si="193"/>
        <v>0</v>
      </c>
      <c r="EB99" s="27">
        <v>0</v>
      </c>
      <c r="EC99" s="27">
        <v>0</v>
      </c>
      <c r="ED99" s="27">
        <v>0</v>
      </c>
      <c r="EE99" s="27">
        <v>0</v>
      </c>
      <c r="EF99" s="27">
        <f t="shared" si="194"/>
        <v>0</v>
      </c>
      <c r="EG99" s="27">
        <v>0</v>
      </c>
      <c r="EH99" s="27">
        <v>0</v>
      </c>
      <c r="EI99" s="27">
        <v>-5.3481129699999999</v>
      </c>
    </row>
    <row r="100" spans="1:139" ht="15" thickBot="1" x14ac:dyDescent="0.35">
      <c r="A100" s="2" t="s">
        <v>460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>
        <v>-16.946605980000001</v>
      </c>
      <c r="EH100" s="28">
        <v>-23.882664370000001</v>
      </c>
      <c r="EI100" s="28">
        <v>-12.878270879999995</v>
      </c>
    </row>
    <row r="101" spans="1:139" ht="15" thickTop="1" x14ac:dyDescent="0.3">
      <c r="A101" s="1" t="s">
        <v>304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27">
        <v>0</v>
      </c>
      <c r="BK101" s="27">
        <v>0</v>
      </c>
      <c r="BL101" s="27">
        <v>0</v>
      </c>
      <c r="BM101" s="27">
        <v>0</v>
      </c>
      <c r="BN101" s="27">
        <f>SUM(BJ101:BM101)</f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f>SUM(BO101:BR101)</f>
        <v>0</v>
      </c>
      <c r="BT101" s="27">
        <v>0</v>
      </c>
      <c r="BU101" s="27">
        <v>-0.72780435999999993</v>
      </c>
      <c r="BV101" s="27">
        <v>-1.1195904200000002</v>
      </c>
      <c r="BW101" s="27">
        <v>5.170806390000001</v>
      </c>
      <c r="BX101" s="27">
        <f>SUM(BT101:BW101)</f>
        <v>3.3234116100000008</v>
      </c>
      <c r="BY101" s="27">
        <v>-9.9552210000000002E-2</v>
      </c>
      <c r="BZ101" s="27">
        <v>0</v>
      </c>
      <c r="CA101" s="27">
        <v>0</v>
      </c>
      <c r="CB101" s="27">
        <v>0</v>
      </c>
      <c r="CC101" s="27">
        <f>SUM(BY101:CB101)</f>
        <v>-9.9552210000000002E-2</v>
      </c>
      <c r="CD101" s="27">
        <v>1.8982050300000002</v>
      </c>
      <c r="CE101" s="27">
        <v>-1.3287814400000002</v>
      </c>
      <c r="CF101" s="27">
        <v>-2.1562176100000001</v>
      </c>
      <c r="CG101" s="27">
        <v>-5.7285036099999989</v>
      </c>
      <c r="CH101" s="27">
        <f>SUM(CD101:CG101)</f>
        <v>-7.315297629999999</v>
      </c>
      <c r="CI101" s="27">
        <v>-10.852908019999999</v>
      </c>
      <c r="CJ101" s="27">
        <v>-11.35122668</v>
      </c>
      <c r="CK101" s="27">
        <v>-17.860650910000004</v>
      </c>
      <c r="CL101" s="27">
        <v>-1.4044166599999901</v>
      </c>
      <c r="CM101" s="27">
        <f>SUM(CI101:CL101)</f>
        <v>-41.46920226999999</v>
      </c>
      <c r="CN101" s="27">
        <v>11.111347690000001</v>
      </c>
      <c r="CO101" s="27">
        <v>10.371442029999999</v>
      </c>
      <c r="CP101" s="27">
        <v>-1.1204889000000016</v>
      </c>
      <c r="CQ101" s="27">
        <v>-5.3573008199999972</v>
      </c>
      <c r="CR101" s="27">
        <f>SUM(CN101:CQ101)</f>
        <v>15.005000000000001</v>
      </c>
      <c r="CS101" s="27">
        <v>1.96</v>
      </c>
      <c r="CT101" s="27">
        <v>-6.5129999999999999</v>
      </c>
      <c r="CU101" s="27">
        <v>3.5049999999999999</v>
      </c>
      <c r="CV101" s="27">
        <f>(-7.551+-CU101-CT101-CS101)</f>
        <v>-6.503000000000001</v>
      </c>
      <c r="CW101" s="27">
        <f t="shared" ref="CW101:CW109" si="195">SUM(CS101:CV101)</f>
        <v>-7.551000000000001</v>
      </c>
      <c r="CX101" s="27">
        <v>7.0030000000000001</v>
      </c>
      <c r="CY101" s="27">
        <v>-13.497</v>
      </c>
      <c r="CZ101" s="27">
        <v>-2.3170000000000002</v>
      </c>
      <c r="DA101" s="27">
        <v>-5.694</v>
      </c>
      <c r="DB101" s="27">
        <f t="shared" ref="DB101:DB109" si="196">SUM(CX101:DA101)</f>
        <v>-14.504999999999999</v>
      </c>
      <c r="DC101" s="27">
        <v>-0.54100000000000004</v>
      </c>
      <c r="DD101" s="27">
        <v>0.79600000000000004</v>
      </c>
      <c r="DE101" s="27">
        <v>-6.2850000000000001</v>
      </c>
      <c r="DF101" s="27">
        <v>1.8069999999999999</v>
      </c>
      <c r="DG101" s="27">
        <f t="shared" ref="DG101:DG109" si="197">SUM(DC101:DF101)</f>
        <v>-4.2230000000000008</v>
      </c>
      <c r="DH101" s="27">
        <v>-0.75900000000000001</v>
      </c>
      <c r="DI101" s="27">
        <v>-0.88700000000000001</v>
      </c>
      <c r="DJ101" s="27">
        <v>-0.66800000000000004</v>
      </c>
      <c r="DK101" s="27">
        <v>-0.72</v>
      </c>
      <c r="DL101" s="27">
        <f t="shared" ref="DL101:DL109" si="198">SUM(DH101:DK101)</f>
        <v>-3.0339999999999998</v>
      </c>
      <c r="DM101" s="27">
        <v>-0.56100000000000005</v>
      </c>
      <c r="DN101" s="27">
        <v>-1.857</v>
      </c>
      <c r="DO101" s="27">
        <v>-2.3769999999999998</v>
      </c>
      <c r="DP101" s="27">
        <v>0.124</v>
      </c>
      <c r="DQ101" s="27">
        <f t="shared" ref="DQ101:DQ109" si="199">SUM(DM101:DP101)</f>
        <v>-4.6710000000000003</v>
      </c>
      <c r="DR101" s="27">
        <v>-0.60899999999999999</v>
      </c>
      <c r="DS101" s="27">
        <v>-0.69499999999999995</v>
      </c>
      <c r="DT101" s="27">
        <v>-0.82299999999999995</v>
      </c>
      <c r="DU101" s="27">
        <v>-11.788</v>
      </c>
      <c r="DV101" s="27">
        <f t="shared" ref="DV101:DV109" si="200">SUM(DR101:DU101)</f>
        <v>-13.914999999999999</v>
      </c>
      <c r="DW101" s="27">
        <v>-1.093</v>
      </c>
      <c r="DX101" s="27">
        <v>-4.2423209999999996</v>
      </c>
      <c r="DY101" s="27">
        <v>0</v>
      </c>
      <c r="DZ101" s="27">
        <v>0</v>
      </c>
      <c r="EA101" s="27">
        <f t="shared" ref="EA101:EA109" si="201">SUM(DW101:DZ101)</f>
        <v>-5.3353209999999995</v>
      </c>
      <c r="EB101" s="27">
        <v>0</v>
      </c>
      <c r="EC101" s="27">
        <v>0</v>
      </c>
      <c r="ED101" s="27">
        <v>0</v>
      </c>
      <c r="EE101" s="27">
        <v>0</v>
      </c>
      <c r="EF101" s="27">
        <f t="shared" ref="EF101:EF109" si="202">SUM(EB101:EE101)</f>
        <v>0</v>
      </c>
      <c r="EG101" s="27">
        <v>0</v>
      </c>
      <c r="EH101" s="27">
        <v>0</v>
      </c>
      <c r="EI101" s="27">
        <v>0</v>
      </c>
    </row>
    <row r="102" spans="1:139" ht="15" thickBot="1" x14ac:dyDescent="0.35">
      <c r="A102" s="2" t="s">
        <v>305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28">
        <v>0</v>
      </c>
      <c r="BK102" s="28">
        <v>0</v>
      </c>
      <c r="BL102" s="28">
        <v>0</v>
      </c>
      <c r="BM102" s="28">
        <v>0</v>
      </c>
      <c r="BN102" s="28">
        <f>SUM(BJ102:BM102)</f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f>SUM(BO102:BR102)</f>
        <v>0</v>
      </c>
      <c r="BT102" s="28">
        <v>0</v>
      </c>
      <c r="BU102" s="28">
        <v>0</v>
      </c>
      <c r="BV102" s="28">
        <v>0</v>
      </c>
      <c r="BW102" s="28">
        <v>0</v>
      </c>
      <c r="BX102" s="28">
        <f>SUM(BT102:BW102)</f>
        <v>0</v>
      </c>
      <c r="BY102" s="28">
        <v>0</v>
      </c>
      <c r="BZ102" s="28">
        <v>0</v>
      </c>
      <c r="CA102" s="28">
        <v>0</v>
      </c>
      <c r="CB102" s="28">
        <v>0</v>
      </c>
      <c r="CC102" s="28">
        <f>SUM(BY102:CB102)</f>
        <v>0</v>
      </c>
      <c r="CD102" s="28">
        <v>0</v>
      </c>
      <c r="CE102" s="28">
        <v>0</v>
      </c>
      <c r="CF102" s="28">
        <v>0</v>
      </c>
      <c r="CG102" s="28">
        <v>0</v>
      </c>
      <c r="CH102" s="28">
        <f>SUM(CD102:CG102)</f>
        <v>0</v>
      </c>
      <c r="CI102" s="28">
        <v>0</v>
      </c>
      <c r="CJ102" s="28">
        <v>0</v>
      </c>
      <c r="CK102" s="28">
        <v>0</v>
      </c>
      <c r="CL102" s="28">
        <v>0</v>
      </c>
      <c r="CM102" s="28">
        <f>SUM(CI102:CL102)</f>
        <v>0</v>
      </c>
      <c r="CN102" s="28">
        <v>0</v>
      </c>
      <c r="CO102" s="28">
        <v>0</v>
      </c>
      <c r="CP102" s="28">
        <v>0</v>
      </c>
      <c r="CQ102" s="28">
        <v>0</v>
      </c>
      <c r="CR102" s="28">
        <f>SUM(CN102:CQ102)</f>
        <v>0</v>
      </c>
      <c r="CS102" s="28">
        <v>0</v>
      </c>
      <c r="CT102" s="28">
        <v>0</v>
      </c>
      <c r="CU102" s="28">
        <v>0</v>
      </c>
      <c r="CV102" s="28">
        <v>0</v>
      </c>
      <c r="CW102" s="28">
        <f t="shared" si="195"/>
        <v>0</v>
      </c>
      <c r="CX102" s="28">
        <v>0</v>
      </c>
      <c r="CY102" s="28">
        <v>0</v>
      </c>
      <c r="CZ102" s="28">
        <v>0</v>
      </c>
      <c r="DA102" s="28">
        <v>0</v>
      </c>
      <c r="DB102" s="28">
        <f t="shared" si="196"/>
        <v>0</v>
      </c>
      <c r="DC102" s="28">
        <v>-3.9E-2</v>
      </c>
      <c r="DD102" s="28">
        <v>5.2999999999999999E-2</v>
      </c>
      <c r="DE102" s="28">
        <v>1E-3</v>
      </c>
      <c r="DF102" s="28">
        <v>-4.2000000000000003E-2</v>
      </c>
      <c r="DG102" s="28">
        <f t="shared" si="197"/>
        <v>-2.7000000000000003E-2</v>
      </c>
      <c r="DH102" s="28">
        <v>-1.6E-2</v>
      </c>
      <c r="DI102" s="28">
        <v>-2.1000000000000001E-2</v>
      </c>
      <c r="DJ102" s="28">
        <v>-6.5000000000000002E-2</v>
      </c>
      <c r="DK102" s="28">
        <v>-1.4E-2</v>
      </c>
      <c r="DL102" s="28">
        <f t="shared" si="198"/>
        <v>-0.11600000000000001</v>
      </c>
      <c r="DM102" s="28">
        <v>-2.3E-2</v>
      </c>
      <c r="DN102" s="28">
        <v>-4.5999999999999999E-2</v>
      </c>
      <c r="DO102" s="28">
        <v>-5.3999999999999999E-2</v>
      </c>
      <c r="DP102" s="28">
        <v>-0.27100000000000002</v>
      </c>
      <c r="DQ102" s="28">
        <f t="shared" si="199"/>
        <v>-0.39400000000000002</v>
      </c>
      <c r="DR102" s="28">
        <v>-0.04</v>
      </c>
      <c r="DS102" s="28">
        <v>-5.1999999999999998E-2</v>
      </c>
      <c r="DT102" s="28">
        <v>-1.4999999999999999E-2</v>
      </c>
      <c r="DU102" s="28">
        <v>-4.2999999999999997E-2</v>
      </c>
      <c r="DV102" s="28">
        <f t="shared" si="200"/>
        <v>-0.15</v>
      </c>
      <c r="DW102" s="28">
        <v>-3.2000000000000001E-2</v>
      </c>
      <c r="DX102" s="28">
        <v>-5.7489999999999999E-2</v>
      </c>
      <c r="DY102" s="28">
        <v>0</v>
      </c>
      <c r="DZ102" s="28">
        <v>0</v>
      </c>
      <c r="EA102" s="28">
        <f t="shared" si="201"/>
        <v>-8.949E-2</v>
      </c>
      <c r="EB102" s="28">
        <v>0</v>
      </c>
      <c r="EC102" s="28">
        <v>0</v>
      </c>
      <c r="ED102" s="28">
        <v>0</v>
      </c>
      <c r="EE102" s="28">
        <v>0</v>
      </c>
      <c r="EF102" s="28">
        <f t="shared" si="202"/>
        <v>0</v>
      </c>
      <c r="EG102" s="28">
        <v>0</v>
      </c>
      <c r="EH102" s="28">
        <v>0</v>
      </c>
      <c r="EI102" s="28">
        <v>0</v>
      </c>
    </row>
    <row r="103" spans="1:139" ht="15" thickTop="1" x14ac:dyDescent="0.3">
      <c r="A103" s="1" t="s">
        <v>306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27">
        <v>-2.6157936399999997</v>
      </c>
      <c r="BK103" s="27">
        <v>-1.6937123500000002</v>
      </c>
      <c r="BL103" s="27">
        <v>-0.58939390000000014</v>
      </c>
      <c r="BM103" s="27">
        <v>-3.1340813200000008</v>
      </c>
      <c r="BN103" s="27">
        <f>SUM(BJ103:BM103)</f>
        <v>-8.0329812100000009</v>
      </c>
      <c r="BO103" s="27">
        <v>-3.2551827200000001</v>
      </c>
      <c r="BP103" s="27">
        <v>-2.5207145499999997</v>
      </c>
      <c r="BQ103" s="27">
        <v>-1.3635040800000007</v>
      </c>
      <c r="BR103" s="27">
        <v>-2.324993210000001</v>
      </c>
      <c r="BS103" s="27">
        <f>SUM(BO103:BR103)</f>
        <v>-9.4643945600000006</v>
      </c>
      <c r="BT103" s="27">
        <v>-2.0915286800000001</v>
      </c>
      <c r="BU103" s="27">
        <v>1.1627142000000001</v>
      </c>
      <c r="BV103" s="27">
        <v>-4.2972810399999997</v>
      </c>
      <c r="BW103" s="27">
        <v>-14.342757220000003</v>
      </c>
      <c r="BX103" s="27">
        <f>SUM(BT103:BW103)</f>
        <v>-19.568852740000004</v>
      </c>
      <c r="BY103" s="27">
        <v>-9.0018579599999988</v>
      </c>
      <c r="BZ103" s="27">
        <v>-10.983012349999999</v>
      </c>
      <c r="CA103" s="27">
        <v>-2.8317834700000013</v>
      </c>
      <c r="CB103" s="27">
        <v>-9.6392041800000037</v>
      </c>
      <c r="CC103" s="27">
        <f>SUM(BY103:CB103)</f>
        <v>-32.455857960000003</v>
      </c>
      <c r="CD103" s="27">
        <v>-13.428799999999999</v>
      </c>
      <c r="CE103" s="27">
        <v>-11.922400000000003</v>
      </c>
      <c r="CF103" s="27">
        <v>-3.6271199999999979</v>
      </c>
      <c r="CG103" s="27">
        <v>-9.710656740000001</v>
      </c>
      <c r="CH103" s="27">
        <f>SUM(CD103:CG103)</f>
        <v>-38.688976740000001</v>
      </c>
      <c r="CI103" s="27">
        <v>-23.411035379999998</v>
      </c>
      <c r="CJ103" s="27">
        <v>-16.73384905</v>
      </c>
      <c r="CK103" s="27">
        <v>-9.3960860400000037</v>
      </c>
      <c r="CL103" s="27">
        <v>-19.387703469999991</v>
      </c>
      <c r="CM103" s="27">
        <f>SUM(CI103:CL103)</f>
        <v>-68.928673939999996</v>
      </c>
      <c r="CN103" s="27">
        <v>-21.856500370000003</v>
      </c>
      <c r="CO103" s="27">
        <v>-12.942672589999997</v>
      </c>
      <c r="CP103" s="27">
        <v>-8.5964197899999988</v>
      </c>
      <c r="CQ103" s="27">
        <v>-1.3174072500000023</v>
      </c>
      <c r="CR103" s="27">
        <f>SUM(CN103:CQ103)</f>
        <v>-44.713000000000001</v>
      </c>
      <c r="CS103" s="27">
        <v>-7.7009999999999996</v>
      </c>
      <c r="CT103" s="27">
        <v>-4.7359999999999998</v>
      </c>
      <c r="CU103" s="27">
        <v>-1.5240000000000018</v>
      </c>
      <c r="CV103" s="27">
        <f>(-20.34-CU103-CT103-CS103)</f>
        <v>-6.3789999999999987</v>
      </c>
      <c r="CW103" s="27">
        <f t="shared" si="195"/>
        <v>-20.34</v>
      </c>
      <c r="CX103" s="27">
        <v>-8.2880000000000003</v>
      </c>
      <c r="CY103" s="27">
        <v>-5.8810000000000002</v>
      </c>
      <c r="CZ103" s="27">
        <v>-12.539</v>
      </c>
      <c r="DA103" s="27">
        <v>-8.6750000000000007</v>
      </c>
      <c r="DB103" s="27">
        <f t="shared" si="196"/>
        <v>-35.382999999999996</v>
      </c>
      <c r="DC103" s="27">
        <v>-13.038</v>
      </c>
      <c r="DD103" s="27">
        <v>-14.34</v>
      </c>
      <c r="DE103" s="27">
        <v>-3.6659999999999999</v>
      </c>
      <c r="DF103" s="27">
        <v>-8.0670000000000002</v>
      </c>
      <c r="DG103" s="27">
        <f t="shared" si="197"/>
        <v>-39.111000000000004</v>
      </c>
      <c r="DH103" s="27">
        <v>-15.882</v>
      </c>
      <c r="DI103" s="27">
        <v>10.077</v>
      </c>
      <c r="DJ103" s="27">
        <v>-12.721</v>
      </c>
      <c r="DK103" s="27">
        <v>-25.225999999999999</v>
      </c>
      <c r="DL103" s="27">
        <f t="shared" si="198"/>
        <v>-43.751999999999995</v>
      </c>
      <c r="DM103" s="27">
        <v>-22.449000000000002</v>
      </c>
      <c r="DN103" s="27">
        <v>-18.815999999999999</v>
      </c>
      <c r="DO103" s="27">
        <v>-22.896000000000001</v>
      </c>
      <c r="DP103" s="27">
        <v>-27.513999999999999</v>
      </c>
      <c r="DQ103" s="27">
        <f t="shared" si="199"/>
        <v>-91.674999999999997</v>
      </c>
      <c r="DR103" s="27">
        <v>-17.946000000000002</v>
      </c>
      <c r="DS103" s="27">
        <v>-22.65</v>
      </c>
      <c r="DT103" s="27">
        <v>6.3650000000000002</v>
      </c>
      <c r="DU103" s="27">
        <v>-6.008</v>
      </c>
      <c r="DV103" s="27">
        <f t="shared" si="200"/>
        <v>-40.239000000000004</v>
      </c>
      <c r="DW103" s="27">
        <v>-12.968999999999999</v>
      </c>
      <c r="DX103" s="27">
        <v>-7.1936609999999996</v>
      </c>
      <c r="DY103" s="27">
        <v>-1.5961331900000013</v>
      </c>
      <c r="DZ103" s="27">
        <v>-5.5437604699999987</v>
      </c>
      <c r="EA103" s="27">
        <f t="shared" si="201"/>
        <v>-27.302554659999998</v>
      </c>
      <c r="EB103" s="27">
        <v>-15.64256468</v>
      </c>
      <c r="EC103" s="27">
        <v>-5.9674489699999986</v>
      </c>
      <c r="ED103" s="27">
        <v>-16.512</v>
      </c>
      <c r="EE103" s="27">
        <v>-39.141109050000004</v>
      </c>
      <c r="EF103" s="27">
        <f t="shared" si="202"/>
        <v>-77.263122699999997</v>
      </c>
      <c r="EG103" s="27">
        <v>-55.543380499999998</v>
      </c>
      <c r="EH103" s="27">
        <v>-26.907952849999994</v>
      </c>
      <c r="EI103" s="27">
        <v>-13.259123030000001</v>
      </c>
    </row>
    <row r="104" spans="1:139" ht="15" thickBot="1" x14ac:dyDescent="0.35">
      <c r="A104" s="2" t="s">
        <v>323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28">
        <v>0</v>
      </c>
      <c r="BW104" s="28">
        <v>0</v>
      </c>
      <c r="BX104" s="28">
        <v>0</v>
      </c>
      <c r="BY104" s="28">
        <v>0</v>
      </c>
      <c r="BZ104" s="28">
        <v>0</v>
      </c>
      <c r="CA104" s="28">
        <v>0</v>
      </c>
      <c r="CB104" s="28">
        <v>0</v>
      </c>
      <c r="CC104" s="28">
        <v>0</v>
      </c>
      <c r="CD104" s="28">
        <v>0</v>
      </c>
      <c r="CE104" s="28">
        <v>0</v>
      </c>
      <c r="CF104" s="28">
        <v>0</v>
      </c>
      <c r="CG104" s="28">
        <v>0</v>
      </c>
      <c r="CH104" s="28">
        <v>0</v>
      </c>
      <c r="CI104" s="28">
        <v>0</v>
      </c>
      <c r="CJ104" s="28">
        <v>0</v>
      </c>
      <c r="CK104" s="28">
        <v>0</v>
      </c>
      <c r="CL104" s="28">
        <v>0</v>
      </c>
      <c r="CM104" s="28">
        <v>0</v>
      </c>
      <c r="CN104" s="28">
        <v>0</v>
      </c>
      <c r="CO104" s="28">
        <v>0</v>
      </c>
      <c r="CP104" s="28">
        <v>0</v>
      </c>
      <c r="CQ104" s="28">
        <v>0</v>
      </c>
      <c r="CR104" s="28">
        <v>0</v>
      </c>
      <c r="CS104" s="28">
        <v>0</v>
      </c>
      <c r="CT104" s="28">
        <v>0</v>
      </c>
      <c r="CU104" s="28">
        <v>0</v>
      </c>
      <c r="CV104" s="28">
        <v>0</v>
      </c>
      <c r="CW104" s="28">
        <f t="shared" si="195"/>
        <v>0</v>
      </c>
      <c r="CX104" s="28">
        <v>0</v>
      </c>
      <c r="CY104" s="28">
        <v>0</v>
      </c>
      <c r="CZ104" s="28">
        <v>0</v>
      </c>
      <c r="DA104" s="28">
        <v>0</v>
      </c>
      <c r="DB104" s="28">
        <f t="shared" si="196"/>
        <v>0</v>
      </c>
      <c r="DC104" s="28">
        <v>0</v>
      </c>
      <c r="DD104" s="28">
        <v>0</v>
      </c>
      <c r="DE104" s="28">
        <v>0</v>
      </c>
      <c r="DF104" s="28">
        <v>0</v>
      </c>
      <c r="DG104" s="28">
        <f t="shared" si="197"/>
        <v>0</v>
      </c>
      <c r="DH104" s="28">
        <v>0</v>
      </c>
      <c r="DI104" s="28">
        <v>0</v>
      </c>
      <c r="DJ104" s="28">
        <v>0</v>
      </c>
      <c r="DK104" s="28">
        <v>0</v>
      </c>
      <c r="DL104" s="28">
        <f t="shared" si="198"/>
        <v>0</v>
      </c>
      <c r="DM104" s="28">
        <v>0</v>
      </c>
      <c r="DN104" s="28">
        <v>0</v>
      </c>
      <c r="DO104" s="28">
        <v>0</v>
      </c>
      <c r="DP104" s="28">
        <v>0</v>
      </c>
      <c r="DQ104" s="28">
        <f t="shared" si="199"/>
        <v>0</v>
      </c>
      <c r="DR104" s="28">
        <v>0</v>
      </c>
      <c r="DS104" s="28">
        <v>0</v>
      </c>
      <c r="DT104" s="28">
        <v>0</v>
      </c>
      <c r="DU104" s="28">
        <v>0</v>
      </c>
      <c r="DV104" s="28">
        <f t="shared" si="200"/>
        <v>0</v>
      </c>
      <c r="DW104" s="28">
        <v>0</v>
      </c>
      <c r="DX104" s="28">
        <v>0</v>
      </c>
      <c r="DY104" s="28">
        <v>0</v>
      </c>
      <c r="DZ104" s="28">
        <v>0</v>
      </c>
      <c r="EA104" s="28">
        <f t="shared" si="201"/>
        <v>0</v>
      </c>
      <c r="EB104" s="28">
        <v>0</v>
      </c>
      <c r="EC104" s="28">
        <v>0</v>
      </c>
      <c r="ED104" s="28">
        <v>0</v>
      </c>
      <c r="EE104" s="28">
        <v>0</v>
      </c>
      <c r="EF104" s="28">
        <f t="shared" si="202"/>
        <v>0</v>
      </c>
      <c r="EG104" s="28">
        <v>0</v>
      </c>
      <c r="EH104" s="28">
        <v>0</v>
      </c>
      <c r="EI104" s="28">
        <v>0</v>
      </c>
    </row>
    <row r="105" spans="1:139" ht="15" thickTop="1" x14ac:dyDescent="0.3">
      <c r="A105" s="1" t="s">
        <v>322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7">
        <v>0</v>
      </c>
      <c r="CM105" s="27">
        <v>0</v>
      </c>
      <c r="CN105" s="27">
        <v>0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f t="shared" si="195"/>
        <v>0</v>
      </c>
      <c r="CX105" s="27">
        <v>0</v>
      </c>
      <c r="CY105" s="27">
        <v>0</v>
      </c>
      <c r="CZ105" s="27">
        <v>0</v>
      </c>
      <c r="DA105" s="27">
        <v>0</v>
      </c>
      <c r="DB105" s="27">
        <f t="shared" si="196"/>
        <v>0</v>
      </c>
      <c r="DC105" s="27">
        <v>0</v>
      </c>
      <c r="DD105" s="27">
        <v>0</v>
      </c>
      <c r="DE105" s="27">
        <v>0</v>
      </c>
      <c r="DF105" s="27">
        <v>0</v>
      </c>
      <c r="DG105" s="27">
        <f t="shared" si="197"/>
        <v>0</v>
      </c>
      <c r="DH105" s="27">
        <v>0</v>
      </c>
      <c r="DI105" s="27">
        <v>0</v>
      </c>
      <c r="DJ105" s="27">
        <v>0</v>
      </c>
      <c r="DK105" s="27">
        <v>0</v>
      </c>
      <c r="DL105" s="27">
        <f t="shared" si="198"/>
        <v>0</v>
      </c>
      <c r="DM105" s="27">
        <v>0</v>
      </c>
      <c r="DN105" s="27">
        <v>0</v>
      </c>
      <c r="DO105" s="27">
        <v>0</v>
      </c>
      <c r="DP105" s="27">
        <v>-27.585999999999999</v>
      </c>
      <c r="DQ105" s="27">
        <f t="shared" si="199"/>
        <v>-27.585999999999999</v>
      </c>
      <c r="DR105" s="27">
        <v>-37.78</v>
      </c>
      <c r="DS105" s="27">
        <v>-42.656999999999996</v>
      </c>
      <c r="DT105" s="27">
        <v>13.750999999999999</v>
      </c>
      <c r="DU105" s="27">
        <v>-16.559999999999999</v>
      </c>
      <c r="DV105" s="27">
        <f t="shared" si="200"/>
        <v>-83.245999999999995</v>
      </c>
      <c r="DW105" s="27">
        <v>-34.624000000000002</v>
      </c>
      <c r="DX105" s="27">
        <v>-17.387723000000001</v>
      </c>
      <c r="DY105" s="27">
        <v>-7.6471029699999988</v>
      </c>
      <c r="DZ105" s="27">
        <v>-13.879977210000002</v>
      </c>
      <c r="EA105" s="27">
        <f t="shared" si="201"/>
        <v>-73.538803180000002</v>
      </c>
      <c r="EB105" s="27">
        <v>-27.459304149999998</v>
      </c>
      <c r="EC105" s="27">
        <v>-16.665807160000004</v>
      </c>
      <c r="ED105" s="27">
        <v>-10.765000000000001</v>
      </c>
      <c r="EE105" s="27">
        <v>-23.265987219999992</v>
      </c>
      <c r="EF105" s="27">
        <f t="shared" si="202"/>
        <v>-78.156098529999994</v>
      </c>
      <c r="EG105" s="27">
        <v>-32.339490600000005</v>
      </c>
      <c r="EH105" s="27">
        <v>-17.501970089999997</v>
      </c>
      <c r="EI105" s="27">
        <v>-9.3676336400000011</v>
      </c>
    </row>
    <row r="106" spans="1:139" ht="15" thickBot="1" x14ac:dyDescent="0.35">
      <c r="A106" s="2" t="s">
        <v>370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28">
        <v>-0.48577190000000009</v>
      </c>
      <c r="BK106" s="28">
        <v>-0.10342889999999988</v>
      </c>
      <c r="BL106" s="28">
        <v>-0.17904564999999989</v>
      </c>
      <c r="BM106" s="28">
        <v>-0.52741164000000018</v>
      </c>
      <c r="BN106" s="28">
        <f>SUM(BJ106:BM106)</f>
        <v>-1.2956580900000001</v>
      </c>
      <c r="BO106" s="28">
        <v>-1.1226468300000001</v>
      </c>
      <c r="BP106" s="28">
        <v>-3.1450219999999973E-2</v>
      </c>
      <c r="BQ106" s="28">
        <v>-3.0940858999999996</v>
      </c>
      <c r="BR106" s="28">
        <v>-1.6044936599999999</v>
      </c>
      <c r="BS106" s="28">
        <f>SUM(BO106:BR106)</f>
        <v>-5.8526766099999996</v>
      </c>
      <c r="BT106" s="28">
        <v>0</v>
      </c>
      <c r="BU106" s="28">
        <v>0</v>
      </c>
      <c r="BV106" s="28">
        <v>0</v>
      </c>
      <c r="BW106" s="28">
        <v>0</v>
      </c>
      <c r="BX106" s="28">
        <f>SUM(BT106:BW106)</f>
        <v>0</v>
      </c>
      <c r="BY106" s="28">
        <v>0</v>
      </c>
      <c r="BZ106" s="28">
        <v>0</v>
      </c>
      <c r="CA106" s="28">
        <v>0</v>
      </c>
      <c r="CB106" s="28">
        <v>0</v>
      </c>
      <c r="CC106" s="28">
        <f>SUM(BY106:CB106)</f>
        <v>0</v>
      </c>
      <c r="CD106" s="28">
        <v>0</v>
      </c>
      <c r="CE106" s="28">
        <v>0</v>
      </c>
      <c r="CF106" s="28">
        <v>0</v>
      </c>
      <c r="CG106" s="28">
        <v>0</v>
      </c>
      <c r="CH106" s="28">
        <f>SUM(CD106:CG106)</f>
        <v>0</v>
      </c>
      <c r="CI106" s="28">
        <v>0</v>
      </c>
      <c r="CJ106" s="28">
        <v>0</v>
      </c>
      <c r="CK106" s="28">
        <v>0</v>
      </c>
      <c r="CL106" s="28">
        <v>0</v>
      </c>
      <c r="CM106" s="28">
        <f>SUM(CI106:CL106)</f>
        <v>0</v>
      </c>
      <c r="CN106" s="28">
        <v>0</v>
      </c>
      <c r="CO106" s="28">
        <v>0</v>
      </c>
      <c r="CP106" s="28">
        <v>0</v>
      </c>
      <c r="CQ106" s="28">
        <v>0</v>
      </c>
      <c r="CR106" s="28">
        <f>SUM(CN106:CQ106)</f>
        <v>0</v>
      </c>
      <c r="CS106" s="28">
        <v>0</v>
      </c>
      <c r="CT106" s="28">
        <v>0</v>
      </c>
      <c r="CU106" s="28">
        <v>0</v>
      </c>
      <c r="CV106" s="28">
        <v>0</v>
      </c>
      <c r="CW106" s="28">
        <f t="shared" si="195"/>
        <v>0</v>
      </c>
      <c r="CX106" s="28">
        <v>0</v>
      </c>
      <c r="CY106" s="28">
        <v>0</v>
      </c>
      <c r="CZ106" s="28">
        <v>0</v>
      </c>
      <c r="DA106" s="28">
        <v>0</v>
      </c>
      <c r="DB106" s="28">
        <f t="shared" si="196"/>
        <v>0</v>
      </c>
      <c r="DC106" s="28">
        <v>0</v>
      </c>
      <c r="DD106" s="28">
        <v>0</v>
      </c>
      <c r="DE106" s="28">
        <v>0</v>
      </c>
      <c r="DF106" s="28">
        <v>0</v>
      </c>
      <c r="DG106" s="28">
        <f t="shared" si="197"/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f t="shared" si="198"/>
        <v>0</v>
      </c>
      <c r="DM106" s="28">
        <v>0</v>
      </c>
      <c r="DN106" s="28">
        <v>0</v>
      </c>
      <c r="DO106" s="28">
        <v>0</v>
      </c>
      <c r="DP106" s="28">
        <v>0</v>
      </c>
      <c r="DQ106" s="28">
        <f t="shared" si="199"/>
        <v>0</v>
      </c>
      <c r="DR106" s="28">
        <v>0</v>
      </c>
      <c r="DS106" s="28">
        <v>0</v>
      </c>
      <c r="DT106" s="28">
        <v>0</v>
      </c>
      <c r="DU106" s="28">
        <v>0</v>
      </c>
      <c r="DV106" s="28">
        <f t="shared" si="200"/>
        <v>0</v>
      </c>
      <c r="DW106" s="28">
        <v>0</v>
      </c>
      <c r="DX106" s="28">
        <v>0</v>
      </c>
      <c r="DY106" s="28">
        <v>0</v>
      </c>
      <c r="DZ106" s="28">
        <v>0</v>
      </c>
      <c r="EA106" s="28">
        <f t="shared" si="201"/>
        <v>0</v>
      </c>
      <c r="EB106" s="28">
        <v>0</v>
      </c>
      <c r="EC106" s="28">
        <v>0</v>
      </c>
      <c r="ED106" s="28">
        <v>0</v>
      </c>
      <c r="EE106" s="28">
        <v>0</v>
      </c>
      <c r="EF106" s="28">
        <f t="shared" si="202"/>
        <v>0</v>
      </c>
      <c r="EG106" s="28">
        <v>0</v>
      </c>
      <c r="EH106" s="28">
        <v>0</v>
      </c>
      <c r="EI106" s="28">
        <v>0</v>
      </c>
    </row>
    <row r="107" spans="1:139" ht="15" thickTop="1" x14ac:dyDescent="0.3">
      <c r="A107" s="1" t="s">
        <v>338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27">
        <v>0.17284498000000001</v>
      </c>
      <c r="BK107" s="27">
        <v>-0.17101453</v>
      </c>
      <c r="BL107" s="27">
        <v>0</v>
      </c>
      <c r="BM107" s="27">
        <v>0</v>
      </c>
      <c r="BN107" s="27">
        <f>SUM(BJ107:BM107)</f>
        <v>1.8304500000000112E-3</v>
      </c>
      <c r="BO107" s="27">
        <v>0</v>
      </c>
      <c r="BP107" s="27">
        <v>0</v>
      </c>
      <c r="BQ107" s="27">
        <v>0</v>
      </c>
      <c r="BR107" s="27">
        <v>0</v>
      </c>
      <c r="BS107" s="27">
        <f>SUM(BO107:BR107)</f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f>SUM(BT107:BW107)</f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f>SUM(BY107:CB107)</f>
        <v>0</v>
      </c>
      <c r="CD107" s="27">
        <v>0</v>
      </c>
      <c r="CE107" s="27">
        <v>0</v>
      </c>
      <c r="CF107" s="27">
        <v>0</v>
      </c>
      <c r="CG107" s="27">
        <v>4.9591429999999999E-2</v>
      </c>
      <c r="CH107" s="27">
        <f>SUM(CD107:CG107)</f>
        <v>4.9591429999999999E-2</v>
      </c>
      <c r="CI107" s="27">
        <v>0</v>
      </c>
      <c r="CJ107" s="27">
        <v>0</v>
      </c>
      <c r="CK107" s="27">
        <v>0</v>
      </c>
      <c r="CL107" s="27">
        <v>0</v>
      </c>
      <c r="CM107" s="27">
        <f>SUM(CI107:CL107)</f>
        <v>0</v>
      </c>
      <c r="CN107" s="27">
        <v>0</v>
      </c>
      <c r="CO107" s="27">
        <v>0</v>
      </c>
      <c r="CP107" s="27">
        <v>0</v>
      </c>
      <c r="CQ107" s="27">
        <v>-0.56000000000000005</v>
      </c>
      <c r="CR107" s="27">
        <f>SUM(CN107:CQ107)</f>
        <v>-0.56000000000000005</v>
      </c>
      <c r="CS107" s="27">
        <v>-0.19900000000000001</v>
      </c>
      <c r="CT107" s="27">
        <v>-0.16499999999999998</v>
      </c>
      <c r="CU107" s="27">
        <v>-0.14200000000000002</v>
      </c>
      <c r="CV107" s="27">
        <f>(-0.614-CU107-CT107-CS107)</f>
        <v>-0.10799999999999998</v>
      </c>
      <c r="CW107" s="27">
        <f t="shared" si="195"/>
        <v>-0.61399999999999999</v>
      </c>
      <c r="CX107" s="27">
        <v>-9.6000000000000002E-2</v>
      </c>
      <c r="CY107" s="27">
        <v>-9.1999999999999998E-2</v>
      </c>
      <c r="CZ107" s="27">
        <v>-9.1999999999999998E-2</v>
      </c>
      <c r="DA107" s="27">
        <v>-9.9000000000000005E-2</v>
      </c>
      <c r="DB107" s="27">
        <f t="shared" si="196"/>
        <v>-0.379</v>
      </c>
      <c r="DC107" s="27">
        <v>-8.5999999999999993E-2</v>
      </c>
      <c r="DD107" s="27">
        <v>-0.126</v>
      </c>
      <c r="DE107" s="27">
        <v>-7.1999999999999995E-2</v>
      </c>
      <c r="DF107" s="27">
        <v>-6.6000000000000003E-2</v>
      </c>
      <c r="DG107" s="27">
        <f t="shared" si="197"/>
        <v>-0.35</v>
      </c>
      <c r="DH107" s="27">
        <v>-5.2999999999999999E-2</v>
      </c>
      <c r="DI107" s="27">
        <v>-2.5999999999999999E-2</v>
      </c>
      <c r="DJ107" s="27">
        <v>-5.3999999999999999E-2</v>
      </c>
      <c r="DK107" s="27">
        <v>-1.6E-2</v>
      </c>
      <c r="DL107" s="27">
        <f t="shared" si="198"/>
        <v>-0.14900000000000002</v>
      </c>
      <c r="DM107" s="27">
        <v>-2E-3</v>
      </c>
      <c r="DN107" s="27">
        <v>-1E-3</v>
      </c>
      <c r="DO107" s="27">
        <v>-1E-3</v>
      </c>
      <c r="DP107" s="27">
        <v>-2E-3</v>
      </c>
      <c r="DQ107" s="27">
        <f t="shared" si="199"/>
        <v>-6.0000000000000001E-3</v>
      </c>
      <c r="DR107" s="27">
        <v>3.7999999999999999E-2</v>
      </c>
      <c r="DS107" s="27">
        <v>-1E-3</v>
      </c>
      <c r="DT107" s="27">
        <v>-6.0999999999999999E-2</v>
      </c>
      <c r="DU107" s="27">
        <v>-4.0000000000000001E-3</v>
      </c>
      <c r="DV107" s="27">
        <f t="shared" si="200"/>
        <v>-2.8000000000000001E-2</v>
      </c>
      <c r="DW107" s="27">
        <v>-4.0000000000000001E-3</v>
      </c>
      <c r="DX107" s="27">
        <v>-4.1279999999999997E-3</v>
      </c>
      <c r="DY107" s="27">
        <v>0</v>
      </c>
      <c r="DZ107" s="27">
        <v>0</v>
      </c>
      <c r="EA107" s="27">
        <f t="shared" si="201"/>
        <v>-8.1279999999999998E-3</v>
      </c>
      <c r="EB107" s="27">
        <v>0</v>
      </c>
      <c r="EC107" s="27">
        <v>0</v>
      </c>
      <c r="ED107" s="27">
        <v>0</v>
      </c>
      <c r="EE107" s="27">
        <v>0</v>
      </c>
      <c r="EF107" s="27">
        <f t="shared" si="202"/>
        <v>0</v>
      </c>
      <c r="EG107" s="27">
        <v>0</v>
      </c>
      <c r="EH107" s="27">
        <v>0</v>
      </c>
      <c r="EI107" s="27">
        <v>-8.9688799999999985E-3</v>
      </c>
    </row>
    <row r="108" spans="1:139" ht="15" thickBot="1" x14ac:dyDescent="0.35">
      <c r="A108" s="2" t="s">
        <v>331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28">
        <v>0.20502206000000001</v>
      </c>
      <c r="BK108" s="28">
        <v>0.17268698999999998</v>
      </c>
      <c r="BL108" s="28">
        <v>0.15104366999999996</v>
      </c>
      <c r="BM108" s="28">
        <v>0.13548762000000003</v>
      </c>
      <c r="BN108" s="28">
        <f>SUM(BJ108:BM108)</f>
        <v>0.66424033999999998</v>
      </c>
      <c r="BO108" s="28">
        <v>0.47860656999999995</v>
      </c>
      <c r="BP108" s="28">
        <v>0.45534229000000004</v>
      </c>
      <c r="BQ108" s="28">
        <v>0.36911689999999997</v>
      </c>
      <c r="BR108" s="28">
        <v>0.38397952000000013</v>
      </c>
      <c r="BS108" s="28">
        <f>SUM(BO108:BR108)</f>
        <v>1.68704528</v>
      </c>
      <c r="BT108" s="28">
        <v>0.32815942999999997</v>
      </c>
      <c r="BU108" s="28">
        <v>0.69492555999999994</v>
      </c>
      <c r="BV108" s="28">
        <v>0.11732474000000009</v>
      </c>
      <c r="BW108" s="28">
        <v>-1.14040973</v>
      </c>
      <c r="BX108" s="28">
        <f>SUM(BT108:BW108)</f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f>SUM(BY108:CB108)</f>
        <v>0</v>
      </c>
      <c r="CD108" s="28">
        <v>0</v>
      </c>
      <c r="CE108" s="28">
        <v>0</v>
      </c>
      <c r="CF108" s="28">
        <v>0</v>
      </c>
      <c r="CG108" s="28">
        <v>0.46073116000000003</v>
      </c>
      <c r="CH108" s="28">
        <f>SUM(CD108:CG108)</f>
        <v>0.46073116000000003</v>
      </c>
      <c r="CI108" s="28">
        <v>0</v>
      </c>
      <c r="CJ108" s="28">
        <v>0</v>
      </c>
      <c r="CK108" s="28">
        <v>0</v>
      </c>
      <c r="CL108" s="28">
        <v>0</v>
      </c>
      <c r="CM108" s="28">
        <f>SUM(CI108:CL108)</f>
        <v>0</v>
      </c>
      <c r="CN108" s="28">
        <v>0</v>
      </c>
      <c r="CO108" s="28">
        <v>0</v>
      </c>
      <c r="CP108" s="28">
        <v>0</v>
      </c>
      <c r="CQ108" s="28">
        <v>3.3849999999999998</v>
      </c>
      <c r="CR108" s="28">
        <f>SUM(CN108:CQ108)</f>
        <v>3.3849999999999998</v>
      </c>
      <c r="CS108" s="28">
        <v>0.83399999999999996</v>
      </c>
      <c r="CT108" s="28">
        <v>0.59799999999999998</v>
      </c>
      <c r="CU108" s="28">
        <v>0.40300000000000014</v>
      </c>
      <c r="CV108" s="28">
        <f>(2.213-CU108-CT108-CS108)</f>
        <v>0.37800000000000022</v>
      </c>
      <c r="CW108" s="28">
        <f t="shared" si="195"/>
        <v>2.2130000000000001</v>
      </c>
      <c r="CX108" s="28">
        <v>0.36499999999999999</v>
      </c>
      <c r="CY108" s="28">
        <v>0.34100000000000003</v>
      </c>
      <c r="CZ108" s="28">
        <v>0.316</v>
      </c>
      <c r="DA108" s="28">
        <v>-1.038</v>
      </c>
      <c r="DB108" s="28">
        <f t="shared" si="196"/>
        <v>-1.6000000000000014E-2</v>
      </c>
      <c r="DC108" s="28">
        <v>0</v>
      </c>
      <c r="DD108" s="28">
        <v>0</v>
      </c>
      <c r="DE108" s="28">
        <v>0</v>
      </c>
      <c r="DF108" s="28">
        <v>0</v>
      </c>
      <c r="DG108" s="28">
        <f t="shared" si="197"/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f t="shared" si="198"/>
        <v>0</v>
      </c>
      <c r="DM108" s="28">
        <v>0</v>
      </c>
      <c r="DN108" s="28">
        <v>-1.2E-2</v>
      </c>
      <c r="DO108" s="28">
        <v>1.2E-2</v>
      </c>
      <c r="DP108" s="28">
        <v>0</v>
      </c>
      <c r="DQ108" s="28">
        <f t="shared" si="199"/>
        <v>0</v>
      </c>
      <c r="DR108" s="28">
        <v>1E-3</v>
      </c>
      <c r="DS108" s="28">
        <v>-1E-3</v>
      </c>
      <c r="DT108" s="28">
        <v>1E-3</v>
      </c>
      <c r="DU108" s="28">
        <v>1E-3</v>
      </c>
      <c r="DV108" s="28">
        <f t="shared" si="200"/>
        <v>2E-3</v>
      </c>
      <c r="DW108" s="28">
        <v>1E-3</v>
      </c>
      <c r="DX108" s="28">
        <v>5.6599999999999999E-4</v>
      </c>
      <c r="DY108" s="28">
        <v>0</v>
      </c>
      <c r="DZ108" s="28">
        <v>0</v>
      </c>
      <c r="EA108" s="28">
        <f t="shared" si="201"/>
        <v>1.5660000000000001E-3</v>
      </c>
      <c r="EB108" s="28">
        <v>0</v>
      </c>
      <c r="EC108" s="28">
        <v>0</v>
      </c>
      <c r="ED108" s="28">
        <v>-1E-3</v>
      </c>
      <c r="EE108" s="28">
        <v>0</v>
      </c>
      <c r="EF108" s="28">
        <f t="shared" si="202"/>
        <v>-1E-3</v>
      </c>
      <c r="EG108" s="28">
        <v>0</v>
      </c>
      <c r="EH108" s="28">
        <v>0</v>
      </c>
      <c r="EI108" s="28">
        <v>0</v>
      </c>
    </row>
    <row r="109" spans="1:139" ht="15" thickTop="1" x14ac:dyDescent="0.3">
      <c r="A109" s="1" t="s">
        <v>308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27">
        <v>0</v>
      </c>
      <c r="BK109" s="27">
        <v>2.0685780000000001E-2</v>
      </c>
      <c r="BL109" s="27">
        <v>3.5809129999999995E-2</v>
      </c>
      <c r="BM109" s="27">
        <v>0.10548233</v>
      </c>
      <c r="BN109" s="27">
        <f>SUM(BJ109:BM109)</f>
        <v>0.16197723999999999</v>
      </c>
      <c r="BO109" s="27">
        <v>0.22452936999999998</v>
      </c>
      <c r="BP109" s="27">
        <v>6.2900399999999967E-3</v>
      </c>
      <c r="BQ109" s="27">
        <v>0.61881718000000008</v>
      </c>
      <c r="BR109" s="27">
        <v>0.32089872999999991</v>
      </c>
      <c r="BS109" s="27">
        <f>SUM(BO109:BR109)</f>
        <v>1.1705353199999999</v>
      </c>
      <c r="BT109" s="27">
        <v>0</v>
      </c>
      <c r="BU109" s="27">
        <v>0</v>
      </c>
      <c r="BV109" s="27">
        <v>0</v>
      </c>
      <c r="BW109" s="27">
        <v>-8.4</v>
      </c>
      <c r="BX109" s="27">
        <f>SUM(BT109:BW109)</f>
        <v>-8.4</v>
      </c>
      <c r="BY109" s="27">
        <v>0</v>
      </c>
      <c r="BZ109" s="27">
        <v>0</v>
      </c>
      <c r="CA109" s="27">
        <v>0</v>
      </c>
      <c r="CB109" s="27">
        <v>0</v>
      </c>
      <c r="CC109" s="27">
        <f>SUM(BY109:CB109)</f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f>SUM(CD109:CG109)</f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f>SUM(CI109:CL109)</f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f>SUM(CN109:CQ109)</f>
        <v>0</v>
      </c>
      <c r="CS109" s="27">
        <v>0</v>
      </c>
      <c r="CT109" s="27">
        <v>0</v>
      </c>
      <c r="CU109" s="27">
        <v>0</v>
      </c>
      <c r="CV109" s="27"/>
      <c r="CW109" s="27">
        <f t="shared" si="195"/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f t="shared" si="196"/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f t="shared" si="197"/>
        <v>0</v>
      </c>
      <c r="DH109" s="27">
        <v>0</v>
      </c>
      <c r="DI109" s="27">
        <v>0</v>
      </c>
      <c r="DJ109" s="27">
        <v>0</v>
      </c>
      <c r="DK109" s="27">
        <v>0</v>
      </c>
      <c r="DL109" s="27">
        <f t="shared" si="198"/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f t="shared" si="199"/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f t="shared" si="200"/>
        <v>0</v>
      </c>
      <c r="DW109" s="27">
        <v>0</v>
      </c>
      <c r="DX109" s="27">
        <v>0</v>
      </c>
      <c r="DY109" s="27">
        <v>0</v>
      </c>
      <c r="DZ109" s="27">
        <v>0</v>
      </c>
      <c r="EA109" s="27">
        <f t="shared" si="201"/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f t="shared" si="202"/>
        <v>0</v>
      </c>
      <c r="EG109" s="27">
        <v>0</v>
      </c>
      <c r="EH109" s="27">
        <v>0</v>
      </c>
      <c r="EI109" s="27">
        <v>0</v>
      </c>
    </row>
    <row r="110" spans="1:139" x14ac:dyDescent="0.3">
      <c r="A110" s="5" t="s">
        <v>311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29">
        <f t="shared" ref="BJ110:CO110" si="203">SUM(BJ87:BJ109)</f>
        <v>-23.945490729999996</v>
      </c>
      <c r="BK110" s="29">
        <f t="shared" si="203"/>
        <v>-21.03645873</v>
      </c>
      <c r="BL110" s="29">
        <f t="shared" si="203"/>
        <v>-12.718302140000006</v>
      </c>
      <c r="BM110" s="29">
        <f t="shared" si="203"/>
        <v>-18.269907159999988</v>
      </c>
      <c r="BN110" s="29">
        <f t="shared" si="203"/>
        <v>-75.970158760000004</v>
      </c>
      <c r="BO110" s="29">
        <f t="shared" si="203"/>
        <v>-22.297202910000003</v>
      </c>
      <c r="BP110" s="29">
        <f t="shared" si="203"/>
        <v>-12.430696409999996</v>
      </c>
      <c r="BQ110" s="29">
        <f t="shared" si="203"/>
        <v>-10.436922830000002</v>
      </c>
      <c r="BR110" s="29">
        <f t="shared" si="203"/>
        <v>-13.186317709999999</v>
      </c>
      <c r="BS110" s="29">
        <f t="shared" si="203"/>
        <v>-58.351139860000011</v>
      </c>
      <c r="BT110" s="29">
        <f t="shared" si="203"/>
        <v>-10.435415030000001</v>
      </c>
      <c r="BU110" s="29">
        <f t="shared" si="203"/>
        <v>-11.753647710000001</v>
      </c>
      <c r="BV110" s="29">
        <f t="shared" si="203"/>
        <v>-20.339437180000004</v>
      </c>
      <c r="BW110" s="29">
        <f t="shared" si="203"/>
        <v>-30.787672610000001</v>
      </c>
      <c r="BX110" s="29">
        <f t="shared" si="203"/>
        <v>-73.316172530000017</v>
      </c>
      <c r="BY110" s="29">
        <f t="shared" si="203"/>
        <v>-21.055510479999999</v>
      </c>
      <c r="BZ110" s="29">
        <f t="shared" si="203"/>
        <v>-29.675751510000001</v>
      </c>
      <c r="CA110" s="29">
        <f t="shared" si="203"/>
        <v>-14.060449690000004</v>
      </c>
      <c r="CB110" s="29">
        <f t="shared" si="203"/>
        <v>-34.750197889999995</v>
      </c>
      <c r="CC110" s="29">
        <f t="shared" si="203"/>
        <v>-99.541909570000001</v>
      </c>
      <c r="CD110" s="29">
        <f t="shared" si="203"/>
        <v>-46.582384939999997</v>
      </c>
      <c r="CE110" s="29">
        <f t="shared" si="203"/>
        <v>-40.954438750000008</v>
      </c>
      <c r="CF110" s="29">
        <f t="shared" si="203"/>
        <v>-14.033795459999995</v>
      </c>
      <c r="CG110" s="29">
        <f t="shared" si="203"/>
        <v>-39.529920209999986</v>
      </c>
      <c r="CH110" s="29">
        <f t="shared" si="203"/>
        <v>-141.10053936</v>
      </c>
      <c r="CI110" s="29">
        <f t="shared" si="203"/>
        <v>-99.654746870000011</v>
      </c>
      <c r="CJ110" s="29">
        <f t="shared" si="203"/>
        <v>-62.947872900000007</v>
      </c>
      <c r="CK110" s="29">
        <f t="shared" si="203"/>
        <v>-74.900386760000004</v>
      </c>
      <c r="CL110" s="29">
        <f t="shared" si="203"/>
        <v>-63.308050929999965</v>
      </c>
      <c r="CM110" s="29">
        <f t="shared" si="203"/>
        <v>-300.81105745999997</v>
      </c>
      <c r="CN110" s="29">
        <f t="shared" si="203"/>
        <v>-46.539504069999992</v>
      </c>
      <c r="CO110" s="29">
        <f t="shared" si="203"/>
        <v>-41.847217999999998</v>
      </c>
      <c r="CP110" s="29">
        <f t="shared" ref="CP110:DU110" si="204">SUM(CP87:CP109)</f>
        <v>-30.353886020000008</v>
      </c>
      <c r="CQ110" s="29">
        <f t="shared" si="204"/>
        <v>-11.889391909999986</v>
      </c>
      <c r="CR110" s="29">
        <f t="shared" si="204"/>
        <v>-130.63</v>
      </c>
      <c r="CS110" s="29">
        <f t="shared" si="204"/>
        <v>-25.126000000000001</v>
      </c>
      <c r="CT110" s="29">
        <f t="shared" si="204"/>
        <v>-23.777000000000005</v>
      </c>
      <c r="CU110" s="29">
        <f t="shared" si="204"/>
        <v>-2.1500000000000021</v>
      </c>
      <c r="CV110" s="29">
        <f t="shared" si="204"/>
        <v>-29.636196019999996</v>
      </c>
      <c r="CW110" s="29">
        <f t="shared" si="204"/>
        <v>-80.689196020000011</v>
      </c>
      <c r="CX110" s="29">
        <f t="shared" si="204"/>
        <v>-19.875</v>
      </c>
      <c r="CY110" s="29">
        <f t="shared" si="204"/>
        <v>-32.073999999999998</v>
      </c>
      <c r="CZ110" s="29">
        <f t="shared" si="204"/>
        <v>-36.122</v>
      </c>
      <c r="DA110" s="29">
        <f t="shared" si="204"/>
        <v>-28.254999999999999</v>
      </c>
      <c r="DB110" s="29">
        <f t="shared" si="204"/>
        <v>-116.32600000000001</v>
      </c>
      <c r="DC110" s="29">
        <f t="shared" si="204"/>
        <v>-35.49</v>
      </c>
      <c r="DD110" s="29">
        <f t="shared" si="204"/>
        <v>-69.290000000000006</v>
      </c>
      <c r="DE110" s="29">
        <f t="shared" si="204"/>
        <v>-43.169000000000004</v>
      </c>
      <c r="DF110" s="29">
        <f t="shared" si="204"/>
        <v>-79.028999999999996</v>
      </c>
      <c r="DG110" s="29">
        <f t="shared" si="204"/>
        <v>-226.97799999999998</v>
      </c>
      <c r="DH110" s="29">
        <f t="shared" si="204"/>
        <v>-73.438999999999993</v>
      </c>
      <c r="DI110" s="29">
        <f t="shared" si="204"/>
        <v>14.536999999999999</v>
      </c>
      <c r="DJ110" s="29">
        <f t="shared" si="204"/>
        <v>-83.483000000000004</v>
      </c>
      <c r="DK110" s="29">
        <f t="shared" si="204"/>
        <v>-170.92099999999999</v>
      </c>
      <c r="DL110" s="29">
        <f t="shared" si="204"/>
        <v>-313.30599999999998</v>
      </c>
      <c r="DM110" s="29">
        <f t="shared" si="204"/>
        <v>-135.12900000000002</v>
      </c>
      <c r="DN110" s="29">
        <f t="shared" si="204"/>
        <v>-79.031999999999996</v>
      </c>
      <c r="DO110" s="29">
        <f t="shared" si="204"/>
        <v>-136.345</v>
      </c>
      <c r="DP110" s="29">
        <f t="shared" si="204"/>
        <v>-178.74700000000001</v>
      </c>
      <c r="DQ110" s="29">
        <f t="shared" si="204"/>
        <v>-529.25299999999993</v>
      </c>
      <c r="DR110" s="29">
        <f t="shared" si="204"/>
        <v>-163.845</v>
      </c>
      <c r="DS110" s="29">
        <f t="shared" si="204"/>
        <v>-185.59899999999999</v>
      </c>
      <c r="DT110" s="29">
        <f t="shared" si="204"/>
        <v>17.571999999999999</v>
      </c>
      <c r="DU110" s="29">
        <f t="shared" si="204"/>
        <v>-94.885000000000005</v>
      </c>
      <c r="DV110" s="29">
        <f t="shared" ref="DV110:ED110" si="205">SUM(DV87:DV109)</f>
        <v>-426.75700000000001</v>
      </c>
      <c r="DW110" s="29">
        <f t="shared" si="205"/>
        <v>-153.16699999999997</v>
      </c>
      <c r="DX110" s="29">
        <f t="shared" si="205"/>
        <v>-104.53527800000001</v>
      </c>
      <c r="DY110" s="29">
        <f t="shared" si="205"/>
        <v>-54.488433360000002</v>
      </c>
      <c r="DZ110" s="29">
        <f t="shared" si="205"/>
        <v>-103.89229868</v>
      </c>
      <c r="EA110" s="29">
        <f t="shared" si="205"/>
        <v>-416.08301004000003</v>
      </c>
      <c r="EB110" s="29">
        <f t="shared" si="205"/>
        <v>-162.19205442000001</v>
      </c>
      <c r="EC110" s="29">
        <f t="shared" si="205"/>
        <v>-116.36462296000001</v>
      </c>
      <c r="ED110" s="29">
        <f t="shared" si="205"/>
        <v>-99.092999999999989</v>
      </c>
      <c r="EE110" s="29">
        <f t="shared" ref="EE110:EF110" si="206">SUM(EE87:EE109)</f>
        <v>-200.20771898000001</v>
      </c>
      <c r="EF110" s="29">
        <f t="shared" si="206"/>
        <v>-577.85739635999994</v>
      </c>
      <c r="EG110" s="29">
        <f t="shared" ref="EG110" si="207">SUM(EG87:EG109)</f>
        <v>-302.60866282999996</v>
      </c>
      <c r="EH110" s="29">
        <f t="shared" ref="EH110:EI110" si="208">SUM(EH87:EH109)</f>
        <v>-210.74296032999999</v>
      </c>
      <c r="EI110" s="29">
        <f t="shared" si="208"/>
        <v>-130.60103407</v>
      </c>
    </row>
    <row r="113" spans="1:139" x14ac:dyDescent="0.3">
      <c r="A113" s="3" t="s">
        <v>343</v>
      </c>
      <c r="B113" s="6" t="s">
        <v>4</v>
      </c>
      <c r="C113" s="6" t="s">
        <v>5</v>
      </c>
      <c r="D113" s="6" t="s">
        <v>6</v>
      </c>
      <c r="E113" s="6" t="s">
        <v>7</v>
      </c>
      <c r="F113" s="6">
        <v>2018</v>
      </c>
      <c r="G113" s="6" t="s">
        <v>8</v>
      </c>
      <c r="H113" s="6" t="s">
        <v>9</v>
      </c>
      <c r="I113" s="6" t="s">
        <v>10</v>
      </c>
      <c r="J113" s="6" t="s">
        <v>11</v>
      </c>
      <c r="K113" s="6">
        <v>2019</v>
      </c>
      <c r="L113" s="6" t="s">
        <v>12</v>
      </c>
      <c r="M113" s="6" t="s">
        <v>13</v>
      </c>
      <c r="N113" s="6" t="s">
        <v>14</v>
      </c>
      <c r="O113" s="6" t="s">
        <v>15</v>
      </c>
      <c r="P113" s="6">
        <v>2000</v>
      </c>
      <c r="Q113" s="6" t="s">
        <v>16</v>
      </c>
      <c r="R113" s="6" t="s">
        <v>17</v>
      </c>
      <c r="S113" s="6" t="s">
        <v>18</v>
      </c>
      <c r="T113" s="6" t="s">
        <v>19</v>
      </c>
      <c r="U113" s="6">
        <v>2001</v>
      </c>
      <c r="V113" s="6" t="s">
        <v>20</v>
      </c>
      <c r="W113" s="6" t="s">
        <v>21</v>
      </c>
      <c r="X113" s="6" t="s">
        <v>22</v>
      </c>
      <c r="Y113" s="6" t="s">
        <v>23</v>
      </c>
      <c r="Z113" s="6">
        <v>2002</v>
      </c>
      <c r="AA113" s="6" t="s">
        <v>24</v>
      </c>
      <c r="AB113" s="6" t="s">
        <v>25</v>
      </c>
      <c r="AC113" s="6" t="s">
        <v>26</v>
      </c>
      <c r="AD113" s="6" t="s">
        <v>27</v>
      </c>
      <c r="AE113" s="6">
        <v>2003</v>
      </c>
      <c r="AF113" s="6" t="s">
        <v>28</v>
      </c>
      <c r="AG113" s="6" t="s">
        <v>29</v>
      </c>
      <c r="AH113" s="6" t="s">
        <v>30</v>
      </c>
      <c r="AI113" s="6" t="s">
        <v>31</v>
      </c>
      <c r="AJ113" s="6">
        <v>2004</v>
      </c>
      <c r="AK113" s="6" t="s">
        <v>32</v>
      </c>
      <c r="AL113" s="6" t="s">
        <v>33</v>
      </c>
      <c r="AM113" s="6" t="s">
        <v>34</v>
      </c>
      <c r="AN113" s="6" t="s">
        <v>35</v>
      </c>
      <c r="AO113" s="6">
        <v>2005</v>
      </c>
      <c r="AP113" s="6" t="s">
        <v>36</v>
      </c>
      <c r="AQ113" s="6" t="s">
        <v>37</v>
      </c>
      <c r="AR113" s="6" t="s">
        <v>38</v>
      </c>
      <c r="AS113" s="6" t="s">
        <v>39</v>
      </c>
      <c r="AT113" s="6">
        <v>2006</v>
      </c>
      <c r="AU113" s="6" t="s">
        <v>40</v>
      </c>
      <c r="AV113" s="6" t="s">
        <v>41</v>
      </c>
      <c r="AW113" s="6" t="s">
        <v>42</v>
      </c>
      <c r="AX113" s="6" t="s">
        <v>43</v>
      </c>
      <c r="AY113" s="6">
        <v>2007</v>
      </c>
      <c r="AZ113" s="6" t="s">
        <v>44</v>
      </c>
      <c r="BA113" s="6" t="s">
        <v>45</v>
      </c>
      <c r="BB113" s="6" t="s">
        <v>46</v>
      </c>
      <c r="BC113" s="6" t="s">
        <v>47</v>
      </c>
      <c r="BD113" s="6">
        <v>2008</v>
      </c>
      <c r="BE113" s="6" t="s">
        <v>48</v>
      </c>
      <c r="BF113" s="6" t="s">
        <v>49</v>
      </c>
      <c r="BG113" s="6" t="s">
        <v>50</v>
      </c>
      <c r="BH113" s="6" t="s">
        <v>51</v>
      </c>
      <c r="BI113" s="6">
        <v>2009</v>
      </c>
      <c r="BJ113" s="6" t="s">
        <v>52</v>
      </c>
      <c r="BK113" s="6" t="s">
        <v>53</v>
      </c>
      <c r="BL113" s="6" t="s">
        <v>54</v>
      </c>
      <c r="BM113" s="6" t="s">
        <v>55</v>
      </c>
      <c r="BN113" s="6">
        <v>2010</v>
      </c>
      <c r="BO113" s="6" t="s">
        <v>56</v>
      </c>
      <c r="BP113" s="6" t="s">
        <v>57</v>
      </c>
      <c r="BQ113" s="6" t="s">
        <v>58</v>
      </c>
      <c r="BR113" s="6" t="s">
        <v>59</v>
      </c>
      <c r="BS113" s="6">
        <v>2011</v>
      </c>
      <c r="BT113" s="6" t="s">
        <v>60</v>
      </c>
      <c r="BU113" s="6" t="s">
        <v>61</v>
      </c>
      <c r="BV113" s="6" t="s">
        <v>62</v>
      </c>
      <c r="BW113" s="6" t="s">
        <v>63</v>
      </c>
      <c r="BX113" s="6">
        <v>2012</v>
      </c>
      <c r="BY113" s="6" t="s">
        <v>64</v>
      </c>
      <c r="BZ113" s="6" t="s">
        <v>65</v>
      </c>
      <c r="CA113" s="6" t="s">
        <v>66</v>
      </c>
      <c r="CB113" s="6" t="s">
        <v>67</v>
      </c>
      <c r="CC113" s="6">
        <v>2013</v>
      </c>
      <c r="CD113" s="6" t="s">
        <v>68</v>
      </c>
      <c r="CE113" s="6" t="s">
        <v>69</v>
      </c>
      <c r="CF113" s="6" t="s">
        <v>70</v>
      </c>
      <c r="CG113" s="6" t="s">
        <v>71</v>
      </c>
      <c r="CH113" s="6">
        <v>2014</v>
      </c>
      <c r="CI113" s="6" t="s">
        <v>72</v>
      </c>
      <c r="CJ113" s="6" t="s">
        <v>73</v>
      </c>
      <c r="CK113" s="6" t="s">
        <v>74</v>
      </c>
      <c r="CL113" s="6" t="s">
        <v>75</v>
      </c>
      <c r="CM113" s="6">
        <v>2015</v>
      </c>
      <c r="CN113" s="6" t="s">
        <v>76</v>
      </c>
      <c r="CO113" s="6" t="s">
        <v>77</v>
      </c>
      <c r="CP113" s="6" t="s">
        <v>78</v>
      </c>
      <c r="CQ113" s="6" t="s">
        <v>79</v>
      </c>
      <c r="CR113" s="6">
        <v>2016</v>
      </c>
      <c r="CS113" s="6" t="s">
        <v>80</v>
      </c>
      <c r="CT113" s="6" t="s">
        <v>81</v>
      </c>
      <c r="CU113" s="6" t="s">
        <v>82</v>
      </c>
      <c r="CV113" s="6" t="s">
        <v>83</v>
      </c>
      <c r="CW113" s="6">
        <v>2017</v>
      </c>
      <c r="CX113" s="6" t="s">
        <v>84</v>
      </c>
      <c r="CY113" s="6" t="s">
        <v>85</v>
      </c>
      <c r="CZ113" s="6" t="s">
        <v>86</v>
      </c>
      <c r="DA113" s="6" t="s">
        <v>87</v>
      </c>
      <c r="DB113" s="6">
        <v>2018</v>
      </c>
      <c r="DC113" s="6" t="s">
        <v>88</v>
      </c>
      <c r="DD113" s="6" t="s">
        <v>89</v>
      </c>
      <c r="DE113" s="6" t="s">
        <v>90</v>
      </c>
      <c r="DF113" s="6" t="s">
        <v>91</v>
      </c>
      <c r="DG113" s="6">
        <v>2019</v>
      </c>
      <c r="DH113" s="6" t="s">
        <v>92</v>
      </c>
      <c r="DI113" s="6" t="s">
        <v>93</v>
      </c>
      <c r="DJ113" s="6" t="s">
        <v>94</v>
      </c>
      <c r="DK113" s="6" t="s">
        <v>95</v>
      </c>
      <c r="DL113" s="6">
        <v>2020</v>
      </c>
      <c r="DM113" s="6" t="s">
        <v>96</v>
      </c>
      <c r="DN113" s="6" t="s">
        <v>97</v>
      </c>
      <c r="DO113" s="6" t="s">
        <v>98</v>
      </c>
      <c r="DP113" s="6" t="s">
        <v>99</v>
      </c>
      <c r="DQ113" s="6">
        <v>2021</v>
      </c>
      <c r="DR113" s="6" t="s">
        <v>100</v>
      </c>
      <c r="DS113" s="6" t="s">
        <v>101</v>
      </c>
      <c r="DT113" s="6" t="s">
        <v>200</v>
      </c>
      <c r="DU113" s="6" t="s">
        <v>380</v>
      </c>
      <c r="DV113" s="6">
        <v>2022</v>
      </c>
      <c r="DW113" s="6" t="s">
        <v>379</v>
      </c>
      <c r="DX113" s="6" t="s">
        <v>402</v>
      </c>
      <c r="DY113" s="6" t="s">
        <v>414</v>
      </c>
      <c r="DZ113" s="6" t="s">
        <v>419</v>
      </c>
      <c r="EA113" s="6">
        <v>2023</v>
      </c>
      <c r="EB113" s="6" t="s">
        <v>424</v>
      </c>
      <c r="EC113" s="6" t="s">
        <v>429</v>
      </c>
      <c r="ED113" s="6" t="str">
        <f>$ED$1</f>
        <v>3T24</v>
      </c>
      <c r="EE113" s="6" t="str">
        <f>$EE$1</f>
        <v>4T24</v>
      </c>
      <c r="EF113" s="6">
        <f>$EF$1</f>
        <v>2024</v>
      </c>
      <c r="EG113" s="66" t="str">
        <f>EG$1</f>
        <v>1T25</v>
      </c>
      <c r="EH113" s="66" t="str">
        <f>EH$1</f>
        <v>2T25</v>
      </c>
      <c r="EI113" s="66" t="str">
        <f>EI$1</f>
        <v>3T25</v>
      </c>
    </row>
    <row r="114" spans="1:139" ht="15" thickBot="1" x14ac:dyDescent="0.35">
      <c r="A114" s="4" t="s">
        <v>421</v>
      </c>
      <c r="B114" s="7" t="s">
        <v>102</v>
      </c>
      <c r="C114" s="7" t="s">
        <v>103</v>
      </c>
      <c r="D114" s="7" t="s">
        <v>104</v>
      </c>
      <c r="E114" s="7" t="s">
        <v>105</v>
      </c>
      <c r="F114" s="7">
        <v>2018</v>
      </c>
      <c r="G114" s="7" t="s">
        <v>106</v>
      </c>
      <c r="H114" s="7" t="s">
        <v>107</v>
      </c>
      <c r="I114" s="7" t="s">
        <v>108</v>
      </c>
      <c r="J114" s="7" t="s">
        <v>109</v>
      </c>
      <c r="K114" s="7">
        <v>2019</v>
      </c>
      <c r="L114" s="7" t="s">
        <v>110</v>
      </c>
      <c r="M114" s="7" t="s">
        <v>111</v>
      </c>
      <c r="N114" s="7" t="s">
        <v>112</v>
      </c>
      <c r="O114" s="7" t="s">
        <v>113</v>
      </c>
      <c r="P114" s="7">
        <v>2000</v>
      </c>
      <c r="Q114" s="7" t="s">
        <v>114</v>
      </c>
      <c r="R114" s="7" t="s">
        <v>115</v>
      </c>
      <c r="S114" s="7" t="s">
        <v>116</v>
      </c>
      <c r="T114" s="7" t="s">
        <v>117</v>
      </c>
      <c r="U114" s="7">
        <v>2001</v>
      </c>
      <c r="V114" s="7" t="s">
        <v>118</v>
      </c>
      <c r="W114" s="7" t="s">
        <v>119</v>
      </c>
      <c r="X114" s="7" t="s">
        <v>120</v>
      </c>
      <c r="Y114" s="7" t="s">
        <v>121</v>
      </c>
      <c r="Z114" s="7">
        <v>2002</v>
      </c>
      <c r="AA114" s="7" t="s">
        <v>122</v>
      </c>
      <c r="AB114" s="7" t="s">
        <v>123</v>
      </c>
      <c r="AC114" s="7" t="s">
        <v>124</v>
      </c>
      <c r="AD114" s="7" t="s">
        <v>125</v>
      </c>
      <c r="AE114" s="7">
        <v>2003</v>
      </c>
      <c r="AF114" s="7" t="s">
        <v>126</v>
      </c>
      <c r="AG114" s="7" t="s">
        <v>127</v>
      </c>
      <c r="AH114" s="7" t="s">
        <v>128</v>
      </c>
      <c r="AI114" s="7" t="s">
        <v>129</v>
      </c>
      <c r="AJ114" s="7">
        <v>2004</v>
      </c>
      <c r="AK114" s="7" t="s">
        <v>130</v>
      </c>
      <c r="AL114" s="7" t="s">
        <v>131</v>
      </c>
      <c r="AM114" s="7" t="s">
        <v>132</v>
      </c>
      <c r="AN114" s="7" t="s">
        <v>133</v>
      </c>
      <c r="AO114" s="7">
        <v>2005</v>
      </c>
      <c r="AP114" s="7" t="s">
        <v>134</v>
      </c>
      <c r="AQ114" s="7" t="s">
        <v>135</v>
      </c>
      <c r="AR114" s="7" t="s">
        <v>136</v>
      </c>
      <c r="AS114" s="7" t="s">
        <v>137</v>
      </c>
      <c r="AT114" s="7">
        <v>2006</v>
      </c>
      <c r="AU114" s="7" t="s">
        <v>138</v>
      </c>
      <c r="AV114" s="7" t="s">
        <v>139</v>
      </c>
      <c r="AW114" s="7" t="s">
        <v>140</v>
      </c>
      <c r="AX114" s="7" t="s">
        <v>141</v>
      </c>
      <c r="AY114" s="7">
        <v>2007</v>
      </c>
      <c r="AZ114" s="7" t="s">
        <v>142</v>
      </c>
      <c r="BA114" s="7" t="s">
        <v>143</v>
      </c>
      <c r="BB114" s="7" t="s">
        <v>144</v>
      </c>
      <c r="BC114" s="7" t="s">
        <v>145</v>
      </c>
      <c r="BD114" s="7">
        <v>2008</v>
      </c>
      <c r="BE114" s="7" t="s">
        <v>146</v>
      </c>
      <c r="BF114" s="7" t="s">
        <v>147</v>
      </c>
      <c r="BG114" s="7" t="s">
        <v>148</v>
      </c>
      <c r="BH114" s="7" t="s">
        <v>149</v>
      </c>
      <c r="BI114" s="7">
        <v>2009</v>
      </c>
      <c r="BJ114" s="7" t="s">
        <v>150</v>
      </c>
      <c r="BK114" s="7" t="s">
        <v>151</v>
      </c>
      <c r="BL114" s="7" t="s">
        <v>152</v>
      </c>
      <c r="BM114" s="7" t="s">
        <v>153</v>
      </c>
      <c r="BN114" s="7">
        <v>2010</v>
      </c>
      <c r="BO114" s="7" t="s">
        <v>154</v>
      </c>
      <c r="BP114" s="7" t="s">
        <v>155</v>
      </c>
      <c r="BQ114" s="7" t="s">
        <v>156</v>
      </c>
      <c r="BR114" s="7" t="s">
        <v>157</v>
      </c>
      <c r="BS114" s="7">
        <v>2011</v>
      </c>
      <c r="BT114" s="7" t="s">
        <v>158</v>
      </c>
      <c r="BU114" s="7" t="s">
        <v>159</v>
      </c>
      <c r="BV114" s="7" t="s">
        <v>160</v>
      </c>
      <c r="BW114" s="7" t="s">
        <v>161</v>
      </c>
      <c r="BX114" s="7">
        <v>2012</v>
      </c>
      <c r="BY114" s="7" t="s">
        <v>162</v>
      </c>
      <c r="BZ114" s="7" t="s">
        <v>163</v>
      </c>
      <c r="CA114" s="7" t="s">
        <v>164</v>
      </c>
      <c r="CB114" s="7" t="s">
        <v>165</v>
      </c>
      <c r="CC114" s="7">
        <v>2013</v>
      </c>
      <c r="CD114" s="7" t="s">
        <v>166</v>
      </c>
      <c r="CE114" s="7" t="s">
        <v>167</v>
      </c>
      <c r="CF114" s="7" t="s">
        <v>168</v>
      </c>
      <c r="CG114" s="7" t="s">
        <v>169</v>
      </c>
      <c r="CH114" s="7">
        <v>2014</v>
      </c>
      <c r="CI114" s="7" t="s">
        <v>170</v>
      </c>
      <c r="CJ114" s="7" t="s">
        <v>171</v>
      </c>
      <c r="CK114" s="7" t="s">
        <v>172</v>
      </c>
      <c r="CL114" s="7" t="s">
        <v>173</v>
      </c>
      <c r="CM114" s="7">
        <v>2015</v>
      </c>
      <c r="CN114" s="7" t="s">
        <v>174</v>
      </c>
      <c r="CO114" s="7" t="s">
        <v>175</v>
      </c>
      <c r="CP114" s="7" t="s">
        <v>176</v>
      </c>
      <c r="CQ114" s="7" t="s">
        <v>177</v>
      </c>
      <c r="CR114" s="7">
        <v>2016</v>
      </c>
      <c r="CS114" s="7" t="s">
        <v>178</v>
      </c>
      <c r="CT114" s="7" t="s">
        <v>179</v>
      </c>
      <c r="CU114" s="7" t="s">
        <v>180</v>
      </c>
      <c r="CV114" s="7" t="s">
        <v>181</v>
      </c>
      <c r="CW114" s="7">
        <v>2017</v>
      </c>
      <c r="CX114" s="7" t="s">
        <v>182</v>
      </c>
      <c r="CY114" s="7" t="s">
        <v>183</v>
      </c>
      <c r="CZ114" s="7" t="s">
        <v>184</v>
      </c>
      <c r="DA114" s="7" t="s">
        <v>185</v>
      </c>
      <c r="DB114" s="7">
        <v>2018</v>
      </c>
      <c r="DC114" s="7" t="s">
        <v>186</v>
      </c>
      <c r="DD114" s="7" t="s">
        <v>187</v>
      </c>
      <c r="DE114" s="7" t="s">
        <v>188</v>
      </c>
      <c r="DF114" s="7" t="s">
        <v>189</v>
      </c>
      <c r="DG114" s="7">
        <v>2019</v>
      </c>
      <c r="DH114" s="7" t="s">
        <v>190</v>
      </c>
      <c r="DI114" s="7" t="s">
        <v>191</v>
      </c>
      <c r="DJ114" s="7" t="s">
        <v>192</v>
      </c>
      <c r="DK114" s="7" t="s">
        <v>193</v>
      </c>
      <c r="DL114" s="7">
        <v>2020</v>
      </c>
      <c r="DM114" s="7" t="s">
        <v>194</v>
      </c>
      <c r="DN114" s="7" t="s">
        <v>195</v>
      </c>
      <c r="DO114" s="7" t="s">
        <v>196</v>
      </c>
      <c r="DP114" s="7" t="s">
        <v>197</v>
      </c>
      <c r="DQ114" s="7">
        <v>2021</v>
      </c>
      <c r="DR114" s="7" t="s">
        <v>198</v>
      </c>
      <c r="DS114" s="7" t="s">
        <v>199</v>
      </c>
      <c r="DT114" s="7" t="s">
        <v>201</v>
      </c>
      <c r="DU114" s="7" t="s">
        <v>381</v>
      </c>
      <c r="DV114" s="7">
        <v>2022</v>
      </c>
      <c r="DW114" s="7" t="s">
        <v>382</v>
      </c>
      <c r="DX114" s="7" t="s">
        <v>403</v>
      </c>
      <c r="DY114" s="7" t="s">
        <v>415</v>
      </c>
      <c r="DZ114" s="7" t="s">
        <v>420</v>
      </c>
      <c r="EA114" s="7">
        <v>2023</v>
      </c>
      <c r="EB114" s="7" t="s">
        <v>425</v>
      </c>
      <c r="EC114" s="7" t="s">
        <v>430</v>
      </c>
      <c r="ED114" s="7" t="str">
        <f>$ED$2</f>
        <v>3Q24</v>
      </c>
      <c r="EE114" s="7" t="str">
        <f>$EE$2</f>
        <v>4Q24</v>
      </c>
      <c r="EF114" s="7">
        <f>$EF$2</f>
        <v>2024</v>
      </c>
      <c r="EG114" s="67" t="str">
        <f>EG$2</f>
        <v>1Q25</v>
      </c>
      <c r="EH114" s="67" t="str">
        <f>EH$2</f>
        <v>2Q25</v>
      </c>
      <c r="EI114" s="67" t="str">
        <f>EI$2</f>
        <v>3Q25</v>
      </c>
    </row>
    <row r="115" spans="1:139" ht="15" thickTop="1" x14ac:dyDescent="0.3">
      <c r="A115" s="1" t="s">
        <v>2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27">
        <v>-0.40201007000000011</v>
      </c>
      <c r="BK115" s="27">
        <v>-0.18056512999999985</v>
      </c>
      <c r="BL115" s="27">
        <v>-0.18620477000000002</v>
      </c>
      <c r="BM115" s="27">
        <v>-0.30385598000000003</v>
      </c>
      <c r="BN115" s="27">
        <f>SUM(BJ115:BM115)</f>
        <v>-1.07263595</v>
      </c>
      <c r="BO115" s="27">
        <v>-0.20876206999999997</v>
      </c>
      <c r="BP115" s="27">
        <v>-0.25418472999999997</v>
      </c>
      <c r="BQ115" s="27">
        <v>9.0877529999999873E-2</v>
      </c>
      <c r="BR115" s="27">
        <v>-1.1193896999999999</v>
      </c>
      <c r="BS115" s="27">
        <f>SUM(BO115:BR115)</f>
        <v>-1.4914589700000001</v>
      </c>
      <c r="BT115" s="27">
        <v>-0.27275444999999998</v>
      </c>
      <c r="BU115" s="27">
        <v>-0.33772901</v>
      </c>
      <c r="BV115" s="27">
        <v>-0.27886253000000005</v>
      </c>
      <c r="BW115" s="27">
        <v>-0.63768157000000003</v>
      </c>
      <c r="BX115" s="27">
        <f>SUM(BT115:BW115)</f>
        <v>-1.5270275600000001</v>
      </c>
      <c r="BY115" s="27">
        <v>-0.26397479000000001</v>
      </c>
      <c r="BZ115" s="27">
        <v>-0.40243739999999995</v>
      </c>
      <c r="CA115" s="27">
        <v>-0.49824204999999999</v>
      </c>
      <c r="CB115" s="27">
        <v>-0.52533670999999993</v>
      </c>
      <c r="CC115" s="27">
        <f>SUM(BY115:CB115)</f>
        <v>-1.6899909499999999</v>
      </c>
      <c r="CD115" s="27">
        <v>-0.46450115999999997</v>
      </c>
      <c r="CE115" s="27">
        <v>-0.38910306000000006</v>
      </c>
      <c r="CF115" s="27">
        <v>-0.54804373000000006</v>
      </c>
      <c r="CG115" s="27">
        <v>-0.35394748999999992</v>
      </c>
      <c r="CH115" s="27">
        <f>SUM(CD115:CG115)</f>
        <v>-1.75559544</v>
      </c>
      <c r="CI115" s="27">
        <v>-0.68103023000000007</v>
      </c>
      <c r="CJ115" s="27">
        <v>-0.69959197999999978</v>
      </c>
      <c r="CK115" s="27">
        <v>-0.6394751500000001</v>
      </c>
      <c r="CL115" s="27">
        <v>-0.63521710000000053</v>
      </c>
      <c r="CM115" s="27">
        <f>SUM(CI115:CL115)</f>
        <v>-2.6553144600000005</v>
      </c>
      <c r="CN115" s="27">
        <v>-0.67366919000000003</v>
      </c>
      <c r="CO115" s="27">
        <v>-0.23576591000000002</v>
      </c>
      <c r="CP115" s="27">
        <v>-0.36040501999999996</v>
      </c>
      <c r="CQ115" s="27">
        <v>-0.52815988000000003</v>
      </c>
      <c r="CR115" s="27">
        <f>SUM(CN115:CQ115)</f>
        <v>-1.798</v>
      </c>
      <c r="CS115" s="27">
        <v>-0.627</v>
      </c>
      <c r="CT115" s="27">
        <v>-0.54800000000000004</v>
      </c>
      <c r="CU115" s="27">
        <v>-0.66900000000000004</v>
      </c>
      <c r="CV115" s="27">
        <v>-0.68754626000000052</v>
      </c>
      <c r="CW115" s="27">
        <f>SUM(CS115:CV115)</f>
        <v>-2.5315462600000007</v>
      </c>
      <c r="CX115" s="27">
        <v>-1.3169999999999999</v>
      </c>
      <c r="CY115" s="27">
        <v>-0.53</v>
      </c>
      <c r="CZ115" s="27">
        <v>-0.91500000000000004</v>
      </c>
      <c r="DA115" s="27">
        <v>-1.262</v>
      </c>
      <c r="DB115" s="27">
        <f>SUM(CX115:DA115)</f>
        <v>-4.024</v>
      </c>
      <c r="DC115" s="27">
        <v>-1.6020000000000001</v>
      </c>
      <c r="DD115" s="27">
        <v>-1.677</v>
      </c>
      <c r="DE115" s="27">
        <v>-1.643</v>
      </c>
      <c r="DF115" s="27">
        <v>-3.3650000000000002</v>
      </c>
      <c r="DG115" s="27">
        <f>SUM(DC115:DF115)</f>
        <v>-8.286999999999999</v>
      </c>
      <c r="DH115" s="27">
        <v>-2.972</v>
      </c>
      <c r="DI115" s="27">
        <v>-0.48599999999999999</v>
      </c>
      <c r="DJ115" s="27">
        <v>0.64800000000000002</v>
      </c>
      <c r="DK115" s="27">
        <v>0.60199999999999998</v>
      </c>
      <c r="DL115" s="27">
        <f>SUM(DH115:DK115)</f>
        <v>-2.2080000000000002</v>
      </c>
      <c r="DM115" s="27">
        <v>0.314</v>
      </c>
      <c r="DN115" s="27">
        <v>0.58399999999999996</v>
      </c>
      <c r="DO115" s="27">
        <v>1.2130000000000001</v>
      </c>
      <c r="DP115" s="27">
        <v>3.097</v>
      </c>
      <c r="DQ115" s="27">
        <f>SUM(DM115:DP115)</f>
        <v>5.2080000000000002</v>
      </c>
      <c r="DR115" s="27">
        <v>6.3090000000000002</v>
      </c>
      <c r="DS115" s="27">
        <v>7.194</v>
      </c>
      <c r="DT115" s="27">
        <v>5.1660000000000004</v>
      </c>
      <c r="DU115" s="27">
        <v>1.7849999999999999</v>
      </c>
      <c r="DV115" s="27">
        <f>SUM(DR115:DU115)</f>
        <v>20.454000000000001</v>
      </c>
      <c r="DW115" s="27">
        <v>0.34300000000000003</v>
      </c>
      <c r="DX115" s="27">
        <v>0.18256900000000001</v>
      </c>
      <c r="DY115" s="27">
        <v>-0.18660441999999985</v>
      </c>
      <c r="DZ115" s="27">
        <v>-1.0891562399999999</v>
      </c>
      <c r="EA115" s="27">
        <f>SUM(DW115:DZ115)</f>
        <v>-0.7501916599999997</v>
      </c>
      <c r="EB115" s="27">
        <v>-0.26584673999999997</v>
      </c>
      <c r="EC115" s="27">
        <v>-0.29094977</v>
      </c>
      <c r="ED115" s="27">
        <v>-0.111</v>
      </c>
      <c r="EE115" s="27">
        <v>-0.16574533000000002</v>
      </c>
      <c r="EF115" s="27">
        <f>SUM(EB115:EE115)</f>
        <v>-0.83354183999999998</v>
      </c>
      <c r="EG115" s="27">
        <v>-0.25357562</v>
      </c>
      <c r="EH115" s="27">
        <v>-0.11380842999999996</v>
      </c>
      <c r="EI115" s="27">
        <v>-0.12729706000000002</v>
      </c>
    </row>
    <row r="116" spans="1:139" ht="15" thickBot="1" x14ac:dyDescent="0.35">
      <c r="A116" s="2" t="s">
        <v>454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28">
        <v>-0.20780989999999999</v>
      </c>
      <c r="BK116" s="28">
        <v>-0.25301900999999999</v>
      </c>
      <c r="BL116" s="28">
        <v>-0.32614009999999993</v>
      </c>
      <c r="BM116" s="28">
        <v>-0.38057455000000018</v>
      </c>
      <c r="BN116" s="28">
        <f t="shared" ref="BN116:BN137" si="209">SUM(BJ116:BM116)</f>
        <v>-1.1675435600000001</v>
      </c>
      <c r="BO116" s="28">
        <v>-0.20169721000000002</v>
      </c>
      <c r="BP116" s="28">
        <v>-0.43430379000000002</v>
      </c>
      <c r="BQ116" s="28">
        <v>-0.37674608000000004</v>
      </c>
      <c r="BR116" s="28">
        <v>-0.86254090999999988</v>
      </c>
      <c r="BS116" s="28">
        <f t="shared" ref="BS116:BS137" si="210">SUM(BO116:BR116)</f>
        <v>-1.8752879899999999</v>
      </c>
      <c r="BT116" s="28">
        <v>-0.23088101</v>
      </c>
      <c r="BU116" s="28">
        <v>-5.0436558500000004</v>
      </c>
      <c r="BV116" s="28">
        <v>4.4011384600000003</v>
      </c>
      <c r="BW116" s="28">
        <v>-0.72616596000000033</v>
      </c>
      <c r="BX116" s="28">
        <f t="shared" ref="BX116:BX137" si="211">SUM(BT116:BW116)</f>
        <v>-1.5995643600000005</v>
      </c>
      <c r="BY116" s="28">
        <v>-0.24073961000000002</v>
      </c>
      <c r="BZ116" s="28">
        <v>-0.35826594999999994</v>
      </c>
      <c r="CA116" s="28">
        <v>-0.55465775000000006</v>
      </c>
      <c r="CB116" s="28">
        <v>-1.5068571399999999</v>
      </c>
      <c r="CC116" s="28">
        <f t="shared" ref="CC116:CC137" si="212">SUM(BY116:CB116)</f>
        <v>-2.6605204499999999</v>
      </c>
      <c r="CD116" s="28">
        <v>-0.35306700000000002</v>
      </c>
      <c r="CE116" s="28">
        <v>-0.21001106999999997</v>
      </c>
      <c r="CF116" s="28">
        <v>-0.63537078000000013</v>
      </c>
      <c r="CG116" s="28">
        <v>0.22948699000000006</v>
      </c>
      <c r="CH116" s="28">
        <f t="shared" ref="CH116:CH137" si="213">SUM(CD116:CG116)</f>
        <v>-0.96896186000000006</v>
      </c>
      <c r="CI116" s="28">
        <v>-0.35188717000000003</v>
      </c>
      <c r="CJ116" s="28">
        <v>-0.54126008000000003</v>
      </c>
      <c r="CK116" s="28">
        <v>-0.5793695499999999</v>
      </c>
      <c r="CL116" s="28">
        <v>-0.36589935000000018</v>
      </c>
      <c r="CM116" s="28">
        <f t="shared" ref="CM116:CM137" si="214">SUM(CI116:CL116)</f>
        <v>-1.83841615</v>
      </c>
      <c r="CN116" s="28">
        <v>-0.34425741999999998</v>
      </c>
      <c r="CO116" s="28">
        <v>-0.38761412000000012</v>
      </c>
      <c r="CP116" s="28">
        <v>-0.69576338000000004</v>
      </c>
      <c r="CQ116" s="28">
        <v>-0.3633650799999999</v>
      </c>
      <c r="CR116" s="28">
        <f t="shared" ref="CR116:CR137" si="215">SUM(CN116:CQ116)</f>
        <v>-1.7909999999999999</v>
      </c>
      <c r="CS116" s="28">
        <v>-0.36199999999999999</v>
      </c>
      <c r="CT116" s="28">
        <v>-0.36799999999999999</v>
      </c>
      <c r="CU116" s="28">
        <v>-1.9500000000000002</v>
      </c>
      <c r="CV116" s="28">
        <v>-5.5E-2</v>
      </c>
      <c r="CW116" s="28">
        <f t="shared" ref="CW116:CW137" si="216">SUM(CS116:CV116)</f>
        <v>-2.7350000000000003</v>
      </c>
      <c r="CX116" s="28">
        <v>-0.49299999999999999</v>
      </c>
      <c r="CY116" s="28">
        <v>-0.79700000000000004</v>
      </c>
      <c r="CZ116" s="28">
        <v>-0.41699999999999998</v>
      </c>
      <c r="DA116" s="28">
        <v>-0.53300000000000003</v>
      </c>
      <c r="DB116" s="28">
        <f t="shared" ref="DB116:DB137" si="217">SUM(CX116:DA116)</f>
        <v>-2.2400000000000002</v>
      </c>
      <c r="DC116" s="28">
        <v>-0.20899999999999999</v>
      </c>
      <c r="DD116" s="28">
        <v>-0.55100000000000005</v>
      </c>
      <c r="DE116" s="28">
        <v>1.9E-2</v>
      </c>
      <c r="DF116" s="28">
        <v>0.11899999999999999</v>
      </c>
      <c r="DG116" s="28">
        <f t="shared" ref="DG116:DG137" si="218">SUM(DC116:DF116)</f>
        <v>-0.622</v>
      </c>
      <c r="DH116" s="28">
        <v>0.192</v>
      </c>
      <c r="DI116" s="28">
        <v>-1.1910000000000001</v>
      </c>
      <c r="DJ116" s="28">
        <v>-0.17100000000000001</v>
      </c>
      <c r="DK116" s="28">
        <v>-1.7999999999999999E-2</v>
      </c>
      <c r="DL116" s="28">
        <f t="shared" ref="DL116:DL137" si="219">SUM(DH116:DK116)</f>
        <v>-1.1880000000000002</v>
      </c>
      <c r="DM116" s="28">
        <v>-7.0999999999999994E-2</v>
      </c>
      <c r="DN116" s="28">
        <v>-0.438</v>
      </c>
      <c r="DO116" s="28">
        <v>-0.71</v>
      </c>
      <c r="DP116" s="28">
        <v>-0.44400000000000001</v>
      </c>
      <c r="DQ116" s="28">
        <f t="shared" ref="DQ116:DQ137" si="220">SUM(DM116:DP116)</f>
        <v>-1.6629999999999998</v>
      </c>
      <c r="DR116" s="28">
        <v>-0.26800000000000002</v>
      </c>
      <c r="DS116" s="28">
        <v>-0.13800000000000001</v>
      </c>
      <c r="DT116" s="28">
        <v>4.1000000000000002E-2</v>
      </c>
      <c r="DU116" s="28">
        <v>5.8999999999999997E-2</v>
      </c>
      <c r="DV116" s="28">
        <f t="shared" ref="DV116:DV137" si="221">SUM(DR116:DU116)</f>
        <v>-0.30600000000000005</v>
      </c>
      <c r="DW116" s="28">
        <v>0.251</v>
      </c>
      <c r="DX116" s="28">
        <v>0.20278199999999999</v>
      </c>
      <c r="DY116" s="28">
        <v>8.777179999999352E-3</v>
      </c>
      <c r="DZ116" s="28">
        <v>0.10462301999999955</v>
      </c>
      <c r="EA116" s="28">
        <f t="shared" ref="EA116:EA127" si="222">SUM(DW116:DZ116)</f>
        <v>0.56718219999999886</v>
      </c>
      <c r="EB116" s="28">
        <v>-1.3629158699999999</v>
      </c>
      <c r="EC116" s="28">
        <v>-0.67649269000000045</v>
      </c>
      <c r="ED116" s="28">
        <v>-1.2689999999999999</v>
      </c>
      <c r="EE116" s="28">
        <v>-1.3601431099999994</v>
      </c>
      <c r="EF116" s="28">
        <f t="shared" ref="EF116:EF127" si="223">SUM(EB116:EE116)</f>
        <v>-4.6685516699999994</v>
      </c>
      <c r="EG116" s="28">
        <v>-2.0547733300000002</v>
      </c>
      <c r="EH116" s="28">
        <v>-1.5461535599999996</v>
      </c>
      <c r="EI116" s="28">
        <v>-2.2335571000000001</v>
      </c>
    </row>
    <row r="117" spans="1:139" ht="15" thickTop="1" x14ac:dyDescent="0.3">
      <c r="A117" s="1" t="s">
        <v>442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27">
        <v>-2.9052828499999999</v>
      </c>
      <c r="BK117" s="27">
        <v>-3.0974832399999999</v>
      </c>
      <c r="BL117" s="27">
        <v>-3.4081179400000003</v>
      </c>
      <c r="BM117" s="27">
        <v>-3.9981521999999998</v>
      </c>
      <c r="BN117" s="27">
        <f t="shared" si="209"/>
        <v>-13.40903623</v>
      </c>
      <c r="BO117" s="27">
        <v>-2.5008978800000001</v>
      </c>
      <c r="BP117" s="27">
        <v>-0.36226489999999956</v>
      </c>
      <c r="BQ117" s="27">
        <v>-4.0247803400000004</v>
      </c>
      <c r="BR117" s="27">
        <v>-2.3193723299999993</v>
      </c>
      <c r="BS117" s="27">
        <f t="shared" si="210"/>
        <v>-9.2073154499999994</v>
      </c>
      <c r="BT117" s="27">
        <v>-1.7106463700000001</v>
      </c>
      <c r="BU117" s="27">
        <v>-1.6897426500000003</v>
      </c>
      <c r="BV117" s="27">
        <v>-1.4357425899999994</v>
      </c>
      <c r="BW117" s="27">
        <v>-6.4902680000000323E-2</v>
      </c>
      <c r="BX117" s="27">
        <f t="shared" si="211"/>
        <v>-4.9010342900000001</v>
      </c>
      <c r="BY117" s="27">
        <v>-1.4088286399999999</v>
      </c>
      <c r="BZ117" s="27">
        <v>1.303978210000001</v>
      </c>
      <c r="CA117" s="27">
        <v>-3.087531230000002</v>
      </c>
      <c r="CB117" s="27">
        <v>-1.8835280199999995</v>
      </c>
      <c r="CC117" s="27">
        <f t="shared" si="212"/>
        <v>-5.0759096800000005</v>
      </c>
      <c r="CD117" s="27">
        <v>-2.9111500800000001</v>
      </c>
      <c r="CE117" s="27">
        <v>-2.9952664499999995</v>
      </c>
      <c r="CF117" s="27">
        <v>2.410895379999999</v>
      </c>
      <c r="CG117" s="27">
        <v>-3.111785279999999</v>
      </c>
      <c r="CH117" s="27">
        <f t="shared" si="213"/>
        <v>-6.6073064299999995</v>
      </c>
      <c r="CI117" s="27">
        <v>-2.6245921800000001</v>
      </c>
      <c r="CJ117" s="27">
        <v>-0.75715555000000068</v>
      </c>
      <c r="CK117" s="27">
        <v>-3.3191190399999972</v>
      </c>
      <c r="CL117" s="27">
        <v>-3.4390403900000037</v>
      </c>
      <c r="CM117" s="27">
        <f t="shared" si="214"/>
        <v>-10.139907160000002</v>
      </c>
      <c r="CN117" s="27">
        <v>-5.3729797599999998</v>
      </c>
      <c r="CO117" s="27">
        <v>-4.3696193200000017</v>
      </c>
      <c r="CP117" s="27">
        <v>-5.0105811799999955</v>
      </c>
      <c r="CQ117" s="27">
        <v>-1.7958197400000024</v>
      </c>
      <c r="CR117" s="27">
        <f t="shared" si="215"/>
        <v>-16.548999999999999</v>
      </c>
      <c r="CS117" s="27">
        <v>-4.1369999999999996</v>
      </c>
      <c r="CT117" s="27">
        <v>-4.1879999999999997</v>
      </c>
      <c r="CU117" s="27">
        <v>10.306999999999999</v>
      </c>
      <c r="CV117" s="27">
        <f>(3.605-CU117-CT117-CS117)</f>
        <v>1.6230000000000011</v>
      </c>
      <c r="CW117" s="27">
        <f t="shared" si="216"/>
        <v>3.6050000000000004</v>
      </c>
      <c r="CX117" s="27">
        <v>0.85599999999999998</v>
      </c>
      <c r="CY117" s="27">
        <v>1.538</v>
      </c>
      <c r="CZ117" s="27">
        <v>2.16</v>
      </c>
      <c r="DA117" s="27">
        <v>0.56999999999999995</v>
      </c>
      <c r="DB117" s="27">
        <f t="shared" si="217"/>
        <v>5.1240000000000006</v>
      </c>
      <c r="DC117" s="27">
        <v>1.196</v>
      </c>
      <c r="DD117" s="27">
        <v>2.0310000000000001</v>
      </c>
      <c r="DE117" s="27">
        <v>3.3029999999999999</v>
      </c>
      <c r="DF117" s="27">
        <v>6.556</v>
      </c>
      <c r="DG117" s="27">
        <f t="shared" si="218"/>
        <v>13.086</v>
      </c>
      <c r="DH117" s="27">
        <v>2.298</v>
      </c>
      <c r="DI117" s="27">
        <v>0.67300000000000004</v>
      </c>
      <c r="DJ117" s="27">
        <v>1.5960000000000001</v>
      </c>
      <c r="DK117" s="27">
        <v>1.403</v>
      </c>
      <c r="DL117" s="27">
        <f t="shared" si="219"/>
        <v>5.9700000000000006</v>
      </c>
      <c r="DM117" s="27">
        <v>-0.222</v>
      </c>
      <c r="DN117" s="27">
        <v>4.2910000000000004</v>
      </c>
      <c r="DO117" s="27">
        <v>10.619</v>
      </c>
      <c r="DP117" s="27">
        <v>12.704000000000001</v>
      </c>
      <c r="DQ117" s="27">
        <f t="shared" si="220"/>
        <v>27.391999999999999</v>
      </c>
      <c r="DR117" s="27">
        <v>8.0470000000000006</v>
      </c>
      <c r="DS117" s="27">
        <v>22.837</v>
      </c>
      <c r="DT117" s="27">
        <v>18.905999999999999</v>
      </c>
      <c r="DU117" s="27">
        <v>15.234999999999999</v>
      </c>
      <c r="DV117" s="27">
        <f t="shared" si="221"/>
        <v>65.025000000000006</v>
      </c>
      <c r="DW117" s="27">
        <v>17.393999999999998</v>
      </c>
      <c r="DX117" s="27">
        <v>10.011013999999999</v>
      </c>
      <c r="DY117" s="27">
        <v>3.0129882699999984</v>
      </c>
      <c r="DZ117" s="27">
        <v>2.6804865200000219</v>
      </c>
      <c r="EA117" s="27">
        <f t="shared" si="222"/>
        <v>33.098488790000019</v>
      </c>
      <c r="EB117" s="27">
        <v>-0.70950659999999999</v>
      </c>
      <c r="EC117" s="27">
        <v>1.128717960000001</v>
      </c>
      <c r="ED117" s="27">
        <v>-0.78400000000000003</v>
      </c>
      <c r="EE117" s="27">
        <v>-2.8319601300000006</v>
      </c>
      <c r="EF117" s="27">
        <f t="shared" si="223"/>
        <v>-3.1967487699999997</v>
      </c>
      <c r="EG117" s="27">
        <v>-2.2138921800000007</v>
      </c>
      <c r="EH117" s="27">
        <v>0.86812608000000036</v>
      </c>
      <c r="EI117" s="27">
        <v>-1.3749543199999985</v>
      </c>
    </row>
    <row r="118" spans="1:139" ht="15" thickBot="1" x14ac:dyDescent="0.35">
      <c r="A118" s="2" t="s">
        <v>3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28">
        <v>-2.0732957299999999</v>
      </c>
      <c r="BK118" s="28">
        <v>-2.1041938499999997</v>
      </c>
      <c r="BL118" s="28">
        <v>-2.1320926600000005</v>
      </c>
      <c r="BM118" s="28">
        <v>-5.0462295600000004</v>
      </c>
      <c r="BN118" s="28">
        <f t="shared" si="209"/>
        <v>-11.355811800000001</v>
      </c>
      <c r="BO118" s="28">
        <v>-5.2148556500000005</v>
      </c>
      <c r="BP118" s="28">
        <v>-5.499794210000001</v>
      </c>
      <c r="BQ118" s="28">
        <v>-5.6745741800000005</v>
      </c>
      <c r="BR118" s="28">
        <v>-4.9893515799999975</v>
      </c>
      <c r="BS118" s="28">
        <f t="shared" si="210"/>
        <v>-21.378575619999999</v>
      </c>
      <c r="BT118" s="28">
        <v>-3.5678716500000003</v>
      </c>
      <c r="BU118" s="28">
        <v>-3.0462369899999993</v>
      </c>
      <c r="BV118" s="28">
        <v>-2.9900409499999996</v>
      </c>
      <c r="BW118" s="28">
        <v>-2.8986033100000026</v>
      </c>
      <c r="BX118" s="28">
        <f t="shared" si="211"/>
        <v>-12.502752900000001</v>
      </c>
      <c r="BY118" s="28">
        <v>-3.6260916000000001</v>
      </c>
      <c r="BZ118" s="28">
        <v>-4.1663822699999997</v>
      </c>
      <c r="CA118" s="28">
        <v>-4.3260879499999998</v>
      </c>
      <c r="CB118" s="28">
        <v>-4.1800158500000002</v>
      </c>
      <c r="CC118" s="28">
        <f t="shared" si="212"/>
        <v>-16.29857767</v>
      </c>
      <c r="CD118" s="28">
        <v>-4.22888953</v>
      </c>
      <c r="CE118" s="28">
        <v>-3.7502190200000003</v>
      </c>
      <c r="CF118" s="28">
        <v>-4.1188198199999997</v>
      </c>
      <c r="CG118" s="28">
        <v>0.14683655000000151</v>
      </c>
      <c r="CH118" s="28">
        <f t="shared" si="213"/>
        <v>-11.951091819999998</v>
      </c>
      <c r="CI118" s="28">
        <v>-2.7191378100000003</v>
      </c>
      <c r="CJ118" s="28">
        <v>-1.6701904399999998</v>
      </c>
      <c r="CK118" s="28">
        <v>-2.1487232600000006</v>
      </c>
      <c r="CL118" s="28">
        <v>-2.8059649799999988</v>
      </c>
      <c r="CM118" s="28">
        <f t="shared" si="214"/>
        <v>-9.3440164899999996</v>
      </c>
      <c r="CN118" s="28">
        <v>-3.1330994399999996</v>
      </c>
      <c r="CO118" s="28">
        <v>-2.5887948500000002</v>
      </c>
      <c r="CP118" s="28">
        <v>-2.2552795900000007</v>
      </c>
      <c r="CQ118" s="28">
        <v>-2.9728261199999988</v>
      </c>
      <c r="CR118" s="28">
        <f t="shared" si="215"/>
        <v>-10.95</v>
      </c>
      <c r="CS118" s="28">
        <v>-3.5169999999999999</v>
      </c>
      <c r="CT118" s="28">
        <v>-3.3880000000000003</v>
      </c>
      <c r="CU118" s="28">
        <v>-3.3860000000000006</v>
      </c>
      <c r="CV118" s="28">
        <f>(-13.632-CU118-CT118-CS118)</f>
        <v>-3.3409999999999989</v>
      </c>
      <c r="CW118" s="28">
        <f t="shared" si="216"/>
        <v>-13.632</v>
      </c>
      <c r="CX118" s="28">
        <v>-2.4740000000000002</v>
      </c>
      <c r="CY118" s="28">
        <v>-2.3839999999999999</v>
      </c>
      <c r="CZ118" s="28">
        <v>-2.415</v>
      </c>
      <c r="DA118" s="28">
        <v>-2.7719999999999998</v>
      </c>
      <c r="DB118" s="28">
        <f t="shared" si="217"/>
        <v>-10.045</v>
      </c>
      <c r="DC118" s="28">
        <v>-3.3940000000000001</v>
      </c>
      <c r="DD118" s="28">
        <v>-3.3929999999999998</v>
      </c>
      <c r="DE118" s="28">
        <v>-3.3690000000000002</v>
      </c>
      <c r="DF118" s="28">
        <v>-7.2880000000000003</v>
      </c>
      <c r="DG118" s="28">
        <f t="shared" si="218"/>
        <v>-17.444000000000003</v>
      </c>
      <c r="DH118" s="28">
        <v>-6.0359999999999996</v>
      </c>
      <c r="DI118" s="28">
        <v>-3.1150000000000002</v>
      </c>
      <c r="DJ118" s="28">
        <v>-1.7130000000000001</v>
      </c>
      <c r="DK118" s="28">
        <v>-1.712</v>
      </c>
      <c r="DL118" s="28">
        <f t="shared" si="219"/>
        <v>-12.576000000000001</v>
      </c>
      <c r="DM118" s="28">
        <v>-1.413</v>
      </c>
      <c r="DN118" s="28">
        <v>-1.24</v>
      </c>
      <c r="DO118" s="28">
        <v>-0.98499999999999999</v>
      </c>
      <c r="DP118" s="28">
        <v>0.86599999999999999</v>
      </c>
      <c r="DQ118" s="28">
        <f t="shared" si="220"/>
        <v>-2.7719999999999998</v>
      </c>
      <c r="DR118" s="28">
        <v>3.089</v>
      </c>
      <c r="DS118" s="28">
        <v>5.7290000000000001</v>
      </c>
      <c r="DT118" s="28">
        <v>6.1669999999999998</v>
      </c>
      <c r="DU118" s="28">
        <v>1.837</v>
      </c>
      <c r="DV118" s="28">
        <f t="shared" si="221"/>
        <v>16.821999999999999</v>
      </c>
      <c r="DW118" s="28">
        <v>0.20899999999999999</v>
      </c>
      <c r="DX118" s="28">
        <v>0.24119199999999999</v>
      </c>
      <c r="DY118" s="28">
        <v>-0.34046283000000005</v>
      </c>
      <c r="DZ118" s="28">
        <v>-5.9020420000000039E-2</v>
      </c>
      <c r="EA118" s="28">
        <f t="shared" si="222"/>
        <v>5.0708749999999893E-2</v>
      </c>
      <c r="EB118" s="28">
        <v>-0.32833712000000004</v>
      </c>
      <c r="EC118" s="28">
        <v>-0.30638881000000001</v>
      </c>
      <c r="ED118" s="28">
        <v>-0.35</v>
      </c>
      <c r="EE118" s="28">
        <v>-0.34166408999999998</v>
      </c>
      <c r="EF118" s="28">
        <f t="shared" si="223"/>
        <v>-1.3263900200000001</v>
      </c>
      <c r="EG118" s="28">
        <v>-0.33774422999999998</v>
      </c>
      <c r="EH118" s="28">
        <v>-0.48770530999999995</v>
      </c>
      <c r="EI118" s="28">
        <v>-0.71798469999999992</v>
      </c>
    </row>
    <row r="119" spans="1:139" ht="15" thickTop="1" x14ac:dyDescent="0.3">
      <c r="A119" s="1" t="s">
        <v>443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27">
        <v>0.24602449999999998</v>
      </c>
      <c r="BK119" s="27">
        <v>-2.0807756300000002</v>
      </c>
      <c r="BL119" s="27">
        <v>0.20552616000000012</v>
      </c>
      <c r="BM119" s="27">
        <v>-3.6736626800000001</v>
      </c>
      <c r="BN119" s="27">
        <f t="shared" si="209"/>
        <v>-5.3028876500000006</v>
      </c>
      <c r="BO119" s="27">
        <v>-3.9268744600000005</v>
      </c>
      <c r="BP119" s="27">
        <v>-5.1214182999999984</v>
      </c>
      <c r="BQ119" s="27">
        <v>-5.0241119700000016</v>
      </c>
      <c r="BR119" s="27">
        <v>-4.7701158199999991</v>
      </c>
      <c r="BS119" s="27">
        <f t="shared" si="210"/>
        <v>-18.84252055</v>
      </c>
      <c r="BT119" s="27">
        <v>-4.1374371700000001</v>
      </c>
      <c r="BU119" s="27">
        <v>-2.7605652899999997</v>
      </c>
      <c r="BV119" s="27">
        <v>-2.9593389400000012</v>
      </c>
      <c r="BW119" s="27">
        <v>-2.0503836500000014</v>
      </c>
      <c r="BX119" s="27">
        <f t="shared" si="211"/>
        <v>-11.907725050000003</v>
      </c>
      <c r="BY119" s="27">
        <v>-2.08798934</v>
      </c>
      <c r="BZ119" s="27">
        <v>-2.5980621400000006</v>
      </c>
      <c r="CA119" s="27">
        <v>-2.5516511899999985</v>
      </c>
      <c r="CB119" s="27">
        <v>-3.0998839400000016</v>
      </c>
      <c r="CC119" s="27">
        <f t="shared" si="212"/>
        <v>-10.337586610000001</v>
      </c>
      <c r="CD119" s="27">
        <v>-3.2444889900000002</v>
      </c>
      <c r="CE119" s="27">
        <v>-3.0084546199999997</v>
      </c>
      <c r="CF119" s="27">
        <v>-3.4363263199999996</v>
      </c>
      <c r="CG119" s="27">
        <v>-3.8006859699999995</v>
      </c>
      <c r="CH119" s="27">
        <f t="shared" si="213"/>
        <v>-13.4899559</v>
      </c>
      <c r="CI119" s="27">
        <v>-4.1794263699999998</v>
      </c>
      <c r="CJ119" s="27">
        <v>-2.8158134199999996</v>
      </c>
      <c r="CK119" s="27">
        <v>-4.1479291700000012</v>
      </c>
      <c r="CL119" s="27">
        <v>-3.5582470400000012</v>
      </c>
      <c r="CM119" s="27">
        <f t="shared" si="214"/>
        <v>-14.701416000000002</v>
      </c>
      <c r="CN119" s="27">
        <v>-4.4651417499999999</v>
      </c>
      <c r="CO119" s="27">
        <v>-5.0738623999999986</v>
      </c>
      <c r="CP119" s="27">
        <v>-4.2827018499999996</v>
      </c>
      <c r="CQ119" s="27">
        <v>-6.7352939999999997</v>
      </c>
      <c r="CR119" s="27">
        <f t="shared" si="215"/>
        <v>-20.556999999999999</v>
      </c>
      <c r="CS119" s="27">
        <v>-4.657</v>
      </c>
      <c r="CT119" s="27">
        <v>-4.4700000000000006</v>
      </c>
      <c r="CU119" s="27">
        <v>-2.8159999999999989</v>
      </c>
      <c r="CV119" s="27">
        <f>(-13.917-CU119-CT119-CS119)</f>
        <v>-1.9740000000000002</v>
      </c>
      <c r="CW119" s="27">
        <f t="shared" si="216"/>
        <v>-13.917</v>
      </c>
      <c r="CX119" s="27">
        <v>-2.0649999999999999</v>
      </c>
      <c r="CY119" s="27">
        <v>-1.931</v>
      </c>
      <c r="CZ119" s="27">
        <v>-2.99</v>
      </c>
      <c r="DA119" s="27">
        <v>-3.4420000000000002</v>
      </c>
      <c r="DB119" s="27">
        <f t="shared" si="217"/>
        <v>-10.428000000000001</v>
      </c>
      <c r="DC119" s="27">
        <v>-5.0190000000000001</v>
      </c>
      <c r="DD119" s="27">
        <v>-5.33</v>
      </c>
      <c r="DE119" s="27">
        <v>-4.8630000000000004</v>
      </c>
      <c r="DF119" s="27">
        <v>-4.343</v>
      </c>
      <c r="DG119" s="27">
        <f t="shared" si="218"/>
        <v>-19.555</v>
      </c>
      <c r="DH119" s="27">
        <v>-4.3920000000000003</v>
      </c>
      <c r="DI119" s="27">
        <v>-3.9489999999999998</v>
      </c>
      <c r="DJ119" s="27">
        <v>-3.2749999999999999</v>
      </c>
      <c r="DK119" s="27">
        <v>-3.1440000000000001</v>
      </c>
      <c r="DL119" s="27">
        <f t="shared" si="219"/>
        <v>-14.760000000000002</v>
      </c>
      <c r="DM119" s="27">
        <v>-3.4630000000000001</v>
      </c>
      <c r="DN119" s="27">
        <v>-4.0049999999999999</v>
      </c>
      <c r="DO119" s="27">
        <v>-4.3570000000000002</v>
      </c>
      <c r="DP119" s="27">
        <v>-5.1349999999999998</v>
      </c>
      <c r="DQ119" s="27">
        <f t="shared" si="220"/>
        <v>-16.96</v>
      </c>
      <c r="DR119" s="27">
        <v>-4.9530000000000003</v>
      </c>
      <c r="DS119" s="27">
        <v>-6.49</v>
      </c>
      <c r="DT119" s="27">
        <v>-6.2969999999999997</v>
      </c>
      <c r="DU119" s="27">
        <v>-5.44</v>
      </c>
      <c r="DV119" s="27">
        <f t="shared" si="221"/>
        <v>-23.180000000000003</v>
      </c>
      <c r="DW119" s="27">
        <v>-4.899</v>
      </c>
      <c r="DX119" s="27">
        <v>-3.561137</v>
      </c>
      <c r="DY119" s="27">
        <v>-2.1820493600000002</v>
      </c>
      <c r="DZ119" s="27">
        <v>-1.1525253500000052</v>
      </c>
      <c r="EA119" s="27">
        <f t="shared" si="222"/>
        <v>-11.794711710000005</v>
      </c>
      <c r="EB119" s="27">
        <v>-0.21718208000000036</v>
      </c>
      <c r="EC119" s="27">
        <v>-2.1342450899999998</v>
      </c>
      <c r="ED119" s="27">
        <v>-3.0819999999999999</v>
      </c>
      <c r="EE119" s="27">
        <v>-3.3226214300000003</v>
      </c>
      <c r="EF119" s="27">
        <f t="shared" si="223"/>
        <v>-8.7560485999999997</v>
      </c>
      <c r="EG119" s="27">
        <v>-3.04864544</v>
      </c>
      <c r="EH119" s="27">
        <v>-3.4759552999999994</v>
      </c>
      <c r="EI119" s="27">
        <v>-3.6559073299999998</v>
      </c>
    </row>
    <row r="120" spans="1:139" ht="15" thickBot="1" x14ac:dyDescent="0.35">
      <c r="A120" s="2" t="s">
        <v>481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28">
        <v>0</v>
      </c>
      <c r="BK120" s="28">
        <v>0</v>
      </c>
      <c r="BL120" s="28">
        <v>0</v>
      </c>
      <c r="BM120" s="28">
        <v>0</v>
      </c>
      <c r="BN120" s="28">
        <f t="shared" si="209"/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f t="shared" si="210"/>
        <v>0</v>
      </c>
      <c r="BT120" s="28">
        <v>0</v>
      </c>
      <c r="BU120" s="28">
        <v>-5.285E-4</v>
      </c>
      <c r="BV120" s="28">
        <v>-0.19740931</v>
      </c>
      <c r="BW120" s="28">
        <v>-7.8008000000000114E-3</v>
      </c>
      <c r="BX120" s="28">
        <f t="shared" si="211"/>
        <v>-0.20573861000000002</v>
      </c>
      <c r="BY120" s="28">
        <v>3.4112500000000007E-3</v>
      </c>
      <c r="BZ120" s="28">
        <v>5.7414699999999985E-3</v>
      </c>
      <c r="CA120" s="28">
        <v>-0.14293964000000001</v>
      </c>
      <c r="CB120" s="28">
        <v>-6.3005699999999741E-3</v>
      </c>
      <c r="CC120" s="28">
        <f t="shared" si="212"/>
        <v>-0.14008748999999998</v>
      </c>
      <c r="CD120" s="28">
        <v>-3.4725800000000029E-3</v>
      </c>
      <c r="CE120" s="28">
        <v>-0.19751570000000002</v>
      </c>
      <c r="CF120" s="28">
        <v>-0.32726433999999999</v>
      </c>
      <c r="CG120" s="28">
        <v>1.28250383</v>
      </c>
      <c r="CH120" s="28">
        <f t="shared" si="213"/>
        <v>0.75425121000000006</v>
      </c>
      <c r="CI120" s="28">
        <v>-0.12113855</v>
      </c>
      <c r="CJ120" s="28">
        <v>-0.15134915999999998</v>
      </c>
      <c r="CK120" s="28">
        <v>-0.19243413999999998</v>
      </c>
      <c r="CL120" s="28">
        <v>-0.35871951000000007</v>
      </c>
      <c r="CM120" s="28">
        <f t="shared" si="214"/>
        <v>-0.8236413600000001</v>
      </c>
      <c r="CN120" s="28">
        <v>-1.17146441</v>
      </c>
      <c r="CO120" s="28">
        <v>-4.9991375100000006</v>
      </c>
      <c r="CP120" s="28">
        <v>-0.51878614999999906</v>
      </c>
      <c r="CQ120" s="28">
        <v>2.9773880699999995</v>
      </c>
      <c r="CR120" s="28">
        <f t="shared" si="215"/>
        <v>-3.7120000000000002</v>
      </c>
      <c r="CS120" s="28">
        <v>2.1190000000000002</v>
      </c>
      <c r="CT120" s="28">
        <v>2.0819999999999994</v>
      </c>
      <c r="CU120" s="28">
        <v>2.0609999999999995</v>
      </c>
      <c r="CV120" s="28">
        <v>2.36</v>
      </c>
      <c r="CW120" s="28">
        <f t="shared" si="216"/>
        <v>8.6219999999999981</v>
      </c>
      <c r="CX120" s="28">
        <v>3.3730000000000002</v>
      </c>
      <c r="CY120" s="28">
        <v>3.2770000000000001</v>
      </c>
      <c r="CZ120" s="28">
        <v>3.8290000000000002</v>
      </c>
      <c r="DA120" s="28">
        <v>4.8499999999999996</v>
      </c>
      <c r="DB120" s="28">
        <f t="shared" si="217"/>
        <v>15.329000000000001</v>
      </c>
      <c r="DC120" s="28">
        <v>6.2640000000000002</v>
      </c>
      <c r="DD120" s="28">
        <v>6.8369999999999997</v>
      </c>
      <c r="DE120" s="28">
        <v>8.3379999999999992</v>
      </c>
      <c r="DF120" s="28">
        <v>6.7709999999999999</v>
      </c>
      <c r="DG120" s="28">
        <f t="shared" si="218"/>
        <v>28.21</v>
      </c>
      <c r="DH120" s="28">
        <v>5.181</v>
      </c>
      <c r="DI120" s="28">
        <v>4.3570000000000002</v>
      </c>
      <c r="DJ120" s="28">
        <v>4.0970000000000004</v>
      </c>
      <c r="DK120" s="28">
        <v>2.875</v>
      </c>
      <c r="DL120" s="28">
        <f t="shared" si="219"/>
        <v>16.510000000000002</v>
      </c>
      <c r="DM120" s="28">
        <v>2.758</v>
      </c>
      <c r="DN120" s="28">
        <v>2.5259999999999998</v>
      </c>
      <c r="DO120" s="28">
        <v>2.4870000000000001</v>
      </c>
      <c r="DP120" s="28">
        <v>3.1429999999999998</v>
      </c>
      <c r="DQ120" s="28">
        <f t="shared" si="220"/>
        <v>10.914</v>
      </c>
      <c r="DR120" s="28">
        <v>3.629</v>
      </c>
      <c r="DS120" s="28">
        <v>3.6339999999999999</v>
      </c>
      <c r="DT120" s="28">
        <v>1.8480000000000001</v>
      </c>
      <c r="DU120" s="28">
        <v>7.9850000000000003</v>
      </c>
      <c r="DV120" s="28">
        <f t="shared" si="221"/>
        <v>17.096</v>
      </c>
      <c r="DW120" s="28">
        <v>4.8380000000000001</v>
      </c>
      <c r="DX120" s="28">
        <v>-10.803155</v>
      </c>
      <c r="DY120" s="28">
        <v>4.012003130000001</v>
      </c>
      <c r="DZ120" s="28">
        <v>-0.47861010000000104</v>
      </c>
      <c r="EA120" s="28">
        <f t="shared" si="222"/>
        <v>-2.4317619700000002</v>
      </c>
      <c r="EB120" s="28">
        <v>-2.06125677</v>
      </c>
      <c r="EC120" s="28">
        <v>-2.6568041100000004</v>
      </c>
      <c r="ED120" s="28">
        <v>-1.038</v>
      </c>
      <c r="EE120" s="28">
        <v>-0.73408584999999982</v>
      </c>
      <c r="EF120" s="28">
        <f t="shared" si="223"/>
        <v>-6.4901467300000002</v>
      </c>
      <c r="EG120" s="28">
        <v>-1.943502570000001</v>
      </c>
      <c r="EH120" s="28">
        <v>0.25313086000000012</v>
      </c>
      <c r="EI120" s="28">
        <v>-42.24592457</v>
      </c>
    </row>
    <row r="121" spans="1:139" ht="15" thickTop="1" x14ac:dyDescent="0.3">
      <c r="A121" s="1" t="s">
        <v>445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27">
        <v>0</v>
      </c>
      <c r="BK121" s="27">
        <v>0</v>
      </c>
      <c r="BL121" s="27">
        <v>0</v>
      </c>
      <c r="BM121" s="27">
        <v>0</v>
      </c>
      <c r="BN121" s="27">
        <f t="shared" si="209"/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f t="shared" si="210"/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f t="shared" si="211"/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f t="shared" si="212"/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f t="shared" si="213"/>
        <v>0</v>
      </c>
      <c r="CI121" s="27">
        <v>0</v>
      </c>
      <c r="CJ121" s="27">
        <v>-0.17789832</v>
      </c>
      <c r="CK121" s="27">
        <v>-0.14767697000000002</v>
      </c>
      <c r="CL121" s="27">
        <v>-0.14041299999999995</v>
      </c>
      <c r="CM121" s="27">
        <f t="shared" si="214"/>
        <v>-0.46598828999999997</v>
      </c>
      <c r="CN121" s="27">
        <v>-0.62641710000000006</v>
      </c>
      <c r="CO121" s="27">
        <v>-0.61483599</v>
      </c>
      <c r="CP121" s="27">
        <v>-0.79476319000000006</v>
      </c>
      <c r="CQ121" s="27">
        <v>-0.55498372000000007</v>
      </c>
      <c r="CR121" s="27">
        <f t="shared" si="215"/>
        <v>-2.5910000000000002</v>
      </c>
      <c r="CS121" s="27">
        <v>-1.3540000000000001</v>
      </c>
      <c r="CT121" s="27">
        <v>-1.3009999999999997</v>
      </c>
      <c r="CU121" s="27">
        <v>-1.371</v>
      </c>
      <c r="CV121" s="27">
        <v>-2.2384089399999993</v>
      </c>
      <c r="CW121" s="27">
        <f t="shared" si="216"/>
        <v>-6.2644089399999991</v>
      </c>
      <c r="CX121" s="27">
        <v>-0.92100000000000004</v>
      </c>
      <c r="CY121" s="27">
        <v>-1.135</v>
      </c>
      <c r="CZ121" s="27">
        <v>-1.268</v>
      </c>
      <c r="DA121" s="27">
        <v>-0.56999999999999995</v>
      </c>
      <c r="DB121" s="27">
        <f t="shared" si="217"/>
        <v>-3.8939999999999997</v>
      </c>
      <c r="DC121" s="27">
        <v>0.17100000000000001</v>
      </c>
      <c r="DD121" s="27">
        <v>1.5109999999999999</v>
      </c>
      <c r="DE121" s="27">
        <v>1.2869999999999999</v>
      </c>
      <c r="DF121" s="27">
        <v>0.35</v>
      </c>
      <c r="DG121" s="27">
        <f t="shared" si="218"/>
        <v>3.319</v>
      </c>
      <c r="DH121" s="27">
        <v>3.1E-2</v>
      </c>
      <c r="DI121" s="27">
        <v>-0.42199999999999999</v>
      </c>
      <c r="DJ121" s="27">
        <v>-0.64400000000000002</v>
      </c>
      <c r="DK121" s="27">
        <v>0.32700000000000001</v>
      </c>
      <c r="DL121" s="27">
        <f t="shared" si="219"/>
        <v>-0.70800000000000018</v>
      </c>
      <c r="DM121" s="27">
        <v>1.6479999999999999</v>
      </c>
      <c r="DN121" s="27">
        <v>2.048</v>
      </c>
      <c r="DO121" s="27">
        <v>2.7389999999999999</v>
      </c>
      <c r="DP121" s="27">
        <v>2.8330000000000002</v>
      </c>
      <c r="DQ121" s="27">
        <f t="shared" si="220"/>
        <v>9.2680000000000007</v>
      </c>
      <c r="DR121" s="27">
        <v>2.468</v>
      </c>
      <c r="DS121" s="27">
        <v>-1.2410000000000001</v>
      </c>
      <c r="DT121" s="27">
        <v>-1.1879999999999999</v>
      </c>
      <c r="DU121" s="27">
        <v>-0.65500000000000003</v>
      </c>
      <c r="DV121" s="27">
        <f t="shared" si="221"/>
        <v>-0.6160000000000001</v>
      </c>
      <c r="DW121" s="27">
        <v>-0.90500000000000003</v>
      </c>
      <c r="DX121" s="27">
        <v>-0.84182199999999996</v>
      </c>
      <c r="DY121" s="27">
        <v>-0.93121310999999984</v>
      </c>
      <c r="DZ121" s="27">
        <v>-0.91397289999999576</v>
      </c>
      <c r="EA121" s="27">
        <f t="shared" si="222"/>
        <v>-3.5920080099999954</v>
      </c>
      <c r="EB121" s="27">
        <v>-2.0408366300000003</v>
      </c>
      <c r="EC121" s="27">
        <v>-0.37771028000000001</v>
      </c>
      <c r="ED121" s="27">
        <v>-0.77900000000000003</v>
      </c>
      <c r="EE121" s="27">
        <v>-0.73522098999999985</v>
      </c>
      <c r="EF121" s="27">
        <f t="shared" si="223"/>
        <v>-3.9327679</v>
      </c>
      <c r="EG121" s="27">
        <v>-0.89589858000000011</v>
      </c>
      <c r="EH121" s="27">
        <v>-0.79419799000000002</v>
      </c>
      <c r="EI121" s="27">
        <v>-1.1458237899999999</v>
      </c>
    </row>
    <row r="122" spans="1:139" ht="15" thickBot="1" x14ac:dyDescent="0.35">
      <c r="A122" s="2" t="s">
        <v>444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8">
        <v>0</v>
      </c>
      <c r="BS122" s="28">
        <v>0</v>
      </c>
      <c r="BT122" s="28">
        <v>0</v>
      </c>
      <c r="BU122" s="28">
        <v>0</v>
      </c>
      <c r="BV122" s="28">
        <v>0</v>
      </c>
      <c r="BW122" s="28">
        <v>0</v>
      </c>
      <c r="BX122" s="28">
        <v>0</v>
      </c>
      <c r="BY122" s="28">
        <v>0</v>
      </c>
      <c r="BZ122" s="28">
        <v>0</v>
      </c>
      <c r="CA122" s="28">
        <v>0</v>
      </c>
      <c r="CB122" s="28">
        <v>0</v>
      </c>
      <c r="CC122" s="28">
        <v>0</v>
      </c>
      <c r="CD122" s="28">
        <v>0</v>
      </c>
      <c r="CE122" s="28">
        <v>0</v>
      </c>
      <c r="CF122" s="28">
        <v>0</v>
      </c>
      <c r="CG122" s="28">
        <v>0</v>
      </c>
      <c r="CH122" s="28">
        <v>0</v>
      </c>
      <c r="CI122" s="28">
        <v>0</v>
      </c>
      <c r="CJ122" s="28">
        <v>0</v>
      </c>
      <c r="CK122" s="28">
        <v>0</v>
      </c>
      <c r="CL122" s="28">
        <v>0</v>
      </c>
      <c r="CM122" s="28">
        <v>0</v>
      </c>
      <c r="CN122" s="28">
        <v>0</v>
      </c>
      <c r="CO122" s="28">
        <v>0</v>
      </c>
      <c r="CP122" s="28">
        <v>0</v>
      </c>
      <c r="CQ122" s="28">
        <v>0</v>
      </c>
      <c r="CR122" s="28">
        <v>0</v>
      </c>
      <c r="CS122" s="28">
        <v>0</v>
      </c>
      <c r="CT122" s="28">
        <v>0</v>
      </c>
      <c r="CU122" s="28">
        <v>0</v>
      </c>
      <c r="CV122" s="28">
        <v>0</v>
      </c>
      <c r="CW122" s="28">
        <f t="shared" si="216"/>
        <v>0</v>
      </c>
      <c r="CX122" s="28">
        <v>0</v>
      </c>
      <c r="CY122" s="28">
        <v>0</v>
      </c>
      <c r="CZ122" s="28">
        <v>0</v>
      </c>
      <c r="DA122" s="28">
        <v>0</v>
      </c>
      <c r="DB122" s="28">
        <f t="shared" si="217"/>
        <v>0</v>
      </c>
      <c r="DC122" s="28">
        <v>0</v>
      </c>
      <c r="DD122" s="28">
        <v>-1.03</v>
      </c>
      <c r="DE122" s="28">
        <v>-2.5830000000000002</v>
      </c>
      <c r="DF122" s="28">
        <v>5.36</v>
      </c>
      <c r="DG122" s="28">
        <f t="shared" si="218"/>
        <v>1.7469999999999999</v>
      </c>
      <c r="DH122" s="28">
        <v>0.59199999999999997</v>
      </c>
      <c r="DI122" s="28">
        <v>0.35699999999999998</v>
      </c>
      <c r="DJ122" s="28">
        <v>-0.152</v>
      </c>
      <c r="DK122" s="28">
        <v>-4.9000000000000002E-2</v>
      </c>
      <c r="DL122" s="28">
        <f t="shared" si="219"/>
        <v>0.74799999999999989</v>
      </c>
      <c r="DM122" s="28">
        <v>1.151</v>
      </c>
      <c r="DN122" s="28">
        <v>1.4910000000000001</v>
      </c>
      <c r="DO122" s="28">
        <v>1.3140000000000001</v>
      </c>
      <c r="DP122" s="28">
        <v>5.8109999999999999</v>
      </c>
      <c r="DQ122" s="28">
        <f t="shared" si="220"/>
        <v>9.7669999999999995</v>
      </c>
      <c r="DR122" s="28">
        <v>5.3239999999999998</v>
      </c>
      <c r="DS122" s="28">
        <v>5.5309999999999997</v>
      </c>
      <c r="DT122" s="28">
        <v>0.67700000000000005</v>
      </c>
      <c r="DU122" s="28">
        <v>1.518</v>
      </c>
      <c r="DV122" s="28">
        <f t="shared" si="221"/>
        <v>13.05</v>
      </c>
      <c r="DW122" s="28">
        <v>2.7370000000000001</v>
      </c>
      <c r="DX122" s="28">
        <v>-5.9130000000000002E-2</v>
      </c>
      <c r="DY122" s="28">
        <v>-0.64821476999999983</v>
      </c>
      <c r="DZ122" s="28">
        <v>3.3396389900000076</v>
      </c>
      <c r="EA122" s="28">
        <f t="shared" si="222"/>
        <v>5.3692942200000076</v>
      </c>
      <c r="EB122" s="28">
        <v>3.1368543900000003</v>
      </c>
      <c r="EC122" s="28">
        <v>0.17653486999999884</v>
      </c>
      <c r="ED122" s="28">
        <v>0.746</v>
      </c>
      <c r="EE122" s="28">
        <v>1.64981734</v>
      </c>
      <c r="EF122" s="28">
        <f t="shared" si="223"/>
        <v>5.7092065999999999</v>
      </c>
      <c r="EG122" s="28">
        <v>0.41046478000000003</v>
      </c>
      <c r="EH122" s="28">
        <v>-1.4319267300000007</v>
      </c>
      <c r="EI122" s="28">
        <v>-3.136344859999999</v>
      </c>
    </row>
    <row r="123" spans="1:139" ht="15" thickTop="1" x14ac:dyDescent="0.3">
      <c r="A123" s="1" t="s">
        <v>456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0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27">
        <v>0</v>
      </c>
      <c r="CK123" s="27">
        <v>0</v>
      </c>
      <c r="CL123" s="27">
        <v>0</v>
      </c>
      <c r="CM123" s="27">
        <v>0</v>
      </c>
      <c r="CN123" s="27">
        <v>0</v>
      </c>
      <c r="CO123" s="27">
        <v>0</v>
      </c>
      <c r="CP123" s="27">
        <v>0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0</v>
      </c>
      <c r="CW123" s="27">
        <f t="shared" si="216"/>
        <v>0</v>
      </c>
      <c r="CX123" s="27">
        <v>0</v>
      </c>
      <c r="CY123" s="27">
        <v>-7.9000000000000001E-2</v>
      </c>
      <c r="CZ123" s="27">
        <v>-0.186</v>
      </c>
      <c r="DA123" s="27">
        <v>-0.255</v>
      </c>
      <c r="DB123" s="27">
        <f t="shared" si="217"/>
        <v>-0.52</v>
      </c>
      <c r="DC123" s="27">
        <v>0.38300000000000001</v>
      </c>
      <c r="DD123" s="27">
        <v>0.56599999999999995</v>
      </c>
      <c r="DE123" s="27">
        <v>-0.04</v>
      </c>
      <c r="DF123" s="27">
        <v>5.8999999999999997E-2</v>
      </c>
      <c r="DG123" s="27">
        <f t="shared" si="218"/>
        <v>0.96799999999999997</v>
      </c>
      <c r="DH123" s="27">
        <v>-1.073</v>
      </c>
      <c r="DI123" s="27">
        <v>-1.8740000000000001</v>
      </c>
      <c r="DJ123" s="27">
        <v>0.28399999999999997</v>
      </c>
      <c r="DK123" s="27">
        <v>1.3520000000000001</v>
      </c>
      <c r="DL123" s="27">
        <f t="shared" si="219"/>
        <v>-1.3110000000000002</v>
      </c>
      <c r="DM123" s="27">
        <v>2.3029999999999999</v>
      </c>
      <c r="DN123" s="27">
        <v>-1.9E-2</v>
      </c>
      <c r="DO123" s="27">
        <v>3.113</v>
      </c>
      <c r="DP123" s="27">
        <v>7.1689999999999996</v>
      </c>
      <c r="DQ123" s="27">
        <f t="shared" si="220"/>
        <v>12.565999999999999</v>
      </c>
      <c r="DR123" s="27">
        <v>3.1469999999999998</v>
      </c>
      <c r="DS123" s="27">
        <v>9.9760000000000009</v>
      </c>
      <c r="DT123" s="27">
        <v>4.3250000000000002</v>
      </c>
      <c r="DU123" s="27">
        <v>2.6389999999999998</v>
      </c>
      <c r="DV123" s="27">
        <f t="shared" si="221"/>
        <v>20.087</v>
      </c>
      <c r="DW123" s="27">
        <v>10.69</v>
      </c>
      <c r="DX123" s="27">
        <v>12.088800000000001</v>
      </c>
      <c r="DY123" s="27">
        <v>1.6673526400000012</v>
      </c>
      <c r="DZ123" s="27">
        <v>8.9750312799999943</v>
      </c>
      <c r="EA123" s="27">
        <f t="shared" si="222"/>
        <v>33.421183919999997</v>
      </c>
      <c r="EB123" s="27">
        <v>22.712533639999997</v>
      </c>
      <c r="EC123" s="27">
        <v>11.917137620000005</v>
      </c>
      <c r="ED123" s="27">
        <v>0.20200000000000001</v>
      </c>
      <c r="EE123" s="27">
        <v>8.8313370199999977</v>
      </c>
      <c r="EF123" s="27">
        <f t="shared" si="223"/>
        <v>43.66300828</v>
      </c>
      <c r="EG123" s="27">
        <v>13.90767786</v>
      </c>
      <c r="EH123" s="27">
        <v>16.00927751</v>
      </c>
      <c r="EI123" s="27">
        <v>3.3807119900000027</v>
      </c>
    </row>
    <row r="124" spans="1:139" ht="15" thickBot="1" x14ac:dyDescent="0.35">
      <c r="A124" s="2" t="s">
        <v>446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8">
        <v>0</v>
      </c>
      <c r="BS124" s="28">
        <v>0</v>
      </c>
      <c r="BT124" s="28">
        <v>0</v>
      </c>
      <c r="BU124" s="28">
        <v>0</v>
      </c>
      <c r="BV124" s="28">
        <v>0</v>
      </c>
      <c r="BW124" s="28">
        <v>0</v>
      </c>
      <c r="BX124" s="28">
        <v>0</v>
      </c>
      <c r="BY124" s="28">
        <v>0</v>
      </c>
      <c r="BZ124" s="28">
        <v>0</v>
      </c>
      <c r="CA124" s="28">
        <v>0</v>
      </c>
      <c r="CB124" s="28">
        <v>0</v>
      </c>
      <c r="CC124" s="28">
        <v>0</v>
      </c>
      <c r="CD124" s="28">
        <v>0</v>
      </c>
      <c r="CE124" s="28">
        <v>0</v>
      </c>
      <c r="CF124" s="28">
        <v>0</v>
      </c>
      <c r="CG124" s="28">
        <v>0</v>
      </c>
      <c r="CH124" s="28">
        <v>0</v>
      </c>
      <c r="CI124" s="28">
        <v>0</v>
      </c>
      <c r="CJ124" s="28">
        <v>0</v>
      </c>
      <c r="CK124" s="28">
        <v>0</v>
      </c>
      <c r="CL124" s="28">
        <v>0</v>
      </c>
      <c r="CM124" s="28">
        <v>0</v>
      </c>
      <c r="CN124" s="28">
        <v>0</v>
      </c>
      <c r="CO124" s="28">
        <v>0</v>
      </c>
      <c r="CP124" s="28">
        <v>0</v>
      </c>
      <c r="CQ124" s="28">
        <v>0</v>
      </c>
      <c r="CR124" s="28">
        <v>0</v>
      </c>
      <c r="CS124" s="28">
        <v>0</v>
      </c>
      <c r="CT124" s="28">
        <v>0</v>
      </c>
      <c r="CU124" s="28">
        <v>0</v>
      </c>
      <c r="CV124" s="28">
        <v>0</v>
      </c>
      <c r="CW124" s="28">
        <f t="shared" si="216"/>
        <v>0</v>
      </c>
      <c r="CX124" s="28">
        <v>0</v>
      </c>
      <c r="CY124" s="28">
        <v>0</v>
      </c>
      <c r="CZ124" s="28">
        <v>0</v>
      </c>
      <c r="DA124" s="28">
        <v>0</v>
      </c>
      <c r="DB124" s="28">
        <f t="shared" si="217"/>
        <v>0</v>
      </c>
      <c r="DC124" s="28">
        <v>0</v>
      </c>
      <c r="DD124" s="28">
        <v>0</v>
      </c>
      <c r="DE124" s="28">
        <v>0</v>
      </c>
      <c r="DF124" s="28">
        <v>-4.4999999999999998E-2</v>
      </c>
      <c r="DG124" s="28">
        <f t="shared" si="218"/>
        <v>-4.4999999999999998E-2</v>
      </c>
      <c r="DH124" s="28">
        <v>-0.156</v>
      </c>
      <c r="DI124" s="28">
        <v>-9.6000000000000002E-2</v>
      </c>
      <c r="DJ124" s="28">
        <v>-0.105</v>
      </c>
      <c r="DK124" s="28">
        <v>-0.13600000000000001</v>
      </c>
      <c r="DL124" s="28">
        <f t="shared" si="219"/>
        <v>-0.49299999999999999</v>
      </c>
      <c r="DM124" s="28">
        <v>-0.23400000000000001</v>
      </c>
      <c r="DN124" s="28">
        <v>-0.27</v>
      </c>
      <c r="DO124" s="28">
        <v>-2.3340000000000001</v>
      </c>
      <c r="DP124" s="28">
        <v>1.6719999999999999</v>
      </c>
      <c r="DQ124" s="28">
        <f t="shared" si="220"/>
        <v>-1.1660000000000001</v>
      </c>
      <c r="DR124" s="28">
        <v>-0.46700000000000003</v>
      </c>
      <c r="DS124" s="28">
        <v>0.93100000000000005</v>
      </c>
      <c r="DT124" s="28">
        <v>-0.63100000000000001</v>
      </c>
      <c r="DU124" s="28">
        <v>0.72299999999999998</v>
      </c>
      <c r="DV124" s="28">
        <f t="shared" si="221"/>
        <v>0.55600000000000005</v>
      </c>
      <c r="DW124" s="28">
        <v>3.7229999999999999</v>
      </c>
      <c r="DX124" s="28">
        <v>5.3146979999999999</v>
      </c>
      <c r="DY124" s="28">
        <v>4.1580249500000006</v>
      </c>
      <c r="DZ124" s="28">
        <v>1.4371952599999971</v>
      </c>
      <c r="EA124" s="28">
        <f t="shared" si="222"/>
        <v>14.632918209999998</v>
      </c>
      <c r="EB124" s="28">
        <v>8.204916149999999</v>
      </c>
      <c r="EC124" s="28">
        <v>4.9788880699999982</v>
      </c>
      <c r="ED124" s="28">
        <v>1.786</v>
      </c>
      <c r="EE124" s="28">
        <v>3.309308730000001</v>
      </c>
      <c r="EF124" s="28">
        <f t="shared" si="223"/>
        <v>18.279112949999998</v>
      </c>
      <c r="EG124" s="28">
        <v>3.8284727499999995</v>
      </c>
      <c r="EH124" s="28">
        <v>1.5297240300000003</v>
      </c>
      <c r="EI124" s="28">
        <v>0.72266957000000076</v>
      </c>
    </row>
    <row r="125" spans="1:139" ht="15" thickTop="1" x14ac:dyDescent="0.3">
      <c r="A125" s="1" t="s">
        <v>447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27">
        <v>0</v>
      </c>
      <c r="CK125" s="27">
        <v>0</v>
      </c>
      <c r="CL125" s="27">
        <v>0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f t="shared" si="216"/>
        <v>0</v>
      </c>
      <c r="CX125" s="27">
        <v>0</v>
      </c>
      <c r="CY125" s="27">
        <v>0</v>
      </c>
      <c r="CZ125" s="27">
        <v>0</v>
      </c>
      <c r="DA125" s="27">
        <v>0</v>
      </c>
      <c r="DB125" s="27">
        <f t="shared" si="217"/>
        <v>0</v>
      </c>
      <c r="DC125" s="27">
        <v>0</v>
      </c>
      <c r="DD125" s="27">
        <v>0</v>
      </c>
      <c r="DE125" s="27">
        <v>0</v>
      </c>
      <c r="DF125" s="27">
        <v>0</v>
      </c>
      <c r="DG125" s="27">
        <f t="shared" si="218"/>
        <v>0</v>
      </c>
      <c r="DH125" s="27">
        <v>0</v>
      </c>
      <c r="DI125" s="27">
        <v>0</v>
      </c>
      <c r="DJ125" s="27">
        <v>0</v>
      </c>
      <c r="DK125" s="27">
        <v>0</v>
      </c>
      <c r="DL125" s="27">
        <f t="shared" si="219"/>
        <v>0</v>
      </c>
      <c r="DM125" s="27">
        <v>0</v>
      </c>
      <c r="DN125" s="27">
        <v>0</v>
      </c>
      <c r="DO125" s="27">
        <v>-0.23899999999999999</v>
      </c>
      <c r="DP125" s="27">
        <v>-0.42199999999999999</v>
      </c>
      <c r="DQ125" s="27">
        <f t="shared" si="220"/>
        <v>-0.66100000000000003</v>
      </c>
      <c r="DR125" s="27">
        <v>-0.41</v>
      </c>
      <c r="DS125" s="27">
        <v>1.0189999999999999</v>
      </c>
      <c r="DT125" s="27">
        <v>-2.0720000000000001</v>
      </c>
      <c r="DU125" s="27">
        <v>4.2370000000000001</v>
      </c>
      <c r="DV125" s="27">
        <f t="shared" si="221"/>
        <v>2.774</v>
      </c>
      <c r="DW125" s="27">
        <v>15.018000000000001</v>
      </c>
      <c r="DX125" s="27">
        <v>10.062415</v>
      </c>
      <c r="DY125" s="27">
        <v>0.76861967999999714</v>
      </c>
      <c r="DZ125" s="27">
        <v>9.9008747200000045</v>
      </c>
      <c r="EA125" s="27">
        <f t="shared" si="222"/>
        <v>35.749909400000007</v>
      </c>
      <c r="EB125" s="27">
        <v>15.87794751</v>
      </c>
      <c r="EC125" s="27">
        <v>10.17737389</v>
      </c>
      <c r="ED125" s="27">
        <v>-3.972</v>
      </c>
      <c r="EE125" s="27">
        <v>4.2920213399999998</v>
      </c>
      <c r="EF125" s="27">
        <f t="shared" si="223"/>
        <v>26.375342740000001</v>
      </c>
      <c r="EG125" s="27">
        <v>6.2857853600000002</v>
      </c>
      <c r="EH125" s="27">
        <v>5.0033751800000008</v>
      </c>
      <c r="EI125" s="27">
        <v>3.5742382799999981</v>
      </c>
    </row>
    <row r="126" spans="1:139" ht="15" thickBot="1" x14ac:dyDescent="0.35">
      <c r="A126" s="2" t="s">
        <v>448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8">
        <v>0</v>
      </c>
      <c r="BS126" s="28">
        <v>0</v>
      </c>
      <c r="BT126" s="28">
        <v>0</v>
      </c>
      <c r="BU126" s="28">
        <v>0</v>
      </c>
      <c r="BV126" s="28">
        <v>0</v>
      </c>
      <c r="BW126" s="28">
        <v>0</v>
      </c>
      <c r="BX126" s="28">
        <v>0</v>
      </c>
      <c r="BY126" s="28">
        <v>0</v>
      </c>
      <c r="BZ126" s="28">
        <v>0</v>
      </c>
      <c r="CA126" s="28">
        <v>0</v>
      </c>
      <c r="CB126" s="28">
        <v>0</v>
      </c>
      <c r="CC126" s="28">
        <v>0</v>
      </c>
      <c r="CD126" s="28">
        <v>0</v>
      </c>
      <c r="CE126" s="28">
        <v>0</v>
      </c>
      <c r="CF126" s="28">
        <v>0</v>
      </c>
      <c r="CG126" s="28">
        <v>0</v>
      </c>
      <c r="CH126" s="28">
        <v>0</v>
      </c>
      <c r="CI126" s="28">
        <v>0</v>
      </c>
      <c r="CJ126" s="28">
        <v>0</v>
      </c>
      <c r="CK126" s="28">
        <v>0</v>
      </c>
      <c r="CL126" s="28">
        <v>0</v>
      </c>
      <c r="CM126" s="28">
        <v>0</v>
      </c>
      <c r="CN126" s="28">
        <v>0</v>
      </c>
      <c r="CO126" s="28">
        <v>0</v>
      </c>
      <c r="CP126" s="28">
        <v>0</v>
      </c>
      <c r="CQ126" s="28">
        <v>0</v>
      </c>
      <c r="CR126" s="28">
        <v>0</v>
      </c>
      <c r="CS126" s="28">
        <v>0</v>
      </c>
      <c r="CT126" s="28">
        <v>0</v>
      </c>
      <c r="CU126" s="28">
        <v>0</v>
      </c>
      <c r="CV126" s="28">
        <v>0</v>
      </c>
      <c r="CW126" s="28">
        <f t="shared" si="216"/>
        <v>0</v>
      </c>
      <c r="CX126" s="28">
        <v>0</v>
      </c>
      <c r="CY126" s="28">
        <v>0</v>
      </c>
      <c r="CZ126" s="28">
        <v>0</v>
      </c>
      <c r="DA126" s="28">
        <v>0</v>
      </c>
      <c r="DB126" s="28">
        <f t="shared" si="217"/>
        <v>0</v>
      </c>
      <c r="DC126" s="28">
        <v>0</v>
      </c>
      <c r="DD126" s="28">
        <v>0</v>
      </c>
      <c r="DE126" s="28">
        <v>0</v>
      </c>
      <c r="DF126" s="28">
        <v>0</v>
      </c>
      <c r="DG126" s="28">
        <f t="shared" si="218"/>
        <v>0</v>
      </c>
      <c r="DH126" s="28">
        <v>0</v>
      </c>
      <c r="DI126" s="28">
        <v>0</v>
      </c>
      <c r="DJ126" s="28">
        <v>0</v>
      </c>
      <c r="DK126" s="28">
        <v>0</v>
      </c>
      <c r="DL126" s="28">
        <f t="shared" si="219"/>
        <v>0</v>
      </c>
      <c r="DM126" s="28">
        <v>0</v>
      </c>
      <c r="DN126" s="28">
        <v>0</v>
      </c>
      <c r="DO126" s="28">
        <v>0</v>
      </c>
      <c r="DP126" s="28">
        <v>0</v>
      </c>
      <c r="DQ126" s="28">
        <f t="shared" si="220"/>
        <v>0</v>
      </c>
      <c r="DR126" s="28">
        <v>0</v>
      </c>
      <c r="DS126" s="28">
        <v>0</v>
      </c>
      <c r="DT126" s="28">
        <v>0.45600000000000002</v>
      </c>
      <c r="DU126" s="28">
        <v>0.25800000000000001</v>
      </c>
      <c r="DV126" s="28">
        <f t="shared" si="221"/>
        <v>0.71399999999999997</v>
      </c>
      <c r="DW126" s="28">
        <v>0.157</v>
      </c>
      <c r="DX126" s="28">
        <v>-0.28597299999999998</v>
      </c>
      <c r="DY126" s="28">
        <v>-0.69986305999999998</v>
      </c>
      <c r="DZ126" s="28">
        <v>3.6815181699999999</v>
      </c>
      <c r="EA126" s="28">
        <f t="shared" si="222"/>
        <v>2.8526821099999999</v>
      </c>
      <c r="EB126" s="28">
        <v>8.2894417800000006</v>
      </c>
      <c r="EC126" s="28">
        <v>0.73452651000000047</v>
      </c>
      <c r="ED126" s="28">
        <v>0.19</v>
      </c>
      <c r="EE126" s="28">
        <v>0.2475764599999998</v>
      </c>
      <c r="EF126" s="28">
        <f t="shared" si="223"/>
        <v>9.4615447499999998</v>
      </c>
      <c r="EG126" s="28">
        <v>5.6932778299999995</v>
      </c>
      <c r="EH126" s="28">
        <v>7.0023678699999996</v>
      </c>
      <c r="EI126" s="28">
        <v>11.386633269999997</v>
      </c>
    </row>
    <row r="127" spans="1:139" ht="15" thickTop="1" x14ac:dyDescent="0.3">
      <c r="A127" s="1" t="s">
        <v>449</v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7">
        <v>0</v>
      </c>
      <c r="CM127" s="27">
        <v>0</v>
      </c>
      <c r="CN127" s="27">
        <v>0</v>
      </c>
      <c r="CO127" s="27">
        <v>0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7">
        <v>0</v>
      </c>
      <c r="DB127" s="27">
        <v>0</v>
      </c>
      <c r="DC127" s="27">
        <v>0</v>
      </c>
      <c r="DD127" s="27">
        <v>0</v>
      </c>
      <c r="DE127" s="27">
        <v>0</v>
      </c>
      <c r="DF127" s="27">
        <v>0</v>
      </c>
      <c r="DG127" s="27">
        <v>0</v>
      </c>
      <c r="DH127" s="27">
        <v>0</v>
      </c>
      <c r="DI127" s="27">
        <v>0</v>
      </c>
      <c r="DJ127" s="27">
        <v>0</v>
      </c>
      <c r="DK127" s="27">
        <v>0</v>
      </c>
      <c r="DL127" s="27">
        <v>0</v>
      </c>
      <c r="DM127" s="27">
        <v>0</v>
      </c>
      <c r="DN127" s="27">
        <v>0</v>
      </c>
      <c r="DO127" s="27">
        <v>0</v>
      </c>
      <c r="DP127" s="27">
        <v>0</v>
      </c>
      <c r="DQ127" s="27">
        <v>0</v>
      </c>
      <c r="DR127" s="27">
        <v>0</v>
      </c>
      <c r="DS127" s="27">
        <v>0</v>
      </c>
      <c r="DT127" s="27">
        <v>0</v>
      </c>
      <c r="DU127" s="27">
        <v>0</v>
      </c>
      <c r="DV127" s="27">
        <v>0</v>
      </c>
      <c r="DW127" s="27">
        <v>0</v>
      </c>
      <c r="DX127" s="27">
        <v>-1.6954979999999999</v>
      </c>
      <c r="DY127" s="27">
        <v>-8.6879410000000032E-2</v>
      </c>
      <c r="DZ127" s="27">
        <v>2.0214932799999938</v>
      </c>
      <c r="EA127" s="27">
        <f t="shared" si="222"/>
        <v>0.23911586999999379</v>
      </c>
      <c r="EB127" s="27">
        <v>1.79417636</v>
      </c>
      <c r="EC127" s="27">
        <v>3.6490554499999996</v>
      </c>
      <c r="ED127" s="27">
        <v>2.403</v>
      </c>
      <c r="EE127" s="27">
        <v>2.7721756500000008</v>
      </c>
      <c r="EF127" s="27">
        <f t="shared" si="223"/>
        <v>10.61840746</v>
      </c>
      <c r="EG127" s="27">
        <v>3.4401279600000003</v>
      </c>
      <c r="EH127" s="27">
        <v>6.2794181600000005</v>
      </c>
      <c r="EI127" s="27">
        <v>4.0342221900000013</v>
      </c>
    </row>
    <row r="128" spans="1:139" ht="15" thickBot="1" x14ac:dyDescent="0.35">
      <c r="A128" s="2" t="s">
        <v>460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>
        <v>25.587524239999997</v>
      </c>
      <c r="EH128" s="28">
        <v>-3.6680268100000002</v>
      </c>
      <c r="EI128" s="28">
        <v>-2.98616934</v>
      </c>
    </row>
    <row r="129" spans="1:139" ht="15" thickTop="1" x14ac:dyDescent="0.3">
      <c r="A129" s="1" t="s">
        <v>304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27">
        <v>0</v>
      </c>
      <c r="BK129" s="27">
        <v>0</v>
      </c>
      <c r="BL129" s="27">
        <v>0</v>
      </c>
      <c r="BM129" s="27">
        <v>0</v>
      </c>
      <c r="BN129" s="27">
        <f t="shared" si="209"/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f t="shared" si="210"/>
        <v>0</v>
      </c>
      <c r="BT129" s="27">
        <v>0</v>
      </c>
      <c r="BU129" s="27">
        <v>-9.9627999999999828E-2</v>
      </c>
      <c r="BV129" s="27">
        <f>(0.7-BU129)*-1</f>
        <v>-0.79962799999999978</v>
      </c>
      <c r="BW129" s="27">
        <f>(-10.5-BV129-BU129)*-1</f>
        <v>9.6007440000000006</v>
      </c>
      <c r="BX129" s="27">
        <f t="shared" si="211"/>
        <v>8.7014880000000012</v>
      </c>
      <c r="BY129" s="27">
        <v>-0.58701644999999969</v>
      </c>
      <c r="BZ129" s="27">
        <v>-5.3756902300000018</v>
      </c>
      <c r="CA129" s="27">
        <v>-3.7019209799999993</v>
      </c>
      <c r="CB129" s="27">
        <v>-8.7709201199999995</v>
      </c>
      <c r="CC129" s="27">
        <f t="shared" si="212"/>
        <v>-18.43554778</v>
      </c>
      <c r="CD129" s="27">
        <v>0.11681040000000076</v>
      </c>
      <c r="CE129" s="27">
        <v>0.77778954999999728</v>
      </c>
      <c r="CF129" s="27">
        <v>-0.66677716999999992</v>
      </c>
      <c r="CG129" s="27">
        <v>-2.6248059699999988</v>
      </c>
      <c r="CH129" s="27">
        <f t="shared" si="213"/>
        <v>-2.3969831900000007</v>
      </c>
      <c r="CI129" s="27">
        <v>-2.0801292599999996</v>
      </c>
      <c r="CJ129" s="27">
        <v>3.0182243099999955</v>
      </c>
      <c r="CK129" s="27">
        <v>-8.7763829299999916</v>
      </c>
      <c r="CL129" s="27">
        <v>-3.9134431999999997</v>
      </c>
      <c r="CM129" s="27">
        <f t="shared" si="214"/>
        <v>-11.751731079999995</v>
      </c>
      <c r="CN129" s="27">
        <v>0.21564378000000017</v>
      </c>
      <c r="CO129" s="27">
        <v>-5.4875137599999988</v>
      </c>
      <c r="CP129" s="27">
        <v>-0.38462409000000131</v>
      </c>
      <c r="CQ129" s="27">
        <v>1.068494069999999</v>
      </c>
      <c r="CR129" s="27">
        <f t="shared" si="215"/>
        <v>-4.5880000000000001</v>
      </c>
      <c r="CS129" s="27">
        <v>-1.675</v>
      </c>
      <c r="CT129" s="27">
        <v>-1.4160000000000001</v>
      </c>
      <c r="CU129" s="27">
        <v>-1.2419999999999998</v>
      </c>
      <c r="CV129" s="27">
        <f>(-5.99-CU129-CT129-CS129)</f>
        <v>-1.6569999999999998</v>
      </c>
      <c r="CW129" s="27">
        <f t="shared" si="216"/>
        <v>-5.99</v>
      </c>
      <c r="CX129" s="27">
        <v>-1.3149999999999999</v>
      </c>
      <c r="CY129" s="27">
        <v>-1.4019999999999999</v>
      </c>
      <c r="CZ129" s="27">
        <v>-1.0660000000000001</v>
      </c>
      <c r="DA129" s="27">
        <v>7.2779999999999996</v>
      </c>
      <c r="DB129" s="27">
        <f t="shared" si="217"/>
        <v>3.4950000000000001</v>
      </c>
      <c r="DC129" s="27">
        <v>-2.7559999999999998</v>
      </c>
      <c r="DD129" s="27">
        <v>-2.6640000000000001</v>
      </c>
      <c r="DE129" s="27">
        <v>-2.407</v>
      </c>
      <c r="DF129" s="27">
        <v>-2.1360000000000001</v>
      </c>
      <c r="DG129" s="27">
        <f t="shared" si="218"/>
        <v>-9.963000000000001</v>
      </c>
      <c r="DH129" s="27">
        <v>-1.7529999999999999</v>
      </c>
      <c r="DI129" s="27">
        <v>-1.9119999999999999</v>
      </c>
      <c r="DJ129" s="27">
        <v>-1.623</v>
      </c>
      <c r="DK129" s="27">
        <v>-1.4359999999999999</v>
      </c>
      <c r="DL129" s="27">
        <f t="shared" si="219"/>
        <v>-6.7240000000000002</v>
      </c>
      <c r="DM129" s="27">
        <v>3.528</v>
      </c>
      <c r="DN129" s="27">
        <v>37.332000000000001</v>
      </c>
      <c r="DO129" s="27">
        <v>6.5910000000000002</v>
      </c>
      <c r="DP129" s="27">
        <v>33.353999999999999</v>
      </c>
      <c r="DQ129" s="27">
        <f t="shared" si="220"/>
        <v>80.805000000000007</v>
      </c>
      <c r="DR129" s="27">
        <v>25.245999999999999</v>
      </c>
      <c r="DS129" s="27">
        <v>19.274999999999999</v>
      </c>
      <c r="DT129" s="27">
        <v>12.643000000000001</v>
      </c>
      <c r="DU129" s="27">
        <v>8.7629999999999999</v>
      </c>
      <c r="DV129" s="27">
        <f t="shared" si="221"/>
        <v>65.927000000000007</v>
      </c>
      <c r="DW129" s="27">
        <v>10.420999999999999</v>
      </c>
      <c r="DX129" s="27">
        <v>-4.0716669999999997</v>
      </c>
      <c r="DY129" s="27">
        <f>-9.91963354-0.48950808</f>
        <v>-10.40914162</v>
      </c>
      <c r="DZ129" s="27">
        <v>-8.9402833999999967</v>
      </c>
      <c r="EA129" s="27">
        <f t="shared" ref="EA129:EA137" si="224">SUM(DW129:DZ129)</f>
        <v>-13.000092019999997</v>
      </c>
      <c r="EB129" s="27">
        <f>(6520531.98+-17892.78)/-1000000</f>
        <v>-6.5026392</v>
      </c>
      <c r="EC129" s="27">
        <v>-4.333451450000001</v>
      </c>
      <c r="ED129" s="27">
        <v>-13.59</v>
      </c>
      <c r="EE129" s="27">
        <v>-14.943349280000003</v>
      </c>
      <c r="EF129" s="27">
        <f t="shared" ref="EF129:EF137" si="225">SUM(EB129:EE129)</f>
        <v>-39.369439929999999</v>
      </c>
      <c r="EG129" s="27">
        <v>-5.1245455599999996</v>
      </c>
      <c r="EH129" s="27">
        <v>-5.5227626299999999</v>
      </c>
      <c r="EI129" s="27">
        <v>-0.76686535999999972</v>
      </c>
    </row>
    <row r="130" spans="1:139" ht="15" thickBot="1" x14ac:dyDescent="0.35">
      <c r="A130" s="2" t="s">
        <v>305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8">
        <v>0</v>
      </c>
      <c r="BS130" s="28">
        <v>0</v>
      </c>
      <c r="BT130" s="28">
        <v>0</v>
      </c>
      <c r="BU130" s="28">
        <v>0</v>
      </c>
      <c r="BV130" s="28">
        <v>0</v>
      </c>
      <c r="BW130" s="28">
        <v>0</v>
      </c>
      <c r="BX130" s="28">
        <v>0</v>
      </c>
      <c r="BY130" s="28">
        <v>0</v>
      </c>
      <c r="BZ130" s="28">
        <v>0</v>
      </c>
      <c r="CA130" s="28">
        <v>0</v>
      </c>
      <c r="CB130" s="28">
        <v>0</v>
      </c>
      <c r="CC130" s="28">
        <v>0</v>
      </c>
      <c r="CD130" s="28">
        <v>0</v>
      </c>
      <c r="CE130" s="28">
        <v>0</v>
      </c>
      <c r="CF130" s="28">
        <v>0</v>
      </c>
      <c r="CG130" s="28">
        <v>0</v>
      </c>
      <c r="CH130" s="28">
        <v>0</v>
      </c>
      <c r="CI130" s="28">
        <v>0</v>
      </c>
      <c r="CJ130" s="28">
        <v>0</v>
      </c>
      <c r="CK130" s="28">
        <v>0</v>
      </c>
      <c r="CL130" s="28">
        <v>0</v>
      </c>
      <c r="CM130" s="28">
        <v>0</v>
      </c>
      <c r="CN130" s="28">
        <v>0</v>
      </c>
      <c r="CO130" s="28">
        <v>0</v>
      </c>
      <c r="CP130" s="28">
        <v>0</v>
      </c>
      <c r="CQ130" s="28">
        <v>0</v>
      </c>
      <c r="CR130" s="28">
        <v>0</v>
      </c>
      <c r="CS130" s="28">
        <v>0</v>
      </c>
      <c r="CT130" s="28">
        <v>0</v>
      </c>
      <c r="CU130" s="28">
        <v>0</v>
      </c>
      <c r="CV130" s="28">
        <v>0</v>
      </c>
      <c r="CW130" s="28">
        <v>0</v>
      </c>
      <c r="CX130" s="28">
        <v>0</v>
      </c>
      <c r="CY130" s="28">
        <v>0</v>
      </c>
      <c r="CZ130" s="28">
        <v>0</v>
      </c>
      <c r="DA130" s="28">
        <v>0</v>
      </c>
      <c r="DB130" s="28">
        <v>0</v>
      </c>
      <c r="DC130" s="28">
        <v>-0.03</v>
      </c>
      <c r="DD130" s="28">
        <v>-8.0000000000000002E-3</v>
      </c>
      <c r="DE130" s="28">
        <v>-1E-3</v>
      </c>
      <c r="DF130" s="28">
        <v>0</v>
      </c>
      <c r="DG130" s="28">
        <f t="shared" si="218"/>
        <v>-3.9E-2</v>
      </c>
      <c r="DH130" s="28">
        <v>-3.5000000000000003E-2</v>
      </c>
      <c r="DI130" s="28">
        <v>-1.2999999999999999E-2</v>
      </c>
      <c r="DJ130" s="28">
        <v>-5.0000000000000001E-3</v>
      </c>
      <c r="DK130" s="28">
        <v>-0.03</v>
      </c>
      <c r="DL130" s="28">
        <f t="shared" si="219"/>
        <v>-8.299999999999999E-2</v>
      </c>
      <c r="DM130" s="28">
        <v>-6.8000000000000005E-2</v>
      </c>
      <c r="DN130" s="28">
        <v>-4.2000000000000003E-2</v>
      </c>
      <c r="DO130" s="28">
        <v>-2.1000000000000001E-2</v>
      </c>
      <c r="DP130" s="28">
        <v>2.7E-2</v>
      </c>
      <c r="DQ130" s="28">
        <f t="shared" si="220"/>
        <v>-0.10400000000000001</v>
      </c>
      <c r="DR130" s="28">
        <v>-6.5000000000000002E-2</v>
      </c>
      <c r="DS130" s="28">
        <v>-2.1999999999999999E-2</v>
      </c>
      <c r="DT130" s="28">
        <v>-3.9E-2</v>
      </c>
      <c r="DU130" s="28">
        <v>-4.5999999999999999E-2</v>
      </c>
      <c r="DV130" s="28">
        <f t="shared" si="221"/>
        <v>-0.17199999999999999</v>
      </c>
      <c r="DW130" s="28">
        <v>-6.0999999999999999E-2</v>
      </c>
      <c r="DX130" s="28">
        <v>-0.106295</v>
      </c>
      <c r="DY130" s="28">
        <v>-0.27791004999999996</v>
      </c>
      <c r="DZ130" s="28">
        <v>-0.23084676000000001</v>
      </c>
      <c r="EA130" s="28">
        <f t="shared" si="224"/>
        <v>-0.67605181000000003</v>
      </c>
      <c r="EB130" s="28">
        <v>-0.15753976</v>
      </c>
      <c r="EC130" s="28">
        <v>-0.21453162000000001</v>
      </c>
      <c r="ED130" s="28">
        <v>-0.21299999999999999</v>
      </c>
      <c r="EE130" s="28">
        <v>-3.4137217099999999</v>
      </c>
      <c r="EF130" s="28">
        <f t="shared" si="225"/>
        <v>-3.9987930899999999</v>
      </c>
      <c r="EG130" s="28">
        <v>-0.80913535000000003</v>
      </c>
      <c r="EH130" s="28">
        <v>-1.09289025</v>
      </c>
      <c r="EI130" s="28">
        <v>-1.6430247299999998</v>
      </c>
    </row>
    <row r="131" spans="1:139" ht="15" thickTop="1" x14ac:dyDescent="0.3">
      <c r="A131" s="1" t="s">
        <v>306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27">
        <v>-1.1824089999999998</v>
      </c>
      <c r="BK131" s="27">
        <v>-0.90322944999999999</v>
      </c>
      <c r="BL131" s="27">
        <v>-0.54463655000000033</v>
      </c>
      <c r="BM131" s="27">
        <v>0.59949690000000011</v>
      </c>
      <c r="BN131" s="27">
        <f t="shared" si="209"/>
        <v>-2.0307781</v>
      </c>
      <c r="BO131" s="27">
        <v>5.9768659600000005</v>
      </c>
      <c r="BP131" s="27">
        <v>6.1923123899999988</v>
      </c>
      <c r="BQ131" s="27">
        <v>6.9530946299999998</v>
      </c>
      <c r="BR131" s="27">
        <v>6.0588152600000038</v>
      </c>
      <c r="BS131" s="27">
        <f t="shared" si="210"/>
        <v>25.181088240000001</v>
      </c>
      <c r="BT131" s="27">
        <v>4.2395797900000005</v>
      </c>
      <c r="BU131" s="27">
        <v>2.2782352799999988</v>
      </c>
      <c r="BV131" s="27">
        <v>2.4599467199999996</v>
      </c>
      <c r="BW131" s="27">
        <v>-0.76074388999999876</v>
      </c>
      <c r="BX131" s="27">
        <f t="shared" si="211"/>
        <v>8.2170179000000001</v>
      </c>
      <c r="BY131" s="27">
        <v>0.47582228999999998</v>
      </c>
      <c r="BZ131" s="27">
        <v>-0.85323047999999968</v>
      </c>
      <c r="CA131" s="27">
        <v>1.1668354900000004</v>
      </c>
      <c r="CB131" s="27">
        <v>0.84423824000000014</v>
      </c>
      <c r="CC131" s="27">
        <f t="shared" si="212"/>
        <v>1.6336655400000009</v>
      </c>
      <c r="CD131" s="27">
        <v>0.87509699000000019</v>
      </c>
      <c r="CE131" s="27">
        <v>1.248202</v>
      </c>
      <c r="CF131" s="27">
        <v>1.6048136900000003</v>
      </c>
      <c r="CG131" s="27">
        <v>1.8468013499999998</v>
      </c>
      <c r="CH131" s="27">
        <f t="shared" si="213"/>
        <v>5.5749140300000004</v>
      </c>
      <c r="CI131" s="27">
        <v>1.0667608199999998</v>
      </c>
      <c r="CJ131" s="27">
        <v>3.2700122500000015</v>
      </c>
      <c r="CK131" s="27">
        <v>9.378565499999997</v>
      </c>
      <c r="CL131" s="27">
        <v>11.444645150000007</v>
      </c>
      <c r="CM131" s="27">
        <f t="shared" si="214"/>
        <v>25.159983720000007</v>
      </c>
      <c r="CN131" s="27">
        <v>9.8161883999999997</v>
      </c>
      <c r="CO131" s="27">
        <v>10.50483352</v>
      </c>
      <c r="CP131" s="27">
        <v>24.365512690000003</v>
      </c>
      <c r="CQ131" s="27">
        <v>29.274800390000003</v>
      </c>
      <c r="CR131" s="27">
        <f t="shared" si="215"/>
        <v>73.961335000000005</v>
      </c>
      <c r="CS131" s="27">
        <v>31.088000000000001</v>
      </c>
      <c r="CT131" s="27">
        <v>27.051000000000002</v>
      </c>
      <c r="CU131" s="27">
        <v>30.494999999999997</v>
      </c>
      <c r="CV131" s="27">
        <f>(113.711-CU131-CT131-CS131)</f>
        <v>25.077000000000005</v>
      </c>
      <c r="CW131" s="27">
        <f t="shared" si="216"/>
        <v>113.71100000000001</v>
      </c>
      <c r="CX131" s="27">
        <v>12.87</v>
      </c>
      <c r="CY131" s="27">
        <v>13.853999999999999</v>
      </c>
      <c r="CZ131" s="27">
        <v>10.210000000000001</v>
      </c>
      <c r="DA131" s="27">
        <v>7.2569999999999997</v>
      </c>
      <c r="DB131" s="27">
        <f t="shared" si="217"/>
        <v>44.190999999999995</v>
      </c>
      <c r="DC131" s="27">
        <v>8.0069999999999997</v>
      </c>
      <c r="DD131" s="27">
        <v>7.2850000000000001</v>
      </c>
      <c r="DE131" s="27">
        <v>2.3170000000000002</v>
      </c>
      <c r="DF131" s="27">
        <v>1.6539999999999999</v>
      </c>
      <c r="DG131" s="27">
        <f t="shared" si="218"/>
        <v>19.263000000000002</v>
      </c>
      <c r="DH131" s="27">
        <v>2.1720000000000002</v>
      </c>
      <c r="DI131" s="27">
        <v>2.2530000000000001</v>
      </c>
      <c r="DJ131" s="27">
        <v>-0.42899999999999999</v>
      </c>
      <c r="DK131" s="27">
        <v>-1.5920000000000001</v>
      </c>
      <c r="DL131" s="27">
        <f t="shared" si="219"/>
        <v>2.4040000000000008</v>
      </c>
      <c r="DM131" s="27">
        <v>-1.581</v>
      </c>
      <c r="DN131" s="27">
        <v>0.10100000000000001</v>
      </c>
      <c r="DO131" s="27">
        <v>2.528</v>
      </c>
      <c r="DP131" s="27">
        <v>1.496</v>
      </c>
      <c r="DQ131" s="27">
        <f t="shared" si="220"/>
        <v>2.544</v>
      </c>
      <c r="DR131" s="27">
        <v>4.0019999999999998</v>
      </c>
      <c r="DS131" s="27">
        <v>7.27</v>
      </c>
      <c r="DT131" s="27">
        <v>12.465</v>
      </c>
      <c r="DU131" s="27">
        <v>14.099</v>
      </c>
      <c r="DV131" s="27">
        <f t="shared" si="221"/>
        <v>37.835999999999999</v>
      </c>
      <c r="DW131" s="27">
        <v>14.654</v>
      </c>
      <c r="DX131" s="27">
        <v>-3.4431790000000002</v>
      </c>
      <c r="DY131" s="27">
        <v>-6.2246890400000003</v>
      </c>
      <c r="DZ131" s="27">
        <v>-7.5633787000000625</v>
      </c>
      <c r="EA131" s="27">
        <f t="shared" si="224"/>
        <v>-2.5772467400000636</v>
      </c>
      <c r="EB131" s="27">
        <v>-6.0864662100000002</v>
      </c>
      <c r="EC131" s="27">
        <v>-5.39809684</v>
      </c>
      <c r="ED131" s="27">
        <v>-8.7710000000000008</v>
      </c>
      <c r="EE131" s="27">
        <v>-9.5983886300000005</v>
      </c>
      <c r="EF131" s="27">
        <f t="shared" si="225"/>
        <v>-29.853951680000002</v>
      </c>
      <c r="EG131" s="27">
        <v>-9.2959085300000019</v>
      </c>
      <c r="EH131" s="27">
        <v>-12.385797600000002</v>
      </c>
      <c r="EI131" s="27">
        <v>-16.960947620000002</v>
      </c>
    </row>
    <row r="132" spans="1:139" ht="15" thickBot="1" x14ac:dyDescent="0.35">
      <c r="A132" s="2" t="s">
        <v>323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8">
        <v>0</v>
      </c>
      <c r="BS132" s="28">
        <v>0</v>
      </c>
      <c r="BT132" s="28">
        <v>0</v>
      </c>
      <c r="BU132" s="28">
        <v>0</v>
      </c>
      <c r="BV132" s="28">
        <v>0</v>
      </c>
      <c r="BW132" s="28">
        <v>0</v>
      </c>
      <c r="BX132" s="28">
        <v>0</v>
      </c>
      <c r="BY132" s="28">
        <v>0</v>
      </c>
      <c r="BZ132" s="28">
        <v>0</v>
      </c>
      <c r="CA132" s="28">
        <v>0</v>
      </c>
      <c r="CB132" s="28">
        <v>0</v>
      </c>
      <c r="CC132" s="28">
        <v>0</v>
      </c>
      <c r="CD132" s="28">
        <v>0</v>
      </c>
      <c r="CE132" s="28">
        <v>0</v>
      </c>
      <c r="CF132" s="28">
        <v>0</v>
      </c>
      <c r="CG132" s="28">
        <v>0</v>
      </c>
      <c r="CH132" s="28">
        <v>0</v>
      </c>
      <c r="CI132" s="28">
        <v>0</v>
      </c>
      <c r="CJ132" s="28">
        <v>0</v>
      </c>
      <c r="CK132" s="28">
        <v>0</v>
      </c>
      <c r="CL132" s="28">
        <v>0</v>
      </c>
      <c r="CM132" s="28">
        <v>0</v>
      </c>
      <c r="CN132" s="28">
        <v>0</v>
      </c>
      <c r="CO132" s="28">
        <v>0</v>
      </c>
      <c r="CP132" s="28">
        <v>0</v>
      </c>
      <c r="CQ132" s="28">
        <v>0</v>
      </c>
      <c r="CR132" s="28">
        <v>0</v>
      </c>
      <c r="CS132" s="28">
        <v>0</v>
      </c>
      <c r="CT132" s="28">
        <v>0</v>
      </c>
      <c r="CU132" s="28">
        <v>0</v>
      </c>
      <c r="CV132" s="28">
        <v>0</v>
      </c>
      <c r="CW132" s="28">
        <v>0</v>
      </c>
      <c r="CX132" s="28">
        <v>0</v>
      </c>
      <c r="CY132" s="28">
        <v>0</v>
      </c>
      <c r="CZ132" s="28">
        <v>0</v>
      </c>
      <c r="DA132" s="28">
        <v>0</v>
      </c>
      <c r="DB132" s="28">
        <f t="shared" si="217"/>
        <v>0</v>
      </c>
      <c r="DC132" s="28">
        <v>0</v>
      </c>
      <c r="DD132" s="28">
        <v>-1E-3</v>
      </c>
      <c r="DE132" s="28">
        <v>-1E-3</v>
      </c>
      <c r="DF132" s="28">
        <v>-1E-3</v>
      </c>
      <c r="DG132" s="28">
        <f t="shared" si="218"/>
        <v>-3.0000000000000001E-3</v>
      </c>
      <c r="DH132" s="28">
        <v>0</v>
      </c>
      <c r="DI132" s="28">
        <v>-1E-3</v>
      </c>
      <c r="DJ132" s="28">
        <v>0</v>
      </c>
      <c r="DK132" s="28">
        <v>0</v>
      </c>
      <c r="DL132" s="28">
        <f t="shared" si="219"/>
        <v>-1E-3</v>
      </c>
      <c r="DM132" s="28">
        <v>0</v>
      </c>
      <c r="DN132" s="28">
        <v>0</v>
      </c>
      <c r="DO132" s="28">
        <v>0</v>
      </c>
      <c r="DP132" s="28">
        <v>0</v>
      </c>
      <c r="DQ132" s="28">
        <f t="shared" si="220"/>
        <v>0</v>
      </c>
      <c r="DR132" s="28">
        <v>0</v>
      </c>
      <c r="DS132" s="28">
        <v>0</v>
      </c>
      <c r="DT132" s="28">
        <v>-1E-3</v>
      </c>
      <c r="DU132" s="28">
        <v>0</v>
      </c>
      <c r="DV132" s="28">
        <f t="shared" si="221"/>
        <v>-1E-3</v>
      </c>
      <c r="DW132" s="28">
        <v>0</v>
      </c>
      <c r="DX132" s="28">
        <v>-3.5100000000000002E-4</v>
      </c>
      <c r="DY132" s="28">
        <v>-6.1580000000000011E-4</v>
      </c>
      <c r="DZ132" s="28">
        <v>-6.0131999999999991E-4</v>
      </c>
      <c r="EA132" s="28">
        <f t="shared" si="224"/>
        <v>-1.5681200000000001E-3</v>
      </c>
      <c r="EB132" s="28">
        <v>-5.6749999999999997E-4</v>
      </c>
      <c r="EC132" s="28">
        <v>-9.4222000000000001E-4</v>
      </c>
      <c r="ED132" s="28">
        <v>-1E-3</v>
      </c>
      <c r="EE132" s="28">
        <v>-6.3914000000000006E-4</v>
      </c>
      <c r="EF132" s="28">
        <f t="shared" si="225"/>
        <v>-3.1488599999999999E-3</v>
      </c>
      <c r="EG132" s="28">
        <v>-6.9072999999999997E-4</v>
      </c>
      <c r="EH132" s="28">
        <v>-7.6829999999999997E-4</v>
      </c>
      <c r="EI132" s="28">
        <v>-7.3287999999999988E-4</v>
      </c>
    </row>
    <row r="133" spans="1:139" ht="15" thickTop="1" x14ac:dyDescent="0.3">
      <c r="A133" s="1" t="s">
        <v>322</v>
      </c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0</v>
      </c>
      <c r="CH133" s="27">
        <v>0</v>
      </c>
      <c r="CI133" s="27">
        <v>0</v>
      </c>
      <c r="CJ133" s="27">
        <v>0</v>
      </c>
      <c r="CK133" s="27">
        <v>0</v>
      </c>
      <c r="CL133" s="27">
        <v>0</v>
      </c>
      <c r="CM133" s="27">
        <v>0</v>
      </c>
      <c r="CN133" s="27">
        <v>0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0</v>
      </c>
      <c r="CW133" s="27">
        <v>0</v>
      </c>
      <c r="CX133" s="27">
        <v>0</v>
      </c>
      <c r="CY133" s="27">
        <v>0</v>
      </c>
      <c r="CZ133" s="27">
        <v>0</v>
      </c>
      <c r="DA133" s="27">
        <v>0</v>
      </c>
      <c r="DB133" s="27">
        <f t="shared" si="217"/>
        <v>0</v>
      </c>
      <c r="DC133" s="27">
        <v>0</v>
      </c>
      <c r="DD133" s="27">
        <v>0</v>
      </c>
      <c r="DE133" s="27">
        <v>0</v>
      </c>
      <c r="DF133" s="27">
        <v>0</v>
      </c>
      <c r="DG133" s="27">
        <f t="shared" si="218"/>
        <v>0</v>
      </c>
      <c r="DH133" s="27">
        <v>0</v>
      </c>
      <c r="DI133" s="27">
        <v>0</v>
      </c>
      <c r="DJ133" s="27">
        <v>0</v>
      </c>
      <c r="DK133" s="27">
        <v>0</v>
      </c>
      <c r="DL133" s="27">
        <f t="shared" si="219"/>
        <v>0</v>
      </c>
      <c r="DM133" s="27">
        <v>0</v>
      </c>
      <c r="DN133" s="27">
        <v>0</v>
      </c>
      <c r="DO133" s="27">
        <v>-1.4E-2</v>
      </c>
      <c r="DP133" s="27">
        <v>52.606000000000002</v>
      </c>
      <c r="DQ133" s="27">
        <f t="shared" si="220"/>
        <v>52.591999999999999</v>
      </c>
      <c r="DR133" s="27">
        <v>52.024999999999999</v>
      </c>
      <c r="DS133" s="27">
        <v>60.448</v>
      </c>
      <c r="DT133" s="27">
        <v>2.96</v>
      </c>
      <c r="DU133" s="27">
        <v>15.387</v>
      </c>
      <c r="DV133" s="27">
        <f t="shared" si="221"/>
        <v>130.82</v>
      </c>
      <c r="DW133" s="27">
        <v>22.945</v>
      </c>
      <c r="DX133" s="27">
        <v>15.204715999999999</v>
      </c>
      <c r="DY133" s="27">
        <v>14.011631439999997</v>
      </c>
      <c r="DZ133" s="27">
        <v>16.937117780000008</v>
      </c>
      <c r="EA133" s="27">
        <f t="shared" si="224"/>
        <v>69.098465220000008</v>
      </c>
      <c r="EB133" s="27">
        <v>26.802791489999994</v>
      </c>
      <c r="EC133" s="27">
        <v>10.57701273</v>
      </c>
      <c r="ED133" s="27">
        <v>3.4119999999999999</v>
      </c>
      <c r="EE133" s="27">
        <v>6.4144287599999998</v>
      </c>
      <c r="EF133" s="27">
        <f t="shared" si="225"/>
        <v>47.206232979999996</v>
      </c>
      <c r="EG133" s="27">
        <v>8.4536358499999995</v>
      </c>
      <c r="EH133" s="27">
        <v>5.8179833900000002</v>
      </c>
      <c r="EI133" s="27">
        <v>4.6977161399999989</v>
      </c>
    </row>
    <row r="134" spans="1:139" ht="15" thickBot="1" x14ac:dyDescent="0.35">
      <c r="A134" s="2" t="s">
        <v>370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28">
        <v>-0.12920975999999998</v>
      </c>
      <c r="BK134" s="28">
        <v>-1.1509207699999997</v>
      </c>
      <c r="BL134" s="28">
        <v>3.8318089999999777E-2</v>
      </c>
      <c r="BM134" s="28">
        <v>1.7058977399999999</v>
      </c>
      <c r="BN134" s="28">
        <f t="shared" si="209"/>
        <v>0.46408530000000003</v>
      </c>
      <c r="BO134" s="28">
        <v>2.2420799999999907E-2</v>
      </c>
      <c r="BP134" s="28">
        <v>-0.59392968000000024</v>
      </c>
      <c r="BQ134" s="28">
        <v>-0.97418709999999931</v>
      </c>
      <c r="BR134" s="28">
        <v>-0.82809131999999952</v>
      </c>
      <c r="BS134" s="28">
        <f t="shared" si="210"/>
        <v>-2.3737872999999992</v>
      </c>
      <c r="BT134" s="28">
        <v>0</v>
      </c>
      <c r="BU134" s="28">
        <v>0</v>
      </c>
      <c r="BV134" s="28">
        <v>0</v>
      </c>
      <c r="BW134" s="28">
        <v>0</v>
      </c>
      <c r="BX134" s="28">
        <f t="shared" si="211"/>
        <v>0</v>
      </c>
      <c r="BY134" s="28">
        <v>0</v>
      </c>
      <c r="BZ134" s="28">
        <v>0</v>
      </c>
      <c r="CA134" s="28">
        <v>0</v>
      </c>
      <c r="CB134" s="28">
        <v>0</v>
      </c>
      <c r="CC134" s="28">
        <f t="shared" si="212"/>
        <v>0</v>
      </c>
      <c r="CD134" s="28">
        <v>0</v>
      </c>
      <c r="CE134" s="28">
        <v>0</v>
      </c>
      <c r="CF134" s="28">
        <v>0</v>
      </c>
      <c r="CG134" s="28">
        <v>0</v>
      </c>
      <c r="CH134" s="28">
        <f t="shared" si="213"/>
        <v>0</v>
      </c>
      <c r="CI134" s="28">
        <v>0</v>
      </c>
      <c r="CJ134" s="28">
        <v>0</v>
      </c>
      <c r="CK134" s="28">
        <v>0</v>
      </c>
      <c r="CL134" s="28">
        <v>0</v>
      </c>
      <c r="CM134" s="28">
        <f t="shared" si="214"/>
        <v>0</v>
      </c>
      <c r="CN134" s="28">
        <v>0</v>
      </c>
      <c r="CO134" s="28">
        <v>0</v>
      </c>
      <c r="CP134" s="28">
        <v>0</v>
      </c>
      <c r="CQ134" s="28">
        <v>0</v>
      </c>
      <c r="CR134" s="28">
        <f t="shared" si="215"/>
        <v>0</v>
      </c>
      <c r="CS134" s="28">
        <v>0</v>
      </c>
      <c r="CT134" s="28">
        <v>0</v>
      </c>
      <c r="CU134" s="28">
        <v>0</v>
      </c>
      <c r="CV134" s="28">
        <v>0</v>
      </c>
      <c r="CW134" s="28">
        <f t="shared" si="216"/>
        <v>0</v>
      </c>
      <c r="CX134" s="28">
        <v>0</v>
      </c>
      <c r="CY134" s="28">
        <v>0</v>
      </c>
      <c r="CZ134" s="28">
        <v>0</v>
      </c>
      <c r="DA134" s="28">
        <v>0</v>
      </c>
      <c r="DB134" s="28">
        <f t="shared" si="217"/>
        <v>0</v>
      </c>
      <c r="DC134" s="28">
        <v>0</v>
      </c>
      <c r="DD134" s="28">
        <v>0</v>
      </c>
      <c r="DE134" s="28">
        <v>0</v>
      </c>
      <c r="DF134" s="28">
        <v>0</v>
      </c>
      <c r="DG134" s="28">
        <f t="shared" si="218"/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f t="shared" si="219"/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f t="shared" si="220"/>
        <v>0</v>
      </c>
      <c r="DR134" s="28">
        <v>0</v>
      </c>
      <c r="DS134" s="28">
        <v>0</v>
      </c>
      <c r="DT134" s="28">
        <v>0</v>
      </c>
      <c r="DU134" s="28">
        <v>0</v>
      </c>
      <c r="DV134" s="28">
        <f t="shared" si="221"/>
        <v>0</v>
      </c>
      <c r="DW134" s="28">
        <v>0</v>
      </c>
      <c r="DX134" s="28">
        <v>0</v>
      </c>
      <c r="DY134" s="28">
        <v>0</v>
      </c>
      <c r="DZ134" s="28">
        <v>0</v>
      </c>
      <c r="EA134" s="28">
        <f t="shared" si="224"/>
        <v>0</v>
      </c>
      <c r="EB134" s="28">
        <v>0</v>
      </c>
      <c r="EC134" s="28">
        <v>0</v>
      </c>
      <c r="ED134" s="28">
        <v>0</v>
      </c>
      <c r="EE134" s="28">
        <v>0</v>
      </c>
      <c r="EF134" s="28">
        <f t="shared" si="225"/>
        <v>0</v>
      </c>
      <c r="EG134" s="28">
        <v>0</v>
      </c>
      <c r="EH134" s="28">
        <v>0</v>
      </c>
      <c r="EI134" s="28">
        <v>0</v>
      </c>
    </row>
    <row r="135" spans="1:139" ht="15" thickTop="1" x14ac:dyDescent="0.3">
      <c r="A135" s="1" t="s">
        <v>338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27">
        <v>-1.1815015799999999</v>
      </c>
      <c r="BK135" s="27">
        <v>-0.72042764999999997</v>
      </c>
      <c r="BL135" s="27">
        <v>-0.87617592000000055</v>
      </c>
      <c r="BM135" s="27">
        <v>2.8501433900000008</v>
      </c>
      <c r="BN135" s="27">
        <f t="shared" si="209"/>
        <v>7.2038240000000364E-2</v>
      </c>
      <c r="BO135" s="27">
        <v>-6.2368900000000012E-2</v>
      </c>
      <c r="BP135" s="27">
        <v>5.3652859999999955E-2</v>
      </c>
      <c r="BQ135" s="27">
        <v>9.6468860000000017E-2</v>
      </c>
      <c r="BR135" s="27">
        <v>0.29701770000000005</v>
      </c>
      <c r="BS135" s="27">
        <f t="shared" si="210"/>
        <v>0.38477052</v>
      </c>
      <c r="BT135" s="27">
        <v>0</v>
      </c>
      <c r="BU135" s="27">
        <v>0</v>
      </c>
      <c r="BV135" s="27">
        <v>0</v>
      </c>
      <c r="BW135" s="27">
        <v>0</v>
      </c>
      <c r="BX135" s="27">
        <f t="shared" si="211"/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f t="shared" si="212"/>
        <v>0</v>
      </c>
      <c r="CD135" s="27">
        <v>0</v>
      </c>
      <c r="CE135" s="27">
        <v>0</v>
      </c>
      <c r="CF135" s="27">
        <v>0</v>
      </c>
      <c r="CG135" s="27">
        <v>0</v>
      </c>
      <c r="CH135" s="27">
        <f t="shared" si="213"/>
        <v>0</v>
      </c>
      <c r="CI135" s="27">
        <v>0</v>
      </c>
      <c r="CJ135" s="27">
        <v>0</v>
      </c>
      <c r="CK135" s="27">
        <v>0</v>
      </c>
      <c r="CL135" s="27">
        <v>2.7144149999999999E-2</v>
      </c>
      <c r="CM135" s="27">
        <f t="shared" si="214"/>
        <v>2.7144149999999999E-2</v>
      </c>
      <c r="CN135" s="27">
        <v>6.7754599999999996E-3</v>
      </c>
      <c r="CO135" s="27">
        <v>4.1155970000000007E-2</v>
      </c>
      <c r="CP135" s="27">
        <v>-0.41638504000000004</v>
      </c>
      <c r="CQ135" s="27">
        <v>0.36445361000000004</v>
      </c>
      <c r="CR135" s="27">
        <f t="shared" si="215"/>
        <v>-4.0000000000000036E-3</v>
      </c>
      <c r="CS135" s="27">
        <v>-2E-3</v>
      </c>
      <c r="CT135" s="27">
        <v>-1E-3</v>
      </c>
      <c r="CU135" s="27">
        <v>-2.1000000000000001E-2</v>
      </c>
      <c r="CV135" s="27">
        <f>(-0.037-CU135-CT135-CS135)</f>
        <v>-1.2999999999999996E-2</v>
      </c>
      <c r="CW135" s="27">
        <f t="shared" si="216"/>
        <v>-3.6999999999999998E-2</v>
      </c>
      <c r="CX135" s="27">
        <v>-4.0000000000000001E-3</v>
      </c>
      <c r="CY135" s="27">
        <v>-1.111</v>
      </c>
      <c r="CZ135" s="27">
        <v>-1.1180000000000001</v>
      </c>
      <c r="DA135" s="27">
        <v>-1.1280000000000001</v>
      </c>
      <c r="DB135" s="27">
        <f t="shared" si="217"/>
        <v>-3.3610000000000002</v>
      </c>
      <c r="DC135" s="27">
        <v>-1.0940000000000001</v>
      </c>
      <c r="DD135" s="27">
        <v>-1.0939999999999999</v>
      </c>
      <c r="DE135" s="27">
        <v>-5.5990000000000002</v>
      </c>
      <c r="DF135" s="27">
        <v>-0.98499999999999999</v>
      </c>
      <c r="DG135" s="27">
        <f t="shared" si="218"/>
        <v>-8.7720000000000002</v>
      </c>
      <c r="DH135" s="27">
        <v>0.14199999999999999</v>
      </c>
      <c r="DI135" s="27">
        <v>9.0999999999999998E-2</v>
      </c>
      <c r="DJ135" s="27">
        <v>6.7999999999999991E-2</v>
      </c>
      <c r="DK135" s="27">
        <v>6.4000000000000001E-2</v>
      </c>
      <c r="DL135" s="27">
        <f t="shared" si="219"/>
        <v>0.36499999999999999</v>
      </c>
      <c r="DM135" s="27">
        <v>6.6000000000000003E-2</v>
      </c>
      <c r="DN135" s="27">
        <v>0.111</v>
      </c>
      <c r="DO135" s="27">
        <v>0.17399999999999999</v>
      </c>
      <c r="DP135" s="27">
        <v>0.13400000000000001</v>
      </c>
      <c r="DQ135" s="27">
        <f t="shared" si="220"/>
        <v>0.48499999999999999</v>
      </c>
      <c r="DR135" s="27">
        <v>0.33399999999999996</v>
      </c>
      <c r="DS135" s="27">
        <v>0.41199999999999998</v>
      </c>
      <c r="DT135" s="27">
        <v>-3.0000000000000001E-3</v>
      </c>
      <c r="DU135" s="27">
        <v>3.0000000000000001E-3</v>
      </c>
      <c r="DV135" s="27">
        <f t="shared" si="221"/>
        <v>0.746</v>
      </c>
      <c r="DW135" s="27">
        <v>0</v>
      </c>
      <c r="DX135" s="27">
        <v>-4.6420000000000003E-3</v>
      </c>
      <c r="DY135" s="27">
        <v>-9.7101399999999973E-3</v>
      </c>
      <c r="DZ135" s="27">
        <v>-1.2562540000000001E-2</v>
      </c>
      <c r="EA135" s="27">
        <f t="shared" si="224"/>
        <v>-2.6914679999999996E-2</v>
      </c>
      <c r="EB135" s="27">
        <f>(457.28+413+4136.04+9878.96)/-1000000</f>
        <v>-1.4885279999999999E-2</v>
      </c>
      <c r="EC135" s="27">
        <v>-1.5678299999999999E-2</v>
      </c>
      <c r="ED135" s="27">
        <v>-1.2999999999999999E-2</v>
      </c>
      <c r="EE135" s="27">
        <v>-1.4809749999999998E-2</v>
      </c>
      <c r="EF135" s="27">
        <f t="shared" si="225"/>
        <v>-5.8373329999999994E-2</v>
      </c>
      <c r="EG135" s="27">
        <v>-4.9367799999999996E-2</v>
      </c>
      <c r="EH135" s="27">
        <v>6.1081109999999987E-2</v>
      </c>
      <c r="EI135" s="27">
        <v>-1.8332605899999999</v>
      </c>
    </row>
    <row r="136" spans="1:139" ht="15" thickBot="1" x14ac:dyDescent="0.35">
      <c r="A136" s="2" t="s">
        <v>331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28">
        <v>-0.87837858000000002</v>
      </c>
      <c r="BK136" s="28">
        <v>-0.35493827999999994</v>
      </c>
      <c r="BL136" s="28">
        <v>-0.22776344000000004</v>
      </c>
      <c r="BM136" s="28">
        <v>0.70642278999999975</v>
      </c>
      <c r="BN136" s="28">
        <f t="shared" si="209"/>
        <v>-0.75465751000000014</v>
      </c>
      <c r="BO136" s="28">
        <v>-1.340949E-2</v>
      </c>
      <c r="BP136" s="28">
        <v>-1.2049118300000001</v>
      </c>
      <c r="BQ136" s="28">
        <v>-0.94758920000000002</v>
      </c>
      <c r="BR136" s="28">
        <v>-0.96287937000000012</v>
      </c>
      <c r="BS136" s="28">
        <f t="shared" si="210"/>
        <v>-3.1287898900000002</v>
      </c>
      <c r="BT136" s="28">
        <v>-0.68079094999999989</v>
      </c>
      <c r="BU136" s="28">
        <v>-0.65284550000000008</v>
      </c>
      <c r="BV136" s="28">
        <v>-2.7109466299999996</v>
      </c>
      <c r="BW136" s="28">
        <v>-1.9638233400000003</v>
      </c>
      <c r="BX136" s="28">
        <f t="shared" si="211"/>
        <v>-6.00840642</v>
      </c>
      <c r="BY136" s="28">
        <v>-2.1046746399999998</v>
      </c>
      <c r="BZ136" s="28">
        <v>-1.7295015100000013</v>
      </c>
      <c r="CA136" s="28">
        <v>-0.50516824999999876</v>
      </c>
      <c r="CB136" s="28">
        <v>-0.26264823999999987</v>
      </c>
      <c r="CC136" s="28">
        <f t="shared" si="212"/>
        <v>-4.6019926399999997</v>
      </c>
      <c r="CD136" s="28">
        <v>-0.93271877000000003</v>
      </c>
      <c r="CE136" s="28">
        <v>-9.0306069999999683E-2</v>
      </c>
      <c r="CF136" s="28">
        <v>-0.13570885000000033</v>
      </c>
      <c r="CG136" s="28">
        <v>-0.69347150000000002</v>
      </c>
      <c r="CH136" s="28">
        <f t="shared" si="213"/>
        <v>-1.8522051900000001</v>
      </c>
      <c r="CI136" s="28">
        <v>-8.7235720000000017E-2</v>
      </c>
      <c r="CJ136" s="28">
        <v>-4.9295432000000012</v>
      </c>
      <c r="CK136" s="28">
        <v>-2.4552795299999977</v>
      </c>
      <c r="CL136" s="28">
        <v>-4.7196626999999998</v>
      </c>
      <c r="CM136" s="28">
        <f t="shared" si="214"/>
        <v>-12.191721149999999</v>
      </c>
      <c r="CN136" s="28">
        <v>-6.7883344099999992</v>
      </c>
      <c r="CO136" s="28">
        <v>-7.7600872899999995</v>
      </c>
      <c r="CP136" s="28">
        <v>-20.833269390000005</v>
      </c>
      <c r="CQ136" s="28">
        <v>-35.247431019999993</v>
      </c>
      <c r="CR136" s="28">
        <f t="shared" si="215"/>
        <v>-70.629122109999997</v>
      </c>
      <c r="CS136" s="28">
        <v>-30.28</v>
      </c>
      <c r="CT136" s="28">
        <v>-26.863</v>
      </c>
      <c r="CU136" s="28">
        <v>29.129000000000001</v>
      </c>
      <c r="CV136" s="28">
        <f>(-38.099-CU136-CT136-CS136)</f>
        <v>-10.084999999999994</v>
      </c>
      <c r="CW136" s="28">
        <f t="shared" si="216"/>
        <v>-38.09899999999999</v>
      </c>
      <c r="CX136" s="28">
        <v>-9.1669999999999998</v>
      </c>
      <c r="CY136" s="28">
        <v>-7.9710000000000001</v>
      </c>
      <c r="CZ136" s="28">
        <v>-3.9670000000000001</v>
      </c>
      <c r="DA136" s="28">
        <v>-2.8029999999999999</v>
      </c>
      <c r="DB136" s="28">
        <f t="shared" si="217"/>
        <v>-23.907999999999998</v>
      </c>
      <c r="DC136" s="28">
        <v>-4.4029999999999996</v>
      </c>
      <c r="DD136" s="28">
        <v>-4.1399999999999997</v>
      </c>
      <c r="DE136" s="28">
        <v>-1.2789999999999999</v>
      </c>
      <c r="DF136" s="28">
        <v>-1.659</v>
      </c>
      <c r="DG136" s="28">
        <f t="shared" si="218"/>
        <v>-11.481</v>
      </c>
      <c r="DH136" s="28">
        <v>-2.5819999999999999</v>
      </c>
      <c r="DI136" s="28">
        <v>-2.6779999999999999</v>
      </c>
      <c r="DJ136" s="28">
        <v>-0.36199999999999999</v>
      </c>
      <c r="DK136" s="28">
        <v>-1.0680000000000001</v>
      </c>
      <c r="DL136" s="28">
        <f t="shared" si="219"/>
        <v>-6.6899999999999995</v>
      </c>
      <c r="DM136" s="28">
        <v>-1.2370000000000001</v>
      </c>
      <c r="DN136" s="28">
        <v>-0.83099999999999996</v>
      </c>
      <c r="DO136" s="28">
        <v>2.008</v>
      </c>
      <c r="DP136" s="28">
        <v>-7.53</v>
      </c>
      <c r="DQ136" s="28">
        <f t="shared" si="220"/>
        <v>-7.59</v>
      </c>
      <c r="DR136" s="28">
        <v>-1.57</v>
      </c>
      <c r="DS136" s="28">
        <v>-2.2730000000000001</v>
      </c>
      <c r="DT136" s="28">
        <v>-0.105</v>
      </c>
      <c r="DU136" s="28">
        <v>0.47199999999999998</v>
      </c>
      <c r="DV136" s="28">
        <f t="shared" si="221"/>
        <v>-3.476</v>
      </c>
      <c r="DW136" s="28">
        <v>-0.12</v>
      </c>
      <c r="DX136" s="28">
        <v>-9.9752999999999994E-2</v>
      </c>
      <c r="DY136" s="28">
        <v>-0.91025412999999988</v>
      </c>
      <c r="DZ136" s="28">
        <v>-0.48842151000001655</v>
      </c>
      <c r="EA136" s="28">
        <f t="shared" si="224"/>
        <v>-1.6184286400000163</v>
      </c>
      <c r="EB136" s="28">
        <v>-0.75212323999999986</v>
      </c>
      <c r="EC136" s="28">
        <v>-0.40682393000000006</v>
      </c>
      <c r="ED136" s="28">
        <v>-0.47699999999999998</v>
      </c>
      <c r="EE136" s="28">
        <v>-0.28580066000000004</v>
      </c>
      <c r="EF136" s="28">
        <f t="shared" si="225"/>
        <v>-1.9217478299999997</v>
      </c>
      <c r="EG136" s="28">
        <v>-0.2395969</v>
      </c>
      <c r="EH136" s="28">
        <v>-0.12956993999999999</v>
      </c>
      <c r="EI136" s="28">
        <v>-0.25740777000000004</v>
      </c>
    </row>
    <row r="137" spans="1:139" ht="15" thickTop="1" x14ac:dyDescent="0.3">
      <c r="A137" s="1" t="s">
        <v>308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27">
        <v>0</v>
      </c>
      <c r="BK137" s="27">
        <v>0.2</v>
      </c>
      <c r="BL137" s="27">
        <v>2.2532559999999924E-2</v>
      </c>
      <c r="BM137" s="27">
        <v>-0.3411795600000001</v>
      </c>
      <c r="BN137" s="27">
        <f t="shared" si="209"/>
        <v>-0.11864700000000017</v>
      </c>
      <c r="BO137" s="27">
        <v>-4.4841499999987988E-3</v>
      </c>
      <c r="BP137" s="27">
        <v>0.11878535999999773</v>
      </c>
      <c r="BQ137" s="27">
        <v>0.19483805000000665</v>
      </c>
      <c r="BR137" s="27">
        <v>0.1094404799999964</v>
      </c>
      <c r="BS137" s="27">
        <f t="shared" si="210"/>
        <v>0.41857974000000198</v>
      </c>
      <c r="BT137" s="27">
        <v>0</v>
      </c>
      <c r="BU137" s="27">
        <v>4.7</v>
      </c>
      <c r="BV137" s="27">
        <v>-4.5999999999999996</v>
      </c>
      <c r="BW137" s="27">
        <v>-9.1</v>
      </c>
      <c r="BX137" s="27">
        <f t="shared" si="211"/>
        <v>-9</v>
      </c>
      <c r="BY137" s="27">
        <v>0</v>
      </c>
      <c r="BZ137" s="27">
        <v>0</v>
      </c>
      <c r="CA137" s="27">
        <v>0</v>
      </c>
      <c r="CB137" s="27">
        <v>0</v>
      </c>
      <c r="CC137" s="27">
        <f t="shared" si="212"/>
        <v>0</v>
      </c>
      <c r="CD137" s="27">
        <v>0</v>
      </c>
      <c r="CE137" s="27">
        <v>0</v>
      </c>
      <c r="CF137" s="27">
        <v>0</v>
      </c>
      <c r="CG137" s="27">
        <v>0</v>
      </c>
      <c r="CH137" s="27">
        <f t="shared" si="213"/>
        <v>0</v>
      </c>
      <c r="CI137" s="27">
        <v>0</v>
      </c>
      <c r="CJ137" s="27">
        <v>0</v>
      </c>
      <c r="CK137" s="27">
        <v>0</v>
      </c>
      <c r="CL137" s="27">
        <v>0</v>
      </c>
      <c r="CM137" s="27">
        <f t="shared" si="214"/>
        <v>0</v>
      </c>
      <c r="CN137" s="27">
        <v>0</v>
      </c>
      <c r="CO137" s="27">
        <v>0</v>
      </c>
      <c r="CP137" s="27">
        <v>0</v>
      </c>
      <c r="CQ137" s="27">
        <v>0</v>
      </c>
      <c r="CR137" s="27">
        <f t="shared" si="215"/>
        <v>0</v>
      </c>
      <c r="CS137" s="27">
        <v>0</v>
      </c>
      <c r="CT137" s="27">
        <v>0</v>
      </c>
      <c r="CU137" s="27">
        <v>-73.661000000000001</v>
      </c>
      <c r="CV137" s="27">
        <f>(-95.955-CU137)</f>
        <v>-22.293999999999997</v>
      </c>
      <c r="CW137" s="27">
        <f t="shared" si="216"/>
        <v>-95.954999999999998</v>
      </c>
      <c r="CX137" s="27">
        <v>-11.041</v>
      </c>
      <c r="CY137" s="27">
        <v>-11.018000000000001</v>
      </c>
      <c r="CZ137" s="27">
        <v>-11.379</v>
      </c>
      <c r="DA137" s="27">
        <v>-11.221</v>
      </c>
      <c r="DB137" s="27">
        <f t="shared" si="217"/>
        <v>-44.659000000000006</v>
      </c>
      <c r="DC137" s="27">
        <v>-11.218</v>
      </c>
      <c r="DD137" s="27">
        <v>-11.369</v>
      </c>
      <c r="DE137" s="27">
        <v>-10.315</v>
      </c>
      <c r="DF137" s="27">
        <v>-8.5079999999999991</v>
      </c>
      <c r="DG137" s="27">
        <f t="shared" si="218"/>
        <v>-41.41</v>
      </c>
      <c r="DH137" s="27">
        <v>-7.5129999999999999</v>
      </c>
      <c r="DI137" s="27">
        <v>-7.5709999999999997</v>
      </c>
      <c r="DJ137" s="27">
        <v>-7.3570000000000002</v>
      </c>
      <c r="DK137" s="27">
        <v>-6.9169999999999998</v>
      </c>
      <c r="DL137" s="27">
        <f t="shared" si="219"/>
        <v>-29.357999999999997</v>
      </c>
      <c r="DM137" s="27">
        <v>-7.0309999999999997</v>
      </c>
      <c r="DN137" s="27">
        <v>-10.064</v>
      </c>
      <c r="DO137" s="27">
        <v>-14.736000000000001</v>
      </c>
      <c r="DP137" s="27">
        <v>-21.260999999999999</v>
      </c>
      <c r="DQ137" s="27">
        <f t="shared" si="220"/>
        <v>-53.091999999999999</v>
      </c>
      <c r="DR137" s="27">
        <v>-28.733000000000001</v>
      </c>
      <c r="DS137" s="27">
        <v>-35.067</v>
      </c>
      <c r="DT137" s="27">
        <v>-37.935000000000002</v>
      </c>
      <c r="DU137" s="27">
        <v>-27.818000000000001</v>
      </c>
      <c r="DV137" s="27">
        <f t="shared" si="221"/>
        <v>-129.553</v>
      </c>
      <c r="DW137" s="27">
        <v>-29.228999999999999</v>
      </c>
      <c r="DX137" s="27">
        <v>-17.262239000000001</v>
      </c>
      <c r="DY137" s="27">
        <v>8.6547699999999256E-2</v>
      </c>
      <c r="DZ137" s="27">
        <v>7.9398819999989129E-2</v>
      </c>
      <c r="EA137" s="27">
        <f t="shared" si="224"/>
        <v>-46.325292480000016</v>
      </c>
      <c r="EB137" s="27">
        <v>7.6264189999999996E-2</v>
      </c>
      <c r="EC137" s="27">
        <v>7.6201939999999996E-2</v>
      </c>
      <c r="ED137" s="27">
        <v>8.1000000000000003E-2</v>
      </c>
      <c r="EE137" s="27">
        <v>8.3967309999999962E-2</v>
      </c>
      <c r="EF137" s="27">
        <f t="shared" si="225"/>
        <v>0.31743343999999996</v>
      </c>
      <c r="EG137" s="27">
        <v>0.78289737000000004</v>
      </c>
      <c r="EH137" s="27">
        <v>2.3773939299999998</v>
      </c>
      <c r="EI137" s="27">
        <v>3.5722055799999999</v>
      </c>
    </row>
    <row r="138" spans="1:139" x14ac:dyDescent="0.3">
      <c r="A138" s="5" t="s">
        <v>311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29">
        <f>SUM(BJ115:BJ137)</f>
        <v>-8.7138729700000006</v>
      </c>
      <c r="BK138" s="29">
        <f t="shared" ref="BK138:DT138" si="226">SUM(BK115:BK137)</f>
        <v>-10.645553009999999</v>
      </c>
      <c r="BL138" s="29">
        <f t="shared" si="226"/>
        <v>-7.4347545700000026</v>
      </c>
      <c r="BM138" s="29">
        <f t="shared" si="226"/>
        <v>-7.8816937100000004</v>
      </c>
      <c r="BN138" s="29">
        <f t="shared" si="226"/>
        <v>-34.675874260000008</v>
      </c>
      <c r="BO138" s="29">
        <f t="shared" si="226"/>
        <v>-6.1340630499999991</v>
      </c>
      <c r="BP138" s="29">
        <f t="shared" si="226"/>
        <v>-7.1060568300000035</v>
      </c>
      <c r="BQ138" s="29">
        <f t="shared" si="226"/>
        <v>-9.6867097999999938</v>
      </c>
      <c r="BR138" s="29">
        <f t="shared" si="226"/>
        <v>-9.3864675899999934</v>
      </c>
      <c r="BS138" s="29">
        <f t="shared" si="226"/>
        <v>-32.313297270000007</v>
      </c>
      <c r="BT138" s="29">
        <f t="shared" si="226"/>
        <v>-6.360801809999999</v>
      </c>
      <c r="BU138" s="29">
        <f t="shared" si="226"/>
        <v>-6.6526965099999993</v>
      </c>
      <c r="BV138" s="29">
        <f t="shared" si="226"/>
        <v>-9.1108837699999974</v>
      </c>
      <c r="BW138" s="29">
        <f t="shared" si="226"/>
        <v>-8.6093612000000022</v>
      </c>
      <c r="BX138" s="29">
        <f t="shared" si="226"/>
        <v>-30.733743290000007</v>
      </c>
      <c r="BY138" s="29">
        <f t="shared" si="226"/>
        <v>-9.8400815299999991</v>
      </c>
      <c r="BZ138" s="29">
        <f t="shared" si="226"/>
        <v>-14.173850300000002</v>
      </c>
      <c r="CA138" s="29">
        <f t="shared" si="226"/>
        <v>-14.201363549999998</v>
      </c>
      <c r="CB138" s="29">
        <f t="shared" si="226"/>
        <v>-19.391252350000002</v>
      </c>
      <c r="CC138" s="29">
        <f t="shared" si="226"/>
        <v>-57.606547729999996</v>
      </c>
      <c r="CD138" s="29">
        <f t="shared" si="226"/>
        <v>-11.14638072</v>
      </c>
      <c r="CE138" s="29">
        <f t="shared" si="226"/>
        <v>-8.6148844400000009</v>
      </c>
      <c r="CF138" s="29">
        <f t="shared" si="226"/>
        <v>-5.8526019400000004</v>
      </c>
      <c r="CG138" s="29">
        <f t="shared" si="226"/>
        <v>-7.0790674899999972</v>
      </c>
      <c r="CH138" s="29">
        <f t="shared" si="226"/>
        <v>-32.692934589999993</v>
      </c>
      <c r="CI138" s="29">
        <f t="shared" si="226"/>
        <v>-11.777816469999999</v>
      </c>
      <c r="CJ138" s="29">
        <f t="shared" si="226"/>
        <v>-5.4545655900000041</v>
      </c>
      <c r="CK138" s="29">
        <f t="shared" si="226"/>
        <v>-13.02782423999999</v>
      </c>
      <c r="CL138" s="29">
        <f t="shared" si="226"/>
        <v>-8.4648179699999986</v>
      </c>
      <c r="CM138" s="29">
        <f t="shared" si="226"/>
        <v>-38.725024269999992</v>
      </c>
      <c r="CN138" s="29">
        <f t="shared" si="226"/>
        <v>-12.536755839999998</v>
      </c>
      <c r="CO138" s="29">
        <f t="shared" si="226"/>
        <v>-20.971241659999997</v>
      </c>
      <c r="CP138" s="29">
        <f t="shared" si="226"/>
        <v>-11.187046189999997</v>
      </c>
      <c r="CQ138" s="29">
        <f t="shared" si="226"/>
        <v>-14.512743419999989</v>
      </c>
      <c r="CR138" s="29">
        <f t="shared" si="226"/>
        <v>-59.207787109999991</v>
      </c>
      <c r="CS138" s="29">
        <f t="shared" si="226"/>
        <v>-13.404</v>
      </c>
      <c r="CT138" s="29">
        <f t="shared" si="226"/>
        <v>-13.41</v>
      </c>
      <c r="CU138" s="29">
        <f t="shared" si="226"/>
        <v>-13.124000000000009</v>
      </c>
      <c r="CV138" s="29">
        <f t="shared" si="226"/>
        <v>-13.284955199999985</v>
      </c>
      <c r="CW138" s="29">
        <f t="shared" si="226"/>
        <v>-53.222955199999987</v>
      </c>
      <c r="CX138" s="29">
        <f t="shared" si="226"/>
        <v>-11.698</v>
      </c>
      <c r="CY138" s="29">
        <f t="shared" si="226"/>
        <v>-9.6890000000000018</v>
      </c>
      <c r="CZ138" s="29">
        <f t="shared" si="226"/>
        <v>-9.5219999999999985</v>
      </c>
      <c r="DA138" s="29">
        <f t="shared" si="226"/>
        <v>-4.0310000000000015</v>
      </c>
      <c r="DB138" s="29">
        <f t="shared" si="226"/>
        <v>-34.94</v>
      </c>
      <c r="DC138" s="29">
        <f t="shared" si="226"/>
        <v>-13.704000000000001</v>
      </c>
      <c r="DD138" s="29">
        <f t="shared" si="226"/>
        <v>-13.026999999999999</v>
      </c>
      <c r="DE138" s="29">
        <f t="shared" si="226"/>
        <v>-16.836000000000002</v>
      </c>
      <c r="DF138" s="29">
        <f t="shared" si="226"/>
        <v>-7.4610000000000003</v>
      </c>
      <c r="DG138" s="29">
        <f t="shared" si="226"/>
        <v>-51.027999999999999</v>
      </c>
      <c r="DH138" s="29">
        <f t="shared" si="226"/>
        <v>-15.903999999999998</v>
      </c>
      <c r="DI138" s="29">
        <f t="shared" si="226"/>
        <v>-15.576999999999998</v>
      </c>
      <c r="DJ138" s="29">
        <f t="shared" si="226"/>
        <v>-9.1430000000000007</v>
      </c>
      <c r="DK138" s="29">
        <f t="shared" si="226"/>
        <v>-9.4789999999999992</v>
      </c>
      <c r="DL138" s="29">
        <f t="shared" si="226"/>
        <v>-50.102999999999994</v>
      </c>
      <c r="DM138" s="29">
        <f t="shared" si="226"/>
        <v>-3.5519999999999996</v>
      </c>
      <c r="DN138" s="29">
        <f t="shared" si="226"/>
        <v>31.574999999999989</v>
      </c>
      <c r="DO138" s="29">
        <f t="shared" si="226"/>
        <v>9.389999999999997</v>
      </c>
      <c r="DP138" s="29">
        <f t="shared" si="226"/>
        <v>90.11999999999999</v>
      </c>
      <c r="DQ138" s="29">
        <f t="shared" si="226"/>
        <v>127.53300000000003</v>
      </c>
      <c r="DR138" s="29">
        <f t="shared" si="226"/>
        <v>77.153999999999996</v>
      </c>
      <c r="DS138" s="29">
        <f t="shared" si="226"/>
        <v>99.024999999999977</v>
      </c>
      <c r="DT138" s="29">
        <f t="shared" si="226"/>
        <v>17.383000000000003</v>
      </c>
      <c r="DU138" s="29">
        <f t="shared" ref="DU138:EA138" si="227">SUM(DU115:DU137)</f>
        <v>41.040999999999997</v>
      </c>
      <c r="DV138" s="29">
        <f t="shared" si="227"/>
        <v>234.60299999999995</v>
      </c>
      <c r="DW138" s="29">
        <f t="shared" si="227"/>
        <v>68.165999999999983</v>
      </c>
      <c r="DX138" s="29">
        <f t="shared" si="227"/>
        <v>11.073345</v>
      </c>
      <c r="DY138" s="29">
        <f t="shared" si="227"/>
        <v>4.8183372499999919</v>
      </c>
      <c r="DZ138" s="29">
        <f t="shared" si="227"/>
        <v>28.22799859999995</v>
      </c>
      <c r="EA138" s="29">
        <f t="shared" si="227"/>
        <v>112.28568084999993</v>
      </c>
      <c r="EB138" s="29">
        <f>SUM(EB115:EB137)</f>
        <v>66.394822509999997</v>
      </c>
      <c r="EC138" s="29">
        <f>SUM(EC115:EC137)</f>
        <v>26.603333930000002</v>
      </c>
      <c r="ED138" s="29">
        <f>SUM(ED115:ED137)</f>
        <v>-25.630000000000006</v>
      </c>
      <c r="EE138" s="29">
        <f>SUM(EE115:EE137)</f>
        <v>-10.147517490000002</v>
      </c>
      <c r="EF138" s="29">
        <f t="shared" ref="EF138" si="228">SUM(EF115:EF137)</f>
        <v>57.220638950000001</v>
      </c>
      <c r="EG138" s="29">
        <f>SUM(EG115:EG137)</f>
        <v>42.122587179999989</v>
      </c>
      <c r="EH138" s="29">
        <f>SUM(EH115:EH137)</f>
        <v>14.552315270000001</v>
      </c>
      <c r="EI138" s="29">
        <f>SUM(EI115:EI137)</f>
        <v>-47.717805000000006</v>
      </c>
    </row>
    <row r="139" spans="1:139" x14ac:dyDescent="0.3">
      <c r="CR139" s="33"/>
      <c r="CS139" s="33"/>
      <c r="CT139" s="33"/>
      <c r="CU139" s="33"/>
      <c r="CV139" s="33"/>
      <c r="CW139" s="33"/>
      <c r="DJ139" s="38"/>
    </row>
    <row r="140" spans="1:139" x14ac:dyDescent="0.3">
      <c r="EB140" s="55"/>
      <c r="EC140" s="55"/>
      <c r="ED140" s="55"/>
      <c r="EE140" s="55"/>
      <c r="EF140" s="55"/>
      <c r="EG140" s="55"/>
      <c r="EH140" s="55"/>
      <c r="EI140" s="55"/>
    </row>
    <row r="141" spans="1:139" x14ac:dyDescent="0.3">
      <c r="DJ141" s="37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DB38:DB42 CW65:CW70 DB76:DB77 DG74 CW122:CW126 DG130 DB132:DB133 DG94:DG98 CW104:CW10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8063D-A9B7-4846-B464-91AC4167E3BB}">
  <sheetPr codeName="Planilha7">
    <tabColor theme="4" tint="-0.499984740745262"/>
  </sheetPr>
  <dimension ref="A1:EI164"/>
  <sheetViews>
    <sheetView showGridLines="0" zoomScale="85" zoomScaleNormal="85" workbookViewId="0">
      <pane xSplit="61" ySplit="2" topLeftCell="DV3" activePane="bottomRight" state="frozen"/>
      <selection activeCell="EK144" sqref="EK144"/>
      <selection pane="topRight" activeCell="EK144" sqref="EK144"/>
      <selection pane="bottomLeft" activeCell="EK144" sqref="EK144"/>
      <selection pane="bottomRight" activeCell="EI1" sqref="EI1"/>
    </sheetView>
  </sheetViews>
  <sheetFormatPr defaultRowHeight="14.4" outlineLevelCol="1" x14ac:dyDescent="0.3"/>
  <cols>
    <col min="1" max="1" width="48.77734375" customWidth="1"/>
    <col min="2" max="61" width="8.77734375" hidden="1" customWidth="1"/>
    <col min="62" max="63" width="7.77734375" hidden="1" customWidth="1" outlineLevel="1"/>
    <col min="64" max="65" width="8.44140625" hidden="1" customWidth="1" outlineLevel="1"/>
    <col min="66" max="70" width="7.77734375" hidden="1" customWidth="1" outlineLevel="1"/>
    <col min="71" max="71" width="8.5546875" hidden="1" customWidth="1" outlineLevel="1"/>
    <col min="72" max="75" width="7.77734375" hidden="1" customWidth="1" outlineLevel="1"/>
    <col min="76" max="76" width="8.5546875" hidden="1" customWidth="1" outlineLevel="1"/>
    <col min="77" max="78" width="7.77734375" hidden="1" customWidth="1" outlineLevel="1"/>
    <col min="79" max="79" width="8.44140625" hidden="1" customWidth="1" outlineLevel="1"/>
    <col min="80" max="81" width="9.44140625" hidden="1" customWidth="1" outlineLevel="1"/>
    <col min="82" max="83" width="8.44140625" hidden="1" customWidth="1" outlineLevel="1"/>
    <col min="84" max="85" width="7.77734375" hidden="1" customWidth="1" outlineLevel="1"/>
    <col min="86" max="86" width="8.5546875" hidden="1" customWidth="1" outlineLevel="1"/>
    <col min="87" max="88" width="7.77734375" hidden="1" customWidth="1" outlineLevel="1"/>
    <col min="89" max="90" width="8.44140625" hidden="1" customWidth="1" outlineLevel="1"/>
    <col min="91" max="91" width="8.5546875" hidden="1" customWidth="1" outlineLevel="1"/>
    <col min="92" max="92" width="7.77734375" hidden="1" customWidth="1" outlineLevel="1"/>
    <col min="93" max="95" width="8.44140625" hidden="1" customWidth="1" outlineLevel="1"/>
    <col min="96" max="96" width="8.5546875" hidden="1" customWidth="1" outlineLevel="1"/>
    <col min="97" max="97" width="7.77734375" hidden="1" customWidth="1" outlineLevel="1"/>
    <col min="98" max="98" width="8.44140625" hidden="1" customWidth="1" outlineLevel="1"/>
    <col min="99" max="100" width="7.77734375" hidden="1" customWidth="1" outlineLevel="1"/>
    <col min="101" max="101" width="8.5546875" hidden="1" customWidth="1" outlineLevel="1"/>
    <col min="102" max="104" width="7.77734375" hidden="1" customWidth="1" outlineLevel="1"/>
    <col min="105" max="105" width="8.44140625" hidden="1" customWidth="1" outlineLevel="1"/>
    <col min="106" max="106" width="8.5546875" hidden="1" customWidth="1" outlineLevel="1"/>
    <col min="107" max="107" width="8.44140625" hidden="1" customWidth="1" outlineLevel="1"/>
    <col min="108" max="108" width="7.77734375" hidden="1" customWidth="1" outlineLevel="1"/>
    <col min="109" max="109" width="9.44140625" hidden="1" customWidth="1" outlineLevel="1"/>
    <col min="110" max="110" width="8.77734375" hidden="1" customWidth="1" outlineLevel="1"/>
    <col min="111" max="111" width="8.5546875" hidden="1" customWidth="1" outlineLevel="1"/>
    <col min="112" max="114" width="7.77734375" hidden="1" customWidth="1" outlineLevel="1"/>
    <col min="115" max="116" width="9.44140625" hidden="1" customWidth="1" outlineLevel="1"/>
    <col min="117" max="117" width="7.77734375" bestFit="1" customWidth="1" collapsed="1"/>
    <col min="118" max="119" width="7.77734375" bestFit="1" customWidth="1"/>
    <col min="120" max="120" width="8.44140625" bestFit="1" customWidth="1"/>
    <col min="121" max="121" width="8.5546875" bestFit="1" customWidth="1"/>
    <col min="122" max="122" width="8.44140625" bestFit="1" customWidth="1"/>
    <col min="123" max="123" width="7.77734375" bestFit="1" customWidth="1"/>
    <col min="124" max="124" width="8.44140625" bestFit="1" customWidth="1"/>
    <col min="125" max="125" width="7.77734375" bestFit="1" customWidth="1"/>
    <col min="126" max="126" width="8.5546875" bestFit="1" customWidth="1"/>
    <col min="127" max="128" width="7.77734375" bestFit="1" customWidth="1"/>
    <col min="129" max="129" width="8.77734375" customWidth="1"/>
    <col min="130" max="130" width="9.44140625" bestFit="1" customWidth="1"/>
    <col min="131" max="131" width="8.5546875" customWidth="1"/>
    <col min="132" max="133" width="10.21875" bestFit="1" customWidth="1"/>
    <col min="134" max="135" width="10.44140625" bestFit="1" customWidth="1"/>
    <col min="136" max="136" width="8.5546875" customWidth="1"/>
    <col min="137" max="139" width="10.44140625" bestFit="1" customWidth="1"/>
    <col min="140" max="140" width="8.5546875" customWidth="1"/>
    <col min="144" max="147" width="8.77734375" customWidth="1"/>
  </cols>
  <sheetData>
    <row r="1" spans="1:139" x14ac:dyDescent="0.3">
      <c r="A1" s="3" t="s">
        <v>353</v>
      </c>
      <c r="B1" s="6" t="s">
        <v>4</v>
      </c>
      <c r="C1" s="6" t="s">
        <v>5</v>
      </c>
      <c r="D1" s="6" t="s">
        <v>6</v>
      </c>
      <c r="E1" s="6" t="s">
        <v>7</v>
      </c>
      <c r="F1" s="6">
        <v>2018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2019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</row>
    <row r="2" spans="1:139" ht="15" thickBot="1" x14ac:dyDescent="0.35">
      <c r="A2" s="3" t="s">
        <v>353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2018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2019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</row>
    <row r="3" spans="1:139" ht="15" thickTop="1" x14ac:dyDescent="0.3">
      <c r="A3" s="1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27">
        <f>BJ31-'COGS + SG&amp;A'!BJ116</f>
        <v>20.256142089999997</v>
      </c>
      <c r="BK3" s="27">
        <f>BK31-'COGS + SG&amp;A'!BK116</f>
        <v>16.585781920000002</v>
      </c>
      <c r="BL3" s="27">
        <f>BL31-'COGS + SG&amp;A'!BL116</f>
        <v>17.736843149999995</v>
      </c>
      <c r="BM3" s="27">
        <f>BM31-'COGS + SG&amp;A'!BM116</f>
        <v>14.900466650000006</v>
      </c>
      <c r="BN3" s="27">
        <f>SUM(BJ3:BM3)</f>
        <v>69.479233810000011</v>
      </c>
      <c r="BO3" s="27">
        <f>BO31-'COGS + SG&amp;A'!BO116</f>
        <v>21.305179880000001</v>
      </c>
      <c r="BP3" s="27">
        <f>BP31-'COGS + SG&amp;A'!BP116</f>
        <v>24.185681009999996</v>
      </c>
      <c r="BQ3" s="27">
        <f>BQ31-'COGS + SG&amp;A'!BQ116</f>
        <v>21.781158820000005</v>
      </c>
      <c r="BR3" s="27">
        <f>BR31-'COGS + SG&amp;A'!BR116</f>
        <v>19.135522219999991</v>
      </c>
      <c r="BS3" s="27">
        <f>SUM(BO3:BR3)</f>
        <v>86.407541929999979</v>
      </c>
      <c r="BT3" s="27">
        <f>BT31-'COGS + SG&amp;A'!BT116</f>
        <v>30.262099549999999</v>
      </c>
      <c r="BU3" s="27">
        <f>BU31-'COGS + SG&amp;A'!BU116</f>
        <v>22.976424619999996</v>
      </c>
      <c r="BV3" s="27">
        <f>BV31-'COGS + SG&amp;A'!BV116</f>
        <v>27.370307670000006</v>
      </c>
      <c r="BW3" s="27">
        <f>BW31-'COGS + SG&amp;A'!BW116</f>
        <v>22.290484229999993</v>
      </c>
      <c r="BX3" s="27">
        <f>SUM(BT3:BW3)</f>
        <v>102.89931606999998</v>
      </c>
      <c r="BY3" s="27">
        <f>BY31-'COGS + SG&amp;A'!BY116</f>
        <v>26.199614610000001</v>
      </c>
      <c r="BZ3" s="27">
        <f>BZ31-'COGS + SG&amp;A'!BZ116</f>
        <v>24.813438869999999</v>
      </c>
      <c r="CA3" s="27">
        <f>CA31-'COGS + SG&amp;A'!CA116</f>
        <v>28.771265020000005</v>
      </c>
      <c r="CB3" s="27">
        <f>CB31-'COGS + SG&amp;A'!CB116</f>
        <v>18.118674239999997</v>
      </c>
      <c r="CC3" s="27">
        <f>SUM(BY3:CB3)</f>
        <v>97.902992740000002</v>
      </c>
      <c r="CD3" s="27">
        <f>CD31-'COGS + SG&amp;A'!CD116</f>
        <v>34.53204667</v>
      </c>
      <c r="CE3" s="27">
        <f>CE31-'COGS + SG&amp;A'!CE116</f>
        <v>27.389419489999995</v>
      </c>
      <c r="CF3" s="27">
        <f>CF31-'COGS + SG&amp;A'!CF116</f>
        <v>25.861716270000002</v>
      </c>
      <c r="CG3" s="27">
        <f>CG31-'COGS + SG&amp;A'!CG116</f>
        <v>27.663754950000015</v>
      </c>
      <c r="CH3" s="27">
        <f>SUM(CD3:CG3)</f>
        <v>115.44693738000001</v>
      </c>
      <c r="CI3" s="27">
        <f>CI31-'COGS + SG&amp;A'!CI116</f>
        <v>32.225196969999999</v>
      </c>
      <c r="CJ3" s="27">
        <f>CJ31-'COGS + SG&amp;A'!CJ116</f>
        <v>29.053948089999995</v>
      </c>
      <c r="CK3" s="27">
        <f>CK31-'COGS + SG&amp;A'!CK116</f>
        <v>31.33153828</v>
      </c>
      <c r="CL3" s="27">
        <f>CL31-'COGS + SG&amp;A'!CL116</f>
        <v>24.754259019999999</v>
      </c>
      <c r="CM3" s="27">
        <f>SUM(CI3:CL3)</f>
        <v>117.36494235999999</v>
      </c>
      <c r="CN3" s="27">
        <f>CN31-'COGS + SG&amp;A'!CN116</f>
        <v>42.946874379999997</v>
      </c>
      <c r="CO3" s="27">
        <f>CO31-'COGS + SG&amp;A'!CO116</f>
        <v>33.236151820000003</v>
      </c>
      <c r="CP3" s="27">
        <f>CP31-'COGS + SG&amp;A'!CP116</f>
        <v>29.098118940000006</v>
      </c>
      <c r="CQ3" s="27">
        <f>CQ31-'COGS + SG&amp;A'!CQ116</f>
        <v>32.233854859999987</v>
      </c>
      <c r="CR3" s="27">
        <f>SUM(CN3:CQ3)</f>
        <v>137.51499999999999</v>
      </c>
      <c r="CS3" s="27">
        <f>CS31-'COGS + SG&amp;A'!CS116</f>
        <v>48.689195460000001</v>
      </c>
      <c r="CT3" s="27">
        <f>CT31-'COGS + SG&amp;A'!CT116</f>
        <v>38.992847099999992</v>
      </c>
      <c r="CU3" s="27">
        <f>CU31-'COGS + SG&amp;A'!CU116</f>
        <v>46.819953830000003</v>
      </c>
      <c r="CV3" s="27">
        <f>CV31-'COGS + SG&amp;A'!CV116</f>
        <v>32.777941499999997</v>
      </c>
      <c r="CW3" s="27">
        <f>SUM(CS3:CV3)</f>
        <v>167.27993788999999</v>
      </c>
      <c r="CX3" s="27">
        <f>CX31-'COGS + SG&amp;A'!CX116</f>
        <v>47.553000000000004</v>
      </c>
      <c r="CY3" s="27">
        <f>CY31-'COGS + SG&amp;A'!CY116</f>
        <v>29.347999999999999</v>
      </c>
      <c r="CZ3" s="27">
        <f>CZ31-'COGS + SG&amp;A'!CZ116</f>
        <v>32.47</v>
      </c>
      <c r="DA3" s="27">
        <f>DA31-'COGS + SG&amp;A'!DA116</f>
        <v>8.2049999999999983</v>
      </c>
      <c r="DB3" s="27">
        <f>SUM(CX3:DA3)</f>
        <v>117.57600000000001</v>
      </c>
      <c r="DC3" s="27">
        <f>DC31-'COGS + SG&amp;A'!DC116</f>
        <v>40.768999999999998</v>
      </c>
      <c r="DD3" s="27">
        <f>DD31-'COGS + SG&amp;A'!DD116</f>
        <v>33.085000000000001</v>
      </c>
      <c r="DE3" s="27">
        <f>DE31-'COGS + SG&amp;A'!DE116</f>
        <v>-100.13200000000001</v>
      </c>
      <c r="DF3" s="27">
        <f>DF31-'COGS + SG&amp;A'!DF116</f>
        <v>17.277000000000005</v>
      </c>
      <c r="DG3" s="27">
        <f>SUM(DC3:DF3)</f>
        <v>-9.0010000000000012</v>
      </c>
      <c r="DH3" s="27">
        <f>DH31-'COGS + SG&amp;A'!DH116</f>
        <v>53.179000000000002</v>
      </c>
      <c r="DI3" s="27">
        <f>DI31-'COGS + SG&amp;A'!DI116</f>
        <v>39.64</v>
      </c>
      <c r="DJ3" s="27">
        <f>DJ31-'COGS + SG&amp;A'!DJ116</f>
        <v>40.574999999999996</v>
      </c>
      <c r="DK3" s="27">
        <f>DK31-'COGS + SG&amp;A'!DK116</f>
        <v>22.271999999999998</v>
      </c>
      <c r="DL3" s="27">
        <f>SUM(DH3:DK3)</f>
        <v>155.666</v>
      </c>
      <c r="DM3" s="27">
        <f>DM31-'COGS + SG&amp;A'!DM116</f>
        <v>44.438000000000002</v>
      </c>
      <c r="DN3" s="27">
        <f>DN31-'COGS + SG&amp;A'!DN116</f>
        <v>40.753</v>
      </c>
      <c r="DO3" s="27">
        <f>DO31-'COGS + SG&amp;A'!DO116</f>
        <v>41.644999999999996</v>
      </c>
      <c r="DP3" s="27">
        <f>DP31-'COGS + SG&amp;A'!DP116</f>
        <v>7.3099999999999952</v>
      </c>
      <c r="DQ3" s="27">
        <f>SUM(DM3:DP3)</f>
        <v>134.14599999999999</v>
      </c>
      <c r="DR3" s="27">
        <f>DR31-'COGS + SG&amp;A'!DR116</f>
        <v>-5.0909999999999993</v>
      </c>
      <c r="DS3" s="27">
        <f>DS31-'COGS + SG&amp;A'!DS116</f>
        <v>-3.8130000000000002</v>
      </c>
      <c r="DT3" s="27">
        <f>DT31-'COGS + SG&amp;A'!DT116</f>
        <v>-4.9569999999999999</v>
      </c>
      <c r="DU3" s="27">
        <f>DU31-'COGS + SG&amp;A'!DU116</f>
        <v>-0.42799999999999999</v>
      </c>
      <c r="DV3" s="27">
        <f>SUM(DR3:DU3)</f>
        <v>-14.289000000000001</v>
      </c>
      <c r="DW3" s="27">
        <f>DW31-'COGS + SG&amp;A'!DW116</f>
        <v>-0.68700000000000006</v>
      </c>
      <c r="DX3" s="27">
        <f>DX31-'COGS + SG&amp;A'!DX116</f>
        <v>-0.14899999999999991</v>
      </c>
      <c r="DY3" s="27">
        <f>DY31-'COGS + SG&amp;A'!DY116</f>
        <v>-0.34452417999999996</v>
      </c>
      <c r="DZ3" s="27">
        <f>DZ31-'COGS + SG&amp;A'!DZ116</f>
        <v>-0.99574718999999967</v>
      </c>
      <c r="EA3" s="27">
        <f>SUM(DW3:DZ3)</f>
        <v>-2.1762713699999994</v>
      </c>
      <c r="EB3" s="27">
        <f>EB31-'COGS + SG&amp;A'!EB116</f>
        <v>-0.17637048999999999</v>
      </c>
      <c r="EC3" s="27">
        <f>EC31-'COGS + SG&amp;A'!EC116</f>
        <v>-0.55428867000000015</v>
      </c>
      <c r="ED3" s="27">
        <f>ED31-'COGS + SG&amp;A'!ED116</f>
        <v>6.7000000000000004E-2</v>
      </c>
      <c r="EE3" s="27">
        <f>EE31-'COGS + SG&amp;A'!EE116</f>
        <v>-0.23963088000000002</v>
      </c>
      <c r="EF3" s="27">
        <f>SUM(EB3:EE3)</f>
        <v>-0.90329004000000013</v>
      </c>
      <c r="EG3" s="27">
        <f>EG31-'COGS + SG&amp;A'!EG116</f>
        <v>-0.16024788000000001</v>
      </c>
      <c r="EH3" s="27">
        <f>EH31-'COGS + SG&amp;A'!EH116</f>
        <v>-1.8080709999999993E-2</v>
      </c>
      <c r="EI3" s="27">
        <f>EI31-'COGS + SG&amp;A'!EI116</f>
        <v>-0.16402618000000002</v>
      </c>
    </row>
    <row r="4" spans="1:139" ht="15" thickBot="1" x14ac:dyDescent="0.35">
      <c r="A4" s="2" t="s">
        <v>454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28">
        <f>BJ32-'COGS + SG&amp;A'!BJ117</f>
        <v>11.78674124</v>
      </c>
      <c r="BK4" s="28">
        <f>BK32-'COGS + SG&amp;A'!BK117</f>
        <v>18.259537690000002</v>
      </c>
      <c r="BL4" s="28">
        <f>BL32-'COGS + SG&amp;A'!BL117</f>
        <v>14.178089810000003</v>
      </c>
      <c r="BM4" s="28">
        <f>BM32-'COGS + SG&amp;A'!BM117</f>
        <v>14.75392504</v>
      </c>
      <c r="BN4" s="28">
        <f t="shared" ref="BN4:BN25" si="0">SUM(BJ4:BM4)</f>
        <v>58.978293780000001</v>
      </c>
      <c r="BO4" s="28">
        <f>BO32-'COGS + SG&amp;A'!BO117</f>
        <v>17.646216120000002</v>
      </c>
      <c r="BP4" s="28">
        <f>BP32-'COGS + SG&amp;A'!BP117</f>
        <v>19.377458959999998</v>
      </c>
      <c r="BQ4" s="28">
        <f>BQ32-'COGS + SG&amp;A'!BQ117</f>
        <v>17.597235749999996</v>
      </c>
      <c r="BR4" s="28">
        <f>BR32-'COGS + SG&amp;A'!BR117</f>
        <v>18.927881250000009</v>
      </c>
      <c r="BS4" s="28">
        <f t="shared" ref="BS4:BS25" si="1">SUM(BO4:BR4)</f>
        <v>73.548792080000013</v>
      </c>
      <c r="BT4" s="28">
        <f>BT32-'COGS + SG&amp;A'!BT117</f>
        <v>17.60293643</v>
      </c>
      <c r="BU4" s="28">
        <f>BU32-'COGS + SG&amp;A'!BU117</f>
        <v>24.164055159999997</v>
      </c>
      <c r="BV4" s="28">
        <f>BV32-'COGS + SG&amp;A'!BV117</f>
        <v>21.43353372</v>
      </c>
      <c r="BW4" s="28">
        <f>BW32-'COGS + SG&amp;A'!BW117</f>
        <v>24.927439440000001</v>
      </c>
      <c r="BX4" s="28">
        <f t="shared" ref="BX4:BX25" si="2">SUM(BT4:BW4)</f>
        <v>88.12796474999999</v>
      </c>
      <c r="BY4" s="28">
        <f>BY32-'COGS + SG&amp;A'!BY117</f>
        <v>23.50436796</v>
      </c>
      <c r="BZ4" s="28">
        <f>BZ32-'COGS + SG&amp;A'!BZ117</f>
        <v>34.048915530000002</v>
      </c>
      <c r="CA4" s="28">
        <f>CA32-'COGS + SG&amp;A'!CA117</f>
        <v>29.303862619999997</v>
      </c>
      <c r="CB4" s="28">
        <f>CB32-'COGS + SG&amp;A'!CB117</f>
        <v>20.851796019999991</v>
      </c>
      <c r="CC4" s="28">
        <f t="shared" ref="CC4:CC25" si="3">SUM(BY4:CB4)</f>
        <v>107.70894213</v>
      </c>
      <c r="CD4" s="28">
        <f>CD32-'COGS + SG&amp;A'!CD117</f>
        <v>24.415103719999998</v>
      </c>
      <c r="CE4" s="28">
        <f>CE32-'COGS + SG&amp;A'!CE117</f>
        <v>31.202411730000001</v>
      </c>
      <c r="CF4" s="28">
        <f>CF32-'COGS + SG&amp;A'!CF117</f>
        <v>25.16990521</v>
      </c>
      <c r="CG4" s="28">
        <f>CG32-'COGS + SG&amp;A'!CG117</f>
        <v>16.550994530000001</v>
      </c>
      <c r="CH4" s="28">
        <f t="shared" ref="CH4:CH25" si="4">SUM(CD4:CG4)</f>
        <v>97.338415189999992</v>
      </c>
      <c r="CI4" s="28">
        <f>CI32-'COGS + SG&amp;A'!CI117</f>
        <v>25.64844635</v>
      </c>
      <c r="CJ4" s="28">
        <f>CJ32-'COGS + SG&amp;A'!CJ117</f>
        <v>31.121824749999995</v>
      </c>
      <c r="CK4" s="28">
        <f>CK32-'COGS + SG&amp;A'!CK117</f>
        <v>25.290136400000002</v>
      </c>
      <c r="CL4" s="28">
        <f>CL32-'COGS + SG&amp;A'!CL117</f>
        <v>15.684446010000004</v>
      </c>
      <c r="CM4" s="28">
        <f t="shared" ref="CM4:CM25" si="5">SUM(CI4:CL4)</f>
        <v>97.744853509999999</v>
      </c>
      <c r="CN4" s="28">
        <f>CN32-'COGS + SG&amp;A'!CN117</f>
        <v>33.186671720000007</v>
      </c>
      <c r="CO4" s="28">
        <f>CO32-'COGS + SG&amp;A'!CO117</f>
        <v>47.020065380000005</v>
      </c>
      <c r="CP4" s="28">
        <f>CP32-'COGS + SG&amp;A'!CP117</f>
        <v>35.458109809999996</v>
      </c>
      <c r="CQ4" s="28">
        <f>CQ32-'COGS + SG&amp;A'!CQ117</f>
        <v>29.75215309</v>
      </c>
      <c r="CR4" s="28">
        <f t="shared" ref="CR4:CR25" si="6">SUM(CN4:CQ4)</f>
        <v>145.417</v>
      </c>
      <c r="CS4" s="28">
        <f>CS32-'COGS + SG&amp;A'!CS117</f>
        <v>38.296948780000001</v>
      </c>
      <c r="CT4" s="28">
        <f>CT32-'COGS + SG&amp;A'!CT117</f>
        <v>46.327190599999994</v>
      </c>
      <c r="CU4" s="28">
        <f>CU32-'COGS + SG&amp;A'!CU117</f>
        <v>39.512526309999998</v>
      </c>
      <c r="CV4" s="28">
        <f>CV32-'COGS + SG&amp;A'!CV117</f>
        <v>25.697150800000003</v>
      </c>
      <c r="CW4" s="28">
        <f t="shared" ref="CW4:CW25" si="7">SUM(CS4:CV4)</f>
        <v>149.83381649</v>
      </c>
      <c r="CX4" s="28">
        <f>CX32-'COGS + SG&amp;A'!CX117</f>
        <v>37.324000000000005</v>
      </c>
      <c r="CY4" s="28">
        <f>CY32-'COGS + SG&amp;A'!CY117</f>
        <v>41.579000000000001</v>
      </c>
      <c r="CZ4" s="28">
        <f>CZ32-'COGS + SG&amp;A'!CZ117</f>
        <v>46.861999999999995</v>
      </c>
      <c r="DA4" s="28">
        <f>DA32-'COGS + SG&amp;A'!DA117</f>
        <v>38.998999999999995</v>
      </c>
      <c r="DB4" s="28">
        <f t="shared" ref="DB4:DB25" si="8">SUM(CX4:DA4)</f>
        <v>164.76400000000001</v>
      </c>
      <c r="DC4" s="28">
        <f>DC32-'COGS + SG&amp;A'!DC117</f>
        <v>37.18</v>
      </c>
      <c r="DD4" s="28">
        <f>DD32-'COGS + SG&amp;A'!DD117</f>
        <v>48.936999999999998</v>
      </c>
      <c r="DE4" s="28">
        <f>DE32-'COGS + SG&amp;A'!DE117</f>
        <v>48.736999999999995</v>
      </c>
      <c r="DF4" s="28">
        <f>DF32-'COGS + SG&amp;A'!DF117</f>
        <v>47.548000000000002</v>
      </c>
      <c r="DG4" s="28">
        <f t="shared" ref="DG4:DG25" si="9">SUM(DC4:DF4)</f>
        <v>182.40199999999999</v>
      </c>
      <c r="DH4" s="28">
        <f>DH32-'COGS + SG&amp;A'!DH117</f>
        <v>37.298000000000002</v>
      </c>
      <c r="DI4" s="28">
        <f>DI32-'COGS + SG&amp;A'!DI117</f>
        <v>47.836000000000006</v>
      </c>
      <c r="DJ4" s="28">
        <f>DJ32-'COGS + SG&amp;A'!DJ117</f>
        <v>36.92</v>
      </c>
      <c r="DK4" s="28">
        <f>DK32-'COGS + SG&amp;A'!DK117</f>
        <v>34.780999999999999</v>
      </c>
      <c r="DL4" s="28">
        <f t="shared" ref="DL4:DL25" si="10">SUM(DH4:DK4)</f>
        <v>156.83500000000001</v>
      </c>
      <c r="DM4" s="28">
        <f>DM32-'COGS + SG&amp;A'!DM117</f>
        <v>29.210999999999999</v>
      </c>
      <c r="DN4" s="28">
        <f>DN32-'COGS + SG&amp;A'!DN117</f>
        <v>48.867000000000004</v>
      </c>
      <c r="DO4" s="28">
        <f>DO32-'COGS + SG&amp;A'!DO117</f>
        <v>42.411000000000001</v>
      </c>
      <c r="DP4" s="28">
        <f>DP32-'COGS + SG&amp;A'!DP117</f>
        <v>28.86</v>
      </c>
      <c r="DQ4" s="28">
        <f t="shared" ref="DQ4:DQ25" si="11">SUM(DM4:DP4)</f>
        <v>149.34899999999999</v>
      </c>
      <c r="DR4" s="28">
        <f>DR32-'COGS + SG&amp;A'!DR117</f>
        <v>25.091000000000001</v>
      </c>
      <c r="DS4" s="28">
        <f>DS32-'COGS + SG&amp;A'!DS117</f>
        <v>20.489000000000001</v>
      </c>
      <c r="DT4" s="28">
        <f>DT32-'COGS + SG&amp;A'!DT117</f>
        <v>25.724</v>
      </c>
      <c r="DU4" s="28">
        <f>DU32-'COGS + SG&amp;A'!DU117</f>
        <v>113.303</v>
      </c>
      <c r="DV4" s="28">
        <f t="shared" ref="DV4:DV25" si="12">SUM(DR4:DU4)</f>
        <v>184.607</v>
      </c>
      <c r="DW4" s="28">
        <f>DW32-'COGS + SG&amp;A'!DW117</f>
        <v>52.653999999999996</v>
      </c>
      <c r="DX4" s="28">
        <f>DX32-'COGS + SG&amp;A'!DX117</f>
        <v>57.434000000000019</v>
      </c>
      <c r="DY4" s="28">
        <f>DY32-'COGS + SG&amp;A'!DY117</f>
        <v>70.577904210000014</v>
      </c>
      <c r="DZ4" s="28">
        <f>DZ32-'COGS + SG&amp;A'!DZ117</f>
        <v>60.78364030000003</v>
      </c>
      <c r="EA4" s="28">
        <f t="shared" ref="EA4:EA14" si="13">SUM(DW4:DZ4)</f>
        <v>241.44954451000007</v>
      </c>
      <c r="EB4" s="28">
        <f>EB32-'COGS + SG&amp;A'!EB117</f>
        <v>51.109322819999996</v>
      </c>
      <c r="EC4" s="28">
        <f>EC32-'COGS + SG&amp;A'!EC117</f>
        <v>57.829805990000004</v>
      </c>
      <c r="ED4" s="28">
        <f>ED32-'COGS + SG&amp;A'!ED117</f>
        <v>71.459000000000003</v>
      </c>
      <c r="EE4" s="28">
        <f>EE32-'COGS + SG&amp;A'!EE117</f>
        <v>74.188546740000078</v>
      </c>
      <c r="EF4" s="28">
        <f t="shared" ref="EF4:EF14" si="14">SUM(EB4:EE4)</f>
        <v>254.58667555000008</v>
      </c>
      <c r="EG4" s="28">
        <f>EG32-'COGS + SG&amp;A'!EG117</f>
        <v>65.068239180000006</v>
      </c>
      <c r="EH4" s="28">
        <f>EH32-'COGS + SG&amp;A'!EH117</f>
        <v>60.831889239999995</v>
      </c>
      <c r="EI4" s="28">
        <f>EI32-'COGS + SG&amp;A'!EI117</f>
        <v>80.627261659999988</v>
      </c>
    </row>
    <row r="5" spans="1:139" ht="15" thickTop="1" x14ac:dyDescent="0.3">
      <c r="A5" s="1" t="s">
        <v>442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27">
        <f>BJ33-'COGS + SG&amp;A'!BJ118</f>
        <v>99.726944629999991</v>
      </c>
      <c r="BK5" s="27">
        <f>BK33-'COGS + SG&amp;A'!BK118</f>
        <v>91.125050670000007</v>
      </c>
      <c r="BL5" s="27">
        <f>BL33-'COGS + SG&amp;A'!BL118</f>
        <v>103.99551697999999</v>
      </c>
      <c r="BM5" s="27">
        <f>BM33-'COGS + SG&amp;A'!BM118</f>
        <v>111.92518230000002</v>
      </c>
      <c r="BN5" s="27">
        <f t="shared" si="0"/>
        <v>406.77269458000001</v>
      </c>
      <c r="BO5" s="27">
        <f>BO33-'COGS + SG&amp;A'!BO118</f>
        <v>104.7610538</v>
      </c>
      <c r="BP5" s="27">
        <f>BP33-'COGS + SG&amp;A'!BP118</f>
        <v>89.306496600000017</v>
      </c>
      <c r="BQ5" s="27">
        <f>BQ33-'COGS + SG&amp;A'!BQ118</f>
        <v>107.24166462999999</v>
      </c>
      <c r="BR5" s="27">
        <f>BR33-'COGS + SG&amp;A'!BR118</f>
        <v>118.81596163999998</v>
      </c>
      <c r="BS5" s="27">
        <f t="shared" si="1"/>
        <v>420.12517666999997</v>
      </c>
      <c r="BT5" s="27">
        <f>BT33-'COGS + SG&amp;A'!BT118</f>
        <v>115.7536734</v>
      </c>
      <c r="BU5" s="27">
        <f>BU33-'COGS + SG&amp;A'!BU118</f>
        <v>92.502765910000022</v>
      </c>
      <c r="BV5" s="27">
        <f>BV33-'COGS + SG&amp;A'!BV118</f>
        <v>119.49372208000001</v>
      </c>
      <c r="BW5" s="27">
        <f>BW33-'COGS + SG&amp;A'!BW118</f>
        <v>118.57428877999999</v>
      </c>
      <c r="BX5" s="27">
        <f t="shared" si="2"/>
        <v>446.32445016999998</v>
      </c>
      <c r="BY5" s="27">
        <f>BY33-'COGS + SG&amp;A'!BY118</f>
        <v>122.80622965000001</v>
      </c>
      <c r="BZ5" s="27">
        <f>BZ33-'COGS + SG&amp;A'!BZ118</f>
        <v>108.20060106999999</v>
      </c>
      <c r="CA5" s="27">
        <f>CA33-'COGS + SG&amp;A'!CA118</f>
        <v>137.78167292000001</v>
      </c>
      <c r="CB5" s="27">
        <f>CB33-'COGS + SG&amp;A'!CB118</f>
        <v>124.86246969000005</v>
      </c>
      <c r="CC5" s="27">
        <f t="shared" si="3"/>
        <v>493.65097333000006</v>
      </c>
      <c r="CD5" s="27">
        <f>CD33-'COGS + SG&amp;A'!CD118</f>
        <v>134.06182099999998</v>
      </c>
      <c r="CE5" s="27">
        <f>CE33-'COGS + SG&amp;A'!CE118</f>
        <v>98.615143930000002</v>
      </c>
      <c r="CF5" s="27">
        <f>CF33-'COGS + SG&amp;A'!CF118</f>
        <v>120.15724812000001</v>
      </c>
      <c r="CG5" s="27">
        <f>CG33-'COGS + SG&amp;A'!CG118</f>
        <v>115.85456935999999</v>
      </c>
      <c r="CH5" s="27">
        <f t="shared" si="4"/>
        <v>468.68878240999999</v>
      </c>
      <c r="CI5" s="27">
        <f>CI33-'COGS + SG&amp;A'!CI118</f>
        <v>125.80467112000001</v>
      </c>
      <c r="CJ5" s="27">
        <f>CJ33-'COGS + SG&amp;A'!CJ118</f>
        <v>106.59052019999999</v>
      </c>
      <c r="CK5" s="27">
        <f>CK33-'COGS + SG&amp;A'!CK118</f>
        <v>127.28929003</v>
      </c>
      <c r="CL5" s="27">
        <f>CL33-'COGS + SG&amp;A'!CL118</f>
        <v>147.42254202000001</v>
      </c>
      <c r="CM5" s="27">
        <f t="shared" si="5"/>
        <v>507.10702336999998</v>
      </c>
      <c r="CN5" s="27">
        <f>CN33-'COGS + SG&amp;A'!CN118</f>
        <v>135.76040095000002</v>
      </c>
      <c r="CO5" s="27">
        <f>CO33-'COGS + SG&amp;A'!CO118</f>
        <v>101.95214239000001</v>
      </c>
      <c r="CP5" s="27">
        <f>CP33-'COGS + SG&amp;A'!CP118</f>
        <v>121.48058272</v>
      </c>
      <c r="CQ5" s="27">
        <f>CQ33-'COGS + SG&amp;A'!CQ118</f>
        <v>154.17087393999995</v>
      </c>
      <c r="CR5" s="27">
        <f t="shared" si="6"/>
        <v>513.36400000000003</v>
      </c>
      <c r="CS5" s="27">
        <f>CS33-'COGS + SG&amp;A'!CS118</f>
        <v>155.90380809999999</v>
      </c>
      <c r="CT5" s="27">
        <f>CT33-'COGS + SG&amp;A'!CT118</f>
        <v>130.23883502000001</v>
      </c>
      <c r="CU5" s="27">
        <f>CU33-'COGS + SG&amp;A'!CU118</f>
        <v>149.61363670999998</v>
      </c>
      <c r="CV5" s="27">
        <f>CV33-'COGS + SG&amp;A'!CV118</f>
        <v>156.30934272000002</v>
      </c>
      <c r="CW5" s="27">
        <f t="shared" si="7"/>
        <v>592.06562254999994</v>
      </c>
      <c r="CX5" s="27">
        <f>CX33-'COGS + SG&amp;A'!CX118</f>
        <v>165.41200000000001</v>
      </c>
      <c r="CY5" s="27">
        <f>CY33-'COGS + SG&amp;A'!CY118</f>
        <v>138.23099999999999</v>
      </c>
      <c r="CZ5" s="27">
        <f>CZ33-'COGS + SG&amp;A'!CZ118</f>
        <v>138.12899999999999</v>
      </c>
      <c r="DA5" s="27">
        <f>DA33-'COGS + SG&amp;A'!DA118</f>
        <v>181.78300000000002</v>
      </c>
      <c r="DB5" s="27">
        <f t="shared" si="8"/>
        <v>623.55500000000006</v>
      </c>
      <c r="DC5" s="27">
        <f>DC33-'COGS + SG&amp;A'!DC118</f>
        <v>155.28099999999998</v>
      </c>
      <c r="DD5" s="27">
        <f>DD33-'COGS + SG&amp;A'!DD118</f>
        <v>126.749</v>
      </c>
      <c r="DE5" s="27">
        <f>DE33-'COGS + SG&amp;A'!DE118</f>
        <v>145.59800000000001</v>
      </c>
      <c r="DF5" s="27">
        <f>DF33-'COGS + SG&amp;A'!DF118</f>
        <v>193.149</v>
      </c>
      <c r="DG5" s="27">
        <f t="shared" si="9"/>
        <v>620.77700000000004</v>
      </c>
      <c r="DH5" s="27">
        <f>DH33-'COGS + SG&amp;A'!DH118</f>
        <v>156.506</v>
      </c>
      <c r="DI5" s="27">
        <f>DI33-'COGS + SG&amp;A'!DI118</f>
        <v>110.636</v>
      </c>
      <c r="DJ5" s="27">
        <f>DJ33-'COGS + SG&amp;A'!DJ118</f>
        <v>160.92499999999998</v>
      </c>
      <c r="DK5" s="27">
        <f>DK33-'COGS + SG&amp;A'!DK118</f>
        <v>215.083</v>
      </c>
      <c r="DL5" s="27">
        <f t="shared" si="10"/>
        <v>643.15</v>
      </c>
      <c r="DM5" s="27">
        <f>DM33-'COGS + SG&amp;A'!DM118</f>
        <v>168.69399999999999</v>
      </c>
      <c r="DN5" s="27">
        <f>DN33-'COGS + SG&amp;A'!DN118</f>
        <v>152.881</v>
      </c>
      <c r="DO5" s="27">
        <f>DO33-'COGS + SG&amp;A'!DO118</f>
        <v>174.488</v>
      </c>
      <c r="DP5" s="27">
        <f>DP33-'COGS + SG&amp;A'!DP118</f>
        <v>211.315</v>
      </c>
      <c r="DQ5" s="27">
        <f t="shared" si="11"/>
        <v>707.37799999999993</v>
      </c>
      <c r="DR5" s="27">
        <f>DR33-'COGS + SG&amp;A'!DR118</f>
        <v>199.72799999999998</v>
      </c>
      <c r="DS5" s="27">
        <f>DS33-'COGS + SG&amp;A'!DS118</f>
        <v>165.74700000000001</v>
      </c>
      <c r="DT5" s="27">
        <f>DT33-'COGS + SG&amp;A'!DT118</f>
        <v>210.86599999999999</v>
      </c>
      <c r="DU5" s="27">
        <f>DU33-'COGS + SG&amp;A'!DU118</f>
        <v>239.56200000000001</v>
      </c>
      <c r="DV5" s="27">
        <f t="shared" si="12"/>
        <v>815.90300000000002</v>
      </c>
      <c r="DW5" s="27">
        <f>DW33-'COGS + SG&amp;A'!DW118</f>
        <v>236.33600000000001</v>
      </c>
      <c r="DX5" s="27">
        <f>DX33-'COGS + SG&amp;A'!DX118</f>
        <v>222.25299999999999</v>
      </c>
      <c r="DY5" s="27">
        <f>DY33-'COGS + SG&amp;A'!DY118</f>
        <v>255.20364785000015</v>
      </c>
      <c r="DZ5" s="27">
        <f>DZ33-'COGS + SG&amp;A'!DZ118</f>
        <v>272.08682185999953</v>
      </c>
      <c r="EA5" s="27">
        <f t="shared" si="13"/>
        <v>985.87946970999963</v>
      </c>
      <c r="EB5" s="27">
        <f>EB33-'COGS + SG&amp;A'!EB118</f>
        <v>271.86634256999997</v>
      </c>
      <c r="EC5" s="27">
        <f>EC33-'COGS + SG&amp;A'!EC118</f>
        <v>250.10712132</v>
      </c>
      <c r="ED5" s="27">
        <f>ED33-'COGS + SG&amp;A'!ED118</f>
        <v>261.351</v>
      </c>
      <c r="EE5" s="27">
        <f>EE33-'COGS + SG&amp;A'!EE118</f>
        <v>256.81331747999991</v>
      </c>
      <c r="EF5" s="27">
        <f t="shared" si="14"/>
        <v>1040.1377813699999</v>
      </c>
      <c r="EG5" s="27">
        <f>EG33-'COGS + SG&amp;A'!EG118</f>
        <v>273.47537391000003</v>
      </c>
      <c r="EH5" s="27">
        <f>EH33-'COGS + SG&amp;A'!EH118</f>
        <v>243.64582326000001</v>
      </c>
      <c r="EI5" s="27">
        <f>EI33-'COGS + SG&amp;A'!EI118</f>
        <v>265.55401466000006</v>
      </c>
    </row>
    <row r="6" spans="1:139" ht="15" thickBot="1" x14ac:dyDescent="0.35">
      <c r="A6" s="2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28">
        <f>BJ34-'COGS + SG&amp;A'!BJ119</f>
        <v>19.781768890000002</v>
      </c>
      <c r="BK6" s="28">
        <f>BK34-'COGS + SG&amp;A'!BK119</f>
        <v>15.501032149999999</v>
      </c>
      <c r="BL6" s="28">
        <f>BL34-'COGS + SG&amp;A'!BL119</f>
        <v>19.976221030000001</v>
      </c>
      <c r="BM6" s="28">
        <f>BM34-'COGS + SG&amp;A'!BM119</f>
        <v>8.5878872699999942</v>
      </c>
      <c r="BN6" s="28">
        <f t="shared" si="0"/>
        <v>63.846909339999996</v>
      </c>
      <c r="BO6" s="28">
        <f>BO34-'COGS + SG&amp;A'!BO119</f>
        <v>16.608600500000001</v>
      </c>
      <c r="BP6" s="28">
        <f>BP34-'COGS + SG&amp;A'!BP119</f>
        <v>13.12599906</v>
      </c>
      <c r="BQ6" s="28">
        <f>BQ34-'COGS + SG&amp;A'!BQ119</f>
        <v>17.958487389999995</v>
      </c>
      <c r="BR6" s="28">
        <f>BR34-'COGS + SG&amp;A'!BR119</f>
        <v>16.263783780000004</v>
      </c>
      <c r="BS6" s="28">
        <f t="shared" si="1"/>
        <v>63.956870729999999</v>
      </c>
      <c r="BT6" s="28">
        <f>BT34-'COGS + SG&amp;A'!BT119</f>
        <v>20.714317749999999</v>
      </c>
      <c r="BU6" s="28">
        <f>BU34-'COGS + SG&amp;A'!BU119</f>
        <v>16.650991490000003</v>
      </c>
      <c r="BV6" s="28">
        <f>BV34-'COGS + SG&amp;A'!BV119</f>
        <v>19.6384987</v>
      </c>
      <c r="BW6" s="28">
        <f>BW34-'COGS + SG&amp;A'!BW119</f>
        <v>8.8695368700000063</v>
      </c>
      <c r="BX6" s="28">
        <f t="shared" si="2"/>
        <v>65.873344810000006</v>
      </c>
      <c r="BY6" s="28">
        <f>BY34-'COGS + SG&amp;A'!BY119</f>
        <v>24.671552389999995</v>
      </c>
      <c r="BZ6" s="28">
        <f>BZ34-'COGS + SG&amp;A'!BZ119</f>
        <v>16.165727769999997</v>
      </c>
      <c r="CA6" s="28">
        <f>CA34-'COGS + SG&amp;A'!CA119</f>
        <v>22.254701110000006</v>
      </c>
      <c r="CB6" s="28">
        <f>CB34-'COGS + SG&amp;A'!CB119</f>
        <v>19.172145049999997</v>
      </c>
      <c r="CC6" s="28">
        <f t="shared" si="3"/>
        <v>82.264126320000003</v>
      </c>
      <c r="CD6" s="28">
        <f>CD34-'COGS + SG&amp;A'!CD119</f>
        <v>26.465820190000002</v>
      </c>
      <c r="CE6" s="28">
        <f>CE34-'COGS + SG&amp;A'!CE119</f>
        <v>14.275482689999995</v>
      </c>
      <c r="CF6" s="28">
        <f>CF34-'COGS + SG&amp;A'!CF119</f>
        <v>20.753954470000004</v>
      </c>
      <c r="CG6" s="28">
        <f>CG34-'COGS + SG&amp;A'!CG119</f>
        <v>16.131810459999997</v>
      </c>
      <c r="CH6" s="28">
        <f t="shared" si="4"/>
        <v>77.62706781</v>
      </c>
      <c r="CI6" s="28">
        <f>CI34-'COGS + SG&amp;A'!CI119</f>
        <v>26.939849259999995</v>
      </c>
      <c r="CJ6" s="28">
        <f>CJ34-'COGS + SG&amp;A'!CJ119</f>
        <v>21.435866130000001</v>
      </c>
      <c r="CK6" s="28">
        <f>CK34-'COGS + SG&amp;A'!CK119</f>
        <v>22.917059310000006</v>
      </c>
      <c r="CL6" s="28">
        <f>CL34-'COGS + SG&amp;A'!CL119</f>
        <v>23.666490290000006</v>
      </c>
      <c r="CM6" s="28">
        <f t="shared" si="5"/>
        <v>94.959264990000008</v>
      </c>
      <c r="CN6" s="28">
        <f>CN34-'COGS + SG&amp;A'!CN119</f>
        <v>35.336321479999995</v>
      </c>
      <c r="CO6" s="28">
        <f>CO34-'COGS + SG&amp;A'!CO119</f>
        <v>28.687019839999998</v>
      </c>
      <c r="CP6" s="28">
        <f>CP34-'COGS + SG&amp;A'!CP119</f>
        <v>29.632820570000014</v>
      </c>
      <c r="CQ6" s="28">
        <f>CQ34-'COGS + SG&amp;A'!CQ119</f>
        <v>31.516838110000002</v>
      </c>
      <c r="CR6" s="28">
        <f t="shared" si="6"/>
        <v>125.173</v>
      </c>
      <c r="CS6" s="28">
        <f>CS34-'COGS + SG&amp;A'!CS119</f>
        <v>38.651434079999994</v>
      </c>
      <c r="CT6" s="28">
        <f>CT34-'COGS + SG&amp;A'!CT119</f>
        <v>34.246392989999997</v>
      </c>
      <c r="CU6" s="28">
        <f>CU34-'COGS + SG&amp;A'!CU119</f>
        <v>28.656285630000006</v>
      </c>
      <c r="CV6" s="28">
        <f>CV34-'COGS + SG&amp;A'!CV119</f>
        <v>24.012939320000001</v>
      </c>
      <c r="CW6" s="28">
        <f t="shared" si="7"/>
        <v>125.56705201999999</v>
      </c>
      <c r="CX6" s="28">
        <f>CX34-'COGS + SG&amp;A'!CX119</f>
        <v>34.652000000000001</v>
      </c>
      <c r="CY6" s="28">
        <f>CY34-'COGS + SG&amp;A'!CY119</f>
        <v>22.695000000000004</v>
      </c>
      <c r="CZ6" s="28">
        <f>CZ34-'COGS + SG&amp;A'!CZ119</f>
        <v>26.626999999999999</v>
      </c>
      <c r="DA6" s="28">
        <f>DA34-'COGS + SG&amp;A'!DA119</f>
        <v>-10.643999999999998</v>
      </c>
      <c r="DB6" s="28">
        <f t="shared" si="8"/>
        <v>73.330000000000013</v>
      </c>
      <c r="DC6" s="28">
        <f>DC34-'COGS + SG&amp;A'!DC119</f>
        <v>35.709999999999994</v>
      </c>
      <c r="DD6" s="28">
        <f>DD34-'COGS + SG&amp;A'!DD119</f>
        <v>29.628999999999998</v>
      </c>
      <c r="DE6" s="28">
        <f>DE34-'COGS + SG&amp;A'!DE119</f>
        <v>-219.25400000000002</v>
      </c>
      <c r="DF6" s="28">
        <f>DF34-'COGS + SG&amp;A'!DF119</f>
        <v>5.27</v>
      </c>
      <c r="DG6" s="28">
        <f t="shared" si="9"/>
        <v>-148.64500000000001</v>
      </c>
      <c r="DH6" s="28">
        <f>DH34-'COGS + SG&amp;A'!DH119</f>
        <v>42.287000000000006</v>
      </c>
      <c r="DI6" s="28">
        <f>DI34-'COGS + SG&amp;A'!DI119</f>
        <v>18.316000000000003</v>
      </c>
      <c r="DJ6" s="28">
        <f>DJ34-'COGS + SG&amp;A'!DJ119</f>
        <v>27.913999999999998</v>
      </c>
      <c r="DK6" s="28">
        <f>DK34-'COGS + SG&amp;A'!DK119</f>
        <v>19.548000000000002</v>
      </c>
      <c r="DL6" s="28">
        <f t="shared" si="10"/>
        <v>108.06500000000001</v>
      </c>
      <c r="DM6" s="28">
        <f>DM34-'COGS + SG&amp;A'!DM119</f>
        <v>19.912999999999997</v>
      </c>
      <c r="DN6" s="28">
        <f>DN34-'COGS + SG&amp;A'!DN119</f>
        <v>20.963999999999999</v>
      </c>
      <c r="DO6" s="28">
        <f>DO34-'COGS + SG&amp;A'!DO119</f>
        <v>25.442000000000007</v>
      </c>
      <c r="DP6" s="28">
        <f>DP34-'COGS + SG&amp;A'!DP119</f>
        <v>32.043999999999997</v>
      </c>
      <c r="DQ6" s="28">
        <f t="shared" si="11"/>
        <v>98.363</v>
      </c>
      <c r="DR6" s="28">
        <f>DR34-'COGS + SG&amp;A'!DR119</f>
        <v>-2.399</v>
      </c>
      <c r="DS6" s="28">
        <f>DS34-'COGS + SG&amp;A'!DS119</f>
        <v>-2.14</v>
      </c>
      <c r="DT6" s="28">
        <f>DT34-'COGS + SG&amp;A'!DT119</f>
        <v>-2.7359999999999998</v>
      </c>
      <c r="DU6" s="28">
        <f>DU34-'COGS + SG&amp;A'!DU119</f>
        <v>-0.19099999999999995</v>
      </c>
      <c r="DV6" s="28">
        <f t="shared" si="12"/>
        <v>-7.4659999999999993</v>
      </c>
      <c r="DW6" s="28">
        <f>DW34-'COGS + SG&amp;A'!DW119</f>
        <v>-7.8E-2</v>
      </c>
      <c r="DX6" s="28">
        <f>DX34-'COGS + SG&amp;A'!DX119</f>
        <v>-3.5415443099999999</v>
      </c>
      <c r="DY6" s="28">
        <f>DY34-'COGS + SG&amp;A'!DY119</f>
        <v>-0.51834408999999981</v>
      </c>
      <c r="DZ6" s="28">
        <f>DZ34-'COGS + SG&amp;A'!DZ119</f>
        <v>-10.80359767</v>
      </c>
      <c r="EA6" s="28">
        <f t="shared" si="13"/>
        <v>-14.94148607</v>
      </c>
      <c r="EB6" s="28">
        <f>EB34-'COGS + SG&amp;A'!EB119</f>
        <v>0.29589140999999997</v>
      </c>
      <c r="EC6" s="28">
        <f>EC34-'COGS + SG&amp;A'!EC119</f>
        <v>-0.18914323999999996</v>
      </c>
      <c r="ED6" s="28">
        <f>ED34-'COGS + SG&amp;A'!ED119</f>
        <v>-0.317</v>
      </c>
      <c r="EE6" s="28">
        <f>EE34-'COGS + SG&amp;A'!EE119</f>
        <v>-0.26801639999999999</v>
      </c>
      <c r="EF6" s="28">
        <f t="shared" si="14"/>
        <v>-0.47826822999999996</v>
      </c>
      <c r="EG6" s="28">
        <f>EG34-'COGS + SG&amp;A'!EG119</f>
        <v>-0.43767731999999998</v>
      </c>
      <c r="EH6" s="28">
        <f>EH34-'COGS + SG&amp;A'!EH119</f>
        <v>-0.14942153999999999</v>
      </c>
      <c r="EI6" s="28">
        <f>EI34-'COGS + SG&amp;A'!EI119</f>
        <v>-1.0611254399999999</v>
      </c>
    </row>
    <row r="7" spans="1:139" ht="15" thickTop="1" x14ac:dyDescent="0.3">
      <c r="A7" s="1" t="s">
        <v>443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27">
        <f>BJ35-'COGS + SG&amp;A'!BJ120</f>
        <v>15.214175770000001</v>
      </c>
      <c r="BK7" s="27">
        <f>BK35-'COGS + SG&amp;A'!BK120</f>
        <v>19.034418949999996</v>
      </c>
      <c r="BL7" s="27">
        <f>BL35-'COGS + SG&amp;A'!BL120</f>
        <v>20.847613070000001</v>
      </c>
      <c r="BM7" s="27">
        <f>BM35-'COGS + SG&amp;A'!BM120</f>
        <v>21.645265179999999</v>
      </c>
      <c r="BN7" s="27">
        <f t="shared" si="0"/>
        <v>76.741472970000004</v>
      </c>
      <c r="BO7" s="27">
        <f>BO35-'COGS + SG&amp;A'!BO120</f>
        <v>23.458387610000003</v>
      </c>
      <c r="BP7" s="27">
        <f>BP35-'COGS + SG&amp;A'!BP120</f>
        <v>22.891849419999996</v>
      </c>
      <c r="BQ7" s="27">
        <f>BQ35-'COGS + SG&amp;A'!BQ120</f>
        <v>25.942090170000011</v>
      </c>
      <c r="BR7" s="27">
        <f>BR35-'COGS + SG&amp;A'!BR120</f>
        <v>26.26233409999999</v>
      </c>
      <c r="BS7" s="27">
        <f t="shared" si="1"/>
        <v>98.554661300000006</v>
      </c>
      <c r="BT7" s="27">
        <f>BT35-'COGS + SG&amp;A'!BT120</f>
        <v>25.68135521</v>
      </c>
      <c r="BU7" s="27">
        <f>BU35-'COGS + SG&amp;A'!BU120</f>
        <v>23.935506419999996</v>
      </c>
      <c r="BV7" s="27">
        <f>BV35-'COGS + SG&amp;A'!BV120</f>
        <v>32.273731110000014</v>
      </c>
      <c r="BW7" s="27">
        <f>BW35-'COGS + SG&amp;A'!BW120</f>
        <v>31.256673269999986</v>
      </c>
      <c r="BX7" s="27">
        <f t="shared" si="2"/>
        <v>113.14726601000001</v>
      </c>
      <c r="BY7" s="27">
        <f>BY35-'COGS + SG&amp;A'!BY120</f>
        <v>28.668033269999999</v>
      </c>
      <c r="BZ7" s="27">
        <f>BZ35-'COGS + SG&amp;A'!BZ120</f>
        <v>27.446708909999998</v>
      </c>
      <c r="CA7" s="27">
        <f>CA35-'COGS + SG&amp;A'!CA120</f>
        <v>33.263855959999994</v>
      </c>
      <c r="CB7" s="27">
        <f>CB35-'COGS + SG&amp;A'!CB120</f>
        <v>23.047552680000017</v>
      </c>
      <c r="CC7" s="27">
        <f t="shared" si="3"/>
        <v>112.42615082</v>
      </c>
      <c r="CD7" s="27">
        <f>CD35-'COGS + SG&amp;A'!CD120</f>
        <v>25.392544190000002</v>
      </c>
      <c r="CE7" s="27">
        <f>CE35-'COGS + SG&amp;A'!CE120</f>
        <v>13.154050389999998</v>
      </c>
      <c r="CF7" s="27">
        <f>CF35-'COGS + SG&amp;A'!CF120</f>
        <v>24.578491119999999</v>
      </c>
      <c r="CG7" s="27">
        <f>CG35-'COGS + SG&amp;A'!CG120</f>
        <v>33.347719959999999</v>
      </c>
      <c r="CH7" s="27">
        <f t="shared" si="4"/>
        <v>96.472805660000006</v>
      </c>
      <c r="CI7" s="27">
        <f>CI35-'COGS + SG&amp;A'!CI120</f>
        <v>26.209471659999998</v>
      </c>
      <c r="CJ7" s="27">
        <f>CJ35-'COGS + SG&amp;A'!CJ120</f>
        <v>21.653910660000001</v>
      </c>
      <c r="CK7" s="27">
        <f>CK35-'COGS + SG&amp;A'!CK120</f>
        <v>26.179172509999994</v>
      </c>
      <c r="CL7" s="27">
        <f>CL35-'COGS + SG&amp;A'!CL120</f>
        <v>27.522805840000004</v>
      </c>
      <c r="CM7" s="27">
        <f t="shared" si="5"/>
        <v>101.56536067</v>
      </c>
      <c r="CN7" s="27">
        <f>CN35-'COGS + SG&amp;A'!CN120</f>
        <v>29.2008589</v>
      </c>
      <c r="CO7" s="27">
        <f>CO35-'COGS + SG&amp;A'!CO120</f>
        <v>25.588492930000001</v>
      </c>
      <c r="CP7" s="27">
        <f>CP35-'COGS + SG&amp;A'!CP120</f>
        <v>31.995504030000006</v>
      </c>
      <c r="CQ7" s="27">
        <f>CQ35-'COGS + SG&amp;A'!CQ120</f>
        <v>40.425144140000008</v>
      </c>
      <c r="CR7" s="27">
        <f t="shared" si="6"/>
        <v>127.21000000000001</v>
      </c>
      <c r="CS7" s="27">
        <f>CS35-'COGS + SG&amp;A'!CS120</f>
        <v>28.922143510000001</v>
      </c>
      <c r="CT7" s="27">
        <f>CT35-'COGS + SG&amp;A'!CT120</f>
        <v>26.462462609999999</v>
      </c>
      <c r="CU7" s="27">
        <f>CU35-'COGS + SG&amp;A'!CU120</f>
        <v>32.118707059999998</v>
      </c>
      <c r="CV7" s="27">
        <f>CV35-'COGS + SG&amp;A'!CV120</f>
        <v>33.872614459999994</v>
      </c>
      <c r="CW7" s="27">
        <f t="shared" si="7"/>
        <v>121.37592763999999</v>
      </c>
      <c r="CX7" s="27">
        <f>CX35-'COGS + SG&amp;A'!CX120</f>
        <v>31.533999999999999</v>
      </c>
      <c r="CY7" s="27">
        <f>CY35-'COGS + SG&amp;A'!CY120</f>
        <v>28.225000000000001</v>
      </c>
      <c r="CZ7" s="27">
        <f>CZ35-'COGS + SG&amp;A'!CZ120</f>
        <v>35.608999999999995</v>
      </c>
      <c r="DA7" s="27">
        <f>DA35-'COGS + SG&amp;A'!DA120</f>
        <v>44.972999999999999</v>
      </c>
      <c r="DB7" s="27">
        <f t="shared" si="8"/>
        <v>140.34100000000001</v>
      </c>
      <c r="DC7" s="27">
        <f>DC35-'COGS + SG&amp;A'!DC120</f>
        <v>27.619</v>
      </c>
      <c r="DD7" s="27">
        <f>DD35-'COGS + SG&amp;A'!DD120</f>
        <v>23.937999999999999</v>
      </c>
      <c r="DE7" s="27">
        <f>DE35-'COGS + SG&amp;A'!DE120</f>
        <v>27.875000000000004</v>
      </c>
      <c r="DF7" s="27">
        <f>DF35-'COGS + SG&amp;A'!DF120</f>
        <v>49.552</v>
      </c>
      <c r="DG7" s="27">
        <f t="shared" si="9"/>
        <v>128.98400000000001</v>
      </c>
      <c r="DH7" s="27">
        <f>DH35-'COGS + SG&amp;A'!DH120</f>
        <v>34.215000000000003</v>
      </c>
      <c r="DI7" s="27">
        <f>DI35-'COGS + SG&amp;A'!DI120</f>
        <v>12.116</v>
      </c>
      <c r="DJ7" s="27">
        <f>DJ35-'COGS + SG&amp;A'!DJ120</f>
        <v>33.672000000000004</v>
      </c>
      <c r="DK7" s="27">
        <f>DK35-'COGS + SG&amp;A'!DK120</f>
        <v>38.686</v>
      </c>
      <c r="DL7" s="27">
        <f t="shared" si="10"/>
        <v>118.68900000000002</v>
      </c>
      <c r="DM7" s="27">
        <f>DM35-'COGS + SG&amp;A'!DM120</f>
        <v>28.360000000000003</v>
      </c>
      <c r="DN7" s="27">
        <f>DN35-'COGS + SG&amp;A'!DN120</f>
        <v>22.206000000000003</v>
      </c>
      <c r="DO7" s="27">
        <f>DO35-'COGS + SG&amp;A'!DO120</f>
        <v>36.775999999999996</v>
      </c>
      <c r="DP7" s="27">
        <f>DP35-'COGS + SG&amp;A'!DP120</f>
        <v>61.233000000000004</v>
      </c>
      <c r="DQ7" s="27">
        <f t="shared" si="11"/>
        <v>148.57499999999999</v>
      </c>
      <c r="DR7" s="27">
        <f>DR35-'COGS + SG&amp;A'!DR120</f>
        <v>38.971000000000004</v>
      </c>
      <c r="DS7" s="27">
        <f>DS35-'COGS + SG&amp;A'!DS120</f>
        <v>35.245000000000005</v>
      </c>
      <c r="DT7" s="27">
        <f>DT35-'COGS + SG&amp;A'!DT120</f>
        <v>52.815999999999995</v>
      </c>
      <c r="DU7" s="27">
        <f>DU35-'COGS + SG&amp;A'!DU120</f>
        <v>56.661999999999992</v>
      </c>
      <c r="DV7" s="27">
        <f t="shared" si="12"/>
        <v>183.69400000000002</v>
      </c>
      <c r="DW7" s="27">
        <f>DW35-'COGS + SG&amp;A'!DW120</f>
        <v>53.334999999999994</v>
      </c>
      <c r="DX7" s="27">
        <f>DX35-'COGS + SG&amp;A'!DX120</f>
        <v>49.200000000000017</v>
      </c>
      <c r="DY7" s="27">
        <f>DY35-'COGS + SG&amp;A'!DY120</f>
        <v>63.253570060000001</v>
      </c>
      <c r="DZ7" s="27">
        <f>DZ35-'COGS + SG&amp;A'!DZ120</f>
        <v>81.253224809999978</v>
      </c>
      <c r="EA7" s="27">
        <f t="shared" si="13"/>
        <v>247.04179486999999</v>
      </c>
      <c r="EB7" s="27">
        <f>EB35-'COGS + SG&amp;A'!EB120</f>
        <v>68.489214889999985</v>
      </c>
      <c r="EC7" s="27">
        <f>EC35-'COGS + SG&amp;A'!EC120</f>
        <v>69.465725959999986</v>
      </c>
      <c r="ED7" s="27">
        <f>ED35-'COGS + SG&amp;A'!ED120</f>
        <v>78.055999999999997</v>
      </c>
      <c r="EE7" s="27">
        <f>EE35-'COGS + SG&amp;A'!EE120</f>
        <v>68.854720879999988</v>
      </c>
      <c r="EF7" s="27">
        <f t="shared" si="14"/>
        <v>284.86566172999994</v>
      </c>
      <c r="EG7" s="27">
        <f>EG35-'COGS + SG&amp;A'!EG120</f>
        <v>79.188919079999991</v>
      </c>
      <c r="EH7" s="27">
        <f>EH35-'COGS + SG&amp;A'!EH120</f>
        <v>69.648743339999996</v>
      </c>
      <c r="EI7" s="27">
        <f>EI35-'COGS + SG&amp;A'!EI120</f>
        <v>85.656522790000039</v>
      </c>
    </row>
    <row r="8" spans="1:139" ht="15" thickBot="1" x14ac:dyDescent="0.35">
      <c r="A8" s="2" t="s">
        <v>481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28">
        <f>BJ36-'COGS + SG&amp;A'!BJ121</f>
        <v>0</v>
      </c>
      <c r="BK8" s="28">
        <f>BK36-'COGS + SG&amp;A'!BK121</f>
        <v>0</v>
      </c>
      <c r="BL8" s="28">
        <f>BL36-'COGS + SG&amp;A'!BL121</f>
        <v>0</v>
      </c>
      <c r="BM8" s="28">
        <f>BM36-'COGS + SG&amp;A'!BM121</f>
        <v>0</v>
      </c>
      <c r="BN8" s="28">
        <f t="shared" si="0"/>
        <v>0</v>
      </c>
      <c r="BO8" s="28">
        <f>BO36-'COGS + SG&amp;A'!BO121</f>
        <v>0</v>
      </c>
      <c r="BP8" s="28">
        <f>BP36-'COGS + SG&amp;A'!BP121</f>
        <v>0</v>
      </c>
      <c r="BQ8" s="28">
        <f>BQ36-'COGS + SG&amp;A'!BQ121</f>
        <v>0</v>
      </c>
      <c r="BR8" s="28">
        <f>BR36-'COGS + SG&amp;A'!BR121</f>
        <v>0</v>
      </c>
      <c r="BS8" s="28">
        <f t="shared" si="1"/>
        <v>0</v>
      </c>
      <c r="BT8" s="28">
        <f>BT36-'COGS + SG&amp;A'!BT121</f>
        <v>0</v>
      </c>
      <c r="BU8" s="28">
        <f>BU36-'COGS + SG&amp;A'!BU121</f>
        <v>-0.40899101000000004</v>
      </c>
      <c r="BV8" s="28">
        <f>BV36-'COGS + SG&amp;A'!BV121</f>
        <v>-1.5939244699999999</v>
      </c>
      <c r="BW8" s="28">
        <f>BW36-'COGS + SG&amp;A'!BW121</f>
        <v>-1.9722952100000002</v>
      </c>
      <c r="BX8" s="28">
        <f t="shared" si="2"/>
        <v>-3.9752106899999999</v>
      </c>
      <c r="BY8" s="28">
        <f>BY36-'COGS + SG&amp;A'!BY121</f>
        <v>-3.3537609600000002</v>
      </c>
      <c r="BZ8" s="28">
        <f>BZ36-'COGS + SG&amp;A'!BZ121</f>
        <v>-4.4602412899999999</v>
      </c>
      <c r="CA8" s="28">
        <f>CA36-'COGS + SG&amp;A'!CA121</f>
        <v>-8.4096142599999997</v>
      </c>
      <c r="CB8" s="28">
        <f>CB36-'COGS + SG&amp;A'!CB121</f>
        <v>-17.574400370000003</v>
      </c>
      <c r="CC8" s="28">
        <f t="shared" si="3"/>
        <v>-33.798016880000006</v>
      </c>
      <c r="CD8" s="28">
        <f>CD36-'COGS + SG&amp;A'!CD121</f>
        <v>-18.60832126</v>
      </c>
      <c r="CE8" s="28">
        <f>CE36-'COGS + SG&amp;A'!CE121</f>
        <v>-5.4818337499999981</v>
      </c>
      <c r="CF8" s="28">
        <f>CF36-'COGS + SG&amp;A'!CF121</f>
        <v>13.50435976</v>
      </c>
      <c r="CG8" s="28">
        <f>CG36-'COGS + SG&amp;A'!CG121</f>
        <v>15.777449620000001</v>
      </c>
      <c r="CH8" s="28">
        <f t="shared" si="4"/>
        <v>5.1916543700000037</v>
      </c>
      <c r="CI8" s="28">
        <f>CI36-'COGS + SG&amp;A'!CI121</f>
        <v>12.00178528</v>
      </c>
      <c r="CJ8" s="28">
        <f>CJ36-'COGS + SG&amp;A'!CJ121</f>
        <v>7.8352902100000019</v>
      </c>
      <c r="CK8" s="28">
        <f>CK36-'COGS + SG&amp;A'!CK121</f>
        <v>13.827951179999994</v>
      </c>
      <c r="CL8" s="28">
        <f>CL36-'COGS + SG&amp;A'!CL121</f>
        <v>19.077947510000001</v>
      </c>
      <c r="CM8" s="28">
        <f t="shared" si="5"/>
        <v>52.742974179999997</v>
      </c>
      <c r="CN8" s="28">
        <f>CN36-'COGS + SG&amp;A'!CN121</f>
        <v>13.032217690000001</v>
      </c>
      <c r="CO8" s="28">
        <f>CO36-'COGS + SG&amp;A'!CO121</f>
        <v>10.803757849999998</v>
      </c>
      <c r="CP8" s="28">
        <f>CP36-'COGS + SG&amp;A'!CP121</f>
        <v>13.772221650000002</v>
      </c>
      <c r="CQ8" s="28">
        <f>CQ36-'COGS + SG&amp;A'!CQ121</f>
        <v>12.489802809999995</v>
      </c>
      <c r="CR8" s="28">
        <f t="shared" si="6"/>
        <v>50.097999999999992</v>
      </c>
      <c r="CS8" s="28">
        <f>CS36-'COGS + SG&amp;A'!CS121</f>
        <v>11.726682400000001</v>
      </c>
      <c r="CT8" s="28">
        <f>CT36-'COGS + SG&amp;A'!CT121</f>
        <v>11.880289100000001</v>
      </c>
      <c r="CU8" s="28">
        <f>CU36-'COGS + SG&amp;A'!CU121</f>
        <v>15.665047930000002</v>
      </c>
      <c r="CV8" s="28">
        <f>CV36-'COGS + SG&amp;A'!CV121</f>
        <v>26.554413180000005</v>
      </c>
      <c r="CW8" s="28">
        <f t="shared" si="7"/>
        <v>65.826432610000012</v>
      </c>
      <c r="CX8" s="28">
        <f>CX36-'COGS + SG&amp;A'!CX121</f>
        <v>16.593</v>
      </c>
      <c r="CY8" s="28">
        <f>CY36-'COGS + SG&amp;A'!CY121</f>
        <v>9.4780000000000015</v>
      </c>
      <c r="CZ8" s="28">
        <f>CZ36-'COGS + SG&amp;A'!CZ121</f>
        <v>15.533999999999999</v>
      </c>
      <c r="DA8" s="28">
        <f>DA36-'COGS + SG&amp;A'!DA121</f>
        <v>32.636000000000003</v>
      </c>
      <c r="DB8" s="28">
        <f t="shared" si="8"/>
        <v>74.241000000000014</v>
      </c>
      <c r="DC8" s="28">
        <f>DC36-'COGS + SG&amp;A'!DC121</f>
        <v>13.488999999999999</v>
      </c>
      <c r="DD8" s="28">
        <f>DD36-'COGS + SG&amp;A'!DD121</f>
        <v>9.0440000000000005</v>
      </c>
      <c r="DE8" s="28">
        <f>DE36-'COGS + SG&amp;A'!DE121</f>
        <v>7.7630000000000017</v>
      </c>
      <c r="DF8" s="28">
        <f>DF36-'COGS + SG&amp;A'!DF121</f>
        <v>-4.7679999999999998</v>
      </c>
      <c r="DG8" s="28">
        <f t="shared" si="9"/>
        <v>25.528000000000002</v>
      </c>
      <c r="DH8" s="28">
        <f>DH36-'COGS + SG&amp;A'!DH121</f>
        <v>4.1219999999999999</v>
      </c>
      <c r="DI8" s="28">
        <f>DI36-'COGS + SG&amp;A'!DI121</f>
        <v>-8.9999999999999858E-2</v>
      </c>
      <c r="DJ8" s="28">
        <f>DJ36-'COGS + SG&amp;A'!DJ121</f>
        <v>9.48</v>
      </c>
      <c r="DK8" s="28">
        <f>DK36-'COGS + SG&amp;A'!DK121</f>
        <v>-46.341000000000001</v>
      </c>
      <c r="DL8" s="28">
        <f t="shared" si="10"/>
        <v>-32.829000000000001</v>
      </c>
      <c r="DM8" s="28">
        <f>DM36-'COGS + SG&amp;A'!DM121</f>
        <v>3.9539999999999988</v>
      </c>
      <c r="DN8" s="28">
        <f>DN36-'COGS + SG&amp;A'!DN121</f>
        <v>-8.52</v>
      </c>
      <c r="DO8" s="28">
        <f>DO36-'COGS + SG&amp;A'!DO121</f>
        <v>-9.6430000000000007</v>
      </c>
      <c r="DP8" s="28">
        <f>DP36-'COGS + SG&amp;A'!DP121</f>
        <v>-9.1829999999999998</v>
      </c>
      <c r="DQ8" s="28">
        <f t="shared" si="11"/>
        <v>-23.392000000000003</v>
      </c>
      <c r="DR8" s="28">
        <f>DR36-'COGS + SG&amp;A'!DR121</f>
        <v>-2.3419999999999987</v>
      </c>
      <c r="DS8" s="28">
        <f>DS36-'COGS + SG&amp;A'!DS121</f>
        <v>-3.8899999999999988</v>
      </c>
      <c r="DT8" s="28">
        <f>DT36-'COGS + SG&amp;A'!DT121</f>
        <v>-0.84199999999999875</v>
      </c>
      <c r="DU8" s="28">
        <f>DU36-'COGS + SG&amp;A'!DU121</f>
        <v>-1.8079999999999998</v>
      </c>
      <c r="DV8" s="28">
        <f t="shared" si="12"/>
        <v>-8.8819999999999961</v>
      </c>
      <c r="DW8" s="28">
        <f>DW36-'COGS + SG&amp;A'!DW121</f>
        <v>-10.767999999999999</v>
      </c>
      <c r="DX8" s="28">
        <f>DX36-'COGS + SG&amp;A'!DX121</f>
        <v>-4.4190000000000058</v>
      </c>
      <c r="DY8" s="28">
        <f>DY36-'COGS + SG&amp;A'!DY121</f>
        <v>-5.4271675999999633</v>
      </c>
      <c r="DZ8" s="28">
        <f>DZ36-'COGS + SG&amp;A'!DZ121</f>
        <v>-162.12686157000005</v>
      </c>
      <c r="EA8" s="28">
        <f t="shared" si="13"/>
        <v>-182.74102917000002</v>
      </c>
      <c r="EB8" s="28">
        <f>EB36-'COGS + SG&amp;A'!EB121</f>
        <v>-2.7567151900000084</v>
      </c>
      <c r="EC8" s="28">
        <f>EC36-'COGS + SG&amp;A'!EC121</f>
        <v>-8.7391104499999894</v>
      </c>
      <c r="ED8" s="28">
        <f>ED36-'COGS + SG&amp;A'!ED121</f>
        <v>-3.3810000000000002</v>
      </c>
      <c r="EE8" s="28">
        <f>EE36-'COGS + SG&amp;A'!EE121</f>
        <v>-47.476166549999967</v>
      </c>
      <c r="EF8" s="28">
        <f t="shared" si="14"/>
        <v>-62.352992189999966</v>
      </c>
      <c r="EG8" s="28">
        <f>EG36-'COGS + SG&amp;A'!EG121</f>
        <v>-4.1146573299999964</v>
      </c>
      <c r="EH8" s="28">
        <f>EH36-'COGS + SG&amp;A'!EH121</f>
        <v>-9.6075834100000037</v>
      </c>
      <c r="EI8" s="28">
        <f>EI36-'COGS + SG&amp;A'!EI121</f>
        <v>185.92772932999998</v>
      </c>
    </row>
    <row r="9" spans="1:139" ht="15" thickTop="1" x14ac:dyDescent="0.3">
      <c r="A9" s="1" t="s">
        <v>445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27">
        <f>BJ37-'COGS + SG&amp;A'!BJ122</f>
        <v>0</v>
      </c>
      <c r="BK9" s="27">
        <f>BK37-'COGS + SG&amp;A'!BK122</f>
        <v>0</v>
      </c>
      <c r="BL9" s="27">
        <f>BL37-'COGS + SG&amp;A'!BL122</f>
        <v>0</v>
      </c>
      <c r="BM9" s="27">
        <f>BM37-'COGS + SG&amp;A'!BM122</f>
        <v>0</v>
      </c>
      <c r="BN9" s="27">
        <f t="shared" si="0"/>
        <v>0</v>
      </c>
      <c r="BO9" s="27">
        <f>BO37-'COGS + SG&amp;A'!BO122</f>
        <v>0</v>
      </c>
      <c r="BP9" s="27">
        <f>BP37-'COGS + SG&amp;A'!BP122</f>
        <v>0</v>
      </c>
      <c r="BQ9" s="27">
        <f>BQ37-'COGS + SG&amp;A'!BQ122</f>
        <v>0</v>
      </c>
      <c r="BR9" s="27">
        <f>BR37-'COGS + SG&amp;A'!BR122</f>
        <v>0</v>
      </c>
      <c r="BS9" s="27">
        <f t="shared" si="1"/>
        <v>0</v>
      </c>
      <c r="BT9" s="27">
        <f>BT37-'COGS + SG&amp;A'!BT122</f>
        <v>0</v>
      </c>
      <c r="BU9" s="27">
        <f>BU37-'COGS + SG&amp;A'!BU122</f>
        <v>0</v>
      </c>
      <c r="BV9" s="27">
        <f>BV37-'COGS + SG&amp;A'!BV122</f>
        <v>0</v>
      </c>
      <c r="BW9" s="27">
        <f>BW37-'COGS + SG&amp;A'!BW122</f>
        <v>0</v>
      </c>
      <c r="BX9" s="27">
        <f t="shared" si="2"/>
        <v>0</v>
      </c>
      <c r="BY9" s="27">
        <f>BY37-'COGS + SG&amp;A'!BY122</f>
        <v>0</v>
      </c>
      <c r="BZ9" s="27">
        <f>BZ37-'COGS + SG&amp;A'!BZ122</f>
        <v>0</v>
      </c>
      <c r="CA9" s="27">
        <f>CA37-'COGS + SG&amp;A'!CA122</f>
        <v>0</v>
      </c>
      <c r="CB9" s="27">
        <f>CB37-'COGS + SG&amp;A'!CB122</f>
        <v>0</v>
      </c>
      <c r="CC9" s="27">
        <f t="shared" si="3"/>
        <v>0</v>
      </c>
      <c r="CD9" s="27">
        <f>CD37-'COGS + SG&amp;A'!CD122</f>
        <v>0</v>
      </c>
      <c r="CE9" s="27">
        <f>CE37-'COGS + SG&amp;A'!CE122</f>
        <v>0</v>
      </c>
      <c r="CF9" s="27">
        <f>CF37-'COGS + SG&amp;A'!CF122</f>
        <v>0</v>
      </c>
      <c r="CG9" s="27">
        <f>CG37-'COGS + SG&amp;A'!CG122</f>
        <v>0</v>
      </c>
      <c r="CH9" s="27">
        <f t="shared" si="4"/>
        <v>0</v>
      </c>
      <c r="CI9" s="27">
        <f>CI37-'COGS + SG&amp;A'!CI122</f>
        <v>0</v>
      </c>
      <c r="CJ9" s="27">
        <f>CJ37-'COGS + SG&amp;A'!CJ122</f>
        <v>3.7013381999999999</v>
      </c>
      <c r="CK9" s="27">
        <f>CK37-'COGS + SG&amp;A'!CK122</f>
        <v>12.79726567</v>
      </c>
      <c r="CL9" s="27">
        <f>CL37-'COGS + SG&amp;A'!CL122</f>
        <v>12.078087549999999</v>
      </c>
      <c r="CM9" s="27">
        <f t="shared" si="5"/>
        <v>28.57669142</v>
      </c>
      <c r="CN9" s="27">
        <f>CN37-'COGS + SG&amp;A'!CN122</f>
        <v>12.462544059999999</v>
      </c>
      <c r="CO9" s="27">
        <f>CO37-'COGS + SG&amp;A'!CO122</f>
        <v>13.00582198</v>
      </c>
      <c r="CP9" s="27">
        <f>CP37-'COGS + SG&amp;A'!CP122</f>
        <v>15.714577700000003</v>
      </c>
      <c r="CQ9" s="27">
        <f>CQ37-'COGS + SG&amp;A'!CQ122</f>
        <v>13.879056260000002</v>
      </c>
      <c r="CR9" s="27">
        <f t="shared" si="6"/>
        <v>55.061999999999998</v>
      </c>
      <c r="CS9" s="27">
        <f>CS37-'COGS + SG&amp;A'!CS122</f>
        <v>16.366079920000001</v>
      </c>
      <c r="CT9" s="27">
        <f>CT37-'COGS + SG&amp;A'!CT122</f>
        <v>14.848893659999998</v>
      </c>
      <c r="CU9" s="27">
        <f>CU37-'COGS + SG&amp;A'!CU122</f>
        <v>18.065302340000002</v>
      </c>
      <c r="CV9" s="27">
        <f>CV37-'COGS + SG&amp;A'!CV122</f>
        <v>10.650304810000002</v>
      </c>
      <c r="CW9" s="27">
        <f t="shared" si="7"/>
        <v>59.930580730000003</v>
      </c>
      <c r="CX9" s="27">
        <f>CX37-'COGS + SG&amp;A'!CX122</f>
        <v>18.608000000000001</v>
      </c>
      <c r="CY9" s="27">
        <f>CY37-'COGS + SG&amp;A'!CY122</f>
        <v>15.692999999999998</v>
      </c>
      <c r="CZ9" s="27">
        <f>CZ37-'COGS + SG&amp;A'!CZ122</f>
        <v>13.214</v>
      </c>
      <c r="DA9" s="27">
        <f>DA37-'COGS + SG&amp;A'!DA122</f>
        <v>16.018999999999998</v>
      </c>
      <c r="DB9" s="27">
        <f t="shared" si="8"/>
        <v>63.533999999999999</v>
      </c>
      <c r="DC9" s="27">
        <f>DC37-'COGS + SG&amp;A'!DC122</f>
        <v>11.581999999999999</v>
      </c>
      <c r="DD9" s="27">
        <f>DD37-'COGS + SG&amp;A'!DD122</f>
        <v>11.032999999999999</v>
      </c>
      <c r="DE9" s="27">
        <f>DE37-'COGS + SG&amp;A'!DE122</f>
        <v>10.946999999999999</v>
      </c>
      <c r="DF9" s="27">
        <f>DF37-'COGS + SG&amp;A'!DF122</f>
        <v>10.762</v>
      </c>
      <c r="DG9" s="27">
        <f t="shared" si="9"/>
        <v>44.323999999999998</v>
      </c>
      <c r="DH9" s="27">
        <f>DH37-'COGS + SG&amp;A'!DH122</f>
        <v>12.338999999999999</v>
      </c>
      <c r="DI9" s="27">
        <f>DI37-'COGS + SG&amp;A'!DI122</f>
        <v>4.3959999999999999</v>
      </c>
      <c r="DJ9" s="27">
        <f>DJ37-'COGS + SG&amp;A'!DJ122</f>
        <v>10.981</v>
      </c>
      <c r="DK9" s="27">
        <f>DK37-'COGS + SG&amp;A'!DK122</f>
        <v>10.768000000000001</v>
      </c>
      <c r="DL9" s="27">
        <f t="shared" si="10"/>
        <v>38.484000000000002</v>
      </c>
      <c r="DM9" s="27">
        <f>DM37-'COGS + SG&amp;A'!DM122</f>
        <v>11.416</v>
      </c>
      <c r="DN9" s="27">
        <f>DN37-'COGS + SG&amp;A'!DN122</f>
        <v>10.728999999999999</v>
      </c>
      <c r="DO9" s="27">
        <f>DO37-'COGS + SG&amp;A'!DO122</f>
        <v>16.088999999999999</v>
      </c>
      <c r="DP9" s="27">
        <f>DP37-'COGS + SG&amp;A'!DP122</f>
        <v>25.42</v>
      </c>
      <c r="DQ9" s="27">
        <f t="shared" si="11"/>
        <v>63.653999999999996</v>
      </c>
      <c r="DR9" s="27">
        <f>DR37-'COGS + SG&amp;A'!DR122</f>
        <v>12.806000000000001</v>
      </c>
      <c r="DS9" s="27">
        <f>DS37-'COGS + SG&amp;A'!DS122</f>
        <v>13.294999999999998</v>
      </c>
      <c r="DT9" s="27">
        <f>DT37-'COGS + SG&amp;A'!DT122</f>
        <v>22.609000000000002</v>
      </c>
      <c r="DU9" s="27">
        <f>DU37-'COGS + SG&amp;A'!DU122</f>
        <v>34.928999999999995</v>
      </c>
      <c r="DV9" s="27">
        <f t="shared" si="12"/>
        <v>83.638999999999996</v>
      </c>
      <c r="DW9" s="27">
        <f>DW37-'COGS + SG&amp;A'!DW122</f>
        <v>18.425000000000001</v>
      </c>
      <c r="DX9" s="27">
        <f>DX37-'COGS + SG&amp;A'!DX122</f>
        <v>18.488000000000007</v>
      </c>
      <c r="DY9" s="27">
        <f>DY37-'COGS + SG&amp;A'!DY122</f>
        <v>19.903548739999991</v>
      </c>
      <c r="DZ9" s="27">
        <f>DZ37-'COGS + SG&amp;A'!DZ122</f>
        <v>23.788864090000033</v>
      </c>
      <c r="EA9" s="27">
        <f t="shared" si="13"/>
        <v>80.605412830000034</v>
      </c>
      <c r="EB9" s="27">
        <f>EB37-'COGS + SG&amp;A'!EB122</f>
        <v>17.274029389999999</v>
      </c>
      <c r="EC9" s="27">
        <f>EC37-'COGS + SG&amp;A'!EC122</f>
        <v>20.878821379999998</v>
      </c>
      <c r="ED9" s="27">
        <f>ED37-'COGS + SG&amp;A'!ED122</f>
        <v>20.857999999999997</v>
      </c>
      <c r="EE9" s="27">
        <f>EE37-'COGS + SG&amp;A'!EE122</f>
        <v>21.491488830000023</v>
      </c>
      <c r="EF9" s="27">
        <f t="shared" si="14"/>
        <v>80.502339600000028</v>
      </c>
      <c r="EG9" s="27">
        <f>EG37-'COGS + SG&amp;A'!EG122</f>
        <v>18.046811249999998</v>
      </c>
      <c r="EH9" s="27">
        <f>EH37-'COGS + SG&amp;A'!EH122</f>
        <v>17.907967960000001</v>
      </c>
      <c r="EI9" s="27">
        <f>EI37-'COGS + SG&amp;A'!EI122</f>
        <v>19.932059690000003</v>
      </c>
    </row>
    <row r="10" spans="1:139" ht="15" thickBot="1" x14ac:dyDescent="0.35">
      <c r="A10" s="2" t="s">
        <v>444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28">
        <f>BJ38-'COGS + SG&amp;A'!BJ123</f>
        <v>0</v>
      </c>
      <c r="BK10" s="28">
        <f>BK38-'COGS + SG&amp;A'!BK123</f>
        <v>0</v>
      </c>
      <c r="BL10" s="28">
        <f>BL38-'COGS + SG&amp;A'!BL123</f>
        <v>0</v>
      </c>
      <c r="BM10" s="28">
        <f>BM38-'COGS + SG&amp;A'!BM123</f>
        <v>0</v>
      </c>
      <c r="BN10" s="28">
        <f t="shared" si="0"/>
        <v>0</v>
      </c>
      <c r="BO10" s="28">
        <f>BO38-'COGS + SG&amp;A'!BO123</f>
        <v>0</v>
      </c>
      <c r="BP10" s="28">
        <f>BP38-'COGS + SG&amp;A'!BP123</f>
        <v>0</v>
      </c>
      <c r="BQ10" s="28">
        <f>BQ38-'COGS + SG&amp;A'!BQ123</f>
        <v>0</v>
      </c>
      <c r="BR10" s="28">
        <f>BR38-'COGS + SG&amp;A'!BR123</f>
        <v>0</v>
      </c>
      <c r="BS10" s="28">
        <f t="shared" si="1"/>
        <v>0</v>
      </c>
      <c r="BT10" s="28">
        <f>BT38-'COGS + SG&amp;A'!BT123</f>
        <v>0</v>
      </c>
      <c r="BU10" s="28">
        <f>BU38-'COGS + SG&amp;A'!BU123</f>
        <v>0</v>
      </c>
      <c r="BV10" s="28">
        <f>BV38-'COGS + SG&amp;A'!BV123</f>
        <v>0</v>
      </c>
      <c r="BW10" s="28">
        <f>BW38-'COGS + SG&amp;A'!BW123</f>
        <v>0</v>
      </c>
      <c r="BX10" s="28">
        <f t="shared" si="2"/>
        <v>0</v>
      </c>
      <c r="BY10" s="28">
        <f>BY38-'COGS + SG&amp;A'!BY123</f>
        <v>0</v>
      </c>
      <c r="BZ10" s="28">
        <f>BZ38-'COGS + SG&amp;A'!BZ123</f>
        <v>0</v>
      </c>
      <c r="CA10" s="28">
        <f>CA38-'COGS + SG&amp;A'!CA123</f>
        <v>0</v>
      </c>
      <c r="CB10" s="28">
        <f>CB38-'COGS + SG&amp;A'!CB123</f>
        <v>0</v>
      </c>
      <c r="CC10" s="28">
        <f t="shared" si="3"/>
        <v>0</v>
      </c>
      <c r="CD10" s="28">
        <f>CD38-'COGS + SG&amp;A'!CD123</f>
        <v>0</v>
      </c>
      <c r="CE10" s="28">
        <f>CE38-'COGS + SG&amp;A'!CE123</f>
        <v>0</v>
      </c>
      <c r="CF10" s="28">
        <f>CF38-'COGS + SG&amp;A'!CF123</f>
        <v>0</v>
      </c>
      <c r="CG10" s="28">
        <f>CG38-'COGS + SG&amp;A'!CG123</f>
        <v>0</v>
      </c>
      <c r="CH10" s="28">
        <f t="shared" si="4"/>
        <v>0</v>
      </c>
      <c r="CI10" s="28">
        <f>CI38-'COGS + SG&amp;A'!CI123</f>
        <v>0</v>
      </c>
      <c r="CJ10" s="28">
        <f>CJ38-'COGS + SG&amp;A'!CJ123</f>
        <v>0</v>
      </c>
      <c r="CK10" s="28">
        <f>CK38-'COGS + SG&amp;A'!CK123</f>
        <v>0</v>
      </c>
      <c r="CL10" s="28">
        <f>CL38-'COGS + SG&amp;A'!CL123</f>
        <v>0</v>
      </c>
      <c r="CM10" s="28">
        <f t="shared" si="5"/>
        <v>0</v>
      </c>
      <c r="CN10" s="28">
        <f>CN38-'COGS + SG&amp;A'!CN123</f>
        <v>0</v>
      </c>
      <c r="CO10" s="28">
        <f>CO38-'COGS + SG&amp;A'!CO123</f>
        <v>0</v>
      </c>
      <c r="CP10" s="28">
        <f>CP38-'COGS + SG&amp;A'!CP123</f>
        <v>0</v>
      </c>
      <c r="CQ10" s="28">
        <f>CQ38-'COGS + SG&amp;A'!CQ123</f>
        <v>0</v>
      </c>
      <c r="CR10" s="28">
        <f t="shared" si="6"/>
        <v>0</v>
      </c>
      <c r="CS10" s="28">
        <f>CS38-'COGS + SG&amp;A'!CS123</f>
        <v>0</v>
      </c>
      <c r="CT10" s="28">
        <f>CT38-'COGS + SG&amp;A'!CT123</f>
        <v>0</v>
      </c>
      <c r="CU10" s="28">
        <f>CU38-'COGS + SG&amp;A'!CU123</f>
        <v>0</v>
      </c>
      <c r="CV10" s="28">
        <f>CV38-'COGS + SG&amp;A'!CV123</f>
        <v>0</v>
      </c>
      <c r="CW10" s="28">
        <f t="shared" si="7"/>
        <v>0</v>
      </c>
      <c r="CX10" s="28">
        <f>CX38-'COGS + SG&amp;A'!CX123</f>
        <v>0</v>
      </c>
      <c r="CY10" s="28">
        <f>CY38-'COGS + SG&amp;A'!CY123</f>
        <v>0</v>
      </c>
      <c r="CZ10" s="28">
        <f>CZ38-'COGS + SG&amp;A'!CZ123</f>
        <v>0</v>
      </c>
      <c r="DA10" s="28">
        <f>DA38-'COGS + SG&amp;A'!DA123</f>
        <v>0</v>
      </c>
      <c r="DB10" s="28">
        <f t="shared" si="8"/>
        <v>0</v>
      </c>
      <c r="DC10" s="28">
        <f>DC38-'COGS + SG&amp;A'!DC123</f>
        <v>0</v>
      </c>
      <c r="DD10" s="28">
        <f>DD38-'COGS + SG&amp;A'!DD123</f>
        <v>1.0339999999999998</v>
      </c>
      <c r="DE10" s="28">
        <f>DE38-'COGS + SG&amp;A'!DE123</f>
        <v>6.5019999999999989</v>
      </c>
      <c r="DF10" s="28">
        <f>DF38-'COGS + SG&amp;A'!DF123</f>
        <v>28.390999999999998</v>
      </c>
      <c r="DG10" s="28">
        <f t="shared" si="9"/>
        <v>35.927</v>
      </c>
      <c r="DH10" s="28">
        <f>DH38-'COGS + SG&amp;A'!DH123</f>
        <v>9.3609999999999989</v>
      </c>
      <c r="DI10" s="28">
        <f>DI38-'COGS + SG&amp;A'!DI123</f>
        <v>8.8039999999999985</v>
      </c>
      <c r="DJ10" s="28">
        <f>DJ38-'COGS + SG&amp;A'!DJ123</f>
        <v>18.321000000000002</v>
      </c>
      <c r="DK10" s="28">
        <f>DK38-'COGS + SG&amp;A'!DK123</f>
        <v>13.408999999999999</v>
      </c>
      <c r="DL10" s="28">
        <f t="shared" si="10"/>
        <v>49.895000000000003</v>
      </c>
      <c r="DM10" s="28">
        <f>DM38-'COGS + SG&amp;A'!DM123</f>
        <v>17.286999999999999</v>
      </c>
      <c r="DN10" s="28">
        <f>DN38-'COGS + SG&amp;A'!DN123</f>
        <v>14.21</v>
      </c>
      <c r="DO10" s="28">
        <f>DO38-'COGS + SG&amp;A'!DO123</f>
        <v>26.298000000000002</v>
      </c>
      <c r="DP10" s="28">
        <f>DP38-'COGS + SG&amp;A'!DP123</f>
        <v>20.649000000000001</v>
      </c>
      <c r="DQ10" s="28">
        <f t="shared" si="11"/>
        <v>78.444000000000003</v>
      </c>
      <c r="DR10" s="28">
        <f>DR38-'COGS + SG&amp;A'!DR123</f>
        <v>19.451999999999998</v>
      </c>
      <c r="DS10" s="28">
        <f>DS38-'COGS + SG&amp;A'!DS123</f>
        <v>24.464999999999996</v>
      </c>
      <c r="DT10" s="28">
        <f>DT38-'COGS + SG&amp;A'!DT123</f>
        <v>37.93</v>
      </c>
      <c r="DU10" s="28">
        <f>DU38-'COGS + SG&amp;A'!DU123</f>
        <v>34.734999999999999</v>
      </c>
      <c r="DV10" s="28">
        <f t="shared" si="12"/>
        <v>116.58199999999999</v>
      </c>
      <c r="DW10" s="28">
        <f>DW38-'COGS + SG&amp;A'!DW123</f>
        <v>37.725999999999999</v>
      </c>
      <c r="DX10" s="28">
        <f>DX38-'COGS + SG&amp;A'!DX123</f>
        <v>38.741000000000014</v>
      </c>
      <c r="DY10" s="28">
        <f>DY38-'COGS + SG&amp;A'!DY123</f>
        <v>38.420490039999976</v>
      </c>
      <c r="DZ10" s="28">
        <f>DZ38-'COGS + SG&amp;A'!DZ123</f>
        <v>49.67487296000013</v>
      </c>
      <c r="EA10" s="28">
        <f t="shared" si="13"/>
        <v>164.56236300000012</v>
      </c>
      <c r="EB10" s="28">
        <f>EB38-'COGS + SG&amp;A'!EB123</f>
        <v>36.263028679999991</v>
      </c>
      <c r="EC10" s="28">
        <f>EC38-'COGS + SG&amp;A'!EC123</f>
        <v>38.419182509999999</v>
      </c>
      <c r="ED10" s="28">
        <f>ED38-'COGS + SG&amp;A'!ED123</f>
        <v>42.136000000000003</v>
      </c>
      <c r="EE10" s="28">
        <f>EE38-'COGS + SG&amp;A'!EE123</f>
        <v>50.199361300000064</v>
      </c>
      <c r="EF10" s="28">
        <f t="shared" si="14"/>
        <v>167.01757249000008</v>
      </c>
      <c r="EG10" s="28">
        <f>EG38-'COGS + SG&amp;A'!EG123</f>
        <v>32.105790780000007</v>
      </c>
      <c r="EH10" s="28">
        <f>EH38-'COGS + SG&amp;A'!EH123</f>
        <v>40.44853049999999</v>
      </c>
      <c r="EI10" s="28">
        <f>EI38-'COGS + SG&amp;A'!EI123</f>
        <v>51.012901869999993</v>
      </c>
    </row>
    <row r="11" spans="1:139" ht="15" thickTop="1" x14ac:dyDescent="0.3">
      <c r="A11" s="1" t="s">
        <v>456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27">
        <f>BJ39-'COGS + SG&amp;A'!BJ124</f>
        <v>0</v>
      </c>
      <c r="BK11" s="27">
        <f>BK39-'COGS + SG&amp;A'!BK124</f>
        <v>0</v>
      </c>
      <c r="BL11" s="27">
        <f>BL39-'COGS + SG&amp;A'!BL124</f>
        <v>0</v>
      </c>
      <c r="BM11" s="27">
        <f>BM39-'COGS + SG&amp;A'!BM124</f>
        <v>0</v>
      </c>
      <c r="BN11" s="27">
        <f t="shared" si="0"/>
        <v>0</v>
      </c>
      <c r="BO11" s="27">
        <f>BO39-'COGS + SG&amp;A'!BO124</f>
        <v>0</v>
      </c>
      <c r="BP11" s="27">
        <f>BP39-'COGS + SG&amp;A'!BP124</f>
        <v>0</v>
      </c>
      <c r="BQ11" s="27">
        <f>BQ39-'COGS + SG&amp;A'!BQ124</f>
        <v>0</v>
      </c>
      <c r="BR11" s="27">
        <f>BR39-'COGS + SG&amp;A'!BR124</f>
        <v>0</v>
      </c>
      <c r="BS11" s="27">
        <f t="shared" si="1"/>
        <v>0</v>
      </c>
      <c r="BT11" s="27">
        <f>BT39-'COGS + SG&amp;A'!BT124</f>
        <v>0</v>
      </c>
      <c r="BU11" s="27">
        <f>BU39-'COGS + SG&amp;A'!BU124</f>
        <v>0</v>
      </c>
      <c r="BV11" s="27">
        <f>BV39-'COGS + SG&amp;A'!BV124</f>
        <v>0</v>
      </c>
      <c r="BW11" s="27">
        <f>BW39-'COGS + SG&amp;A'!BW124</f>
        <v>0</v>
      </c>
      <c r="BX11" s="27">
        <f t="shared" si="2"/>
        <v>0</v>
      </c>
      <c r="BY11" s="27">
        <f>BY39-'COGS + SG&amp;A'!BY124</f>
        <v>0</v>
      </c>
      <c r="BZ11" s="27">
        <f>BZ39-'COGS + SG&amp;A'!BZ124</f>
        <v>0</v>
      </c>
      <c r="CA11" s="27">
        <f>CA39-'COGS + SG&amp;A'!CA124</f>
        <v>0</v>
      </c>
      <c r="CB11" s="27">
        <f>CB39-'COGS + SG&amp;A'!CB124</f>
        <v>0</v>
      </c>
      <c r="CC11" s="27">
        <f t="shared" si="3"/>
        <v>0</v>
      </c>
      <c r="CD11" s="27">
        <f>CD39-'COGS + SG&amp;A'!CD124</f>
        <v>0</v>
      </c>
      <c r="CE11" s="27">
        <f>CE39-'COGS + SG&amp;A'!CE124</f>
        <v>0</v>
      </c>
      <c r="CF11" s="27">
        <f>CF39-'COGS + SG&amp;A'!CF124</f>
        <v>0</v>
      </c>
      <c r="CG11" s="27">
        <f>CG39-'COGS + SG&amp;A'!CG124</f>
        <v>0</v>
      </c>
      <c r="CH11" s="27">
        <f t="shared" si="4"/>
        <v>0</v>
      </c>
      <c r="CI11" s="27">
        <f>CI39-'COGS + SG&amp;A'!CI124</f>
        <v>0</v>
      </c>
      <c r="CJ11" s="27">
        <f>CJ39-'COGS + SG&amp;A'!CJ124</f>
        <v>0</v>
      </c>
      <c r="CK11" s="27">
        <f>CK39-'COGS + SG&amp;A'!CK124</f>
        <v>0</v>
      </c>
      <c r="CL11" s="27">
        <f>CL39-'COGS + SG&amp;A'!CL124</f>
        <v>0</v>
      </c>
      <c r="CM11" s="27">
        <f t="shared" si="5"/>
        <v>0</v>
      </c>
      <c r="CN11" s="27">
        <f>CN39-'COGS + SG&amp;A'!CN124</f>
        <v>0</v>
      </c>
      <c r="CO11" s="27">
        <f>CO39-'COGS + SG&amp;A'!CO124</f>
        <v>0</v>
      </c>
      <c r="CP11" s="27">
        <f>CP39-'COGS + SG&amp;A'!CP124</f>
        <v>0</v>
      </c>
      <c r="CQ11" s="27">
        <f>CQ39-'COGS + SG&amp;A'!CQ124</f>
        <v>0</v>
      </c>
      <c r="CR11" s="27">
        <f t="shared" si="6"/>
        <v>0</v>
      </c>
      <c r="CS11" s="27">
        <f>CS39-'COGS + SG&amp;A'!CS124</f>
        <v>0</v>
      </c>
      <c r="CT11" s="27">
        <f>CT39-'COGS + SG&amp;A'!CT124</f>
        <v>0</v>
      </c>
      <c r="CU11" s="27">
        <f>CU39-'COGS + SG&amp;A'!CU124</f>
        <v>0</v>
      </c>
      <c r="CV11" s="27">
        <f>CV39-'COGS + SG&amp;A'!CV124</f>
        <v>0</v>
      </c>
      <c r="CW11" s="27">
        <f t="shared" si="7"/>
        <v>0</v>
      </c>
      <c r="CX11" s="27">
        <f>CX39-'COGS + SG&amp;A'!CX124</f>
        <v>0</v>
      </c>
      <c r="CY11" s="27">
        <f>CY39-'COGS + SG&amp;A'!CY124</f>
        <v>-0.45500000000000002</v>
      </c>
      <c r="CZ11" s="27">
        <f>CZ39-'COGS + SG&amp;A'!CZ124</f>
        <v>-4.4609999999999994</v>
      </c>
      <c r="DA11" s="27">
        <f>DA39-'COGS + SG&amp;A'!DA124</f>
        <v>-7.0409999999999995</v>
      </c>
      <c r="DB11" s="27">
        <f t="shared" si="8"/>
        <v>-11.956999999999999</v>
      </c>
      <c r="DC11" s="27">
        <f>DC39-'COGS + SG&amp;A'!DC124</f>
        <v>-10.984</v>
      </c>
      <c r="DD11" s="27">
        <f>DD39-'COGS + SG&amp;A'!DD124</f>
        <v>34.756999999999998</v>
      </c>
      <c r="DE11" s="27">
        <f>DE39-'COGS + SG&amp;A'!DE124</f>
        <v>38.472000000000001</v>
      </c>
      <c r="DF11" s="27">
        <f>DF39-'COGS + SG&amp;A'!DF124</f>
        <v>39.012999999999998</v>
      </c>
      <c r="DG11" s="27">
        <f t="shared" si="9"/>
        <v>101.258</v>
      </c>
      <c r="DH11" s="27">
        <f>DH39-'COGS + SG&amp;A'!DH124</f>
        <v>35.067999999999998</v>
      </c>
      <c r="DI11" s="27">
        <f>DI39-'COGS + SG&amp;A'!DI124</f>
        <v>23.782000000000004</v>
      </c>
      <c r="DJ11" s="27">
        <f>DJ39-'COGS + SG&amp;A'!DJ124</f>
        <v>40.354999999999997</v>
      </c>
      <c r="DK11" s="27">
        <f>DK39-'COGS + SG&amp;A'!DK124</f>
        <v>46.519000000000005</v>
      </c>
      <c r="DL11" s="27">
        <f t="shared" si="10"/>
        <v>145.72399999999999</v>
      </c>
      <c r="DM11" s="27">
        <f>DM39-'COGS + SG&amp;A'!DM124</f>
        <v>38.453000000000003</v>
      </c>
      <c r="DN11" s="27">
        <f>DN39-'COGS + SG&amp;A'!DN124</f>
        <v>40.099999999999994</v>
      </c>
      <c r="DO11" s="27">
        <f>DO39-'COGS + SG&amp;A'!DO124</f>
        <v>47.835999999999999</v>
      </c>
      <c r="DP11" s="27">
        <f>DP39-'COGS + SG&amp;A'!DP124</f>
        <v>47.272000000000006</v>
      </c>
      <c r="DQ11" s="27">
        <f t="shared" si="11"/>
        <v>173.661</v>
      </c>
      <c r="DR11" s="27">
        <f>DR39-'COGS + SG&amp;A'!DR124</f>
        <v>41.872</v>
      </c>
      <c r="DS11" s="27">
        <f>DS39-'COGS + SG&amp;A'!DS124</f>
        <v>49.128</v>
      </c>
      <c r="DT11" s="27">
        <f>DT39-'COGS + SG&amp;A'!DT124</f>
        <v>56.429000000000002</v>
      </c>
      <c r="DU11" s="27">
        <f>DU39-'COGS + SG&amp;A'!DU124</f>
        <v>55.018999999999998</v>
      </c>
      <c r="DV11" s="27">
        <f t="shared" si="12"/>
        <v>202.44800000000001</v>
      </c>
      <c r="DW11" s="27">
        <f>DW39-'COGS + SG&amp;A'!DW124</f>
        <v>49.612000000000002</v>
      </c>
      <c r="DX11" s="27">
        <f>DX39-'COGS + SG&amp;A'!DX124</f>
        <v>48.612999999999992</v>
      </c>
      <c r="DY11" s="27">
        <f>DY39-'COGS + SG&amp;A'!DY124</f>
        <v>52.345499230000101</v>
      </c>
      <c r="DZ11" s="27">
        <f>DZ39-'COGS + SG&amp;A'!DZ124</f>
        <v>51.716440159999806</v>
      </c>
      <c r="EA11" s="27">
        <f t="shared" si="13"/>
        <v>202.28693938999993</v>
      </c>
      <c r="EB11" s="27">
        <f>EB39-'COGS + SG&amp;A'!EB124</f>
        <v>50.302976899999976</v>
      </c>
      <c r="EC11" s="27">
        <f>EC39-'COGS + SG&amp;A'!EC124</f>
        <v>51.528713430000025</v>
      </c>
      <c r="ED11" s="27">
        <f>ED39-'COGS + SG&amp;A'!ED124</f>
        <v>55.076000000000001</v>
      </c>
      <c r="EE11" s="27">
        <f>EE39-'COGS + SG&amp;A'!EE124</f>
        <v>60.20270895000003</v>
      </c>
      <c r="EF11" s="27">
        <f t="shared" si="14"/>
        <v>217.11039928000002</v>
      </c>
      <c r="EG11" s="27">
        <f>EG39-'COGS + SG&amp;A'!EG124</f>
        <v>57.102496640000012</v>
      </c>
      <c r="EH11" s="27">
        <f>EH39-'COGS + SG&amp;A'!EH124</f>
        <v>60.709044479999982</v>
      </c>
      <c r="EI11" s="27">
        <f>EI39-'COGS + SG&amp;A'!EI124</f>
        <v>63.830851499999994</v>
      </c>
    </row>
    <row r="12" spans="1:139" ht="15" thickBot="1" x14ac:dyDescent="0.35">
      <c r="A12" s="2" t="s">
        <v>446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28">
        <f>BJ40-'COGS + SG&amp;A'!BJ125</f>
        <v>0</v>
      </c>
      <c r="BK12" s="28">
        <f>BK40-'COGS + SG&amp;A'!BK125</f>
        <v>0</v>
      </c>
      <c r="BL12" s="28">
        <f>BL40-'COGS + SG&amp;A'!BL125</f>
        <v>0</v>
      </c>
      <c r="BM12" s="28">
        <f>BM40-'COGS + SG&amp;A'!BM125</f>
        <v>0</v>
      </c>
      <c r="BN12" s="28">
        <f t="shared" si="0"/>
        <v>0</v>
      </c>
      <c r="BO12" s="28">
        <f>BO40-'COGS + SG&amp;A'!BO125</f>
        <v>0</v>
      </c>
      <c r="BP12" s="28">
        <f>BP40-'COGS + SG&amp;A'!BP125</f>
        <v>0</v>
      </c>
      <c r="BQ12" s="28">
        <f>BQ40-'COGS + SG&amp;A'!BQ125</f>
        <v>0</v>
      </c>
      <c r="BR12" s="28">
        <f>BR40-'COGS + SG&amp;A'!BR125</f>
        <v>0</v>
      </c>
      <c r="BS12" s="28">
        <f t="shared" si="1"/>
        <v>0</v>
      </c>
      <c r="BT12" s="28">
        <f>BT40-'COGS + SG&amp;A'!BT125</f>
        <v>0</v>
      </c>
      <c r="BU12" s="28">
        <f>BU40-'COGS + SG&amp;A'!BU125</f>
        <v>0</v>
      </c>
      <c r="BV12" s="28">
        <f>BV40-'COGS + SG&amp;A'!BV125</f>
        <v>0</v>
      </c>
      <c r="BW12" s="28">
        <f>BW40-'COGS + SG&amp;A'!BW125</f>
        <v>0</v>
      </c>
      <c r="BX12" s="28">
        <f t="shared" si="2"/>
        <v>0</v>
      </c>
      <c r="BY12" s="28">
        <f>BY40-'COGS + SG&amp;A'!BY125</f>
        <v>0</v>
      </c>
      <c r="BZ12" s="28">
        <f>BZ40-'COGS + SG&amp;A'!BZ125</f>
        <v>0</v>
      </c>
      <c r="CA12" s="28">
        <f>CA40-'COGS + SG&amp;A'!CA125</f>
        <v>0</v>
      </c>
      <c r="CB12" s="28">
        <f>CB40-'COGS + SG&amp;A'!CB125</f>
        <v>0</v>
      </c>
      <c r="CC12" s="28">
        <f t="shared" si="3"/>
        <v>0</v>
      </c>
      <c r="CD12" s="28">
        <f>CD40-'COGS + SG&amp;A'!CD125</f>
        <v>0</v>
      </c>
      <c r="CE12" s="28">
        <f>CE40-'COGS + SG&amp;A'!CE125</f>
        <v>0</v>
      </c>
      <c r="CF12" s="28">
        <f>CF40-'COGS + SG&amp;A'!CF125</f>
        <v>0</v>
      </c>
      <c r="CG12" s="28">
        <f>CG40-'COGS + SG&amp;A'!CG125</f>
        <v>0</v>
      </c>
      <c r="CH12" s="28">
        <f t="shared" si="4"/>
        <v>0</v>
      </c>
      <c r="CI12" s="28">
        <f>CI40-'COGS + SG&amp;A'!CI125</f>
        <v>0</v>
      </c>
      <c r="CJ12" s="28">
        <f>CJ40-'COGS + SG&amp;A'!CJ125</f>
        <v>0</v>
      </c>
      <c r="CK12" s="28">
        <f>CK40-'COGS + SG&amp;A'!CK125</f>
        <v>0</v>
      </c>
      <c r="CL12" s="28">
        <f>CL40-'COGS + SG&amp;A'!CL125</f>
        <v>0</v>
      </c>
      <c r="CM12" s="28">
        <f t="shared" si="5"/>
        <v>0</v>
      </c>
      <c r="CN12" s="28">
        <f>CN40-'COGS + SG&amp;A'!CN125</f>
        <v>0</v>
      </c>
      <c r="CO12" s="28">
        <f>CO40-'COGS + SG&amp;A'!CO125</f>
        <v>0</v>
      </c>
      <c r="CP12" s="28">
        <f>CP40-'COGS + SG&amp;A'!CP125</f>
        <v>0</v>
      </c>
      <c r="CQ12" s="28">
        <f>CQ40-'COGS + SG&amp;A'!CQ125</f>
        <v>0</v>
      </c>
      <c r="CR12" s="28">
        <f t="shared" si="6"/>
        <v>0</v>
      </c>
      <c r="CS12" s="28">
        <f>CS40-'COGS + SG&amp;A'!CS125</f>
        <v>0</v>
      </c>
      <c r="CT12" s="28">
        <f>CT40-'COGS + SG&amp;A'!CT125</f>
        <v>0</v>
      </c>
      <c r="CU12" s="28">
        <f>CU40-'COGS + SG&amp;A'!CU125</f>
        <v>0</v>
      </c>
      <c r="CV12" s="28">
        <f>CV40-'COGS + SG&amp;A'!CV125</f>
        <v>0</v>
      </c>
      <c r="CW12" s="28">
        <f t="shared" si="7"/>
        <v>0</v>
      </c>
      <c r="CX12" s="28">
        <f>CX40-'COGS + SG&amp;A'!CX125</f>
        <v>0</v>
      </c>
      <c r="CY12" s="28">
        <f>CY40-'COGS + SG&amp;A'!CY125</f>
        <v>0</v>
      </c>
      <c r="CZ12" s="28">
        <f>CZ40-'COGS + SG&amp;A'!CZ125</f>
        <v>0</v>
      </c>
      <c r="DA12" s="28">
        <f>DA40-'COGS + SG&amp;A'!DA125</f>
        <v>0</v>
      </c>
      <c r="DB12" s="28">
        <f t="shared" si="8"/>
        <v>0</v>
      </c>
      <c r="DC12" s="28">
        <f>DC40-'COGS + SG&amp;A'!DC125</f>
        <v>0</v>
      </c>
      <c r="DD12" s="28">
        <f>DD40-'COGS + SG&amp;A'!DD125</f>
        <v>0</v>
      </c>
      <c r="DE12" s="28">
        <f>DE40-'COGS + SG&amp;A'!DE125</f>
        <v>0</v>
      </c>
      <c r="DF12" s="28">
        <f>DF40-'COGS + SG&amp;A'!DF125</f>
        <v>-1.4999999999999999E-2</v>
      </c>
      <c r="DG12" s="28">
        <f t="shared" si="9"/>
        <v>-1.4999999999999999E-2</v>
      </c>
      <c r="DH12" s="28">
        <f>DH40-'COGS + SG&amp;A'!DH125</f>
        <v>-3.4529999999999998</v>
      </c>
      <c r="DI12" s="28">
        <f>DI40-'COGS + SG&amp;A'!DI125</f>
        <v>-5.3529999999999998</v>
      </c>
      <c r="DJ12" s="28">
        <f>DJ40-'COGS + SG&amp;A'!DJ125</f>
        <v>-9.3019999999999996</v>
      </c>
      <c r="DK12" s="28">
        <f>DK40-'COGS + SG&amp;A'!DK125</f>
        <v>-8.9380000000000006</v>
      </c>
      <c r="DL12" s="28">
        <f t="shared" si="10"/>
        <v>-27.045999999999999</v>
      </c>
      <c r="DM12" s="28">
        <f>DM40-'COGS + SG&amp;A'!DM125</f>
        <v>10.107000000000001</v>
      </c>
      <c r="DN12" s="28">
        <f>DN40-'COGS + SG&amp;A'!DN125</f>
        <v>14.711000000000002</v>
      </c>
      <c r="DO12" s="28">
        <f>DO40-'COGS + SG&amp;A'!DO125</f>
        <v>27.910000000000004</v>
      </c>
      <c r="DP12" s="28">
        <f>DP40-'COGS + SG&amp;A'!DP125</f>
        <v>5.1560000000000006</v>
      </c>
      <c r="DQ12" s="28">
        <f t="shared" si="11"/>
        <v>57.884000000000007</v>
      </c>
      <c r="DR12" s="28">
        <f>DR40-'COGS + SG&amp;A'!DR125</f>
        <v>12.988</v>
      </c>
      <c r="DS12" s="28">
        <f>DS40-'COGS + SG&amp;A'!DS125</f>
        <v>15.55</v>
      </c>
      <c r="DT12" s="28">
        <f>DT40-'COGS + SG&amp;A'!DT125</f>
        <v>16.559999999999999</v>
      </c>
      <c r="DU12" s="28">
        <f>DU40-'COGS + SG&amp;A'!DU125</f>
        <v>5.7570000000000006</v>
      </c>
      <c r="DV12" s="28">
        <f t="shared" si="12"/>
        <v>50.854999999999997</v>
      </c>
      <c r="DW12" s="28">
        <f>DW40-'COGS + SG&amp;A'!DW125</f>
        <v>15.834000000000001</v>
      </c>
      <c r="DX12" s="28">
        <f>DX40-'COGS + SG&amp;A'!DX125</f>
        <v>17.85100000000001</v>
      </c>
      <c r="DY12" s="28">
        <f>DY40-'COGS + SG&amp;A'!DY125</f>
        <v>20.041688500000028</v>
      </c>
      <c r="DZ12" s="28">
        <f>DZ40-'COGS + SG&amp;A'!DZ125</f>
        <v>14.69837487999995</v>
      </c>
      <c r="EA12" s="28">
        <f t="shared" si="13"/>
        <v>68.425063379999983</v>
      </c>
      <c r="EB12" s="28">
        <f>EB40-'COGS + SG&amp;A'!EB125</f>
        <v>15.856782120000005</v>
      </c>
      <c r="EC12" s="28">
        <f>EC40-'COGS + SG&amp;A'!EC125</f>
        <v>13.942595679999986</v>
      </c>
      <c r="ED12" s="28">
        <f>ED40-'COGS + SG&amp;A'!ED125</f>
        <v>13.865</v>
      </c>
      <c r="EE12" s="28">
        <f>EE40-'COGS + SG&amp;A'!EE125</f>
        <v>17.489102419999959</v>
      </c>
      <c r="EF12" s="28">
        <f t="shared" si="14"/>
        <v>61.153480219999949</v>
      </c>
      <c r="EG12" s="28">
        <f>EG40-'COGS + SG&amp;A'!EG125</f>
        <v>11.707031569999998</v>
      </c>
      <c r="EH12" s="28">
        <f>EH40-'COGS + SG&amp;A'!EH125</f>
        <v>12.700030269999996</v>
      </c>
      <c r="EI12" s="28">
        <f>EI40-'COGS + SG&amp;A'!EI125</f>
        <v>16.913914350000002</v>
      </c>
    </row>
    <row r="13" spans="1:139" ht="15" thickTop="1" x14ac:dyDescent="0.3">
      <c r="A13" s="1" t="s">
        <v>447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7">
        <f>BJ41-'COGS + SG&amp;A'!BJ126</f>
        <v>0</v>
      </c>
      <c r="BK13" s="27">
        <f>BK41-'COGS + SG&amp;A'!BK126</f>
        <v>0</v>
      </c>
      <c r="BL13" s="27">
        <f>BL41-'COGS + SG&amp;A'!BL126</f>
        <v>0</v>
      </c>
      <c r="BM13" s="27">
        <f>BM41-'COGS + SG&amp;A'!BM126</f>
        <v>0</v>
      </c>
      <c r="BN13" s="27">
        <f t="shared" si="0"/>
        <v>0</v>
      </c>
      <c r="BO13" s="27">
        <f>BO41-'COGS + SG&amp;A'!BO126</f>
        <v>0</v>
      </c>
      <c r="BP13" s="27">
        <f>BP41-'COGS + SG&amp;A'!BP126</f>
        <v>0</v>
      </c>
      <c r="BQ13" s="27">
        <f>BQ41-'COGS + SG&amp;A'!BQ126</f>
        <v>0</v>
      </c>
      <c r="BR13" s="27">
        <f>BR41-'COGS + SG&amp;A'!BR126</f>
        <v>0</v>
      </c>
      <c r="BS13" s="27">
        <f t="shared" si="1"/>
        <v>0</v>
      </c>
      <c r="BT13" s="27">
        <f>BT41-'COGS + SG&amp;A'!BT126</f>
        <v>0</v>
      </c>
      <c r="BU13" s="27">
        <f>BU41-'COGS + SG&amp;A'!BU126</f>
        <v>0</v>
      </c>
      <c r="BV13" s="27">
        <f>BV41-'COGS + SG&amp;A'!BV126</f>
        <v>0</v>
      </c>
      <c r="BW13" s="27">
        <f>BW41-'COGS + SG&amp;A'!BW126</f>
        <v>0</v>
      </c>
      <c r="BX13" s="27">
        <f t="shared" si="2"/>
        <v>0</v>
      </c>
      <c r="BY13" s="27">
        <f>BY41-'COGS + SG&amp;A'!BY126</f>
        <v>0</v>
      </c>
      <c r="BZ13" s="27">
        <f>BZ41-'COGS + SG&amp;A'!BZ126</f>
        <v>0</v>
      </c>
      <c r="CA13" s="27">
        <f>CA41-'COGS + SG&amp;A'!CA126</f>
        <v>0</v>
      </c>
      <c r="CB13" s="27">
        <f>CB41-'COGS + SG&amp;A'!CB126</f>
        <v>0</v>
      </c>
      <c r="CC13" s="27">
        <f t="shared" si="3"/>
        <v>0</v>
      </c>
      <c r="CD13" s="27">
        <f>CD41-'COGS + SG&amp;A'!CD126</f>
        <v>0</v>
      </c>
      <c r="CE13" s="27">
        <f>CE41-'COGS + SG&amp;A'!CE126</f>
        <v>0</v>
      </c>
      <c r="CF13" s="27">
        <f>CF41-'COGS + SG&amp;A'!CF126</f>
        <v>0</v>
      </c>
      <c r="CG13" s="27">
        <f>CG41-'COGS + SG&amp;A'!CG126</f>
        <v>0</v>
      </c>
      <c r="CH13" s="27">
        <f t="shared" si="4"/>
        <v>0</v>
      </c>
      <c r="CI13" s="27">
        <f>CI41-'COGS + SG&amp;A'!CI126</f>
        <v>0</v>
      </c>
      <c r="CJ13" s="27">
        <f>CJ41-'COGS + SG&amp;A'!CJ126</f>
        <v>0</v>
      </c>
      <c r="CK13" s="27">
        <f>CK41-'COGS + SG&amp;A'!CK126</f>
        <v>0</v>
      </c>
      <c r="CL13" s="27">
        <f>CL41-'COGS + SG&amp;A'!CL126</f>
        <v>0</v>
      </c>
      <c r="CM13" s="27">
        <f t="shared" si="5"/>
        <v>0</v>
      </c>
      <c r="CN13" s="27">
        <f>CN41-'COGS + SG&amp;A'!CN126</f>
        <v>0</v>
      </c>
      <c r="CO13" s="27">
        <f>CO41-'COGS + SG&amp;A'!CO126</f>
        <v>0</v>
      </c>
      <c r="CP13" s="27">
        <f>CP41-'COGS + SG&amp;A'!CP126</f>
        <v>0</v>
      </c>
      <c r="CQ13" s="27">
        <f>CQ41-'COGS + SG&amp;A'!CQ126</f>
        <v>0</v>
      </c>
      <c r="CR13" s="27">
        <f t="shared" si="6"/>
        <v>0</v>
      </c>
      <c r="CS13" s="27">
        <f>CS41-'COGS + SG&amp;A'!CS126</f>
        <v>0</v>
      </c>
      <c r="CT13" s="27">
        <f>CT41-'COGS + SG&amp;A'!CT126</f>
        <v>0</v>
      </c>
      <c r="CU13" s="27">
        <f>CU41-'COGS + SG&amp;A'!CU126</f>
        <v>0</v>
      </c>
      <c r="CV13" s="27">
        <f>CV41-'COGS + SG&amp;A'!CV126</f>
        <v>0</v>
      </c>
      <c r="CW13" s="27">
        <f t="shared" si="7"/>
        <v>0</v>
      </c>
      <c r="CX13" s="27">
        <f>CX41-'COGS + SG&amp;A'!CX126</f>
        <v>0</v>
      </c>
      <c r="CY13" s="27">
        <f>CY41-'COGS + SG&amp;A'!CY126</f>
        <v>0</v>
      </c>
      <c r="CZ13" s="27">
        <f>CZ41-'COGS + SG&amp;A'!CZ126</f>
        <v>0</v>
      </c>
      <c r="DA13" s="27">
        <f>DA41-'COGS + SG&amp;A'!DA126</f>
        <v>0</v>
      </c>
      <c r="DB13" s="27">
        <f t="shared" si="8"/>
        <v>0</v>
      </c>
      <c r="DC13" s="27">
        <f>DC41-'COGS + SG&amp;A'!DC126</f>
        <v>0</v>
      </c>
      <c r="DD13" s="27">
        <f>DD41-'COGS + SG&amp;A'!DD126</f>
        <v>0</v>
      </c>
      <c r="DE13" s="27">
        <f>DE41-'COGS + SG&amp;A'!DE126</f>
        <v>0</v>
      </c>
      <c r="DF13" s="27">
        <f>DF41-'COGS + SG&amp;A'!DF126</f>
        <v>0</v>
      </c>
      <c r="DG13" s="27">
        <f t="shared" si="9"/>
        <v>0</v>
      </c>
      <c r="DH13" s="27">
        <f>DH41-'COGS + SG&amp;A'!DH126</f>
        <v>0</v>
      </c>
      <c r="DI13" s="27">
        <f>DI41-'COGS + SG&amp;A'!DI126</f>
        <v>0</v>
      </c>
      <c r="DJ13" s="27">
        <f>DJ41-'COGS + SG&amp;A'!DJ126</f>
        <v>0</v>
      </c>
      <c r="DK13" s="27">
        <f>DK41-'COGS + SG&amp;A'!DK126</f>
        <v>0</v>
      </c>
      <c r="DL13" s="27">
        <f t="shared" si="10"/>
        <v>0</v>
      </c>
      <c r="DM13" s="27">
        <f>DM41-'COGS + SG&amp;A'!DM126</f>
        <v>0</v>
      </c>
      <c r="DN13" s="27">
        <f>DN41-'COGS + SG&amp;A'!DN126</f>
        <v>0</v>
      </c>
      <c r="DO13" s="27">
        <f>DO41-'COGS + SG&amp;A'!DO126</f>
        <v>-0.90900000000000003</v>
      </c>
      <c r="DP13" s="27">
        <f>DP41-'COGS + SG&amp;A'!DP126</f>
        <v>-10.734</v>
      </c>
      <c r="DQ13" s="27">
        <f t="shared" si="11"/>
        <v>-11.643000000000001</v>
      </c>
      <c r="DR13" s="27">
        <f>DR41-'COGS + SG&amp;A'!DR126</f>
        <v>-11.661000000000001</v>
      </c>
      <c r="DS13" s="27">
        <f>DS41-'COGS + SG&amp;A'!DS126</f>
        <v>-22.927</v>
      </c>
      <c r="DT13" s="27">
        <f>DT41-'COGS + SG&amp;A'!DT126</f>
        <v>-28.420999999999999</v>
      </c>
      <c r="DU13" s="27">
        <f>DU41-'COGS + SG&amp;A'!DU126</f>
        <v>66.528000000000006</v>
      </c>
      <c r="DV13" s="27">
        <f t="shared" si="12"/>
        <v>3.5190000000000055</v>
      </c>
      <c r="DW13" s="27">
        <f>DW41-'COGS + SG&amp;A'!DW126</f>
        <v>62.043999999999997</v>
      </c>
      <c r="DX13" s="27">
        <f>DX41-'COGS + SG&amp;A'!DX126</f>
        <v>60.427000000000021</v>
      </c>
      <c r="DY13" s="27">
        <f>DY41-'COGS + SG&amp;A'!DY126</f>
        <v>88.642083400000004</v>
      </c>
      <c r="DZ13" s="27">
        <f>DZ41-'COGS + SG&amp;A'!DZ126</f>
        <v>77.249147260000001</v>
      </c>
      <c r="EA13" s="27">
        <f t="shared" si="13"/>
        <v>288.36223066000002</v>
      </c>
      <c r="EB13" s="27">
        <f>EB41-'COGS + SG&amp;A'!EB126</f>
        <v>66.623342849999986</v>
      </c>
      <c r="EC13" s="27">
        <f>EC41-'COGS + SG&amp;A'!EC126</f>
        <v>72.693111990000048</v>
      </c>
      <c r="ED13" s="27">
        <f>ED41-'COGS + SG&amp;A'!ED126</f>
        <v>80.825999999999993</v>
      </c>
      <c r="EE13" s="27">
        <f>EE41-'COGS + SG&amp;A'!EE126</f>
        <v>77.617463810000146</v>
      </c>
      <c r="EF13" s="27">
        <f t="shared" si="14"/>
        <v>297.75991865000015</v>
      </c>
      <c r="EG13" s="27">
        <f>EG41-'COGS + SG&amp;A'!EG126</f>
        <v>65.117140810000009</v>
      </c>
      <c r="EH13" s="27">
        <f>EH41-'COGS + SG&amp;A'!EH126</f>
        <v>67.065155120000014</v>
      </c>
      <c r="EI13" s="27">
        <f>EI41-'COGS + SG&amp;A'!EI126</f>
        <v>78.31945247000003</v>
      </c>
    </row>
    <row r="14" spans="1:139" ht="15" thickBot="1" x14ac:dyDescent="0.35">
      <c r="A14" s="2" t="s">
        <v>448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28">
        <f>BJ42-'COGS + SG&amp;A'!BJ127</f>
        <v>0</v>
      </c>
      <c r="BK14" s="28">
        <f>BK42-'COGS + SG&amp;A'!BK127</f>
        <v>0</v>
      </c>
      <c r="BL14" s="28">
        <f>BL42-'COGS + SG&amp;A'!BL127</f>
        <v>0</v>
      </c>
      <c r="BM14" s="28">
        <f>BM42-'COGS + SG&amp;A'!BM127</f>
        <v>0</v>
      </c>
      <c r="BN14" s="28">
        <f t="shared" si="0"/>
        <v>0</v>
      </c>
      <c r="BO14" s="28">
        <f>BO42-'COGS + SG&amp;A'!BO127</f>
        <v>0</v>
      </c>
      <c r="BP14" s="28">
        <f>BP42-'COGS + SG&amp;A'!BP127</f>
        <v>0</v>
      </c>
      <c r="BQ14" s="28">
        <f>BQ42-'COGS + SG&amp;A'!BQ127</f>
        <v>0</v>
      </c>
      <c r="BR14" s="28">
        <f>BR42-'COGS + SG&amp;A'!BR127</f>
        <v>0</v>
      </c>
      <c r="BS14" s="28">
        <f t="shared" si="1"/>
        <v>0</v>
      </c>
      <c r="BT14" s="28">
        <f>BT42-'COGS + SG&amp;A'!BT127</f>
        <v>0</v>
      </c>
      <c r="BU14" s="28">
        <f>BU42-'COGS + SG&amp;A'!BU127</f>
        <v>0</v>
      </c>
      <c r="BV14" s="28">
        <f>BV42-'COGS + SG&amp;A'!BV127</f>
        <v>0</v>
      </c>
      <c r="BW14" s="28">
        <f>BW42-'COGS + SG&amp;A'!BW127</f>
        <v>0</v>
      </c>
      <c r="BX14" s="28">
        <f t="shared" si="2"/>
        <v>0</v>
      </c>
      <c r="BY14" s="28">
        <f>BY42-'COGS + SG&amp;A'!BY127</f>
        <v>0</v>
      </c>
      <c r="BZ14" s="28">
        <f>BZ42-'COGS + SG&amp;A'!BZ127</f>
        <v>0</v>
      </c>
      <c r="CA14" s="28">
        <f>CA42-'COGS + SG&amp;A'!CA127</f>
        <v>0</v>
      </c>
      <c r="CB14" s="28">
        <f>CB42-'COGS + SG&amp;A'!CB127</f>
        <v>0</v>
      </c>
      <c r="CC14" s="28">
        <f t="shared" si="3"/>
        <v>0</v>
      </c>
      <c r="CD14" s="28">
        <f>CD42-'COGS + SG&amp;A'!CD127</f>
        <v>0</v>
      </c>
      <c r="CE14" s="28">
        <f>CE42-'COGS + SG&amp;A'!CE127</f>
        <v>0</v>
      </c>
      <c r="CF14" s="28">
        <f>CF42-'COGS + SG&amp;A'!CF127</f>
        <v>0</v>
      </c>
      <c r="CG14" s="28">
        <f>CG42-'COGS + SG&amp;A'!CG127</f>
        <v>0</v>
      </c>
      <c r="CH14" s="28">
        <f t="shared" si="4"/>
        <v>0</v>
      </c>
      <c r="CI14" s="28">
        <f>CI42-'COGS + SG&amp;A'!CI127</f>
        <v>0</v>
      </c>
      <c r="CJ14" s="28">
        <f>CJ42-'COGS + SG&amp;A'!CJ127</f>
        <v>0</v>
      </c>
      <c r="CK14" s="28">
        <f>CK42-'COGS + SG&amp;A'!CK127</f>
        <v>0</v>
      </c>
      <c r="CL14" s="28">
        <f>CL42-'COGS + SG&amp;A'!CL127</f>
        <v>0</v>
      </c>
      <c r="CM14" s="28">
        <f t="shared" si="5"/>
        <v>0</v>
      </c>
      <c r="CN14" s="28">
        <f>CN42-'COGS + SG&amp;A'!CN127</f>
        <v>0</v>
      </c>
      <c r="CO14" s="28">
        <f>CO42-'COGS + SG&amp;A'!CO127</f>
        <v>0</v>
      </c>
      <c r="CP14" s="28">
        <f>CP42-'COGS + SG&amp;A'!CP127</f>
        <v>0</v>
      </c>
      <c r="CQ14" s="28">
        <f>CQ42-'COGS + SG&amp;A'!CQ127</f>
        <v>0</v>
      </c>
      <c r="CR14" s="28">
        <f t="shared" si="6"/>
        <v>0</v>
      </c>
      <c r="CS14" s="28">
        <f>CS42-'COGS + SG&amp;A'!CS127</f>
        <v>0</v>
      </c>
      <c r="CT14" s="28">
        <f>CT42-'COGS + SG&amp;A'!CT127</f>
        <v>0</v>
      </c>
      <c r="CU14" s="28">
        <f>CU42-'COGS + SG&amp;A'!CU127</f>
        <v>0</v>
      </c>
      <c r="CV14" s="28">
        <f>CV42-'COGS + SG&amp;A'!CV127</f>
        <v>0</v>
      </c>
      <c r="CW14" s="28">
        <f t="shared" si="7"/>
        <v>0</v>
      </c>
      <c r="CX14" s="28">
        <f>CX42-'COGS + SG&amp;A'!CX127</f>
        <v>0</v>
      </c>
      <c r="CY14" s="28">
        <f>CY42-'COGS + SG&amp;A'!CY127</f>
        <v>-3.7999999999999999E-2</v>
      </c>
      <c r="CZ14" s="28">
        <f>CZ42-'COGS + SG&amp;A'!CZ127</f>
        <v>-5.8999999999999997E-2</v>
      </c>
      <c r="DA14" s="28">
        <f>DA42-'COGS + SG&amp;A'!DA127</f>
        <v>-0.19900000000000001</v>
      </c>
      <c r="DB14" s="28">
        <f t="shared" si="8"/>
        <v>-0.29600000000000004</v>
      </c>
      <c r="DC14" s="28">
        <f>DC42-'COGS + SG&amp;A'!DC127</f>
        <v>-0.121</v>
      </c>
      <c r="DD14" s="28">
        <f>DD42-'COGS + SG&amp;A'!DD127</f>
        <v>-9.0999999999999998E-2</v>
      </c>
      <c r="DE14" s="28">
        <f>DE42-'COGS + SG&amp;A'!DE127</f>
        <v>-9.9000000000000005E-2</v>
      </c>
      <c r="DF14" s="28">
        <f>DF42-'COGS + SG&amp;A'!DF127</f>
        <v>-6.3E-2</v>
      </c>
      <c r="DG14" s="28">
        <f t="shared" si="9"/>
        <v>-0.374</v>
      </c>
      <c r="DH14" s="28">
        <f>DH42-'COGS + SG&amp;A'!DH127</f>
        <v>-8.7999999999999995E-2</v>
      </c>
      <c r="DI14" s="28">
        <f>DI42-'COGS + SG&amp;A'!DI127</f>
        <v>-4.2999999999999997E-2</v>
      </c>
      <c r="DJ14" s="28">
        <f>DJ42-'COGS + SG&amp;A'!DJ127</f>
        <v>-3.4000000000000002E-2</v>
      </c>
      <c r="DK14" s="28">
        <f>DK42-'COGS + SG&amp;A'!DK127</f>
        <v>-3.7999999999999999E-2</v>
      </c>
      <c r="DL14" s="28">
        <f t="shared" si="10"/>
        <v>-0.20300000000000001</v>
      </c>
      <c r="DM14" s="28">
        <f>DM42-'COGS + SG&amp;A'!DM127</f>
        <v>-0.04</v>
      </c>
      <c r="DN14" s="28">
        <f>DN42-'COGS + SG&amp;A'!DN127</f>
        <v>-7.0999999999999994E-2</v>
      </c>
      <c r="DO14" s="28">
        <f>DO42-'COGS + SG&amp;A'!DO127</f>
        <v>0</v>
      </c>
      <c r="DP14" s="28">
        <f>DP42-'COGS + SG&amp;A'!DP127</f>
        <v>-6.0000000000000001E-3</v>
      </c>
      <c r="DQ14" s="28">
        <f t="shared" si="11"/>
        <v>-0.11699999999999999</v>
      </c>
      <c r="DR14" s="28">
        <f>DR42-'COGS + SG&amp;A'!DR127</f>
        <v>-0.128</v>
      </c>
      <c r="DS14" s="28">
        <f>DS42-'COGS + SG&amp;A'!DS127</f>
        <v>-4.1000000000000002E-2</v>
      </c>
      <c r="DT14" s="28">
        <f>DT42-'COGS + SG&amp;A'!DT127</f>
        <v>3.0059999999999998</v>
      </c>
      <c r="DU14" s="28">
        <f>DU42-'COGS + SG&amp;A'!DU127</f>
        <v>34.478000000000002</v>
      </c>
      <c r="DV14" s="28">
        <f t="shared" si="12"/>
        <v>37.314999999999998</v>
      </c>
      <c r="DW14" s="28">
        <f>DW42-'COGS + SG&amp;A'!DW127</f>
        <v>53.677</v>
      </c>
      <c r="DX14" s="28">
        <f>DX42-'COGS + SG&amp;A'!DX127</f>
        <v>87.505999999999986</v>
      </c>
      <c r="DY14" s="28">
        <f>DY42-'COGS + SG&amp;A'!DY127</f>
        <v>92.11565108000012</v>
      </c>
      <c r="DZ14" s="28">
        <f>DZ42-'COGS + SG&amp;A'!DZ127</f>
        <v>132.62694662999974</v>
      </c>
      <c r="EA14" s="28">
        <f t="shared" si="13"/>
        <v>365.92559770999986</v>
      </c>
      <c r="EB14" s="28">
        <f>EB42-'COGS + SG&amp;A'!EB127</f>
        <v>142.30682721000008</v>
      </c>
      <c r="EC14" s="28">
        <f>EC42-'COGS + SG&amp;A'!EC127</f>
        <v>162.27286216000007</v>
      </c>
      <c r="ED14" s="28">
        <f>ED42-'COGS + SG&amp;A'!ED127</f>
        <v>160.74</v>
      </c>
      <c r="EE14" s="28">
        <f>EE42-'COGS + SG&amp;A'!EE127</f>
        <v>169.00847658000038</v>
      </c>
      <c r="EF14" s="28">
        <f t="shared" si="14"/>
        <v>634.32816595000054</v>
      </c>
      <c r="EG14" s="28">
        <f>EG42-'COGS + SG&amp;A'!EG127</f>
        <v>162.76855579000002</v>
      </c>
      <c r="EH14" s="28">
        <f>EH42-'COGS + SG&amp;A'!EH127</f>
        <v>155.34272857000002</v>
      </c>
      <c r="EI14" s="28">
        <f>EI42-'COGS + SG&amp;A'!EI127</f>
        <v>168.13070344000002</v>
      </c>
    </row>
    <row r="15" spans="1:139" ht="15" thickTop="1" x14ac:dyDescent="0.3">
      <c r="A15" s="1" t="s">
        <v>449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27">
        <f>BJ43-'COGS + SG&amp;A'!BJ128</f>
        <v>0</v>
      </c>
      <c r="BK15" s="27">
        <f>BK43-'COGS + SG&amp;A'!BK128</f>
        <v>0</v>
      </c>
      <c r="BL15" s="27">
        <f>BL43-'COGS + SG&amp;A'!BL128</f>
        <v>0</v>
      </c>
      <c r="BM15" s="27">
        <f>BM43-'COGS + SG&amp;A'!BM128</f>
        <v>0</v>
      </c>
      <c r="BN15" s="27">
        <f>SUM(BJ15:BM15)</f>
        <v>0</v>
      </c>
      <c r="BO15" s="27">
        <f>BO43-'COGS + SG&amp;A'!BO128</f>
        <v>0</v>
      </c>
      <c r="BP15" s="27">
        <f>BP43-'COGS + SG&amp;A'!BP128</f>
        <v>0</v>
      </c>
      <c r="BQ15" s="27">
        <f>BQ43-'COGS + SG&amp;A'!BQ128</f>
        <v>0</v>
      </c>
      <c r="BR15" s="27">
        <f>BR43-'COGS + SG&amp;A'!BR128</f>
        <v>0</v>
      </c>
      <c r="BS15" s="27">
        <f>SUM(BO15:BR15)</f>
        <v>0</v>
      </c>
      <c r="BT15" s="27">
        <f>BT43-'COGS + SG&amp;A'!BT128</f>
        <v>0</v>
      </c>
      <c r="BU15" s="27">
        <f>BU43-'COGS + SG&amp;A'!BU128</f>
        <v>0</v>
      </c>
      <c r="BV15" s="27">
        <f>BV43-'COGS + SG&amp;A'!BV128</f>
        <v>0</v>
      </c>
      <c r="BW15" s="27">
        <f>BW43-'COGS + SG&amp;A'!BW128</f>
        <v>0</v>
      </c>
      <c r="BX15" s="27">
        <f>SUM(BT15:BW15)</f>
        <v>0</v>
      </c>
      <c r="BY15" s="27">
        <f>BY43-'COGS + SG&amp;A'!BY128</f>
        <v>0</v>
      </c>
      <c r="BZ15" s="27">
        <f>BZ43-'COGS + SG&amp;A'!BZ128</f>
        <v>0</v>
      </c>
      <c r="CA15" s="27">
        <f>CA43-'COGS + SG&amp;A'!CA128</f>
        <v>0</v>
      </c>
      <c r="CB15" s="27">
        <f>CB43-'COGS + SG&amp;A'!CB128</f>
        <v>0</v>
      </c>
      <c r="CC15" s="27">
        <f>SUM(BY15:CB15)</f>
        <v>0</v>
      </c>
      <c r="CD15" s="27">
        <f>CD43-'COGS + SG&amp;A'!CD128</f>
        <v>0</v>
      </c>
      <c r="CE15" s="27">
        <f>CE43-'COGS + SG&amp;A'!CE128</f>
        <v>0</v>
      </c>
      <c r="CF15" s="27">
        <f>CF43-'COGS + SG&amp;A'!CF128</f>
        <v>0</v>
      </c>
      <c r="CG15" s="27">
        <f>CG43-'COGS + SG&amp;A'!CG128</f>
        <v>0</v>
      </c>
      <c r="CH15" s="27">
        <f>SUM(CD15:CG15)</f>
        <v>0</v>
      </c>
      <c r="CI15" s="27">
        <f>CI43-'COGS + SG&amp;A'!CI128</f>
        <v>0</v>
      </c>
      <c r="CJ15" s="27">
        <f>CJ43-'COGS + SG&amp;A'!CJ128</f>
        <v>0</v>
      </c>
      <c r="CK15" s="27">
        <f>CK43-'COGS + SG&amp;A'!CK128</f>
        <v>0</v>
      </c>
      <c r="CL15" s="27">
        <f>CL43-'COGS + SG&amp;A'!CL128</f>
        <v>0</v>
      </c>
      <c r="CM15" s="27">
        <f>SUM(CI15:CL15)</f>
        <v>0</v>
      </c>
      <c r="CN15" s="27">
        <f>CN43-'COGS + SG&amp;A'!CN128</f>
        <v>0</v>
      </c>
      <c r="CO15" s="27">
        <f>CO43-'COGS + SG&amp;A'!CO128</f>
        <v>0</v>
      </c>
      <c r="CP15" s="27">
        <f>CP43-'COGS + SG&amp;A'!CP128</f>
        <v>0</v>
      </c>
      <c r="CQ15" s="27">
        <f>CQ43-'COGS + SG&amp;A'!CQ128</f>
        <v>0</v>
      </c>
      <c r="CR15" s="27">
        <f>SUM(CN15:CQ15)</f>
        <v>0</v>
      </c>
      <c r="CS15" s="27">
        <f>CS43-'COGS + SG&amp;A'!CS128</f>
        <v>0</v>
      </c>
      <c r="CT15" s="27">
        <f>CT43-'COGS + SG&amp;A'!CT128</f>
        <v>0</v>
      </c>
      <c r="CU15" s="27">
        <f>CU43-'COGS + SG&amp;A'!CU128</f>
        <v>0</v>
      </c>
      <c r="CV15" s="27">
        <f>CV43-'COGS + SG&amp;A'!CV128</f>
        <v>0</v>
      </c>
      <c r="CW15" s="27">
        <f>SUM(CS15:CV15)</f>
        <v>0</v>
      </c>
      <c r="CX15" s="27">
        <f>CX43-'COGS + SG&amp;A'!CX128</f>
        <v>0</v>
      </c>
      <c r="CY15" s="27">
        <f>CY43-'COGS + SG&amp;A'!CY128</f>
        <v>0</v>
      </c>
      <c r="CZ15" s="27">
        <f>CZ43-'COGS + SG&amp;A'!CZ128</f>
        <v>0</v>
      </c>
      <c r="DA15" s="27">
        <f>DA43-'COGS + SG&amp;A'!DA128</f>
        <v>0</v>
      </c>
      <c r="DB15" s="27">
        <f>SUM(CX15:DA15)</f>
        <v>0</v>
      </c>
      <c r="DC15" s="27">
        <f>DC43-'COGS + SG&amp;A'!DC128</f>
        <v>0</v>
      </c>
      <c r="DD15" s="27">
        <f>DD43-'COGS + SG&amp;A'!DD128</f>
        <v>0</v>
      </c>
      <c r="DE15" s="27">
        <f>DE43-'COGS + SG&amp;A'!DE128</f>
        <v>0</v>
      </c>
      <c r="DF15" s="27">
        <f>DF43-'COGS + SG&amp;A'!DF128</f>
        <v>0</v>
      </c>
      <c r="DG15" s="27">
        <f>SUM(DC15:DF15)</f>
        <v>0</v>
      </c>
      <c r="DH15" s="27">
        <f>DH43-'COGS + SG&amp;A'!DH128</f>
        <v>0</v>
      </c>
      <c r="DI15" s="27">
        <f>DI43-'COGS + SG&amp;A'!DI128</f>
        <v>0</v>
      </c>
      <c r="DJ15" s="27">
        <f>DJ43-'COGS + SG&amp;A'!DJ128</f>
        <v>0</v>
      </c>
      <c r="DK15" s="27">
        <f>DK43-'COGS + SG&amp;A'!DK128</f>
        <v>0</v>
      </c>
      <c r="DL15" s="27">
        <f>SUM(DH15:DK15)</f>
        <v>0</v>
      </c>
      <c r="DM15" s="27">
        <f>DM43-'COGS + SG&amp;A'!DM128</f>
        <v>0</v>
      </c>
      <c r="DN15" s="27">
        <f>DN43-'COGS + SG&amp;A'!DN128</f>
        <v>0</v>
      </c>
      <c r="DO15" s="27">
        <f>DO43-'COGS + SG&amp;A'!DO128</f>
        <v>0</v>
      </c>
      <c r="DP15" s="27">
        <f>DP43-'COGS + SG&amp;A'!DP128</f>
        <v>0</v>
      </c>
      <c r="DQ15" s="27">
        <f>SUM(DM15:DP15)</f>
        <v>0</v>
      </c>
      <c r="DR15" s="27">
        <f>DR43-'COGS + SG&amp;A'!DR128</f>
        <v>0</v>
      </c>
      <c r="DS15" s="27">
        <f>DS43-'COGS + SG&amp;A'!DS128</f>
        <v>0</v>
      </c>
      <c r="DT15" s="27">
        <f>DT43-'COGS + SG&amp;A'!DT128</f>
        <v>0</v>
      </c>
      <c r="DU15" s="27">
        <f>DU43-'COGS + SG&amp;A'!DU128</f>
        <v>0</v>
      </c>
      <c r="DV15" s="27">
        <f>SUM(DR15:DU15)</f>
        <v>0</v>
      </c>
      <c r="DW15" s="27">
        <f>DW43-'COGS + SG&amp;A'!DW128</f>
        <v>0</v>
      </c>
      <c r="DX15" s="27">
        <f>DX43-'COGS + SG&amp;A'!DX128</f>
        <v>84.262</v>
      </c>
      <c r="DY15" s="27">
        <f>DY43-'COGS + SG&amp;A'!DY128</f>
        <v>130.92591233000007</v>
      </c>
      <c r="DZ15" s="27">
        <f>DZ43-'COGS + SG&amp;A'!DZ128</f>
        <v>122.11677882999989</v>
      </c>
      <c r="EA15" s="27">
        <f>SUM(DW15:DZ15)</f>
        <v>337.30469115999995</v>
      </c>
      <c r="EB15" s="27">
        <f>EB43-'COGS + SG&amp;A'!EB128</f>
        <v>113.06838778000004</v>
      </c>
      <c r="EC15" s="27">
        <f>EC43-'COGS + SG&amp;A'!EC128</f>
        <v>126.97370066999997</v>
      </c>
      <c r="ED15" s="27">
        <f>ED43-'COGS + SG&amp;A'!ED128</f>
        <v>144.64599999999999</v>
      </c>
      <c r="EE15" s="27">
        <f>EE43-'COGS + SG&amp;A'!EE128</f>
        <v>141.21076198000023</v>
      </c>
      <c r="EF15" s="27">
        <f t="shared" ref="EF15:EF25" si="15">SUM(EB15:EE15)</f>
        <v>525.89885043000027</v>
      </c>
      <c r="EG15" s="27">
        <f>EG43-'COGS + SG&amp;A'!EG128</f>
        <v>131.22681535000001</v>
      </c>
      <c r="EH15" s="27">
        <f>EH43-'COGS + SG&amp;A'!EH128</f>
        <v>153.55005297999998</v>
      </c>
      <c r="EI15" s="27">
        <f>EI43-'COGS + SG&amp;A'!EI128</f>
        <v>175.15732029</v>
      </c>
    </row>
    <row r="16" spans="1:139" ht="15" thickBot="1" x14ac:dyDescent="0.35">
      <c r="A16" s="2" t="s">
        <v>460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>
        <f>EE44-'COGS + SG&amp;A'!EE129</f>
        <v>0</v>
      </c>
      <c r="EF16" s="28">
        <f t="shared" si="15"/>
        <v>0</v>
      </c>
      <c r="EG16" s="28">
        <f>EG44-'COGS + SG&amp;A'!EG129</f>
        <v>2.5377909999999999</v>
      </c>
      <c r="EH16" s="28">
        <f>EH44-'COGS + SG&amp;A'!EH129</f>
        <v>95.076169800000002</v>
      </c>
      <c r="EI16" s="28">
        <f>EI44-'COGS + SG&amp;A'!EI129</f>
        <v>91.622230980000012</v>
      </c>
    </row>
    <row r="17" spans="1:139" ht="15" thickTop="1" x14ac:dyDescent="0.3">
      <c r="A17" s="1" t="s">
        <v>304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27">
        <f>BJ45-'COGS + SG&amp;A'!BJ130</f>
        <v>0</v>
      </c>
      <c r="BK17" s="27">
        <f>BK45-'COGS + SG&amp;A'!BK130</f>
        <v>0</v>
      </c>
      <c r="BL17" s="27">
        <f>BL45-'COGS + SG&amp;A'!BL130</f>
        <v>0</v>
      </c>
      <c r="BM17" s="27">
        <f>BM45-'COGS + SG&amp;A'!BM130</f>
        <v>0</v>
      </c>
      <c r="BN17" s="27">
        <f t="shared" si="0"/>
        <v>0</v>
      </c>
      <c r="BO17" s="27">
        <f>BO45-'COGS + SG&amp;A'!BO130</f>
        <v>0</v>
      </c>
      <c r="BP17" s="27">
        <f>BP45-'COGS + SG&amp;A'!BP130</f>
        <v>0</v>
      </c>
      <c r="BQ17" s="27">
        <f>BQ45-'COGS + SG&amp;A'!BQ130</f>
        <v>0</v>
      </c>
      <c r="BR17" s="27">
        <f>BR45-'COGS + SG&amp;A'!BR130</f>
        <v>0</v>
      </c>
      <c r="BS17" s="27">
        <f t="shared" si="1"/>
        <v>0</v>
      </c>
      <c r="BT17" s="27">
        <f>BT45-'COGS + SG&amp;A'!BT130</f>
        <v>0</v>
      </c>
      <c r="BU17" s="27">
        <f>BU45-'COGS + SG&amp;A'!BU130</f>
        <v>10.14010247</v>
      </c>
      <c r="BV17" s="27">
        <f>BV45-'COGS + SG&amp;A'!BV130</f>
        <v>43.035974169999996</v>
      </c>
      <c r="BW17" s="27">
        <f>BW45-'COGS + SG&amp;A'!BW130</f>
        <v>43.526196329999998</v>
      </c>
      <c r="BX17" s="27">
        <f t="shared" si="2"/>
        <v>96.702272969999996</v>
      </c>
      <c r="BY17" s="27">
        <f>BY45-'COGS + SG&amp;A'!BY130</f>
        <v>32.513647769999999</v>
      </c>
      <c r="BZ17" s="27">
        <f>BZ45-'COGS + SG&amp;A'!BZ130</f>
        <v>47.841698770000001</v>
      </c>
      <c r="CA17" s="27">
        <f>CA45-'COGS + SG&amp;A'!CA130</f>
        <v>29.755551669999999</v>
      </c>
      <c r="CB17" s="27">
        <f>CB45-'COGS + SG&amp;A'!CB130</f>
        <v>25.419922830000004</v>
      </c>
      <c r="CC17" s="27">
        <f t="shared" si="3"/>
        <v>135.53082104000001</v>
      </c>
      <c r="CD17" s="27">
        <f>CD45-'COGS + SG&amp;A'!CD130</f>
        <v>26.834041090000003</v>
      </c>
      <c r="CE17" s="27">
        <f>CE45-'COGS + SG&amp;A'!CE130</f>
        <v>23.499006940000001</v>
      </c>
      <c r="CF17" s="27">
        <f>CF45-'COGS + SG&amp;A'!CF130</f>
        <v>19.675375730000003</v>
      </c>
      <c r="CG17" s="27">
        <f>CG45-'COGS + SG&amp;A'!CG130</f>
        <v>18.641822599999998</v>
      </c>
      <c r="CH17" s="27">
        <f t="shared" si="4"/>
        <v>88.650246359999997</v>
      </c>
      <c r="CI17" s="27">
        <f>CI45-'COGS + SG&amp;A'!CI130</f>
        <v>9.6219197099999985</v>
      </c>
      <c r="CJ17" s="27">
        <f>CJ45-'COGS + SG&amp;A'!CJ130</f>
        <v>-9.4880628899999984</v>
      </c>
      <c r="CK17" s="27">
        <f>CK45-'COGS + SG&amp;A'!CK130</f>
        <v>-15.749904519999999</v>
      </c>
      <c r="CL17" s="27">
        <f>CL45-'COGS + SG&amp;A'!CL130</f>
        <v>-14.471379559999997</v>
      </c>
      <c r="CM17" s="27">
        <f t="shared" si="5"/>
        <v>-30.087427259999998</v>
      </c>
      <c r="CN17" s="27">
        <f>CN45-'COGS + SG&amp;A'!CN130</f>
        <v>-9.5100064399999997</v>
      </c>
      <c r="CO17" s="27">
        <f>CO45-'COGS + SG&amp;A'!CO130</f>
        <v>-17.427378189999999</v>
      </c>
      <c r="CP17" s="27">
        <f>CP45-'COGS + SG&amp;A'!CP130</f>
        <v>-12.982601819999999</v>
      </c>
      <c r="CQ17" s="27">
        <f>CQ45-'COGS + SG&amp;A'!CQ130</f>
        <v>-14.278013549999999</v>
      </c>
      <c r="CR17" s="27">
        <f t="shared" si="6"/>
        <v>-54.197999999999993</v>
      </c>
      <c r="CS17" s="27">
        <f>CS45-'COGS + SG&amp;A'!CS130</f>
        <v>-7.5570264499999995</v>
      </c>
      <c r="CT17" s="27">
        <f>CT45-'COGS + SG&amp;A'!CT130</f>
        <v>-10.99397355</v>
      </c>
      <c r="CU17" s="27">
        <f>CU45-'COGS + SG&amp;A'!CU130</f>
        <v>-3.6420000000000003</v>
      </c>
      <c r="CV17" s="27">
        <f>CV45-'COGS + SG&amp;A'!CV130</f>
        <v>-6.1230000000000011</v>
      </c>
      <c r="CW17" s="27">
        <f t="shared" si="7"/>
        <v>-28.315999999999999</v>
      </c>
      <c r="CX17" s="27">
        <f>CX45-'COGS + SG&amp;A'!CX130</f>
        <v>2.7389999999999999</v>
      </c>
      <c r="CY17" s="27">
        <f>CY45-'COGS + SG&amp;A'!CY130</f>
        <v>-6.9129999999999994</v>
      </c>
      <c r="CZ17" s="27">
        <f>CZ45-'COGS + SG&amp;A'!CZ130</f>
        <v>0.66600000000000037</v>
      </c>
      <c r="DA17" s="27">
        <f>DA45-'COGS + SG&amp;A'!DA130</f>
        <v>-3.774</v>
      </c>
      <c r="DB17" s="27">
        <f t="shared" si="8"/>
        <v>-7.2819999999999991</v>
      </c>
      <c r="DC17" s="27">
        <f>DC45-'COGS + SG&amp;A'!DC130</f>
        <v>-1.9849999999999999</v>
      </c>
      <c r="DD17" s="27">
        <f>DD45-'COGS + SG&amp;A'!DD130</f>
        <v>-1.3629999999999995</v>
      </c>
      <c r="DE17" s="27">
        <f>DE45-'COGS + SG&amp;A'!DE130</f>
        <v>-2.8650000000000002</v>
      </c>
      <c r="DF17" s="27">
        <f>DF45-'COGS + SG&amp;A'!DF130</f>
        <v>33.533999999999999</v>
      </c>
      <c r="DG17" s="27">
        <f t="shared" si="9"/>
        <v>27.320999999999998</v>
      </c>
      <c r="DH17" s="27">
        <f>DH45-'COGS + SG&amp;A'!DH130</f>
        <v>-8.5140000000000011</v>
      </c>
      <c r="DI17" s="27">
        <f>DI45-'COGS + SG&amp;A'!DI130</f>
        <v>0.6120000000000001</v>
      </c>
      <c r="DJ17" s="27">
        <f>DJ45-'COGS + SG&amp;A'!DJ130</f>
        <v>0.68700000000000028</v>
      </c>
      <c r="DK17" s="27">
        <f>DK45-'COGS + SG&amp;A'!DK130</f>
        <v>-72.584000000000003</v>
      </c>
      <c r="DL17" s="27">
        <f t="shared" si="10"/>
        <v>-79.799000000000007</v>
      </c>
      <c r="DM17" s="27">
        <f>DM45-'COGS + SG&amp;A'!DM130</f>
        <v>9.2539999999999996</v>
      </c>
      <c r="DN17" s="27">
        <f>DN45-'COGS + SG&amp;A'!DN130</f>
        <v>1.1600000000000001</v>
      </c>
      <c r="DO17" s="27">
        <f>DO45-'COGS + SG&amp;A'!DO130</f>
        <v>1.5309999999999988</v>
      </c>
      <c r="DP17" s="27">
        <f>DP45-'COGS + SG&amp;A'!DP130</f>
        <v>-0.14499999999999957</v>
      </c>
      <c r="DQ17" s="27">
        <f t="shared" si="11"/>
        <v>11.799999999999999</v>
      </c>
      <c r="DR17" s="27">
        <f>DR45-'COGS + SG&amp;A'!DR130</f>
        <v>-2.1000000000000796E-2</v>
      </c>
      <c r="DS17" s="27">
        <f>DS45-'COGS + SG&amp;A'!DS130</f>
        <v>-3.1919999999999984</v>
      </c>
      <c r="DT17" s="27">
        <f>DT45-'COGS + SG&amp;A'!DT130</f>
        <v>7.9409999999999989</v>
      </c>
      <c r="DU17" s="27">
        <f>DU45-'COGS + SG&amp;A'!DU130</f>
        <v>7.5560000000000009</v>
      </c>
      <c r="DV17" s="27">
        <f t="shared" si="12"/>
        <v>12.284000000000001</v>
      </c>
      <c r="DW17" s="27">
        <f>DW45-'COGS + SG&amp;A'!DW130</f>
        <v>9.1039999999999992</v>
      </c>
      <c r="DX17" s="27">
        <f>DX45-'COGS + SG&amp;A'!DX130</f>
        <v>-5.8760051499999975</v>
      </c>
      <c r="DY17" s="27">
        <f>DY45-'COGS + SG&amp;A'!DY130</f>
        <v>-19.419990139999939</v>
      </c>
      <c r="DZ17" s="27">
        <f>DZ45-'COGS + SG&amp;A'!DZ130</f>
        <v>-5.2492556000000379</v>
      </c>
      <c r="EA17" s="27">
        <f t="shared" ref="EA17:EA25" si="16">SUM(DW17:DZ17)</f>
        <v>-21.441250889999974</v>
      </c>
      <c r="EB17" s="27">
        <f>EB45-'COGS + SG&amp;A'!EB130</f>
        <v>6.73818699</v>
      </c>
      <c r="EC17" s="27">
        <f>EC45-'COGS + SG&amp;A'!EC130</f>
        <v>20.95337408</v>
      </c>
      <c r="ED17" s="27">
        <f>ED45-'COGS + SG&amp;A'!ED130</f>
        <v>10.806000000000001</v>
      </c>
      <c r="EE17" s="27">
        <f>EE45-'COGS + SG&amp;A'!EE130</f>
        <v>4.7673949799999837</v>
      </c>
      <c r="EF17" s="27">
        <f t="shared" si="15"/>
        <v>43.264956049999988</v>
      </c>
      <c r="EG17" s="27">
        <f>EG45-'COGS + SG&amp;A'!EG130</f>
        <v>23.673132539999997</v>
      </c>
      <c r="EH17" s="27">
        <f>EH45-'COGS + SG&amp;A'!EH130</f>
        <v>18.786668409999997</v>
      </c>
      <c r="EI17" s="27">
        <f>EI45-'COGS + SG&amp;A'!EI130</f>
        <v>16.935480570000003</v>
      </c>
    </row>
    <row r="18" spans="1:139" ht="15" thickBot="1" x14ac:dyDescent="0.35">
      <c r="A18" s="2" t="s">
        <v>305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28">
        <f>BJ46-'COGS + SG&amp;A'!BJ131</f>
        <v>0</v>
      </c>
      <c r="BK18" s="28">
        <f>BK46-'COGS + SG&amp;A'!BK131</f>
        <v>0</v>
      </c>
      <c r="BL18" s="28">
        <f>BL46-'COGS + SG&amp;A'!BL131</f>
        <v>0</v>
      </c>
      <c r="BM18" s="28">
        <f>BM46-'COGS + SG&amp;A'!BM131</f>
        <v>0</v>
      </c>
      <c r="BN18" s="28">
        <f t="shared" si="0"/>
        <v>0</v>
      </c>
      <c r="BO18" s="28">
        <f>BO46-'COGS + SG&amp;A'!BO131</f>
        <v>0</v>
      </c>
      <c r="BP18" s="28">
        <f>BP46-'COGS + SG&amp;A'!BP131</f>
        <v>0</v>
      </c>
      <c r="BQ18" s="28">
        <f>BQ46-'COGS + SG&amp;A'!BQ131</f>
        <v>0</v>
      </c>
      <c r="BR18" s="28">
        <f>BR46-'COGS + SG&amp;A'!BR131</f>
        <v>0</v>
      </c>
      <c r="BS18" s="28">
        <f t="shared" si="1"/>
        <v>0</v>
      </c>
      <c r="BT18" s="28">
        <f>BT46-'COGS + SG&amp;A'!BT131</f>
        <v>0</v>
      </c>
      <c r="BU18" s="28">
        <f>BU46-'COGS + SG&amp;A'!BU131</f>
        <v>0</v>
      </c>
      <c r="BV18" s="28">
        <f>BV46-'COGS + SG&amp;A'!BV131</f>
        <v>0</v>
      </c>
      <c r="BW18" s="28">
        <f>BW46-'COGS + SG&amp;A'!BW131</f>
        <v>0</v>
      </c>
      <c r="BX18" s="28">
        <f t="shared" si="2"/>
        <v>0</v>
      </c>
      <c r="BY18" s="28">
        <f>BY46-'COGS + SG&amp;A'!BY131</f>
        <v>0</v>
      </c>
      <c r="BZ18" s="28">
        <f>BZ46-'COGS + SG&amp;A'!BZ131</f>
        <v>0</v>
      </c>
      <c r="CA18" s="28">
        <f>CA46-'COGS + SG&amp;A'!CA131</f>
        <v>0</v>
      </c>
      <c r="CB18" s="28">
        <f>CB46-'COGS + SG&amp;A'!CB131</f>
        <v>0</v>
      </c>
      <c r="CC18" s="28">
        <f t="shared" si="3"/>
        <v>0</v>
      </c>
      <c r="CD18" s="28">
        <f>CD46-'COGS + SG&amp;A'!CD131</f>
        <v>0</v>
      </c>
      <c r="CE18" s="28">
        <f>CE46-'COGS + SG&amp;A'!CE131</f>
        <v>0</v>
      </c>
      <c r="CF18" s="28">
        <f>CF46-'COGS + SG&amp;A'!CF131</f>
        <v>0</v>
      </c>
      <c r="CG18" s="28">
        <f>CG46-'COGS + SG&amp;A'!CG131</f>
        <v>0</v>
      </c>
      <c r="CH18" s="28">
        <f t="shared" si="4"/>
        <v>0</v>
      </c>
      <c r="CI18" s="28">
        <f>CI46-'COGS + SG&amp;A'!CI131</f>
        <v>0</v>
      </c>
      <c r="CJ18" s="28">
        <f>CJ46-'COGS + SG&amp;A'!CJ131</f>
        <v>0</v>
      </c>
      <c r="CK18" s="28">
        <f>CK46-'COGS + SG&amp;A'!CK131</f>
        <v>0</v>
      </c>
      <c r="CL18" s="28">
        <f>CL46-'COGS + SG&amp;A'!CL131</f>
        <v>0</v>
      </c>
      <c r="CM18" s="28">
        <f t="shared" si="5"/>
        <v>0</v>
      </c>
      <c r="CN18" s="28">
        <f>CN46-'COGS + SG&amp;A'!CN131</f>
        <v>0.80600000000000005</v>
      </c>
      <c r="CO18" s="28">
        <f>CO46-'COGS + SG&amp;A'!CO131</f>
        <v>-0.80600000000000005</v>
      </c>
      <c r="CP18" s="28">
        <f>CP46-'COGS + SG&amp;A'!CP131</f>
        <v>0</v>
      </c>
      <c r="CQ18" s="28">
        <f>CQ46-'COGS + SG&amp;A'!CQ131</f>
        <v>0</v>
      </c>
      <c r="CR18" s="28">
        <f t="shared" si="6"/>
        <v>0</v>
      </c>
      <c r="CS18" s="28">
        <f>CS46-'COGS + SG&amp;A'!CS131</f>
        <v>0</v>
      </c>
      <c r="CT18" s="28">
        <f>CT46-'COGS + SG&amp;A'!CT131</f>
        <v>0</v>
      </c>
      <c r="CU18" s="28">
        <f>CU46-'COGS + SG&amp;A'!CU131</f>
        <v>0</v>
      </c>
      <c r="CV18" s="28">
        <f>CV46-'COGS + SG&amp;A'!CV131</f>
        <v>0</v>
      </c>
      <c r="CW18" s="28">
        <f t="shared" si="7"/>
        <v>0</v>
      </c>
      <c r="CX18" s="28">
        <f>CX46-'COGS + SG&amp;A'!CX131</f>
        <v>0</v>
      </c>
      <c r="CY18" s="28">
        <f>CY46-'COGS + SG&amp;A'!CY131</f>
        <v>0</v>
      </c>
      <c r="CZ18" s="28">
        <f>CZ46-'COGS + SG&amp;A'!CZ131</f>
        <v>0</v>
      </c>
      <c r="DA18" s="28">
        <f>DA46-'COGS + SG&amp;A'!DA131</f>
        <v>0</v>
      </c>
      <c r="DB18" s="28">
        <f t="shared" si="8"/>
        <v>0</v>
      </c>
      <c r="DC18" s="28">
        <f>DC46-'COGS + SG&amp;A'!DC131</f>
        <v>-2.0009999999999999</v>
      </c>
      <c r="DD18" s="28">
        <f>DD46-'COGS + SG&amp;A'!DD131</f>
        <v>-1.9790000000000001</v>
      </c>
      <c r="DE18" s="28">
        <f>DE46-'COGS + SG&amp;A'!DE131</f>
        <v>-0.33300000000000196</v>
      </c>
      <c r="DF18" s="28">
        <f>DF46-'COGS + SG&amp;A'!DF131</f>
        <v>-1.8570000000000002</v>
      </c>
      <c r="DG18" s="28">
        <f t="shared" si="9"/>
        <v>-6.1700000000000026</v>
      </c>
      <c r="DH18" s="28">
        <f>DH46-'COGS + SG&amp;A'!DH131</f>
        <v>1.0229999999999999</v>
      </c>
      <c r="DI18" s="28">
        <f>DI46-'COGS + SG&amp;A'!DI131</f>
        <v>3.7489999999999997</v>
      </c>
      <c r="DJ18" s="28">
        <f>DJ46-'COGS + SG&amp;A'!DJ131</f>
        <v>0.75700000000000012</v>
      </c>
      <c r="DK18" s="28">
        <f>DK46-'COGS + SG&amp;A'!DK131</f>
        <v>-2.5880000000000001</v>
      </c>
      <c r="DL18" s="28">
        <f t="shared" si="10"/>
        <v>2.9409999999999998</v>
      </c>
      <c r="DM18" s="28">
        <f>DM46-'COGS + SG&amp;A'!DM131</f>
        <v>0.29700000000000015</v>
      </c>
      <c r="DN18" s="28">
        <f>DN46-'COGS + SG&amp;A'!DN131</f>
        <v>3.4910000000000005</v>
      </c>
      <c r="DO18" s="28">
        <f>DO46-'COGS + SG&amp;A'!DO131</f>
        <v>-1.91</v>
      </c>
      <c r="DP18" s="28">
        <f>DP46-'COGS + SG&amp;A'!DP131</f>
        <v>-2.4980000000000002</v>
      </c>
      <c r="DQ18" s="28">
        <f t="shared" si="11"/>
        <v>-0.61999999999999944</v>
      </c>
      <c r="DR18" s="28">
        <f>DR46-'COGS + SG&amp;A'!DR131</f>
        <v>0.8660000000000001</v>
      </c>
      <c r="DS18" s="28">
        <f>DS46-'COGS + SG&amp;A'!DS131</f>
        <v>1.5880000000000001</v>
      </c>
      <c r="DT18" s="28">
        <f>DT46-'COGS + SG&amp;A'!DT131</f>
        <v>-8.8509999999999991</v>
      </c>
      <c r="DU18" s="28">
        <f>DU46-'COGS + SG&amp;A'!DU131</f>
        <v>0.85999999999999988</v>
      </c>
      <c r="DV18" s="28">
        <f t="shared" si="12"/>
        <v>-5.536999999999999</v>
      </c>
      <c r="DW18" s="28">
        <f>DW46-'COGS + SG&amp;A'!DW131</f>
        <v>4.2229999999999999</v>
      </c>
      <c r="DX18" s="28">
        <f>DX46-'COGS + SG&amp;A'!DX131</f>
        <v>8.2099999999999991</v>
      </c>
      <c r="DY18" s="28">
        <f>DY46-'COGS + SG&amp;A'!DY131</f>
        <v>7.7789603299999968</v>
      </c>
      <c r="DZ18" s="28">
        <f>DZ46-'COGS + SG&amp;A'!DZ131</f>
        <v>6.0477792600000004</v>
      </c>
      <c r="EA18" s="28">
        <f t="shared" si="16"/>
        <v>26.259739589999995</v>
      </c>
      <c r="EB18" s="28">
        <f>EB46-'COGS + SG&amp;A'!EB131</f>
        <v>6.9404477900000039</v>
      </c>
      <c r="EC18" s="28">
        <f>EC46-'COGS + SG&amp;A'!EC131</f>
        <v>4.8556812599999972</v>
      </c>
      <c r="ED18" s="28">
        <f>ED46-'COGS + SG&amp;A'!ED131</f>
        <v>4.3780000000000001</v>
      </c>
      <c r="EE18" s="28">
        <f>EE46-'COGS + SG&amp;A'!EE131</f>
        <v>-25.519553680000005</v>
      </c>
      <c r="EF18" s="28">
        <f t="shared" si="15"/>
        <v>-9.3454246300000037</v>
      </c>
      <c r="EG18" s="28">
        <f>EG46-'COGS + SG&amp;A'!EG131</f>
        <v>2.6627220600000001</v>
      </c>
      <c r="EH18" s="28">
        <f>EH46-'COGS + SG&amp;A'!EH131</f>
        <v>7.9466467999999999</v>
      </c>
      <c r="EI18" s="28">
        <f>EI46-'COGS + SG&amp;A'!EI131</f>
        <v>7.0650154999999986</v>
      </c>
    </row>
    <row r="19" spans="1:139" ht="15" thickTop="1" x14ac:dyDescent="0.3">
      <c r="A19" s="1" t="s">
        <v>306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27">
        <f>BJ47-'COGS + SG&amp;A'!BJ132</f>
        <v>6.81334734</v>
      </c>
      <c r="BK19" s="27">
        <f>BK47-'COGS + SG&amp;A'!BK132</f>
        <v>6.4425575599999974</v>
      </c>
      <c r="BL19" s="27">
        <f>BL47-'COGS + SG&amp;A'!BL132</f>
        <v>6.302225380000003</v>
      </c>
      <c r="BM19" s="27">
        <f>BM47-'COGS + SG&amp;A'!BM132</f>
        <v>6.8311403200000029</v>
      </c>
      <c r="BN19" s="27">
        <f t="shared" si="0"/>
        <v>26.389270600000003</v>
      </c>
      <c r="BO19" s="27">
        <f>BO47-'COGS + SG&amp;A'!BO132</f>
        <v>13.71083527</v>
      </c>
      <c r="BP19" s="27">
        <f>BP47-'COGS + SG&amp;A'!BP132</f>
        <v>11.036926110000001</v>
      </c>
      <c r="BQ19" s="27">
        <f>BQ47-'COGS + SG&amp;A'!BQ132</f>
        <v>15.2175472</v>
      </c>
      <c r="BR19" s="27">
        <f>BR47-'COGS + SG&amp;A'!BR132</f>
        <v>11.308896819999998</v>
      </c>
      <c r="BS19" s="27">
        <f t="shared" si="1"/>
        <v>51.2742054</v>
      </c>
      <c r="BT19" s="27">
        <f>BT47-'COGS + SG&amp;A'!BT132</f>
        <v>13.130104769999999</v>
      </c>
      <c r="BU19" s="27">
        <f>BU47-'COGS + SG&amp;A'!BU132</f>
        <v>13.116030089999999</v>
      </c>
      <c r="BV19" s="27">
        <f>BV47-'COGS + SG&amp;A'!BV132</f>
        <v>10.211447579999998</v>
      </c>
      <c r="BW19" s="27">
        <f>BW47-'COGS + SG&amp;A'!BW132</f>
        <v>8.894140080000005</v>
      </c>
      <c r="BX19" s="27">
        <f t="shared" si="2"/>
        <v>45.351722520000003</v>
      </c>
      <c r="BY19" s="27">
        <f>BY47-'COGS + SG&amp;A'!BY132</f>
        <v>10.620906509999999</v>
      </c>
      <c r="BZ19" s="27">
        <f>BZ47-'COGS + SG&amp;A'!BZ132</f>
        <v>8.9637378199999986</v>
      </c>
      <c r="CA19" s="27">
        <f>CA47-'COGS + SG&amp;A'!CA132</f>
        <v>8.1722740999999992</v>
      </c>
      <c r="CB19" s="27">
        <f>CB47-'COGS + SG&amp;A'!CB132</f>
        <v>4.3815538199999997</v>
      </c>
      <c r="CC19" s="27">
        <f t="shared" si="3"/>
        <v>32.138472249999992</v>
      </c>
      <c r="CD19" s="27">
        <f>CD47-'COGS + SG&amp;A'!CD132</f>
        <v>15.248264309999998</v>
      </c>
      <c r="CE19" s="27">
        <f>CE47-'COGS + SG&amp;A'!CE132</f>
        <v>17.499304370000001</v>
      </c>
      <c r="CF19" s="27">
        <f>CF47-'COGS + SG&amp;A'!CF132</f>
        <v>11.377822649999999</v>
      </c>
      <c r="CG19" s="27">
        <f>CG47-'COGS + SG&amp;A'!CG132</f>
        <v>6.5607267199999981</v>
      </c>
      <c r="CH19" s="27">
        <f t="shared" si="4"/>
        <v>50.686118049999997</v>
      </c>
      <c r="CI19" s="27">
        <f>CI47-'COGS + SG&amp;A'!CI132</f>
        <v>16.327032279999997</v>
      </c>
      <c r="CJ19" s="27">
        <f>CJ47-'COGS + SG&amp;A'!CJ132</f>
        <v>12.944214500000003</v>
      </c>
      <c r="CK19" s="27">
        <f>CK47-'COGS + SG&amp;A'!CK132</f>
        <v>17.072209709999996</v>
      </c>
      <c r="CL19" s="27">
        <f>CL47-'COGS + SG&amp;A'!CL132</f>
        <v>18.823991800000005</v>
      </c>
      <c r="CM19" s="27">
        <f t="shared" si="5"/>
        <v>65.167448289999996</v>
      </c>
      <c r="CN19" s="27">
        <f>CN47-'COGS + SG&amp;A'!CN132</f>
        <v>18.163371550000001</v>
      </c>
      <c r="CO19" s="27">
        <f>CO47-'COGS + SG&amp;A'!CO132</f>
        <v>14.583742050000001</v>
      </c>
      <c r="CP19" s="27">
        <f>CP47-'COGS + SG&amp;A'!CP132</f>
        <v>13.122661320000001</v>
      </c>
      <c r="CQ19" s="27">
        <f>CQ47-'COGS + SG&amp;A'!CQ132</f>
        <v>-17.68577492</v>
      </c>
      <c r="CR19" s="27">
        <f t="shared" si="6"/>
        <v>28.184000000000005</v>
      </c>
      <c r="CS19" s="27">
        <f>CS47-'COGS + SG&amp;A'!CS132</f>
        <v>4.1494508400000001</v>
      </c>
      <c r="CT19" s="27">
        <f>CT47-'COGS + SG&amp;A'!CT132</f>
        <v>2.8989395499999997</v>
      </c>
      <c r="CU19" s="27">
        <f>CU47-'COGS + SG&amp;A'!CU132</f>
        <v>2.1110093899999995</v>
      </c>
      <c r="CV19" s="27">
        <f>CV47-'COGS + SG&amp;A'!CV132</f>
        <v>2.8984009999999838E-2</v>
      </c>
      <c r="CW19" s="27">
        <f t="shared" si="7"/>
        <v>9.1883837899999996</v>
      </c>
      <c r="CX19" s="27">
        <f>CX47-'COGS + SG&amp;A'!CX132</f>
        <v>8.1690000000000005</v>
      </c>
      <c r="CY19" s="27">
        <f>CY47-'COGS + SG&amp;A'!CY132</f>
        <v>5.6909999999999998</v>
      </c>
      <c r="CZ19" s="27">
        <f>CZ47-'COGS + SG&amp;A'!CZ132</f>
        <v>2.0460000000000003</v>
      </c>
      <c r="DA19" s="27">
        <f>DA47-'COGS + SG&amp;A'!DA132</f>
        <v>-12.010000000000002</v>
      </c>
      <c r="DB19" s="27">
        <f t="shared" si="8"/>
        <v>3.8959999999999972</v>
      </c>
      <c r="DC19" s="27">
        <f>DC47-'COGS + SG&amp;A'!DC132</f>
        <v>-0.64900000000000002</v>
      </c>
      <c r="DD19" s="27">
        <f>DD47-'COGS + SG&amp;A'!DD132</f>
        <v>1.6339999999999999</v>
      </c>
      <c r="DE19" s="27">
        <f>DE47-'COGS + SG&amp;A'!DE132</f>
        <v>-45.003999999999998</v>
      </c>
      <c r="DF19" s="27">
        <f>DF47-'COGS + SG&amp;A'!DF132</f>
        <v>28.361999999999998</v>
      </c>
      <c r="DG19" s="27">
        <f t="shared" si="9"/>
        <v>-15.657</v>
      </c>
      <c r="DH19" s="27">
        <f>DH47-'COGS + SG&amp;A'!DH132</f>
        <v>6.9190000000000005</v>
      </c>
      <c r="DI19" s="27">
        <f>DI47-'COGS + SG&amp;A'!DI132</f>
        <v>9.6259999999999994</v>
      </c>
      <c r="DJ19" s="27">
        <f>DJ47-'COGS + SG&amp;A'!DJ132</f>
        <v>2.452</v>
      </c>
      <c r="DK19" s="27">
        <f>DK47-'COGS + SG&amp;A'!DK132</f>
        <v>10.66</v>
      </c>
      <c r="DL19" s="27">
        <f t="shared" si="10"/>
        <v>29.657</v>
      </c>
      <c r="DM19" s="27">
        <f>DM47-'COGS + SG&amp;A'!DM132</f>
        <v>19.190999999999999</v>
      </c>
      <c r="DN19" s="27">
        <f>DN47-'COGS + SG&amp;A'!DN132</f>
        <v>18.916</v>
      </c>
      <c r="DO19" s="27">
        <f>DO47-'COGS + SG&amp;A'!DO132</f>
        <v>7.8070000000000004</v>
      </c>
      <c r="DP19" s="27">
        <f>DP47-'COGS + SG&amp;A'!DP132</f>
        <v>-3.9219999999999997</v>
      </c>
      <c r="DQ19" s="27">
        <f t="shared" si="11"/>
        <v>41.992000000000004</v>
      </c>
      <c r="DR19" s="27">
        <f>DR47-'COGS + SG&amp;A'!DR132</f>
        <v>3.4430000000000005</v>
      </c>
      <c r="DS19" s="27">
        <f>DS47-'COGS + SG&amp;A'!DS132</f>
        <v>13.628</v>
      </c>
      <c r="DT19" s="27">
        <f>DT47-'COGS + SG&amp;A'!DT132</f>
        <v>9.3239999999999981</v>
      </c>
      <c r="DU19" s="27">
        <f>DU47-'COGS + SG&amp;A'!DU132</f>
        <v>9.0549999999999997</v>
      </c>
      <c r="DV19" s="27">
        <f t="shared" si="12"/>
        <v>35.450000000000003</v>
      </c>
      <c r="DW19" s="27">
        <f>DW47-'COGS + SG&amp;A'!DW132</f>
        <v>38.648000000000003</v>
      </c>
      <c r="DX19" s="27">
        <f>DX47-'COGS + SG&amp;A'!DX132</f>
        <v>22.543634699999998</v>
      </c>
      <c r="DY19" s="27">
        <f>DY47-'COGS + SG&amp;A'!DY132</f>
        <v>17.371346189999926</v>
      </c>
      <c r="DZ19" s="27">
        <f>DZ47-'COGS + SG&amp;A'!DZ132</f>
        <v>12.184212690000104</v>
      </c>
      <c r="EA19" s="27">
        <f t="shared" si="16"/>
        <v>90.74719358000003</v>
      </c>
      <c r="EB19" s="27">
        <f>EB47-'COGS + SG&amp;A'!EB132</f>
        <v>22.948173650000019</v>
      </c>
      <c r="EC19" s="27">
        <f>EC47-'COGS + SG&amp;A'!EC132</f>
        <v>24.370132860000005</v>
      </c>
      <c r="ED19" s="27">
        <f>ED47-'COGS + SG&amp;A'!ED132</f>
        <v>9.8610000000000007</v>
      </c>
      <c r="EE19" s="27">
        <f>EE47-'COGS + SG&amp;A'!EE132</f>
        <v>12.157243249999979</v>
      </c>
      <c r="EF19" s="27">
        <f t="shared" si="15"/>
        <v>69.336549760000011</v>
      </c>
      <c r="EG19" s="27">
        <f>EG47-'COGS + SG&amp;A'!EG132</f>
        <v>34.018991549999996</v>
      </c>
      <c r="EH19" s="27">
        <f>EH47-'COGS + SG&amp;A'!EH132</f>
        <v>38.446905130000005</v>
      </c>
      <c r="EI19" s="27">
        <f>EI47-'COGS + SG&amp;A'!EI132</f>
        <v>30.400063139999986</v>
      </c>
    </row>
    <row r="20" spans="1:139" ht="15" thickBot="1" x14ac:dyDescent="0.35">
      <c r="A20" s="2" t="s">
        <v>323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28">
        <f>BJ48-'COGS + SG&amp;A'!BJ133</f>
        <v>0</v>
      </c>
      <c r="BK20" s="28">
        <f>BK48-'COGS + SG&amp;A'!BK133</f>
        <v>0</v>
      </c>
      <c r="BL20" s="28">
        <f>BL48-'COGS + SG&amp;A'!BL133</f>
        <v>0</v>
      </c>
      <c r="BM20" s="28">
        <f>BM48-'COGS + SG&amp;A'!BM133</f>
        <v>0</v>
      </c>
      <c r="BN20" s="28">
        <f t="shared" si="0"/>
        <v>0</v>
      </c>
      <c r="BO20" s="28">
        <f>BO48-'COGS + SG&amp;A'!BO133</f>
        <v>0</v>
      </c>
      <c r="BP20" s="28">
        <f>BP48-'COGS + SG&amp;A'!BP133</f>
        <v>0</v>
      </c>
      <c r="BQ20" s="28">
        <f>BQ48-'COGS + SG&amp;A'!BQ133</f>
        <v>0</v>
      </c>
      <c r="BR20" s="28">
        <f>BR48-'COGS + SG&amp;A'!BR133</f>
        <v>0</v>
      </c>
      <c r="BS20" s="28">
        <f t="shared" si="1"/>
        <v>0</v>
      </c>
      <c r="BT20" s="28">
        <f>BT48-'COGS + SG&amp;A'!BT133</f>
        <v>0</v>
      </c>
      <c r="BU20" s="28">
        <f>BU48-'COGS + SG&amp;A'!BU133</f>
        <v>0</v>
      </c>
      <c r="BV20" s="28">
        <f>BV48-'COGS + SG&amp;A'!BV133</f>
        <v>0</v>
      </c>
      <c r="BW20" s="28">
        <f>BW48-'COGS + SG&amp;A'!BW133</f>
        <v>0</v>
      </c>
      <c r="BX20" s="28">
        <f t="shared" si="2"/>
        <v>0</v>
      </c>
      <c r="BY20" s="28">
        <f>BY48-'COGS + SG&amp;A'!BY133</f>
        <v>0</v>
      </c>
      <c r="BZ20" s="28">
        <f>BZ48-'COGS + SG&amp;A'!BZ133</f>
        <v>0</v>
      </c>
      <c r="CA20" s="28">
        <f>CA48-'COGS + SG&amp;A'!CA133</f>
        <v>0</v>
      </c>
      <c r="CB20" s="28">
        <f>CB48-'COGS + SG&amp;A'!CB133</f>
        <v>0</v>
      </c>
      <c r="CC20" s="28">
        <f t="shared" si="3"/>
        <v>0</v>
      </c>
      <c r="CD20" s="28">
        <f>CD48-'COGS + SG&amp;A'!CD133</f>
        <v>0</v>
      </c>
      <c r="CE20" s="28">
        <f>CE48-'COGS + SG&amp;A'!CE133</f>
        <v>0</v>
      </c>
      <c r="CF20" s="28">
        <f>CF48-'COGS + SG&amp;A'!CF133</f>
        <v>0</v>
      </c>
      <c r="CG20" s="28">
        <f>CG48-'COGS + SG&amp;A'!CG133</f>
        <v>0</v>
      </c>
      <c r="CH20" s="28">
        <f t="shared" si="4"/>
        <v>0</v>
      </c>
      <c r="CI20" s="28">
        <f>CI48-'COGS + SG&amp;A'!CI133</f>
        <v>0</v>
      </c>
      <c r="CJ20" s="28">
        <f>CJ48-'COGS + SG&amp;A'!CJ133</f>
        <v>0</v>
      </c>
      <c r="CK20" s="28">
        <f>CK48-'COGS + SG&amp;A'!CK133</f>
        <v>0</v>
      </c>
      <c r="CL20" s="28">
        <f>CL48-'COGS + SG&amp;A'!CL133</f>
        <v>0</v>
      </c>
      <c r="CM20" s="28">
        <f t="shared" si="5"/>
        <v>0</v>
      </c>
      <c r="CN20" s="28">
        <f>CN48-'COGS + SG&amp;A'!CN133</f>
        <v>0</v>
      </c>
      <c r="CO20" s="28">
        <f>CO48-'COGS + SG&amp;A'!CO133</f>
        <v>0</v>
      </c>
      <c r="CP20" s="28">
        <f>CP48-'COGS + SG&amp;A'!CP133</f>
        <v>0</v>
      </c>
      <c r="CQ20" s="28">
        <f>CQ48-'COGS + SG&amp;A'!CQ133</f>
        <v>0</v>
      </c>
      <c r="CR20" s="28">
        <f t="shared" si="6"/>
        <v>0</v>
      </c>
      <c r="CS20" s="28">
        <f>CS48-'COGS + SG&amp;A'!CS133</f>
        <v>0</v>
      </c>
      <c r="CT20" s="28">
        <f>CT48-'COGS + SG&amp;A'!CT133</f>
        <v>0</v>
      </c>
      <c r="CU20" s="28">
        <f>CU48-'COGS + SG&amp;A'!CU133</f>
        <v>0</v>
      </c>
      <c r="CV20" s="28">
        <f>CV48-'COGS + SG&amp;A'!CV133</f>
        <v>0</v>
      </c>
      <c r="CW20" s="28">
        <f t="shared" si="7"/>
        <v>0</v>
      </c>
      <c r="CX20" s="28">
        <f>CX48-'COGS + SG&amp;A'!CX133</f>
        <v>0</v>
      </c>
      <c r="CY20" s="28">
        <f>CY48-'COGS + SG&amp;A'!CY133</f>
        <v>0</v>
      </c>
      <c r="CZ20" s="28">
        <f>CZ48-'COGS + SG&amp;A'!CZ133</f>
        <v>0</v>
      </c>
      <c r="DA20" s="28">
        <f>DA48-'COGS + SG&amp;A'!DA133</f>
        <v>0</v>
      </c>
      <c r="DB20" s="28">
        <f t="shared" si="8"/>
        <v>0</v>
      </c>
      <c r="DC20" s="28">
        <f>DC48-'COGS + SG&amp;A'!DC133</f>
        <v>0</v>
      </c>
      <c r="DD20" s="28">
        <f>DD48-'COGS + SG&amp;A'!DD133</f>
        <v>0</v>
      </c>
      <c r="DE20" s="28">
        <f>DE48-'COGS + SG&amp;A'!DE133</f>
        <v>-1.0999999999999999E-2</v>
      </c>
      <c r="DF20" s="28">
        <f>DF48-'COGS + SG&amp;A'!DF133</f>
        <v>-1.7000000000000001E-2</v>
      </c>
      <c r="DG20" s="28">
        <f t="shared" si="9"/>
        <v>-2.8000000000000001E-2</v>
      </c>
      <c r="DH20" s="28">
        <f>DH48-'COGS + SG&amp;A'!DH133</f>
        <v>-7.0000000000000001E-3</v>
      </c>
      <c r="DI20" s="28">
        <f>DI48-'COGS + SG&amp;A'!DI133</f>
        <v>-1.6E-2</v>
      </c>
      <c r="DJ20" s="28">
        <f>DJ48-'COGS + SG&amp;A'!DJ133</f>
        <v>5.0000000000000001E-3</v>
      </c>
      <c r="DK20" s="28">
        <f>DK48-'COGS + SG&amp;A'!DK133</f>
        <v>0</v>
      </c>
      <c r="DL20" s="28">
        <f t="shared" si="10"/>
        <v>-1.7999999999999999E-2</v>
      </c>
      <c r="DM20" s="28">
        <f>DM48-'COGS + SG&amp;A'!DM133</f>
        <v>-1.4E-2</v>
      </c>
      <c r="DN20" s="28">
        <f>DN48-'COGS + SG&amp;A'!DN133</f>
        <v>-4.0000000000000001E-3</v>
      </c>
      <c r="DO20" s="28">
        <f>DO48-'COGS + SG&amp;A'!DO133</f>
        <v>-5.0000000000000001E-3</v>
      </c>
      <c r="DP20" s="28">
        <f>DP48-'COGS + SG&amp;A'!DP133</f>
        <v>4.2999999999999997E-2</v>
      </c>
      <c r="DQ20" s="28">
        <f t="shared" si="11"/>
        <v>1.9999999999999993E-2</v>
      </c>
      <c r="DR20" s="28">
        <f>DR48-'COGS + SG&amp;A'!DR133</f>
        <v>0</v>
      </c>
      <c r="DS20" s="28">
        <f>DS48-'COGS + SG&amp;A'!DS133</f>
        <v>-3.0000000000000001E-3</v>
      </c>
      <c r="DT20" s="28">
        <f>DT48-'COGS + SG&amp;A'!DT133</f>
        <v>-5.0000000000000001E-3</v>
      </c>
      <c r="DU20" s="28">
        <f>DU48-'COGS + SG&amp;A'!DU133</f>
        <v>0</v>
      </c>
      <c r="DV20" s="28">
        <f t="shared" si="12"/>
        <v>-8.0000000000000002E-3</v>
      </c>
      <c r="DW20" s="28">
        <f>DW48-'COGS + SG&amp;A'!DW133</f>
        <v>-7.0000000000000001E-3</v>
      </c>
      <c r="DX20" s="28">
        <f>DX48-'COGS + SG&amp;A'!DX133</f>
        <v>-2E-3</v>
      </c>
      <c r="DY20" s="28">
        <f>DY48-'COGS + SG&amp;A'!DY133</f>
        <v>-2.8200399999973162E-3</v>
      </c>
      <c r="DZ20" s="28">
        <f>DZ48-'COGS + SG&amp;A'!DZ133</f>
        <v>-5.6647499999999996E-3</v>
      </c>
      <c r="EA20" s="28">
        <f t="shared" si="16"/>
        <v>-1.7484789999997315E-2</v>
      </c>
      <c r="EB20" s="28">
        <f>EB48-'COGS + SG&amp;A'!EB133</f>
        <v>-1.3154500000000298E-2</v>
      </c>
      <c r="EC20" s="28">
        <f>EC48-'COGS + SG&amp;A'!EC133</f>
        <v>0</v>
      </c>
      <c r="ED20" s="28">
        <f>ED48-'COGS + SG&amp;A'!ED133</f>
        <v>-8.9999999999999993E-3</v>
      </c>
      <c r="EE20" s="28">
        <f>EE48-'COGS + SG&amp;A'!EE133</f>
        <v>-2.3282499999976135E-3</v>
      </c>
      <c r="EF20" s="28">
        <f t="shared" si="15"/>
        <v>-2.4482749999997912E-2</v>
      </c>
      <c r="EG20" s="28">
        <f>EG48-'COGS + SG&amp;A'!EG133</f>
        <v>-1.0723999999999999E-2</v>
      </c>
      <c r="EH20" s="28">
        <f>EH48-'COGS + SG&amp;A'!EH133</f>
        <v>-8.9326300000000004E-3</v>
      </c>
      <c r="EI20" s="28">
        <f>EI48-'COGS + SG&amp;A'!EI133</f>
        <v>0</v>
      </c>
    </row>
    <row r="21" spans="1:139" ht="15" thickTop="1" x14ac:dyDescent="0.3">
      <c r="A21" s="1" t="s">
        <v>322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27">
        <f>BJ49-'COGS + SG&amp;A'!BJ134</f>
        <v>0</v>
      </c>
      <c r="BK21" s="27">
        <f>BK49-'COGS + SG&amp;A'!BK134</f>
        <v>0</v>
      </c>
      <c r="BL21" s="27">
        <f>BL49-'COGS + SG&amp;A'!BL134</f>
        <v>0</v>
      </c>
      <c r="BM21" s="27">
        <f>BM49-'COGS + SG&amp;A'!BM134</f>
        <v>0</v>
      </c>
      <c r="BN21" s="27">
        <f t="shared" si="0"/>
        <v>0</v>
      </c>
      <c r="BO21" s="27">
        <f>BO49-'COGS + SG&amp;A'!BO134</f>
        <v>0</v>
      </c>
      <c r="BP21" s="27">
        <f>BP49-'COGS + SG&amp;A'!BP134</f>
        <v>0</v>
      </c>
      <c r="BQ21" s="27">
        <f>BQ49-'COGS + SG&amp;A'!BQ134</f>
        <v>0</v>
      </c>
      <c r="BR21" s="27">
        <f>BR49-'COGS + SG&amp;A'!BR134</f>
        <v>0</v>
      </c>
      <c r="BS21" s="27">
        <f t="shared" si="1"/>
        <v>0</v>
      </c>
      <c r="BT21" s="27">
        <f>BT49-'COGS + SG&amp;A'!BT134</f>
        <v>0</v>
      </c>
      <c r="BU21" s="27">
        <f>BU49-'COGS + SG&amp;A'!BU134</f>
        <v>0</v>
      </c>
      <c r="BV21" s="27">
        <f>BV49-'COGS + SG&amp;A'!BV134</f>
        <v>0</v>
      </c>
      <c r="BW21" s="27">
        <f>BW49-'COGS + SG&amp;A'!BW134</f>
        <v>0</v>
      </c>
      <c r="BX21" s="27">
        <f t="shared" si="2"/>
        <v>0</v>
      </c>
      <c r="BY21" s="27">
        <f>BY49-'COGS + SG&amp;A'!BY134</f>
        <v>0</v>
      </c>
      <c r="BZ21" s="27">
        <f>BZ49-'COGS + SG&amp;A'!BZ134</f>
        <v>0</v>
      </c>
      <c r="CA21" s="27">
        <f>CA49-'COGS + SG&amp;A'!CA134</f>
        <v>0</v>
      </c>
      <c r="CB21" s="27">
        <f>CB49-'COGS + SG&amp;A'!CB134</f>
        <v>0</v>
      </c>
      <c r="CC21" s="27">
        <f t="shared" si="3"/>
        <v>0</v>
      </c>
      <c r="CD21" s="27">
        <f>CD49-'COGS + SG&amp;A'!CD134</f>
        <v>0</v>
      </c>
      <c r="CE21" s="27">
        <f>CE49-'COGS + SG&amp;A'!CE134</f>
        <v>0</v>
      </c>
      <c r="CF21" s="27">
        <f>CF49-'COGS + SG&amp;A'!CF134</f>
        <v>0</v>
      </c>
      <c r="CG21" s="27">
        <f>CG49-'COGS + SG&amp;A'!CG134</f>
        <v>0</v>
      </c>
      <c r="CH21" s="27">
        <f t="shared" si="4"/>
        <v>0</v>
      </c>
      <c r="CI21" s="27">
        <f>CI49-'COGS + SG&amp;A'!CI134</f>
        <v>0</v>
      </c>
      <c r="CJ21" s="27">
        <f>CJ49-'COGS + SG&amp;A'!CJ134</f>
        <v>0</v>
      </c>
      <c r="CK21" s="27">
        <f>CK49-'COGS + SG&amp;A'!CK134</f>
        <v>0</v>
      </c>
      <c r="CL21" s="27">
        <f>CL49-'COGS + SG&amp;A'!CL134</f>
        <v>0</v>
      </c>
      <c r="CM21" s="27">
        <f t="shared" si="5"/>
        <v>0</v>
      </c>
      <c r="CN21" s="27">
        <f>CN49-'COGS + SG&amp;A'!CN134</f>
        <v>0</v>
      </c>
      <c r="CO21" s="27">
        <f>CO49-'COGS + SG&amp;A'!CO134</f>
        <v>0</v>
      </c>
      <c r="CP21" s="27">
        <f>CP49-'COGS + SG&amp;A'!CP134</f>
        <v>0</v>
      </c>
      <c r="CQ21" s="27">
        <f>CQ49-'COGS + SG&amp;A'!CQ134</f>
        <v>0</v>
      </c>
      <c r="CR21" s="27">
        <f t="shared" si="6"/>
        <v>0</v>
      </c>
      <c r="CS21" s="27">
        <f>CS49-'COGS + SG&amp;A'!CS134</f>
        <v>0</v>
      </c>
      <c r="CT21" s="27">
        <f>CT49-'COGS + SG&amp;A'!CT134</f>
        <v>0</v>
      </c>
      <c r="CU21" s="27">
        <f>CU49-'COGS + SG&amp;A'!CU134</f>
        <v>0</v>
      </c>
      <c r="CV21" s="27">
        <f>CV49-'COGS + SG&amp;A'!CV134</f>
        <v>0</v>
      </c>
      <c r="CW21" s="27">
        <f t="shared" si="7"/>
        <v>0</v>
      </c>
      <c r="CX21" s="27">
        <f>CX49-'COGS + SG&amp;A'!CX134</f>
        <v>0</v>
      </c>
      <c r="CY21" s="27">
        <f>CY49-'COGS + SG&amp;A'!CY134</f>
        <v>0</v>
      </c>
      <c r="CZ21" s="27">
        <f>CZ49-'COGS + SG&amp;A'!CZ134</f>
        <v>0</v>
      </c>
      <c r="DA21" s="27">
        <f>DA49-'COGS + SG&amp;A'!DA134</f>
        <v>0</v>
      </c>
      <c r="DB21" s="27">
        <f t="shared" si="8"/>
        <v>0</v>
      </c>
      <c r="DC21" s="27">
        <f>DC49-'COGS + SG&amp;A'!DC134</f>
        <v>0</v>
      </c>
      <c r="DD21" s="27">
        <f>DD49-'COGS + SG&amp;A'!DD134</f>
        <v>0</v>
      </c>
      <c r="DE21" s="27">
        <f>DE49-'COGS + SG&amp;A'!DE134</f>
        <v>0</v>
      </c>
      <c r="DF21" s="27">
        <f>DF49-'COGS + SG&amp;A'!DF134</f>
        <v>0</v>
      </c>
      <c r="DG21" s="27">
        <f t="shared" si="9"/>
        <v>0</v>
      </c>
      <c r="DH21" s="27">
        <f>DH49-'COGS + SG&amp;A'!DH134</f>
        <v>0</v>
      </c>
      <c r="DI21" s="27">
        <f>DI49-'COGS + SG&amp;A'!DI134</f>
        <v>0</v>
      </c>
      <c r="DJ21" s="27">
        <f>DJ49-'COGS + SG&amp;A'!DJ134</f>
        <v>0</v>
      </c>
      <c r="DK21" s="27">
        <f>DK49-'COGS + SG&amp;A'!DK134</f>
        <v>0</v>
      </c>
      <c r="DL21" s="27">
        <f t="shared" si="10"/>
        <v>0</v>
      </c>
      <c r="DM21" s="27">
        <f>DM49-'COGS + SG&amp;A'!DM134</f>
        <v>0</v>
      </c>
      <c r="DN21" s="27">
        <f>DN49-'COGS + SG&amp;A'!DN134</f>
        <v>0</v>
      </c>
      <c r="DO21" s="27">
        <f>DO49-'COGS + SG&amp;A'!DO134</f>
        <v>-0.28399999999999997</v>
      </c>
      <c r="DP21" s="27">
        <f>DP49-'COGS + SG&amp;A'!DP134</f>
        <v>-0.61799999999999999</v>
      </c>
      <c r="DQ21" s="27">
        <f t="shared" si="11"/>
        <v>-0.90199999999999991</v>
      </c>
      <c r="DR21" s="27">
        <f>DR49-'COGS + SG&amp;A'!DR134</f>
        <v>-0.38700000000000001</v>
      </c>
      <c r="DS21" s="27">
        <f>DS49-'COGS + SG&amp;A'!DS134</f>
        <v>-0.23400000000000001</v>
      </c>
      <c r="DT21" s="27">
        <f>DT49-'COGS + SG&amp;A'!DT134</f>
        <v>-0.17299999999999999</v>
      </c>
      <c r="DU21" s="27">
        <f>DU49-'COGS + SG&amp;A'!DU134</f>
        <v>-0.187</v>
      </c>
      <c r="DV21" s="27">
        <f t="shared" si="12"/>
        <v>-0.98100000000000009</v>
      </c>
      <c r="DW21" s="27">
        <f>DW49-'COGS + SG&amp;A'!DW134</f>
        <v>-0.22</v>
      </c>
      <c r="DX21" s="27">
        <f>DX49-'COGS + SG&amp;A'!DX134</f>
        <v>-0.21199999999999999</v>
      </c>
      <c r="DY21" s="27">
        <f>DY49-'COGS + SG&amp;A'!DY134</f>
        <v>-0.19152460999999196</v>
      </c>
      <c r="DZ21" s="27">
        <f>DZ49-'COGS + SG&amp;A'!DZ134</f>
        <v>-0.1901693599999994</v>
      </c>
      <c r="EA21" s="27">
        <f t="shared" si="16"/>
        <v>-0.81369396999999133</v>
      </c>
      <c r="EB21" s="27">
        <f>EB49-'COGS + SG&amp;A'!EB134</f>
        <v>-0.23195169999999926</v>
      </c>
      <c r="EC21" s="27">
        <f>EC49-'COGS + SG&amp;A'!EC134</f>
        <v>-0.22861465000000222</v>
      </c>
      <c r="ED21" s="27">
        <f>ED49-'COGS + SG&amp;A'!ED134</f>
        <v>-0.20799999999999999</v>
      </c>
      <c r="EE21" s="27">
        <f>EE49-'COGS + SG&amp;A'!EE134</f>
        <v>-0.2182098600000143</v>
      </c>
      <c r="EF21" s="27">
        <f t="shared" si="15"/>
        <v>-0.88677621000001572</v>
      </c>
      <c r="EG21" s="27">
        <f>EG49-'COGS + SG&amp;A'!EG134</f>
        <v>-0.22522325000000001</v>
      </c>
      <c r="EH21" s="27">
        <f>EH49-'COGS + SG&amp;A'!EH134</f>
        <v>-0.22239879999999998</v>
      </c>
      <c r="EI21" s="27">
        <f>EI49-'COGS + SG&amp;A'!EI134</f>
        <v>0.16684362</v>
      </c>
    </row>
    <row r="22" spans="1:139" ht="15" thickBot="1" x14ac:dyDescent="0.35">
      <c r="A22" s="2" t="s">
        <v>370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28">
        <f>BJ50-'COGS + SG&amp;A'!BJ135</f>
        <v>-0.20970069999999996</v>
      </c>
      <c r="BK22" s="28">
        <f>BK50-'COGS + SG&amp;A'!BK135</f>
        <v>1.0571196699999992</v>
      </c>
      <c r="BL22" s="28">
        <f>BL50-'COGS + SG&amp;A'!BL135</f>
        <v>-3.6476205499999992</v>
      </c>
      <c r="BM22" s="28">
        <f>BM50-'COGS + SG&amp;A'!BM135</f>
        <v>-2.8061212400000004</v>
      </c>
      <c r="BN22" s="28">
        <f t="shared" si="0"/>
        <v>-5.6063228200000008</v>
      </c>
      <c r="BO22" s="28">
        <f>BO50-'COGS + SG&amp;A'!BO135</f>
        <v>4.7831306999999992</v>
      </c>
      <c r="BP22" s="28">
        <f>BP50-'COGS + SG&amp;A'!BP135</f>
        <v>8.9118572200000017</v>
      </c>
      <c r="BQ22" s="28">
        <f>BQ50-'COGS + SG&amp;A'!BQ135</f>
        <v>13.810136050000002</v>
      </c>
      <c r="BR22" s="28">
        <f>BR50-'COGS + SG&amp;A'!BR135</f>
        <v>10.876369169999995</v>
      </c>
      <c r="BS22" s="28">
        <f t="shared" si="1"/>
        <v>38.381493139999996</v>
      </c>
      <c r="BT22" s="28">
        <f>BT50-'COGS + SG&amp;A'!BT135</f>
        <v>0</v>
      </c>
      <c r="BU22" s="28">
        <f>BU50-'COGS + SG&amp;A'!BU135</f>
        <v>0</v>
      </c>
      <c r="BV22" s="28">
        <f>BV50-'COGS + SG&amp;A'!BV135</f>
        <v>0</v>
      </c>
      <c r="BW22" s="28">
        <f>BW50-'COGS + SG&amp;A'!BW135</f>
        <v>0</v>
      </c>
      <c r="BX22" s="28">
        <f t="shared" si="2"/>
        <v>0</v>
      </c>
      <c r="BY22" s="28">
        <f>BY50-'COGS + SG&amp;A'!BY135</f>
        <v>0</v>
      </c>
      <c r="BZ22" s="28">
        <f>BZ50-'COGS + SG&amp;A'!BZ135</f>
        <v>0</v>
      </c>
      <c r="CA22" s="28">
        <f>CA50-'COGS + SG&amp;A'!CA135</f>
        <v>0</v>
      </c>
      <c r="CB22" s="28">
        <f>CB50-'COGS + SG&amp;A'!CB135</f>
        <v>0</v>
      </c>
      <c r="CC22" s="28">
        <f t="shared" si="3"/>
        <v>0</v>
      </c>
      <c r="CD22" s="28">
        <f>CD50-'COGS + SG&amp;A'!CD135</f>
        <v>0</v>
      </c>
      <c r="CE22" s="28">
        <f>CE50-'COGS + SG&amp;A'!CE135</f>
        <v>0</v>
      </c>
      <c r="CF22" s="28">
        <f>CF50-'COGS + SG&amp;A'!CF135</f>
        <v>0</v>
      </c>
      <c r="CG22" s="28">
        <f>CG50-'COGS + SG&amp;A'!CG135</f>
        <v>0</v>
      </c>
      <c r="CH22" s="28">
        <f t="shared" si="4"/>
        <v>0</v>
      </c>
      <c r="CI22" s="28">
        <f>CI50-'COGS + SG&amp;A'!CI135</f>
        <v>0</v>
      </c>
      <c r="CJ22" s="28">
        <f>CJ50-'COGS + SG&amp;A'!CJ135</f>
        <v>0</v>
      </c>
      <c r="CK22" s="28">
        <f>CK50-'COGS + SG&amp;A'!CK135</f>
        <v>0</v>
      </c>
      <c r="CL22" s="28">
        <f>CL50-'COGS + SG&amp;A'!CL135</f>
        <v>0</v>
      </c>
      <c r="CM22" s="28">
        <f t="shared" si="5"/>
        <v>0</v>
      </c>
      <c r="CN22" s="28">
        <f>CN50-'COGS + SG&amp;A'!CN135</f>
        <v>1.96</v>
      </c>
      <c r="CO22" s="28">
        <f>CO50-'COGS + SG&amp;A'!CO135</f>
        <v>-1.96</v>
      </c>
      <c r="CP22" s="28">
        <f>CP50-'COGS + SG&amp;A'!CP135</f>
        <v>0</v>
      </c>
      <c r="CQ22" s="28">
        <f>CQ50-'COGS + SG&amp;A'!CQ135</f>
        <v>0</v>
      </c>
      <c r="CR22" s="28">
        <f t="shared" si="6"/>
        <v>0</v>
      </c>
      <c r="CS22" s="28">
        <f>CS50-'COGS + SG&amp;A'!CS135</f>
        <v>0</v>
      </c>
      <c r="CT22" s="28">
        <f>CT50-'COGS + SG&amp;A'!CT135</f>
        <v>0</v>
      </c>
      <c r="CU22" s="28">
        <f>CU50-'COGS + SG&amp;A'!CU135</f>
        <v>0</v>
      </c>
      <c r="CV22" s="28">
        <f>CV50-'COGS + SG&amp;A'!CV135</f>
        <v>0</v>
      </c>
      <c r="CW22" s="28">
        <f t="shared" si="7"/>
        <v>0</v>
      </c>
      <c r="CX22" s="28">
        <f>CX50-'COGS + SG&amp;A'!CX135</f>
        <v>0</v>
      </c>
      <c r="CY22" s="28">
        <f>CY50-'COGS + SG&amp;A'!CY135</f>
        <v>0</v>
      </c>
      <c r="CZ22" s="28">
        <f>CZ50-'COGS + SG&amp;A'!CZ135</f>
        <v>0</v>
      </c>
      <c r="DA22" s="28">
        <f>DA50-'COGS + SG&amp;A'!DA135</f>
        <v>0</v>
      </c>
      <c r="DB22" s="28">
        <f t="shared" si="8"/>
        <v>0</v>
      </c>
      <c r="DC22" s="28">
        <f>DC50-'COGS + SG&amp;A'!DC135</f>
        <v>0</v>
      </c>
      <c r="DD22" s="28">
        <f>DD50-'COGS + SG&amp;A'!DD135</f>
        <v>0</v>
      </c>
      <c r="DE22" s="28">
        <f>DE50-'COGS + SG&amp;A'!DE135</f>
        <v>0</v>
      </c>
      <c r="DF22" s="28">
        <f>DF50-'COGS + SG&amp;A'!DF135</f>
        <v>0</v>
      </c>
      <c r="DG22" s="28">
        <f t="shared" si="9"/>
        <v>0</v>
      </c>
      <c r="DH22" s="28">
        <f>DH50-'COGS + SG&amp;A'!DH135</f>
        <v>0</v>
      </c>
      <c r="DI22" s="28">
        <f>DI50-'COGS + SG&amp;A'!DI135</f>
        <v>0</v>
      </c>
      <c r="DJ22" s="28">
        <f>DJ50-'COGS + SG&amp;A'!DJ135</f>
        <v>0</v>
      </c>
      <c r="DK22" s="28">
        <f>DK50-'COGS + SG&amp;A'!DK135</f>
        <v>0</v>
      </c>
      <c r="DL22" s="28">
        <f t="shared" si="10"/>
        <v>0</v>
      </c>
      <c r="DM22" s="28">
        <f>DM50-'COGS + SG&amp;A'!DM135</f>
        <v>0</v>
      </c>
      <c r="DN22" s="28">
        <f>DN50-'COGS + SG&amp;A'!DN135</f>
        <v>0</v>
      </c>
      <c r="DO22" s="28">
        <f>DO50-'COGS + SG&amp;A'!DO135</f>
        <v>0</v>
      </c>
      <c r="DP22" s="28">
        <f>DP50-'COGS + SG&amp;A'!DP135</f>
        <v>0</v>
      </c>
      <c r="DQ22" s="28">
        <f t="shared" si="11"/>
        <v>0</v>
      </c>
      <c r="DR22" s="28">
        <f>DR50-'COGS + SG&amp;A'!DR135</f>
        <v>0</v>
      </c>
      <c r="DS22" s="28">
        <f>DS50-'COGS + SG&amp;A'!DS135</f>
        <v>0</v>
      </c>
      <c r="DT22" s="28">
        <f>DT50-'COGS + SG&amp;A'!DT135</f>
        <v>0</v>
      </c>
      <c r="DU22" s="28">
        <f>DU50-'COGS + SG&amp;A'!DU135</f>
        <v>0</v>
      </c>
      <c r="DV22" s="28">
        <f t="shared" si="12"/>
        <v>0</v>
      </c>
      <c r="DW22" s="28">
        <f>DW50-'COGS + SG&amp;A'!DW135</f>
        <v>0</v>
      </c>
      <c r="DX22" s="28">
        <f>DX50-'COGS + SG&amp;A'!DX135</f>
        <v>0</v>
      </c>
      <c r="DY22" s="28">
        <f>DY50-'COGS + SG&amp;A'!DY135</f>
        <v>0</v>
      </c>
      <c r="DZ22" s="28">
        <f>DZ50-'COGS + SG&amp;A'!DZ135</f>
        <v>0</v>
      </c>
      <c r="EA22" s="28">
        <f t="shared" si="16"/>
        <v>0</v>
      </c>
      <c r="EB22" s="28">
        <f>EB50-'COGS + SG&amp;A'!EB135</f>
        <v>0</v>
      </c>
      <c r="EC22" s="28">
        <f>EC50-'COGS + SG&amp;A'!EC135</f>
        <v>0</v>
      </c>
      <c r="ED22" s="28">
        <f>ED50-'COGS + SG&amp;A'!ED135</f>
        <v>0</v>
      </c>
      <c r="EE22" s="28">
        <f>EE50-'COGS + SG&amp;A'!EE135</f>
        <v>0</v>
      </c>
      <c r="EF22" s="28">
        <f t="shared" si="15"/>
        <v>0</v>
      </c>
      <c r="EG22" s="28">
        <f>EG50-'COGS + SG&amp;A'!EG135</f>
        <v>0</v>
      </c>
      <c r="EH22" s="28">
        <f>EH50-'COGS + SG&amp;A'!EH135</f>
        <v>0</v>
      </c>
      <c r="EI22" s="28">
        <f>EI50-'COGS + SG&amp;A'!EI135</f>
        <v>0</v>
      </c>
    </row>
    <row r="23" spans="1:139" ht="15" thickTop="1" x14ac:dyDescent="0.3">
      <c r="A23" s="1" t="s">
        <v>338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27">
        <f>BJ51-'COGS + SG&amp;A'!BJ136</f>
        <v>5.9606164100000001</v>
      </c>
      <c r="BK23" s="27">
        <f>BK51-'COGS + SG&amp;A'!BK136</f>
        <v>4.2524567600000012</v>
      </c>
      <c r="BL23" s="27">
        <f>BL51-'COGS + SG&amp;A'!BL136</f>
        <v>4.8166147799999992</v>
      </c>
      <c r="BM23" s="27">
        <f>BM51-'COGS + SG&amp;A'!BM136</f>
        <v>1.0101709699999997</v>
      </c>
      <c r="BN23" s="27">
        <f t="shared" si="0"/>
        <v>16.03985892</v>
      </c>
      <c r="BO23" s="27">
        <f>BO51-'COGS + SG&amp;A'!BO136</f>
        <v>4.7751817399999998</v>
      </c>
      <c r="BP23" s="27">
        <f>BP51-'COGS + SG&amp;A'!BP136</f>
        <v>5.0223706100000003</v>
      </c>
      <c r="BQ23" s="27">
        <f>BQ51-'COGS + SG&amp;A'!BQ136</f>
        <v>5.1163932099999991</v>
      </c>
      <c r="BR23" s="27">
        <f>BR51-'COGS + SG&amp;A'!BR136</f>
        <v>4.9376491300000023</v>
      </c>
      <c r="BS23" s="27">
        <f t="shared" si="1"/>
        <v>19.851594689999999</v>
      </c>
      <c r="BT23" s="27">
        <f>BT51-'COGS + SG&amp;A'!BT136</f>
        <v>0</v>
      </c>
      <c r="BU23" s="27">
        <f>BU51-'COGS + SG&amp;A'!BU136</f>
        <v>0</v>
      </c>
      <c r="BV23" s="27">
        <f>BV51-'COGS + SG&amp;A'!BV136</f>
        <v>0</v>
      </c>
      <c r="BW23" s="27">
        <f>BW51-'COGS + SG&amp;A'!BW136</f>
        <v>0</v>
      </c>
      <c r="BX23" s="27">
        <f t="shared" si="2"/>
        <v>0</v>
      </c>
      <c r="BY23" s="27">
        <f>BY51-'COGS + SG&amp;A'!BY136</f>
        <v>0</v>
      </c>
      <c r="BZ23" s="27">
        <f>BZ51-'COGS + SG&amp;A'!BZ136</f>
        <v>0</v>
      </c>
      <c r="CA23" s="27">
        <f>CA51-'COGS + SG&amp;A'!CA136</f>
        <v>0</v>
      </c>
      <c r="CB23" s="27">
        <f>CB51-'COGS + SG&amp;A'!CB136</f>
        <v>0</v>
      </c>
      <c r="CC23" s="27">
        <f t="shared" si="3"/>
        <v>0</v>
      </c>
      <c r="CD23" s="27">
        <f>CD51-'COGS + SG&amp;A'!CD136</f>
        <v>0</v>
      </c>
      <c r="CE23" s="27">
        <f>CE51-'COGS + SG&amp;A'!CE136</f>
        <v>0</v>
      </c>
      <c r="CF23" s="27">
        <f>CF51-'COGS + SG&amp;A'!CF136</f>
        <v>0</v>
      </c>
      <c r="CG23" s="27">
        <f>CG51-'COGS + SG&amp;A'!CG136</f>
        <v>0</v>
      </c>
      <c r="CH23" s="27">
        <f t="shared" si="4"/>
        <v>0</v>
      </c>
      <c r="CI23" s="27">
        <f>CI51-'COGS + SG&amp;A'!CI136</f>
        <v>0</v>
      </c>
      <c r="CJ23" s="27">
        <f>CJ51-'COGS + SG&amp;A'!CJ136</f>
        <v>0</v>
      </c>
      <c r="CK23" s="27">
        <f>CK51-'COGS + SG&amp;A'!CK136</f>
        <v>-0.47199999999999998</v>
      </c>
      <c r="CL23" s="27">
        <f>CL51-'COGS + SG&amp;A'!CL136</f>
        <v>-0.32800000000000007</v>
      </c>
      <c r="CM23" s="27">
        <f t="shared" si="5"/>
        <v>-0.8</v>
      </c>
      <c r="CN23" s="27">
        <f>CN51-'COGS + SG&amp;A'!CN136</f>
        <v>-0.46400000000000002</v>
      </c>
      <c r="CO23" s="27">
        <f>CO51-'COGS + SG&amp;A'!CO136</f>
        <v>-0.35299999999999992</v>
      </c>
      <c r="CP23" s="27">
        <f>CP51-'COGS + SG&amp;A'!CP136</f>
        <v>-0.41400000000000009</v>
      </c>
      <c r="CQ23" s="27">
        <f>CQ51-'COGS + SG&amp;A'!CQ136</f>
        <v>-0.29499999999999982</v>
      </c>
      <c r="CR23" s="27">
        <f t="shared" si="6"/>
        <v>-1.5259999999999998</v>
      </c>
      <c r="CS23" s="27">
        <f>CS51-'COGS + SG&amp;A'!CS136</f>
        <v>-0.36799999999999999</v>
      </c>
      <c r="CT23" s="27">
        <f>CT51-'COGS + SG&amp;A'!CT136</f>
        <v>-0.34300000000000003</v>
      </c>
      <c r="CU23" s="27">
        <f>CU51-'COGS + SG&amp;A'!CU136</f>
        <v>-0.504</v>
      </c>
      <c r="CV23" s="27">
        <f>CV51-'COGS + SG&amp;A'!CV136</f>
        <v>-0.59</v>
      </c>
      <c r="CW23" s="27">
        <f t="shared" si="7"/>
        <v>-1.8050000000000002</v>
      </c>
      <c r="CX23" s="27">
        <f>CX51-'COGS + SG&amp;A'!CX136</f>
        <v>-0.41499999999999998</v>
      </c>
      <c r="CY23" s="27">
        <f>CY51-'COGS + SG&amp;A'!CY136</f>
        <v>-0.74299999999999999</v>
      </c>
      <c r="CZ23" s="27">
        <f>CZ51-'COGS + SG&amp;A'!CZ136</f>
        <v>-0.44600000000000001</v>
      </c>
      <c r="DA23" s="27">
        <f>DA51-'COGS + SG&amp;A'!DA136</f>
        <v>-0.40400000000000003</v>
      </c>
      <c r="DB23" s="27">
        <f t="shared" si="8"/>
        <v>-2.008</v>
      </c>
      <c r="DC23" s="27">
        <f>DC51-'COGS + SG&amp;A'!DC136</f>
        <v>-0.33100000000000002</v>
      </c>
      <c r="DD23" s="27">
        <f>DD51-'COGS + SG&amp;A'!DD136</f>
        <v>-0.56499999999999995</v>
      </c>
      <c r="DE23" s="27">
        <f>DE51-'COGS + SG&amp;A'!DE136</f>
        <v>-0.50600000000000001</v>
      </c>
      <c r="DF23" s="27">
        <f>DF51-'COGS + SG&amp;A'!DF136</f>
        <v>-0.56599999999999995</v>
      </c>
      <c r="DG23" s="27">
        <f t="shared" si="9"/>
        <v>-1.968</v>
      </c>
      <c r="DH23" s="27">
        <f>DH51-'COGS + SG&amp;A'!DH136</f>
        <v>-0.47899999999999998</v>
      </c>
      <c r="DI23" s="27">
        <f>DI51-'COGS + SG&amp;A'!DI136</f>
        <v>-0.35699999999999998</v>
      </c>
      <c r="DJ23" s="27">
        <f>DJ51-'COGS + SG&amp;A'!DJ136</f>
        <v>-0.54200000000000004</v>
      </c>
      <c r="DK23" s="27">
        <f>DK51-'COGS + SG&amp;A'!DK136</f>
        <v>1.2310000000000001</v>
      </c>
      <c r="DL23" s="27">
        <f t="shared" si="10"/>
        <v>-0.14700000000000002</v>
      </c>
      <c r="DM23" s="27">
        <f>DM51-'COGS + SG&amp;A'!DM136</f>
        <v>-0.314</v>
      </c>
      <c r="DN23" s="27">
        <f>DN51-'COGS + SG&amp;A'!DN136</f>
        <v>-0.755</v>
      </c>
      <c r="DO23" s="27">
        <f>DO51-'COGS + SG&amp;A'!DO136</f>
        <v>-0.69699999999999995</v>
      </c>
      <c r="DP23" s="27">
        <f>DP51-'COGS + SG&amp;A'!DP136</f>
        <v>-0.88100000000000001</v>
      </c>
      <c r="DQ23" s="27">
        <f t="shared" si="11"/>
        <v>-2.6470000000000002</v>
      </c>
      <c r="DR23" s="27">
        <f>DR51-'COGS + SG&amp;A'!DR136</f>
        <v>-0.36499999999999999</v>
      </c>
      <c r="DS23" s="27">
        <f>DS51-'COGS + SG&amp;A'!DS136</f>
        <v>-0.377</v>
      </c>
      <c r="DT23" s="27">
        <f>DT51-'COGS + SG&amp;A'!DT136</f>
        <v>-0.79900000000000004</v>
      </c>
      <c r="DU23" s="27">
        <f>DU51-'COGS + SG&amp;A'!DU136</f>
        <v>-43.728999999999999</v>
      </c>
      <c r="DV23" s="27">
        <f t="shared" si="12"/>
        <v>-45.269999999999996</v>
      </c>
      <c r="DW23" s="27">
        <f>DW51-'COGS + SG&amp;A'!DW136</f>
        <v>-0.42899999999999999</v>
      </c>
      <c r="DX23" s="27">
        <f>DX51-'COGS + SG&amp;A'!DX136</f>
        <v>-0.17201100000000002</v>
      </c>
      <c r="DY23" s="27">
        <f>DY51-'COGS + SG&amp;A'!DY136</f>
        <v>-0.8649597</v>
      </c>
      <c r="DZ23" s="27">
        <f>DZ51-'COGS + SG&amp;A'!DZ136</f>
        <v>-19.826100639999996</v>
      </c>
      <c r="EA23" s="27">
        <f t="shared" si="16"/>
        <v>-21.292071339999996</v>
      </c>
      <c r="EB23" s="27">
        <f>EB51-'COGS + SG&amp;A'!EB136</f>
        <v>-8.8046670000000021E-2</v>
      </c>
      <c r="EC23" s="27">
        <f>EC51-'COGS + SG&amp;A'!EC136</f>
        <v>-8.8038690000000003E-2</v>
      </c>
      <c r="ED23" s="27">
        <f>ED51-'COGS + SG&amp;A'!ED136</f>
        <v>0.98699999999999999</v>
      </c>
      <c r="EE23" s="27">
        <f>EE51-'COGS + SG&amp;A'!EE136</f>
        <v>-1.9966599999999946E-2</v>
      </c>
      <c r="EF23" s="27">
        <f t="shared" si="15"/>
        <v>0.79094804000000007</v>
      </c>
      <c r="EG23" s="27">
        <f>EG51-'COGS + SG&amp;A'!EG136</f>
        <v>0.24161189000000002</v>
      </c>
      <c r="EH23" s="27">
        <f>EH51-'COGS + SG&amp;A'!EH136</f>
        <v>0.88135424000000007</v>
      </c>
      <c r="EI23" s="27">
        <f>EI51-'COGS + SG&amp;A'!EI136</f>
        <v>-0.69703274000000015</v>
      </c>
    </row>
    <row r="24" spans="1:139" ht="15" thickBot="1" x14ac:dyDescent="0.35">
      <c r="A24" s="2" t="s">
        <v>331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28">
        <f>BJ52-'COGS + SG&amp;A'!BJ137</f>
        <v>-10.65138731</v>
      </c>
      <c r="BK24" s="28">
        <f>BK52-'COGS + SG&amp;A'!BK137</f>
        <v>-8.1817246900000011</v>
      </c>
      <c r="BL24" s="28">
        <f>BL52-'COGS + SG&amp;A'!BL137</f>
        <v>-9.5547546099999998</v>
      </c>
      <c r="BM24" s="28">
        <f>BM52-'COGS + SG&amp;A'!BM137</f>
        <v>-9.6626339199999975</v>
      </c>
      <c r="BN24" s="28">
        <f t="shared" si="0"/>
        <v>-38.050500529999994</v>
      </c>
      <c r="BO24" s="28">
        <f>BO52-'COGS + SG&amp;A'!BO137</f>
        <v>-8.5929649700000006</v>
      </c>
      <c r="BP24" s="28">
        <f>BP52-'COGS + SG&amp;A'!BP137</f>
        <v>-9.8692496500000022</v>
      </c>
      <c r="BQ24" s="28">
        <f>BQ52-'COGS + SG&amp;A'!BQ137</f>
        <v>-10.169860569999999</v>
      </c>
      <c r="BR24" s="28">
        <f>BR52-'COGS + SG&amp;A'!BR137</f>
        <v>-12.708414770000003</v>
      </c>
      <c r="BS24" s="28">
        <f t="shared" si="1"/>
        <v>-41.340489960000006</v>
      </c>
      <c r="BT24" s="28">
        <f>BT52-'COGS + SG&amp;A'!BT137</f>
        <v>-14.89932441</v>
      </c>
      <c r="BU24" s="28">
        <f>BU52-'COGS + SG&amp;A'!BU137</f>
        <v>-13.758868480000002</v>
      </c>
      <c r="BV24" s="28">
        <f>BV52-'COGS + SG&amp;A'!BV137</f>
        <v>-14.631217859999998</v>
      </c>
      <c r="BW24" s="28">
        <f>BW52-'COGS + SG&amp;A'!BW137</f>
        <v>-16.513064480000001</v>
      </c>
      <c r="BX24" s="28">
        <f t="shared" si="2"/>
        <v>-59.802475229999999</v>
      </c>
      <c r="BY24" s="28">
        <f>BY52-'COGS + SG&amp;A'!BY137</f>
        <v>-14.648567969999998</v>
      </c>
      <c r="BZ24" s="28">
        <f>BZ52-'COGS + SG&amp;A'!BZ137</f>
        <v>-19.02347404</v>
      </c>
      <c r="CA24" s="28">
        <f>CA52-'COGS + SG&amp;A'!CA137</f>
        <v>-19.418306390000005</v>
      </c>
      <c r="CB24" s="28">
        <f>CB52-'COGS + SG&amp;A'!CB137</f>
        <v>9.717339520000003</v>
      </c>
      <c r="CC24" s="28">
        <f t="shared" si="3"/>
        <v>-43.37300888</v>
      </c>
      <c r="CD24" s="28">
        <f>CD52-'COGS + SG&amp;A'!CD137</f>
        <v>248.50535843</v>
      </c>
      <c r="CE24" s="28">
        <f>CE52-'COGS + SG&amp;A'!CE137</f>
        <v>-16.318547440000007</v>
      </c>
      <c r="CF24" s="28">
        <f>CF52-'COGS + SG&amp;A'!CF137</f>
        <v>-29.069507530000006</v>
      </c>
      <c r="CG24" s="28">
        <f>CG52-'COGS + SG&amp;A'!CG137</f>
        <v>-34.046677549999998</v>
      </c>
      <c r="CH24" s="28">
        <f t="shared" si="4"/>
        <v>169.07062590999999</v>
      </c>
      <c r="CI24" s="28">
        <f>CI52-'COGS + SG&amp;A'!CI137</f>
        <v>-18.286918180000001</v>
      </c>
      <c r="CJ24" s="28">
        <f>CJ52-'COGS + SG&amp;A'!CJ137</f>
        <v>-10.06385725</v>
      </c>
      <c r="CK24" s="28">
        <f>CK52-'COGS + SG&amp;A'!CK137</f>
        <v>-6.8032860599999978</v>
      </c>
      <c r="CL24" s="28">
        <f>CL52-'COGS + SG&amp;A'!CL137</f>
        <v>14.786700989999996</v>
      </c>
      <c r="CM24" s="28">
        <f t="shared" si="5"/>
        <v>-20.3673605</v>
      </c>
      <c r="CN24" s="28">
        <f>CN52-'COGS + SG&amp;A'!CN137</f>
        <v>-7.0629374800000004</v>
      </c>
      <c r="CO24" s="28">
        <f>CO52-'COGS + SG&amp;A'!CO137</f>
        <v>-308.84858717000003</v>
      </c>
      <c r="CP24" s="28">
        <f>CP52-'COGS + SG&amp;A'!CP137</f>
        <v>-4.2710883599999763</v>
      </c>
      <c r="CQ24" s="28">
        <f>CQ52-'COGS + SG&amp;A'!CQ137</f>
        <v>-5.5403869900000382</v>
      </c>
      <c r="CR24" s="28">
        <f t="shared" si="6"/>
        <v>-325.72300000000007</v>
      </c>
      <c r="CS24" s="28">
        <f>CS52-'COGS + SG&amp;A'!CS137</f>
        <v>-9.0871359900000002</v>
      </c>
      <c r="CT24" s="28">
        <f>CT52-'COGS + SG&amp;A'!CT137</f>
        <v>-2.6923871500000001</v>
      </c>
      <c r="CU24" s="28">
        <f>CU52-'COGS + SG&amp;A'!CU137</f>
        <v>-8.6242365400000001</v>
      </c>
      <c r="CV24" s="28">
        <f>CV52-'COGS + SG&amp;A'!CV137</f>
        <v>-7.1279899999999996</v>
      </c>
      <c r="CW24" s="28">
        <f t="shared" si="7"/>
        <v>-27.531749680000001</v>
      </c>
      <c r="CX24" s="28">
        <f>CX52-'COGS + SG&amp;A'!CX137</f>
        <v>-8.2370000000000001</v>
      </c>
      <c r="CY24" s="28">
        <f>CY52-'COGS + SG&amp;A'!CY137</f>
        <v>-4.7739999999999991</v>
      </c>
      <c r="CZ24" s="28">
        <f>CZ52-'COGS + SG&amp;A'!CZ137</f>
        <v>-9.25</v>
      </c>
      <c r="DA24" s="28">
        <f>DA52-'COGS + SG&amp;A'!DA137</f>
        <v>-16.038</v>
      </c>
      <c r="DB24" s="28">
        <f t="shared" si="8"/>
        <v>-38.298999999999999</v>
      </c>
      <c r="DC24" s="28">
        <f>DC52-'COGS + SG&amp;A'!DC137</f>
        <v>-14.341999999999999</v>
      </c>
      <c r="DD24" s="28">
        <f>DD52-'COGS + SG&amp;A'!DD137</f>
        <v>-16.698</v>
      </c>
      <c r="DE24" s="28">
        <f>DE52-'COGS + SG&amp;A'!DE137</f>
        <v>-70.330000000000013</v>
      </c>
      <c r="DF24" s="28">
        <f>DF52-'COGS + SG&amp;A'!DF137</f>
        <v>-49.753999999999998</v>
      </c>
      <c r="DG24" s="28">
        <f t="shared" si="9"/>
        <v>-151.124</v>
      </c>
      <c r="DH24" s="28">
        <f>DH52-'COGS + SG&amp;A'!DH137</f>
        <v>-10.588000000000001</v>
      </c>
      <c r="DI24" s="28">
        <f>DI52-'COGS + SG&amp;A'!DI137</f>
        <v>-54.782000000000004</v>
      </c>
      <c r="DJ24" s="28">
        <f>DJ52-'COGS + SG&amp;A'!DJ137</f>
        <v>-19.833000000000002</v>
      </c>
      <c r="DK24" s="28">
        <f>DK52-'COGS + SG&amp;A'!DK137</f>
        <v>-310.88600000000002</v>
      </c>
      <c r="DL24" s="28">
        <f t="shared" si="10"/>
        <v>-396.08900000000006</v>
      </c>
      <c r="DM24" s="28">
        <f>DM52-'COGS + SG&amp;A'!DM137</f>
        <v>-6.4470000000000001</v>
      </c>
      <c r="DN24" s="28">
        <f>DN52-'COGS + SG&amp;A'!DN137</f>
        <v>-7.1920000000000002</v>
      </c>
      <c r="DO24" s="28">
        <f>DO52-'COGS + SG&amp;A'!DO137</f>
        <v>40.869</v>
      </c>
      <c r="DP24" s="28">
        <f>DP52-'COGS + SG&amp;A'!DP137</f>
        <v>-58.03</v>
      </c>
      <c r="DQ24" s="28">
        <f t="shared" si="11"/>
        <v>-30.8</v>
      </c>
      <c r="DR24" s="28">
        <f>DR52-'COGS + SG&amp;A'!DR137</f>
        <v>-7.4609999999999994</v>
      </c>
      <c r="DS24" s="28">
        <f>DS52-'COGS + SG&amp;A'!DS137</f>
        <v>-5.4110000000000005</v>
      </c>
      <c r="DT24" s="28">
        <f>DT52-'COGS + SG&amp;A'!DT137</f>
        <v>-9.0570000000000004</v>
      </c>
      <c r="DU24" s="28">
        <f>DU52-'COGS + SG&amp;A'!DU137</f>
        <v>-47.227000000000004</v>
      </c>
      <c r="DV24" s="28">
        <f t="shared" si="12"/>
        <v>-69.156000000000006</v>
      </c>
      <c r="DW24" s="28">
        <f>DW52-'COGS + SG&amp;A'!DW137</f>
        <v>-9.907</v>
      </c>
      <c r="DX24" s="28">
        <f>DX52-'COGS + SG&amp;A'!DX137</f>
        <v>-9.1623344299999996</v>
      </c>
      <c r="DY24" s="28">
        <f>DY52-'COGS + SG&amp;A'!DY137</f>
        <v>-8.8752288100000047</v>
      </c>
      <c r="DZ24" s="28">
        <f>DZ52-'COGS + SG&amp;A'!DZ137</f>
        <v>-13.090114900000062</v>
      </c>
      <c r="EA24" s="28">
        <f t="shared" si="16"/>
        <v>-41.034678140000061</v>
      </c>
      <c r="EB24" s="28">
        <f>EB52-'COGS + SG&amp;A'!EB137</f>
        <v>-11.229754439999999</v>
      </c>
      <c r="EC24" s="28">
        <f>EC52-'COGS + SG&amp;A'!EC137</f>
        <v>-10.920770190000022</v>
      </c>
      <c r="ED24" s="28">
        <f>ED52-'COGS + SG&amp;A'!ED137</f>
        <v>-13.091000000000001</v>
      </c>
      <c r="EE24" s="28">
        <f>EE52-'COGS + SG&amp;A'!EE137</f>
        <v>-5.1271333799999255</v>
      </c>
      <c r="EF24" s="28">
        <f t="shared" si="15"/>
        <v>-40.368658009999947</v>
      </c>
      <c r="EG24" s="28">
        <f>EG52-'COGS + SG&amp;A'!EG137</f>
        <v>-11.53184993</v>
      </c>
      <c r="EH24" s="28">
        <f>EH52-'COGS + SG&amp;A'!EH137</f>
        <v>-11.73115995</v>
      </c>
      <c r="EI24" s="28">
        <f>EI52-'COGS + SG&amp;A'!EI137</f>
        <v>-12.008677059999997</v>
      </c>
    </row>
    <row r="25" spans="1:139" ht="15" thickTop="1" x14ac:dyDescent="0.3">
      <c r="A25" s="1" t="s">
        <v>308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27">
        <f>BJ53-'COGS + SG&amp;A'!BJ138</f>
        <v>-0.93089177999999995</v>
      </c>
      <c r="BK25" s="27">
        <f>BK53-'COGS + SG&amp;A'!BK138</f>
        <v>-1.1417157099999997</v>
      </c>
      <c r="BL25" s="27">
        <f>BL53-'COGS + SG&amp;A'!BL138</f>
        <v>-0.19776767000000073</v>
      </c>
      <c r="BM25" s="27">
        <f>BM53-'COGS + SG&amp;A'!BM138</f>
        <v>-0.36706754000000008</v>
      </c>
      <c r="BN25" s="27">
        <f t="shared" si="0"/>
        <v>-2.6374427000000003</v>
      </c>
      <c r="BO25" s="27">
        <f>BO53-'COGS + SG&amp;A'!BO138</f>
        <v>-4.7113700200000004</v>
      </c>
      <c r="BP25" s="27">
        <f>BP53-'COGS + SG&amp;A'!BP138</f>
        <v>-5.536315329999999</v>
      </c>
      <c r="BQ25" s="27">
        <f>BQ53-'COGS + SG&amp;A'!BQ138</f>
        <v>-6.5167710800000016</v>
      </c>
      <c r="BR25" s="27">
        <f>BR53-'COGS + SG&amp;A'!BR138</f>
        <v>-4.9225720099999997</v>
      </c>
      <c r="BS25" s="27">
        <f t="shared" si="1"/>
        <v>-21.687028440000002</v>
      </c>
      <c r="BT25" s="27">
        <f>BT53-'COGS + SG&amp;A'!BT138</f>
        <v>-1.1000000000000001</v>
      </c>
      <c r="BU25" s="27">
        <f>BU53-'COGS + SG&amp;A'!BU138</f>
        <v>-0.83899999999999997</v>
      </c>
      <c r="BV25" s="27">
        <f>BV53-'COGS + SG&amp;A'!BV138</f>
        <v>-17.997000000000003</v>
      </c>
      <c r="BW25" s="27">
        <f>BW53-'COGS + SG&amp;A'!BW138</f>
        <v>-12.287999999999998</v>
      </c>
      <c r="BX25" s="27">
        <f t="shared" si="2"/>
        <v>-32.224000000000004</v>
      </c>
      <c r="BY25" s="27">
        <f>BY53-'COGS + SG&amp;A'!BY138</f>
        <v>-0.28500000000000003</v>
      </c>
      <c r="BZ25" s="27">
        <f>BZ53-'COGS + SG&amp;A'!BZ138</f>
        <v>-9.0285292399999992</v>
      </c>
      <c r="CA25" s="27">
        <f>CA53-'COGS + SG&amp;A'!CA138</f>
        <v>-7.2830000000000004</v>
      </c>
      <c r="CB25" s="27">
        <f>CB53-'COGS + SG&amp;A'!CB138</f>
        <v>-8.947000000000001</v>
      </c>
      <c r="CC25" s="27">
        <f t="shared" si="3"/>
        <v>-25.543529239999998</v>
      </c>
      <c r="CD25" s="27">
        <f>CD53-'COGS + SG&amp;A'!CD138</f>
        <v>-7.5712367899999995</v>
      </c>
      <c r="CE25" s="27">
        <f>CE53-'COGS + SG&amp;A'!CE138</f>
        <v>-8.1</v>
      </c>
      <c r="CF25" s="27">
        <f>CF53-'COGS + SG&amp;A'!CF138</f>
        <v>-7.6999999999999993</v>
      </c>
      <c r="CG25" s="27">
        <f>CG53-'COGS + SG&amp;A'!CG138</f>
        <v>-8</v>
      </c>
      <c r="CH25" s="27">
        <f t="shared" si="4"/>
        <v>-31.371236789999998</v>
      </c>
      <c r="CI25" s="27">
        <f>CI53-'COGS + SG&amp;A'!CI138</f>
        <v>-7.8280084900000002</v>
      </c>
      <c r="CJ25" s="27">
        <f>CJ53-'COGS + SG&amp;A'!CJ138</f>
        <v>-7.8274192200000012</v>
      </c>
      <c r="CK25" s="27">
        <f>CK53-'COGS + SG&amp;A'!CK138</f>
        <v>-7.8269173699999968</v>
      </c>
      <c r="CL25" s="27">
        <f>CL53-'COGS + SG&amp;A'!CL138</f>
        <v>-9.4847403599999982</v>
      </c>
      <c r="CM25" s="27">
        <f t="shared" si="5"/>
        <v>-32.967085439999998</v>
      </c>
      <c r="CN25" s="27">
        <f>CN53-'COGS + SG&amp;A'!CN138</f>
        <v>-7.85147656</v>
      </c>
      <c r="CO25" s="27">
        <f>CO53-'COGS + SG&amp;A'!CO138</f>
        <v>-7.9060848200000002</v>
      </c>
      <c r="CP25" s="27">
        <f>CP53-'COGS + SG&amp;A'!CP138</f>
        <v>-5.5634226599999987</v>
      </c>
      <c r="CQ25" s="27">
        <f>CQ53-'COGS + SG&amp;A'!CQ138</f>
        <v>-4.7720159600000009</v>
      </c>
      <c r="CR25" s="27">
        <f t="shared" si="6"/>
        <v>-26.093</v>
      </c>
      <c r="CS25" s="27">
        <f>CS53-'COGS + SG&amp;A'!CS138</f>
        <v>-5.44724232</v>
      </c>
      <c r="CT25" s="27">
        <f>CT53-'COGS + SG&amp;A'!CT138</f>
        <v>-5.45158699</v>
      </c>
      <c r="CU25" s="27">
        <f>CU53-'COGS + SG&amp;A'!CU138</f>
        <v>-5.4421956299999996</v>
      </c>
      <c r="CV25" s="27">
        <f>CV53-'COGS + SG&amp;A'!CV138</f>
        <v>-5.4472423200000017</v>
      </c>
      <c r="CW25" s="27">
        <f t="shared" si="7"/>
        <v>-21.788267260000001</v>
      </c>
      <c r="CX25" s="27">
        <f>CX53-'COGS + SG&amp;A'!CX138</f>
        <v>-4.2830000000000004</v>
      </c>
      <c r="CY25" s="27">
        <f>CY53-'COGS + SG&amp;A'!CY138</f>
        <v>-4.2830000000000004</v>
      </c>
      <c r="CZ25" s="27">
        <f>CZ53-'COGS + SG&amp;A'!CZ138</f>
        <v>-4.2830000000000004</v>
      </c>
      <c r="DA25" s="27">
        <f>DA53-'COGS + SG&amp;A'!DA138</f>
        <v>-4.2830000000000004</v>
      </c>
      <c r="DB25" s="27">
        <f t="shared" si="8"/>
        <v>-17.132000000000001</v>
      </c>
      <c r="DC25" s="27">
        <f>DC53-'COGS + SG&amp;A'!DC138</f>
        <v>-5.7530000000000001</v>
      </c>
      <c r="DD25" s="27">
        <f>DD53-'COGS + SG&amp;A'!DD138</f>
        <v>-3.9529999999999998</v>
      </c>
      <c r="DE25" s="27">
        <f>DE53-'COGS + SG&amp;A'!DE138</f>
        <v>-8.1170000000000027</v>
      </c>
      <c r="DF25" s="27">
        <f>DF53-'COGS + SG&amp;A'!DF138</f>
        <v>-23.067</v>
      </c>
      <c r="DG25" s="27">
        <f t="shared" si="9"/>
        <v>-40.89</v>
      </c>
      <c r="DH25" s="27">
        <f>DH53-'COGS + SG&amp;A'!DH138</f>
        <v>4.3049999999999997</v>
      </c>
      <c r="DI25" s="27">
        <f>DI53-'COGS + SG&amp;A'!DI138</f>
        <v>-8.1580000000000013</v>
      </c>
      <c r="DJ25" s="27">
        <f>DJ53-'COGS + SG&amp;A'!DJ138</f>
        <v>-9.5690000000000008</v>
      </c>
      <c r="DK25" s="27">
        <f>DK53-'COGS + SG&amp;A'!DK138</f>
        <v>-33.811999999999998</v>
      </c>
      <c r="DL25" s="27">
        <f t="shared" si="10"/>
        <v>-47.234000000000002</v>
      </c>
      <c r="DM25" s="27">
        <f>DM53-'COGS + SG&amp;A'!DM138</f>
        <v>-4.7489999999999997</v>
      </c>
      <c r="DN25" s="27">
        <f>DN53-'COGS + SG&amp;A'!DN138</f>
        <v>-9.302999999999999</v>
      </c>
      <c r="DO25" s="27">
        <f>DO53-'COGS + SG&amp;A'!DO138</f>
        <v>-6.55</v>
      </c>
      <c r="DP25" s="27">
        <f>DP53-'COGS + SG&amp;A'!DP138</f>
        <v>-6.8650000000000002</v>
      </c>
      <c r="DQ25" s="27">
        <f t="shared" si="11"/>
        <v>-27.466999999999999</v>
      </c>
      <c r="DR25" s="27">
        <f>DR53-'COGS + SG&amp;A'!DR138</f>
        <v>-7.4550000000000001</v>
      </c>
      <c r="DS25" s="27">
        <f>DS53-'COGS + SG&amp;A'!DS138</f>
        <v>-7.4759999999999991</v>
      </c>
      <c r="DT25" s="27">
        <f>DT53-'COGS + SG&amp;A'!DT138</f>
        <v>-7.4690000000000003</v>
      </c>
      <c r="DU25" s="27">
        <f>DU53-'COGS + SG&amp;A'!DU138</f>
        <v>-9.9109999999999996</v>
      </c>
      <c r="DV25" s="27">
        <f t="shared" si="12"/>
        <v>-32.311</v>
      </c>
      <c r="DW25" s="27">
        <f>DW53-'COGS + SG&amp;A'!DW138</f>
        <v>-7.8250000000000011</v>
      </c>
      <c r="DX25" s="27">
        <f>DX53-'COGS + SG&amp;A'!DX138</f>
        <v>-8.1120062100000006</v>
      </c>
      <c r="DY25" s="27">
        <f>DY53-'COGS + SG&amp;A'!DY138</f>
        <v>-7.7083224799999321</v>
      </c>
      <c r="DZ25" s="27">
        <f>DZ53-'COGS + SG&amp;A'!DZ138</f>
        <v>-8.1014169599999608</v>
      </c>
      <c r="EA25" s="27">
        <f t="shared" si="16"/>
        <v>-31.746745649999895</v>
      </c>
      <c r="EB25" s="27">
        <f>EB53-'COGS + SG&amp;A'!EB138</f>
        <v>-9.5368021400000469</v>
      </c>
      <c r="EC25" s="27">
        <f>EC53-'COGS + SG&amp;A'!EC138</f>
        <v>-11.042577309999926</v>
      </c>
      <c r="ED25" s="27">
        <f>ED53-'COGS + SG&amp;A'!ED138</f>
        <v>-9.4870000000000001</v>
      </c>
      <c r="EE25" s="27">
        <f>EE53-'COGS + SG&amp;A'!EE138</f>
        <v>-10.038123539999919</v>
      </c>
      <c r="EF25" s="27">
        <f t="shared" si="15"/>
        <v>-40.104502989999887</v>
      </c>
      <c r="EG25" s="27">
        <f>EG53-'COGS + SG&amp;A'!EG138</f>
        <v>-11.946161979999999</v>
      </c>
      <c r="EH25" s="27">
        <f>EH53-'COGS + SG&amp;A'!EH138</f>
        <v>-17.437060100000004</v>
      </c>
      <c r="EI25" s="27">
        <f>EI53-'COGS + SG&amp;A'!EI138</f>
        <v>-14.157278429999998</v>
      </c>
    </row>
    <row r="26" spans="1:139" x14ac:dyDescent="0.3">
      <c r="A26" s="5" t="s">
        <v>311</v>
      </c>
      <c r="B26" s="29">
        <f t="shared" ref="B26:BM26" si="17">SUM(B3:B25)</f>
        <v>0</v>
      </c>
      <c r="C26" s="29">
        <f t="shared" si="17"/>
        <v>0</v>
      </c>
      <c r="D26" s="29">
        <f t="shared" si="17"/>
        <v>0</v>
      </c>
      <c r="E26" s="29">
        <f t="shared" si="17"/>
        <v>0</v>
      </c>
      <c r="F26" s="29">
        <f t="shared" si="17"/>
        <v>0</v>
      </c>
      <c r="G26" s="29">
        <f t="shared" si="17"/>
        <v>0</v>
      </c>
      <c r="H26" s="29">
        <f t="shared" si="17"/>
        <v>0</v>
      </c>
      <c r="I26" s="29">
        <f t="shared" si="17"/>
        <v>0</v>
      </c>
      <c r="J26" s="29">
        <f t="shared" si="17"/>
        <v>0</v>
      </c>
      <c r="K26" s="29">
        <f t="shared" si="17"/>
        <v>0</v>
      </c>
      <c r="L26" s="29">
        <f t="shared" si="17"/>
        <v>0</v>
      </c>
      <c r="M26" s="29">
        <f t="shared" si="17"/>
        <v>0</v>
      </c>
      <c r="N26" s="29">
        <f t="shared" si="17"/>
        <v>0</v>
      </c>
      <c r="O26" s="29">
        <f t="shared" si="17"/>
        <v>0</v>
      </c>
      <c r="P26" s="29">
        <f t="shared" si="17"/>
        <v>0</v>
      </c>
      <c r="Q26" s="29">
        <f t="shared" si="17"/>
        <v>0</v>
      </c>
      <c r="R26" s="29">
        <f t="shared" si="17"/>
        <v>0</v>
      </c>
      <c r="S26" s="29">
        <f t="shared" si="17"/>
        <v>0</v>
      </c>
      <c r="T26" s="29">
        <f t="shared" si="17"/>
        <v>0</v>
      </c>
      <c r="U26" s="29">
        <f t="shared" si="17"/>
        <v>0</v>
      </c>
      <c r="V26" s="29">
        <f t="shared" si="17"/>
        <v>0</v>
      </c>
      <c r="W26" s="29">
        <f t="shared" si="17"/>
        <v>0</v>
      </c>
      <c r="X26" s="29">
        <f t="shared" si="17"/>
        <v>0</v>
      </c>
      <c r="Y26" s="29">
        <f t="shared" si="17"/>
        <v>0</v>
      </c>
      <c r="Z26" s="29">
        <f t="shared" si="17"/>
        <v>0</v>
      </c>
      <c r="AA26" s="29">
        <f t="shared" si="17"/>
        <v>0</v>
      </c>
      <c r="AB26" s="29">
        <f t="shared" si="17"/>
        <v>0</v>
      </c>
      <c r="AC26" s="29">
        <f t="shared" si="17"/>
        <v>0</v>
      </c>
      <c r="AD26" s="29">
        <f t="shared" si="17"/>
        <v>0</v>
      </c>
      <c r="AE26" s="29">
        <f t="shared" si="17"/>
        <v>0</v>
      </c>
      <c r="AF26" s="29">
        <f t="shared" si="17"/>
        <v>0</v>
      </c>
      <c r="AG26" s="29">
        <f t="shared" si="17"/>
        <v>0</v>
      </c>
      <c r="AH26" s="29">
        <f t="shared" si="17"/>
        <v>0</v>
      </c>
      <c r="AI26" s="29">
        <f t="shared" si="17"/>
        <v>0</v>
      </c>
      <c r="AJ26" s="29">
        <f t="shared" si="17"/>
        <v>0</v>
      </c>
      <c r="AK26" s="29">
        <f t="shared" si="17"/>
        <v>0</v>
      </c>
      <c r="AL26" s="29">
        <f t="shared" si="17"/>
        <v>0</v>
      </c>
      <c r="AM26" s="29">
        <f t="shared" si="17"/>
        <v>0</v>
      </c>
      <c r="AN26" s="29">
        <f t="shared" si="17"/>
        <v>0</v>
      </c>
      <c r="AO26" s="29">
        <f t="shared" si="17"/>
        <v>0</v>
      </c>
      <c r="AP26" s="29">
        <f t="shared" si="17"/>
        <v>0</v>
      </c>
      <c r="AQ26" s="29">
        <f t="shared" si="17"/>
        <v>0</v>
      </c>
      <c r="AR26" s="29">
        <f t="shared" si="17"/>
        <v>0</v>
      </c>
      <c r="AS26" s="29">
        <f t="shared" si="17"/>
        <v>0</v>
      </c>
      <c r="AT26" s="29">
        <f t="shared" si="17"/>
        <v>0</v>
      </c>
      <c r="AU26" s="29">
        <f t="shared" si="17"/>
        <v>0</v>
      </c>
      <c r="AV26" s="29">
        <f t="shared" si="17"/>
        <v>0</v>
      </c>
      <c r="AW26" s="29">
        <f t="shared" si="17"/>
        <v>0</v>
      </c>
      <c r="AX26" s="29">
        <f t="shared" si="17"/>
        <v>0</v>
      </c>
      <c r="AY26" s="29">
        <f t="shared" si="17"/>
        <v>0</v>
      </c>
      <c r="AZ26" s="29">
        <f t="shared" si="17"/>
        <v>0</v>
      </c>
      <c r="BA26" s="29">
        <f t="shared" si="17"/>
        <v>0</v>
      </c>
      <c r="BB26" s="29">
        <f t="shared" si="17"/>
        <v>0</v>
      </c>
      <c r="BC26" s="29">
        <f t="shared" si="17"/>
        <v>0</v>
      </c>
      <c r="BD26" s="29">
        <f t="shared" si="17"/>
        <v>0</v>
      </c>
      <c r="BE26" s="29">
        <f t="shared" si="17"/>
        <v>0</v>
      </c>
      <c r="BF26" s="29">
        <f t="shared" si="17"/>
        <v>0</v>
      </c>
      <c r="BG26" s="29">
        <f t="shared" si="17"/>
        <v>0</v>
      </c>
      <c r="BH26" s="29">
        <f t="shared" si="17"/>
        <v>0</v>
      </c>
      <c r="BI26" s="29">
        <f t="shared" si="17"/>
        <v>0</v>
      </c>
      <c r="BJ26" s="29">
        <f t="shared" si="17"/>
        <v>167.74775657999999</v>
      </c>
      <c r="BK26" s="29">
        <f t="shared" si="17"/>
        <v>162.93451496999998</v>
      </c>
      <c r="BL26" s="29">
        <f t="shared" si="17"/>
        <v>174.45298137</v>
      </c>
      <c r="BM26" s="29">
        <f t="shared" si="17"/>
        <v>166.81821503</v>
      </c>
      <c r="BN26" s="29">
        <f t="shared" ref="BN26:DV26" si="18">SUM(BN3:BN25)</f>
        <v>671.95346795000023</v>
      </c>
      <c r="BO26" s="29">
        <f t="shared" si="18"/>
        <v>193.74425062999998</v>
      </c>
      <c r="BP26" s="29">
        <f t="shared" si="18"/>
        <v>178.45307400999999</v>
      </c>
      <c r="BQ26" s="29">
        <f t="shared" si="18"/>
        <v>207.97808157</v>
      </c>
      <c r="BR26" s="29">
        <f t="shared" si="18"/>
        <v>208.89741133000001</v>
      </c>
      <c r="BS26" s="29">
        <f t="shared" si="18"/>
        <v>789.07281753999996</v>
      </c>
      <c r="BT26" s="29">
        <f t="shared" si="18"/>
        <v>207.14516269999999</v>
      </c>
      <c r="BU26" s="29">
        <f t="shared" si="18"/>
        <v>188.47901667000002</v>
      </c>
      <c r="BV26" s="29">
        <f t="shared" si="18"/>
        <v>239.23507269999999</v>
      </c>
      <c r="BW26" s="29">
        <f t="shared" si="18"/>
        <v>227.56539931</v>
      </c>
      <c r="BX26" s="29">
        <f t="shared" si="18"/>
        <v>862.42465137999989</v>
      </c>
      <c r="BY26" s="29">
        <f t="shared" si="18"/>
        <v>250.69702323000004</v>
      </c>
      <c r="BZ26" s="29">
        <f t="shared" si="18"/>
        <v>234.96858416999999</v>
      </c>
      <c r="CA26" s="29">
        <f t="shared" si="18"/>
        <v>254.19226275000003</v>
      </c>
      <c r="CB26" s="29">
        <f t="shared" si="18"/>
        <v>219.05005348</v>
      </c>
      <c r="CC26" s="29">
        <f t="shared" si="18"/>
        <v>958.90792363000014</v>
      </c>
      <c r="CD26" s="29">
        <f t="shared" si="18"/>
        <v>509.27544154999993</v>
      </c>
      <c r="CE26" s="29">
        <f t="shared" si="18"/>
        <v>195.73443835</v>
      </c>
      <c r="CF26" s="29">
        <f t="shared" si="18"/>
        <v>224.30936580000002</v>
      </c>
      <c r="CG26" s="29">
        <f t="shared" si="18"/>
        <v>208.48217064999997</v>
      </c>
      <c r="CH26" s="29">
        <f t="shared" si="18"/>
        <v>1137.80141635</v>
      </c>
      <c r="CI26" s="29">
        <f t="shared" si="18"/>
        <v>248.66344596000005</v>
      </c>
      <c r="CJ26" s="29">
        <f t="shared" si="18"/>
        <v>206.95757338000001</v>
      </c>
      <c r="CK26" s="29">
        <f t="shared" si="18"/>
        <v>245.85251514000004</v>
      </c>
      <c r="CL26" s="29">
        <f t="shared" si="18"/>
        <v>279.53315111000006</v>
      </c>
      <c r="CM26" s="29">
        <f t="shared" si="18"/>
        <v>981.00668558999996</v>
      </c>
      <c r="CN26" s="29">
        <f t="shared" si="18"/>
        <v>297.96684025000002</v>
      </c>
      <c r="CO26" s="29">
        <f t="shared" si="18"/>
        <v>-62.423855940000053</v>
      </c>
      <c r="CP26" s="29">
        <f t="shared" si="18"/>
        <v>267.04348390000007</v>
      </c>
      <c r="CQ26" s="29">
        <f t="shared" si="18"/>
        <v>271.89653178999993</v>
      </c>
      <c r="CR26" s="29">
        <f t="shared" si="18"/>
        <v>774.48299999999972</v>
      </c>
      <c r="CS26" s="29">
        <f t="shared" si="18"/>
        <v>320.24633833000001</v>
      </c>
      <c r="CT26" s="29">
        <f t="shared" si="18"/>
        <v>286.41490293999999</v>
      </c>
      <c r="CU26" s="29">
        <f t="shared" si="18"/>
        <v>314.35003702999995</v>
      </c>
      <c r="CV26" s="29">
        <f t="shared" si="18"/>
        <v>290.61545848000009</v>
      </c>
      <c r="CW26" s="29">
        <f t="shared" si="18"/>
        <v>1211.6267367799996</v>
      </c>
      <c r="CX26" s="29">
        <f t="shared" si="18"/>
        <v>349.64899999999994</v>
      </c>
      <c r="CY26" s="29">
        <f t="shared" si="18"/>
        <v>273.73399999999992</v>
      </c>
      <c r="CZ26" s="29">
        <f t="shared" si="18"/>
        <v>292.6579999999999</v>
      </c>
      <c r="DA26" s="29">
        <f t="shared" si="18"/>
        <v>268.22200000000004</v>
      </c>
      <c r="DB26" s="29">
        <f t="shared" si="18"/>
        <v>1184.2630000000001</v>
      </c>
      <c r="DC26" s="29">
        <f t="shared" si="18"/>
        <v>285.464</v>
      </c>
      <c r="DD26" s="29">
        <f t="shared" si="18"/>
        <v>295.19100000000003</v>
      </c>
      <c r="DE26" s="29">
        <f t="shared" si="18"/>
        <v>-160.75700000000001</v>
      </c>
      <c r="DF26" s="29">
        <f t="shared" si="18"/>
        <v>372.75100000000003</v>
      </c>
      <c r="DG26" s="29">
        <f t="shared" si="18"/>
        <v>792.64900000000011</v>
      </c>
      <c r="DH26" s="29">
        <f t="shared" si="18"/>
        <v>373.49299999999999</v>
      </c>
      <c r="DI26" s="29">
        <f t="shared" si="18"/>
        <v>210.71399999999994</v>
      </c>
      <c r="DJ26" s="29">
        <f t="shared" si="18"/>
        <v>343.76400000000007</v>
      </c>
      <c r="DK26" s="29">
        <f t="shared" si="18"/>
        <v>-62.230000000000118</v>
      </c>
      <c r="DL26" s="29">
        <f t="shared" si="18"/>
        <v>865.74099999999976</v>
      </c>
      <c r="DM26" s="29">
        <f t="shared" si="18"/>
        <v>389.01099999999997</v>
      </c>
      <c r="DN26" s="29">
        <f t="shared" si="18"/>
        <v>363.14300000000003</v>
      </c>
      <c r="DO26" s="29">
        <f t="shared" si="18"/>
        <v>469.1040000000001</v>
      </c>
      <c r="DP26" s="29">
        <f t="shared" si="18"/>
        <v>346.42000000000007</v>
      </c>
      <c r="DQ26" s="29">
        <f t="shared" si="18"/>
        <v>1567.6779999999999</v>
      </c>
      <c r="DR26" s="29">
        <f t="shared" si="18"/>
        <v>317.90699999999993</v>
      </c>
      <c r="DS26" s="29">
        <f t="shared" si="18"/>
        <v>289.63100000000003</v>
      </c>
      <c r="DT26" s="29">
        <f t="shared" si="18"/>
        <v>379.89499999999992</v>
      </c>
      <c r="DU26" s="29">
        <f t="shared" si="18"/>
        <v>554.96299999999997</v>
      </c>
      <c r="DV26" s="29">
        <f t="shared" si="18"/>
        <v>1542.3960000000004</v>
      </c>
      <c r="DW26" s="29">
        <f t="shared" ref="DW26:ED26" si="19">SUM(DW3:DW25)</f>
        <v>601.69700000000012</v>
      </c>
      <c r="DX26" s="29">
        <f t="shared" si="19"/>
        <v>683.88273360000017</v>
      </c>
      <c r="DY26" s="29">
        <f t="shared" si="19"/>
        <v>813.22742031000087</v>
      </c>
      <c r="DZ26" s="29">
        <f t="shared" si="19"/>
        <v>683.83817508999891</v>
      </c>
      <c r="EA26" s="29">
        <f t="shared" si="19"/>
        <v>2782.6453290000004</v>
      </c>
      <c r="EB26" s="29">
        <f t="shared" si="19"/>
        <v>846.05015992000006</v>
      </c>
      <c r="EC26" s="29">
        <f t="shared" si="19"/>
        <v>882.52828609000005</v>
      </c>
      <c r="ED26" s="29">
        <f t="shared" si="19"/>
        <v>928.61900000000014</v>
      </c>
      <c r="EE26" s="29">
        <f t="shared" ref="EE26:EF26" si="20">SUM(EE3:EE25)</f>
        <v>865.09145806000083</v>
      </c>
      <c r="EF26" s="29">
        <f t="shared" si="20"/>
        <v>3522.2889040700015</v>
      </c>
      <c r="EG26" s="29">
        <f t="shared" ref="EG26" si="21">SUM(EG3:EG25)</f>
        <v>930.51488171000005</v>
      </c>
      <c r="EH26" s="29">
        <f t="shared" ref="EH26:EI26" si="22">SUM(EH3:EH25)</f>
        <v>1003.8130729599999</v>
      </c>
      <c r="EI26" s="29">
        <f t="shared" si="22"/>
        <v>1309.1642260100002</v>
      </c>
    </row>
    <row r="27" spans="1:139" x14ac:dyDescent="0.3"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</row>
    <row r="28" spans="1:139" x14ac:dyDescent="0.3">
      <c r="DG28" s="33"/>
    </row>
    <row r="29" spans="1:139" x14ac:dyDescent="0.3">
      <c r="A29" s="3" t="s">
        <v>346</v>
      </c>
      <c r="B29" s="6" t="s">
        <v>4</v>
      </c>
      <c r="C29" s="6" t="s">
        <v>5</v>
      </c>
      <c r="D29" s="6" t="s">
        <v>6</v>
      </c>
      <c r="E29" s="6" t="s">
        <v>7</v>
      </c>
      <c r="F29" s="6">
        <v>2018</v>
      </c>
      <c r="G29" s="6" t="s">
        <v>8</v>
      </c>
      <c r="H29" s="6" t="s">
        <v>9</v>
      </c>
      <c r="I29" s="6" t="s">
        <v>10</v>
      </c>
      <c r="J29" s="6" t="s">
        <v>11</v>
      </c>
      <c r="K29" s="6">
        <v>2019</v>
      </c>
      <c r="L29" s="6" t="s">
        <v>12</v>
      </c>
      <c r="M29" s="6" t="s">
        <v>13</v>
      </c>
      <c r="N29" s="6" t="s">
        <v>14</v>
      </c>
      <c r="O29" s="6" t="s">
        <v>15</v>
      </c>
      <c r="P29" s="6">
        <v>2000</v>
      </c>
      <c r="Q29" s="6" t="s">
        <v>16</v>
      </c>
      <c r="R29" s="6" t="s">
        <v>17</v>
      </c>
      <c r="S29" s="6" t="s">
        <v>18</v>
      </c>
      <c r="T29" s="6" t="s">
        <v>19</v>
      </c>
      <c r="U29" s="6">
        <v>2001</v>
      </c>
      <c r="V29" s="6" t="s">
        <v>20</v>
      </c>
      <c r="W29" s="6" t="s">
        <v>21</v>
      </c>
      <c r="X29" s="6" t="s">
        <v>22</v>
      </c>
      <c r="Y29" s="6" t="s">
        <v>23</v>
      </c>
      <c r="Z29" s="6">
        <v>2002</v>
      </c>
      <c r="AA29" s="6" t="s">
        <v>24</v>
      </c>
      <c r="AB29" s="6" t="s">
        <v>25</v>
      </c>
      <c r="AC29" s="6" t="s">
        <v>26</v>
      </c>
      <c r="AD29" s="6" t="s">
        <v>27</v>
      </c>
      <c r="AE29" s="6">
        <v>2003</v>
      </c>
      <c r="AF29" s="6" t="s">
        <v>28</v>
      </c>
      <c r="AG29" s="6" t="s">
        <v>29</v>
      </c>
      <c r="AH29" s="6" t="s">
        <v>30</v>
      </c>
      <c r="AI29" s="6" t="s">
        <v>31</v>
      </c>
      <c r="AJ29" s="6">
        <v>2004</v>
      </c>
      <c r="AK29" s="6" t="s">
        <v>32</v>
      </c>
      <c r="AL29" s="6" t="s">
        <v>33</v>
      </c>
      <c r="AM29" s="6" t="s">
        <v>34</v>
      </c>
      <c r="AN29" s="6" t="s">
        <v>35</v>
      </c>
      <c r="AO29" s="6">
        <v>2005</v>
      </c>
      <c r="AP29" s="6" t="s">
        <v>36</v>
      </c>
      <c r="AQ29" s="6" t="s">
        <v>37</v>
      </c>
      <c r="AR29" s="6" t="s">
        <v>38</v>
      </c>
      <c r="AS29" s="6" t="s">
        <v>39</v>
      </c>
      <c r="AT29" s="6">
        <v>2006</v>
      </c>
      <c r="AU29" s="6" t="s">
        <v>40</v>
      </c>
      <c r="AV29" s="6" t="s">
        <v>41</v>
      </c>
      <c r="AW29" s="6" t="s">
        <v>42</v>
      </c>
      <c r="AX29" s="6" t="s">
        <v>43</v>
      </c>
      <c r="AY29" s="6">
        <v>2007</v>
      </c>
      <c r="AZ29" s="6" t="s">
        <v>44</v>
      </c>
      <c r="BA29" s="6" t="s">
        <v>45</v>
      </c>
      <c r="BB29" s="6" t="s">
        <v>46</v>
      </c>
      <c r="BC29" s="6" t="s">
        <v>47</v>
      </c>
      <c r="BD29" s="6">
        <v>2008</v>
      </c>
      <c r="BE29" s="6" t="s">
        <v>48</v>
      </c>
      <c r="BF29" s="6" t="s">
        <v>49</v>
      </c>
      <c r="BG29" s="6" t="s">
        <v>50</v>
      </c>
      <c r="BH29" s="6" t="s">
        <v>51</v>
      </c>
      <c r="BI29" s="6">
        <v>2009</v>
      </c>
      <c r="BJ29" s="6" t="s">
        <v>52</v>
      </c>
      <c r="BK29" s="6" t="s">
        <v>53</v>
      </c>
      <c r="BL29" s="6" t="s">
        <v>54</v>
      </c>
      <c r="BM29" s="6" t="s">
        <v>55</v>
      </c>
      <c r="BN29" s="6">
        <v>2010</v>
      </c>
      <c r="BO29" s="6" t="s">
        <v>56</v>
      </c>
      <c r="BP29" s="6" t="s">
        <v>57</v>
      </c>
      <c r="BQ29" s="6" t="s">
        <v>58</v>
      </c>
      <c r="BR29" s="6" t="s">
        <v>59</v>
      </c>
      <c r="BS29" s="6">
        <v>2011</v>
      </c>
      <c r="BT29" s="6" t="s">
        <v>60</v>
      </c>
      <c r="BU29" s="6" t="s">
        <v>61</v>
      </c>
      <c r="BV29" s="6" t="s">
        <v>62</v>
      </c>
      <c r="BW29" s="6" t="s">
        <v>63</v>
      </c>
      <c r="BX29" s="6">
        <v>2012</v>
      </c>
      <c r="BY29" s="6" t="s">
        <v>64</v>
      </c>
      <c r="BZ29" s="6" t="s">
        <v>65</v>
      </c>
      <c r="CA29" s="6" t="s">
        <v>66</v>
      </c>
      <c r="CB29" s="6" t="s">
        <v>67</v>
      </c>
      <c r="CC29" s="6">
        <v>2013</v>
      </c>
      <c r="CD29" s="6" t="s">
        <v>68</v>
      </c>
      <c r="CE29" s="6" t="s">
        <v>69</v>
      </c>
      <c r="CF29" s="6" t="s">
        <v>70</v>
      </c>
      <c r="CG29" s="6" t="s">
        <v>71</v>
      </c>
      <c r="CH29" s="6">
        <v>2014</v>
      </c>
      <c r="CI29" s="6" t="s">
        <v>72</v>
      </c>
      <c r="CJ29" s="6" t="s">
        <v>73</v>
      </c>
      <c r="CK29" s="6" t="s">
        <v>74</v>
      </c>
      <c r="CL29" s="6" t="s">
        <v>75</v>
      </c>
      <c r="CM29" s="6">
        <v>2015</v>
      </c>
      <c r="CN29" s="6" t="s">
        <v>76</v>
      </c>
      <c r="CO29" s="6" t="s">
        <v>77</v>
      </c>
      <c r="CP29" s="6" t="s">
        <v>78</v>
      </c>
      <c r="CQ29" s="6" t="s">
        <v>79</v>
      </c>
      <c r="CR29" s="6">
        <v>2016</v>
      </c>
      <c r="CS29" s="6" t="s">
        <v>80</v>
      </c>
      <c r="CT29" s="6" t="s">
        <v>81</v>
      </c>
      <c r="CU29" s="6" t="s">
        <v>82</v>
      </c>
      <c r="CV29" s="6" t="s">
        <v>83</v>
      </c>
      <c r="CW29" s="6">
        <v>2017</v>
      </c>
      <c r="CX29" s="6" t="s">
        <v>84</v>
      </c>
      <c r="CY29" s="6" t="s">
        <v>85</v>
      </c>
      <c r="CZ29" s="6" t="s">
        <v>86</v>
      </c>
      <c r="DA29" s="6" t="s">
        <v>87</v>
      </c>
      <c r="DB29" s="6">
        <v>2018</v>
      </c>
      <c r="DC29" s="6" t="s">
        <v>88</v>
      </c>
      <c r="DD29" s="6" t="s">
        <v>89</v>
      </c>
      <c r="DE29" s="6" t="s">
        <v>90</v>
      </c>
      <c r="DF29" s="6" t="s">
        <v>91</v>
      </c>
      <c r="DG29" s="6">
        <v>2019</v>
      </c>
      <c r="DH29" s="6" t="s">
        <v>92</v>
      </c>
      <c r="DI29" s="6" t="s">
        <v>93</v>
      </c>
      <c r="DJ29" s="6" t="s">
        <v>94</v>
      </c>
      <c r="DK29" s="6" t="s">
        <v>95</v>
      </c>
      <c r="DL29" s="6">
        <v>2020</v>
      </c>
      <c r="DM29" s="6" t="s">
        <v>96</v>
      </c>
      <c r="DN29" s="6" t="s">
        <v>97</v>
      </c>
      <c r="DO29" s="6" t="s">
        <v>98</v>
      </c>
      <c r="DP29" s="6" t="s">
        <v>99</v>
      </c>
      <c r="DQ29" s="6">
        <v>2021</v>
      </c>
      <c r="DR29" s="6" t="s">
        <v>100</v>
      </c>
      <c r="DS29" s="6" t="s">
        <v>101</v>
      </c>
      <c r="DT29" s="6" t="s">
        <v>200</v>
      </c>
      <c r="DU29" s="6" t="s">
        <v>380</v>
      </c>
      <c r="DV29" s="6">
        <v>2022</v>
      </c>
      <c r="DW29" s="6" t="s">
        <v>379</v>
      </c>
      <c r="DX29" s="6" t="s">
        <v>402</v>
      </c>
      <c r="DY29" s="6" t="s">
        <v>414</v>
      </c>
      <c r="DZ29" s="6" t="s">
        <v>419</v>
      </c>
      <c r="EA29" s="6">
        <v>2023</v>
      </c>
      <c r="EB29" s="6" t="s">
        <v>424</v>
      </c>
      <c r="EC29" s="6" t="s">
        <v>429</v>
      </c>
      <c r="ED29" s="6" t="str">
        <f>$ED$1</f>
        <v>3T24</v>
      </c>
      <c r="EE29" s="6" t="str">
        <f>$EE$1</f>
        <v>4T24</v>
      </c>
      <c r="EF29" s="6">
        <f>$EF$1</f>
        <v>2024</v>
      </c>
      <c r="EG29" s="6" t="str">
        <f>EG$1</f>
        <v>1T25</v>
      </c>
      <c r="EH29" s="6" t="str">
        <f>EH$1</f>
        <v>2T25</v>
      </c>
      <c r="EI29" s="6" t="str">
        <f>EI$1</f>
        <v>3T25</v>
      </c>
    </row>
    <row r="30" spans="1:139" ht="15" thickBot="1" x14ac:dyDescent="0.35">
      <c r="A30" s="4" t="s">
        <v>346</v>
      </c>
      <c r="B30" s="7" t="s">
        <v>102</v>
      </c>
      <c r="C30" s="7" t="s">
        <v>103</v>
      </c>
      <c r="D30" s="7" t="s">
        <v>104</v>
      </c>
      <c r="E30" s="7" t="s">
        <v>105</v>
      </c>
      <c r="F30" s="7">
        <v>2018</v>
      </c>
      <c r="G30" s="7" t="s">
        <v>106</v>
      </c>
      <c r="H30" s="7" t="s">
        <v>107</v>
      </c>
      <c r="I30" s="7" t="s">
        <v>108</v>
      </c>
      <c r="J30" s="7" t="s">
        <v>109</v>
      </c>
      <c r="K30" s="7">
        <v>2019</v>
      </c>
      <c r="L30" s="7" t="s">
        <v>110</v>
      </c>
      <c r="M30" s="7" t="s">
        <v>111</v>
      </c>
      <c r="N30" s="7" t="s">
        <v>112</v>
      </c>
      <c r="O30" s="7" t="s">
        <v>113</v>
      </c>
      <c r="P30" s="7">
        <v>2000</v>
      </c>
      <c r="Q30" s="7" t="s">
        <v>114</v>
      </c>
      <c r="R30" s="7" t="s">
        <v>115</v>
      </c>
      <c r="S30" s="7" t="s">
        <v>116</v>
      </c>
      <c r="T30" s="7" t="s">
        <v>117</v>
      </c>
      <c r="U30" s="7">
        <v>2001</v>
      </c>
      <c r="V30" s="7" t="s">
        <v>118</v>
      </c>
      <c r="W30" s="7" t="s">
        <v>119</v>
      </c>
      <c r="X30" s="7" t="s">
        <v>120</v>
      </c>
      <c r="Y30" s="7" t="s">
        <v>121</v>
      </c>
      <c r="Z30" s="7">
        <v>2002</v>
      </c>
      <c r="AA30" s="7" t="s">
        <v>122</v>
      </c>
      <c r="AB30" s="7" t="s">
        <v>123</v>
      </c>
      <c r="AC30" s="7" t="s">
        <v>124</v>
      </c>
      <c r="AD30" s="7" t="s">
        <v>125</v>
      </c>
      <c r="AE30" s="7">
        <v>2003</v>
      </c>
      <c r="AF30" s="7" t="s">
        <v>126</v>
      </c>
      <c r="AG30" s="7" t="s">
        <v>127</v>
      </c>
      <c r="AH30" s="7" t="s">
        <v>128</v>
      </c>
      <c r="AI30" s="7" t="s">
        <v>129</v>
      </c>
      <c r="AJ30" s="7">
        <v>2004</v>
      </c>
      <c r="AK30" s="7" t="s">
        <v>130</v>
      </c>
      <c r="AL30" s="7" t="s">
        <v>131</v>
      </c>
      <c r="AM30" s="7" t="s">
        <v>132</v>
      </c>
      <c r="AN30" s="7" t="s">
        <v>133</v>
      </c>
      <c r="AO30" s="7">
        <v>2005</v>
      </c>
      <c r="AP30" s="7" t="s">
        <v>134</v>
      </c>
      <c r="AQ30" s="7" t="s">
        <v>135</v>
      </c>
      <c r="AR30" s="7" t="s">
        <v>136</v>
      </c>
      <c r="AS30" s="7" t="s">
        <v>137</v>
      </c>
      <c r="AT30" s="7">
        <v>2006</v>
      </c>
      <c r="AU30" s="7" t="s">
        <v>138</v>
      </c>
      <c r="AV30" s="7" t="s">
        <v>139</v>
      </c>
      <c r="AW30" s="7" t="s">
        <v>140</v>
      </c>
      <c r="AX30" s="7" t="s">
        <v>141</v>
      </c>
      <c r="AY30" s="7">
        <v>2007</v>
      </c>
      <c r="AZ30" s="7" t="s">
        <v>142</v>
      </c>
      <c r="BA30" s="7" t="s">
        <v>143</v>
      </c>
      <c r="BB30" s="7" t="s">
        <v>144</v>
      </c>
      <c r="BC30" s="7" t="s">
        <v>145</v>
      </c>
      <c r="BD30" s="7">
        <v>2008</v>
      </c>
      <c r="BE30" s="7" t="s">
        <v>146</v>
      </c>
      <c r="BF30" s="7" t="s">
        <v>147</v>
      </c>
      <c r="BG30" s="7" t="s">
        <v>148</v>
      </c>
      <c r="BH30" s="7" t="s">
        <v>149</v>
      </c>
      <c r="BI30" s="7">
        <v>2009</v>
      </c>
      <c r="BJ30" s="7" t="s">
        <v>150</v>
      </c>
      <c r="BK30" s="7" t="s">
        <v>151</v>
      </c>
      <c r="BL30" s="7" t="s">
        <v>152</v>
      </c>
      <c r="BM30" s="7" t="s">
        <v>153</v>
      </c>
      <c r="BN30" s="7">
        <v>2010</v>
      </c>
      <c r="BO30" s="7" t="s">
        <v>154</v>
      </c>
      <c r="BP30" s="7" t="s">
        <v>155</v>
      </c>
      <c r="BQ30" s="7" t="s">
        <v>156</v>
      </c>
      <c r="BR30" s="7" t="s">
        <v>157</v>
      </c>
      <c r="BS30" s="7">
        <v>2011</v>
      </c>
      <c r="BT30" s="7" t="s">
        <v>158</v>
      </c>
      <c r="BU30" s="7" t="s">
        <v>159</v>
      </c>
      <c r="BV30" s="7" t="s">
        <v>160</v>
      </c>
      <c r="BW30" s="7" t="s">
        <v>161</v>
      </c>
      <c r="BX30" s="7">
        <v>2012</v>
      </c>
      <c r="BY30" s="7" t="s">
        <v>162</v>
      </c>
      <c r="BZ30" s="7" t="s">
        <v>163</v>
      </c>
      <c r="CA30" s="7" t="s">
        <v>164</v>
      </c>
      <c r="CB30" s="7" t="s">
        <v>165</v>
      </c>
      <c r="CC30" s="7">
        <v>2013</v>
      </c>
      <c r="CD30" s="7" t="s">
        <v>166</v>
      </c>
      <c r="CE30" s="7" t="s">
        <v>167</v>
      </c>
      <c r="CF30" s="7" t="s">
        <v>168</v>
      </c>
      <c r="CG30" s="7" t="s">
        <v>169</v>
      </c>
      <c r="CH30" s="7">
        <v>2014</v>
      </c>
      <c r="CI30" s="7" t="s">
        <v>170</v>
      </c>
      <c r="CJ30" s="7" t="s">
        <v>171</v>
      </c>
      <c r="CK30" s="7" t="s">
        <v>172</v>
      </c>
      <c r="CL30" s="7" t="s">
        <v>173</v>
      </c>
      <c r="CM30" s="7">
        <v>2015</v>
      </c>
      <c r="CN30" s="7" t="s">
        <v>174</v>
      </c>
      <c r="CO30" s="7" t="s">
        <v>175</v>
      </c>
      <c r="CP30" s="7" t="s">
        <v>176</v>
      </c>
      <c r="CQ30" s="7" t="s">
        <v>177</v>
      </c>
      <c r="CR30" s="7">
        <v>2016</v>
      </c>
      <c r="CS30" s="7" t="s">
        <v>178</v>
      </c>
      <c r="CT30" s="7" t="s">
        <v>179</v>
      </c>
      <c r="CU30" s="7" t="s">
        <v>180</v>
      </c>
      <c r="CV30" s="7" t="s">
        <v>181</v>
      </c>
      <c r="CW30" s="7">
        <v>2017</v>
      </c>
      <c r="CX30" s="7" t="s">
        <v>182</v>
      </c>
      <c r="CY30" s="7" t="s">
        <v>183</v>
      </c>
      <c r="CZ30" s="7" t="s">
        <v>184</v>
      </c>
      <c r="DA30" s="7" t="s">
        <v>185</v>
      </c>
      <c r="DB30" s="7">
        <v>2018</v>
      </c>
      <c r="DC30" s="7" t="s">
        <v>186</v>
      </c>
      <c r="DD30" s="7" t="s">
        <v>187</v>
      </c>
      <c r="DE30" s="7" t="s">
        <v>188</v>
      </c>
      <c r="DF30" s="7" t="s">
        <v>189</v>
      </c>
      <c r="DG30" s="7">
        <v>2019</v>
      </c>
      <c r="DH30" s="7" t="s">
        <v>190</v>
      </c>
      <c r="DI30" s="7" t="s">
        <v>191</v>
      </c>
      <c r="DJ30" s="7" t="s">
        <v>192</v>
      </c>
      <c r="DK30" s="7" t="s">
        <v>193</v>
      </c>
      <c r="DL30" s="7">
        <v>2020</v>
      </c>
      <c r="DM30" s="7" t="s">
        <v>194</v>
      </c>
      <c r="DN30" s="7" t="s">
        <v>195</v>
      </c>
      <c r="DO30" s="7" t="s">
        <v>196</v>
      </c>
      <c r="DP30" s="7" t="s">
        <v>197</v>
      </c>
      <c r="DQ30" s="7">
        <v>2021</v>
      </c>
      <c r="DR30" s="7" t="s">
        <v>198</v>
      </c>
      <c r="DS30" s="7" t="s">
        <v>199</v>
      </c>
      <c r="DT30" s="7" t="s">
        <v>201</v>
      </c>
      <c r="DU30" s="7" t="s">
        <v>381</v>
      </c>
      <c r="DV30" s="7">
        <v>2022</v>
      </c>
      <c r="DW30" s="7" t="s">
        <v>382</v>
      </c>
      <c r="DX30" s="7" t="s">
        <v>403</v>
      </c>
      <c r="DY30" s="7" t="s">
        <v>415</v>
      </c>
      <c r="DZ30" s="7" t="s">
        <v>420</v>
      </c>
      <c r="EA30" s="7">
        <v>2023</v>
      </c>
      <c r="EB30" s="7" t="s">
        <v>425</v>
      </c>
      <c r="EC30" s="7" t="s">
        <v>430</v>
      </c>
      <c r="ED30" s="7" t="str">
        <f>$ED$2</f>
        <v>3Q24</v>
      </c>
      <c r="EE30" s="7" t="str">
        <f>$EE$2</f>
        <v>4Q24</v>
      </c>
      <c r="EF30" s="7">
        <f>$EF$2</f>
        <v>2024</v>
      </c>
      <c r="EG30" s="7" t="str">
        <f>EG$2</f>
        <v>1Q25</v>
      </c>
      <c r="EH30" s="7" t="str">
        <f>EH$2</f>
        <v>2Q25</v>
      </c>
      <c r="EI30" s="7" t="str">
        <f>EI$2</f>
        <v>3Q25</v>
      </c>
    </row>
    <row r="31" spans="1:139" ht="15" thickTop="1" x14ac:dyDescent="0.3">
      <c r="A31" s="1" t="s">
        <v>2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27">
        <v>21.937999999999999</v>
      </c>
      <c r="BK31" s="27">
        <f>40.31-BJ31</f>
        <v>18.372000000000003</v>
      </c>
      <c r="BL31" s="27">
        <f>59.918-BK31-BJ31</f>
        <v>19.607999999999993</v>
      </c>
      <c r="BM31" s="27">
        <f>76.705-SUM(BJ31:BL31)</f>
        <v>16.787000000000006</v>
      </c>
      <c r="BN31" s="27">
        <f>SUM(BJ31:BM31)</f>
        <v>76.704999999999998</v>
      </c>
      <c r="BO31" s="27">
        <v>23.251000000000001</v>
      </c>
      <c r="BP31" s="27">
        <f>49.48-BO31</f>
        <v>26.228999999999996</v>
      </c>
      <c r="BQ31" s="27">
        <f>73.471-SUM(BO31:BP31)</f>
        <v>23.991000000000007</v>
      </c>
      <c r="BR31" s="27">
        <f>94.999-SUM(BO31:BQ31)</f>
        <v>21.527999999999992</v>
      </c>
      <c r="BS31" s="27">
        <f>SUM(BO31:BR31)</f>
        <v>94.998999999999995</v>
      </c>
      <c r="BT31" s="27">
        <f>32.918</f>
        <v>32.917999999999999</v>
      </c>
      <c r="BU31" s="27">
        <f>58.657-BT31</f>
        <v>25.738999999999997</v>
      </c>
      <c r="BV31" s="27">
        <f>88.977-BU31-BT31</f>
        <v>30.320000000000007</v>
      </c>
      <c r="BW31" s="27">
        <f>114.562-SUM(BT31:BV31)</f>
        <v>25.584999999999994</v>
      </c>
      <c r="BX31" s="27">
        <f>SUM(BT31:BW31)</f>
        <v>114.562</v>
      </c>
      <c r="BY31" s="27">
        <v>28.969000000000001</v>
      </c>
      <c r="BZ31" s="27">
        <f>56.435-BY31</f>
        <v>27.466000000000001</v>
      </c>
      <c r="CA31" s="27">
        <f>88.186-SUM(BY31:BZ31)</f>
        <v>31.751000000000005</v>
      </c>
      <c r="CB31" s="27">
        <f>112.605-SUM(BY31:CA31)</f>
        <v>24.418999999999997</v>
      </c>
      <c r="CC31" s="27">
        <f>SUM(BY31:CB31)</f>
        <v>112.605</v>
      </c>
      <c r="CD31" s="27">
        <v>38.951000000000001</v>
      </c>
      <c r="CE31" s="27">
        <f>70.445-CD31</f>
        <v>31.493999999999993</v>
      </c>
      <c r="CF31" s="27">
        <v>29.64</v>
      </c>
      <c r="CG31" s="27">
        <f>131.836-SUM(CD31:CF31)</f>
        <v>31.751000000000019</v>
      </c>
      <c r="CH31" s="27">
        <f>SUM(CD31:CG31)</f>
        <v>131.83600000000001</v>
      </c>
      <c r="CI31" s="27">
        <v>38.557000000000002</v>
      </c>
      <c r="CJ31" s="27">
        <f>73.321-CI31</f>
        <v>34.763999999999996</v>
      </c>
      <c r="CK31" s="27">
        <f>109.83-SUM(CI31:CJ31)</f>
        <v>36.509</v>
      </c>
      <c r="CL31" s="27">
        <v>36.451000000000001</v>
      </c>
      <c r="CM31" s="27">
        <f>SUM(CI31:CL31)</f>
        <v>146.28100000000001</v>
      </c>
      <c r="CN31" s="27">
        <v>51.158000000000001</v>
      </c>
      <c r="CO31" s="27">
        <f>92.604-CN31</f>
        <v>41.445999999999998</v>
      </c>
      <c r="CP31" s="27">
        <f>130.662-CO31-CN31</f>
        <v>38.058000000000007</v>
      </c>
      <c r="CQ31" s="27">
        <f>170.754-SUM(CN31:CP31)</f>
        <v>40.091999999999985</v>
      </c>
      <c r="CR31" s="27">
        <f>SUM(CN31:CQ31)</f>
        <v>170.75399999999999</v>
      </c>
      <c r="CS31" s="27">
        <v>58.228999999999999</v>
      </c>
      <c r="CT31" s="27">
        <v>48.86</v>
      </c>
      <c r="CU31" s="27">
        <v>57.249000000000002</v>
      </c>
      <c r="CV31" s="27">
        <v>43.113</v>
      </c>
      <c r="CW31" s="27">
        <f>SUM(CS31:CV31)</f>
        <v>207.45099999999999</v>
      </c>
      <c r="CX31" s="27">
        <v>58.627000000000002</v>
      </c>
      <c r="CY31" s="27">
        <v>41.497</v>
      </c>
      <c r="CZ31" s="27">
        <v>44.892000000000003</v>
      </c>
      <c r="DA31" s="27">
        <v>21.04</v>
      </c>
      <c r="DB31" s="27">
        <f>SUM(CX31:DA31)</f>
        <v>166.05599999999998</v>
      </c>
      <c r="DC31" s="27">
        <v>52.747999999999998</v>
      </c>
      <c r="DD31" s="27">
        <v>44.731999999999999</v>
      </c>
      <c r="DE31" s="27">
        <v>-87.04</v>
      </c>
      <c r="DF31" s="27">
        <v>33.514000000000003</v>
      </c>
      <c r="DG31" s="27">
        <f>SUM(DC31:DF31)</f>
        <v>43.953999999999986</v>
      </c>
      <c r="DH31" s="27">
        <v>65.856999999999999</v>
      </c>
      <c r="DI31" s="27">
        <v>54.155999999999999</v>
      </c>
      <c r="DJ31" s="27">
        <v>54.921999999999997</v>
      </c>
      <c r="DK31" s="27">
        <v>36.799999999999997</v>
      </c>
      <c r="DL31" s="27">
        <f>SUM(DH31:DK31)</f>
        <v>211.73500000000001</v>
      </c>
      <c r="DM31" s="27">
        <v>59</v>
      </c>
      <c r="DN31" s="27">
        <v>56.725999999999999</v>
      </c>
      <c r="DO31" s="27">
        <v>58.186999999999998</v>
      </c>
      <c r="DP31" s="27">
        <v>36.601999999999997</v>
      </c>
      <c r="DQ31" s="27">
        <f>SUM(DM31:DP31)</f>
        <v>210.51500000000001</v>
      </c>
      <c r="DR31" s="27">
        <v>-4.9189999999999996</v>
      </c>
      <c r="DS31" s="27">
        <v>-3.762</v>
      </c>
      <c r="DT31" s="27">
        <v>-4.9089999999999998</v>
      </c>
      <c r="DU31" s="27">
        <v>-0.42799999999999999</v>
      </c>
      <c r="DV31" s="27">
        <f>SUM(DR31:DU31)</f>
        <v>-14.018000000000001</v>
      </c>
      <c r="DW31" s="27">
        <v>-0.68700000000000006</v>
      </c>
      <c r="DX31" s="27">
        <v>-0.14899999999999991</v>
      </c>
      <c r="DY31" s="27">
        <v>-0.34452417999999996</v>
      </c>
      <c r="DZ31" s="27">
        <v>-0.99574718999999967</v>
      </c>
      <c r="EA31" s="27">
        <f>SUM(DW31:DZ31)</f>
        <v>-2.1762713699999994</v>
      </c>
      <c r="EB31" s="27">
        <v>-0.17637048999999999</v>
      </c>
      <c r="EC31" s="27">
        <v>-0.55428867000000015</v>
      </c>
      <c r="ED31" s="27">
        <v>6.7000000000000004E-2</v>
      </c>
      <c r="EE31" s="27">
        <v>-0.23963088000000002</v>
      </c>
      <c r="EF31" s="27">
        <f>SUM(EB31:EE31)</f>
        <v>-0.90329004000000013</v>
      </c>
      <c r="EG31" s="27">
        <v>-0.16024788000000001</v>
      </c>
      <c r="EH31" s="27">
        <v>-1.8080709999999993E-2</v>
      </c>
      <c r="EI31" s="27">
        <v>-0.16402618000000002</v>
      </c>
    </row>
    <row r="32" spans="1:139" ht="15" thickBot="1" x14ac:dyDescent="0.35">
      <c r="A32" s="2" t="s">
        <v>454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28">
        <v>12.933999999999999</v>
      </c>
      <c r="BK32" s="28">
        <f>32.394-BJ32</f>
        <v>19.46</v>
      </c>
      <c r="BL32" s="28">
        <f>47.877-BK32-BJ32</f>
        <v>15.483000000000002</v>
      </c>
      <c r="BM32" s="28">
        <f>63.968-SUM(BJ32:BL32)</f>
        <v>16.091000000000001</v>
      </c>
      <c r="BN32" s="28">
        <f t="shared" ref="BN32:BN53" si="23">SUM(BJ32:BM32)</f>
        <v>63.968000000000004</v>
      </c>
      <c r="BO32" s="28">
        <v>19.053000000000001</v>
      </c>
      <c r="BP32" s="28">
        <f>39.942-BO32</f>
        <v>20.888999999999999</v>
      </c>
      <c r="BQ32" s="28">
        <f>59.132-BP32-BO32</f>
        <v>19.189999999999994</v>
      </c>
      <c r="BR32" s="28">
        <f>79.747-SUM(BO32:BQ32)</f>
        <v>20.615000000000009</v>
      </c>
      <c r="BS32" s="28">
        <f t="shared" ref="BS32:BS53" si="24">SUM(BO32:BR32)</f>
        <v>79.747</v>
      </c>
      <c r="BT32" s="28">
        <v>19.273</v>
      </c>
      <c r="BU32" s="28">
        <f>45.199-BT32</f>
        <v>25.925999999999998</v>
      </c>
      <c r="BV32" s="28">
        <f>68.5-BU32-BT32</f>
        <v>23.300999999999998</v>
      </c>
      <c r="BW32" s="28">
        <f>95.56-SUM(BT32:BV32)</f>
        <v>27.060000000000002</v>
      </c>
      <c r="BX32" s="28">
        <f t="shared" ref="BX32:BX53" si="25">SUM(BT32:BW32)</f>
        <v>95.56</v>
      </c>
      <c r="BY32" s="28">
        <v>25.605</v>
      </c>
      <c r="BZ32" s="28">
        <f>61.781-BY32</f>
        <v>36.176000000000002</v>
      </c>
      <c r="CA32" s="28">
        <f>93.334-SUM(BY32:BZ32)</f>
        <v>31.552999999999997</v>
      </c>
      <c r="CB32" s="28">
        <f>117.481-SUM(BY32:CA32)</f>
        <v>24.146999999999991</v>
      </c>
      <c r="CC32" s="28">
        <f t="shared" ref="CC32:CC52" si="26">SUM(BY32:CB32)</f>
        <v>117.48099999999999</v>
      </c>
      <c r="CD32" s="28">
        <v>26.597999999999999</v>
      </c>
      <c r="CE32" s="28">
        <f>60.24-CD32</f>
        <v>33.642000000000003</v>
      </c>
      <c r="CF32" s="28">
        <v>27.710999999999999</v>
      </c>
      <c r="CG32" s="28">
        <v>23.928000000000001</v>
      </c>
      <c r="CH32" s="28">
        <f t="shared" ref="CH32:CH53" si="27">SUM(CD32:CG32)</f>
        <v>111.87899999999999</v>
      </c>
      <c r="CI32" s="28">
        <v>29.585000000000001</v>
      </c>
      <c r="CJ32" s="28">
        <f>65.559-CI32</f>
        <v>35.973999999999997</v>
      </c>
      <c r="CK32" s="28">
        <f>95.348-SUM(CI32:CJ32)</f>
        <v>29.789000000000001</v>
      </c>
      <c r="CL32" s="28">
        <v>20.3</v>
      </c>
      <c r="CM32" s="28">
        <f t="shared" ref="CM32:CM53" si="28">SUM(CI32:CL32)</f>
        <v>115.648</v>
      </c>
      <c r="CN32" s="28">
        <v>37.758000000000003</v>
      </c>
      <c r="CO32" s="28">
        <f>89.635-CN32</f>
        <v>51.877000000000002</v>
      </c>
      <c r="CP32" s="28">
        <f>130.287-CO32-CN32</f>
        <v>40.651999999999994</v>
      </c>
      <c r="CQ32" s="28">
        <f>165.091-SUM(CN32:CP32)</f>
        <v>34.804000000000002</v>
      </c>
      <c r="CR32" s="28">
        <f t="shared" ref="CR32:CR53" si="29">SUM(CN32:CQ32)</f>
        <v>165.09100000000001</v>
      </c>
      <c r="CS32" s="28">
        <v>45.042999999999999</v>
      </c>
      <c r="CT32" s="28">
        <v>53.442999999999998</v>
      </c>
      <c r="CU32" s="28">
        <v>47.104999999999997</v>
      </c>
      <c r="CV32" s="28">
        <v>33.491</v>
      </c>
      <c r="CW32" s="28">
        <f t="shared" ref="CW32:CW53" si="30">SUM(CS32:CV32)</f>
        <v>179.08199999999999</v>
      </c>
      <c r="CX32" s="28">
        <v>46.026000000000003</v>
      </c>
      <c r="CY32" s="28">
        <v>50.963000000000001</v>
      </c>
      <c r="CZ32" s="28">
        <v>56.103999999999999</v>
      </c>
      <c r="DA32" s="28">
        <v>49.570999999999998</v>
      </c>
      <c r="DB32" s="28">
        <f t="shared" ref="DB32:DB53" si="31">SUM(CX32:DA32)</f>
        <v>202.66400000000002</v>
      </c>
      <c r="DC32" s="28">
        <v>48.542999999999999</v>
      </c>
      <c r="DD32" s="28">
        <v>60.805999999999997</v>
      </c>
      <c r="DE32" s="28">
        <v>61.165999999999997</v>
      </c>
      <c r="DF32" s="28">
        <v>60.423999999999999</v>
      </c>
      <c r="DG32" s="28">
        <f t="shared" ref="DG32:DG53" si="32">SUM(DC32:DF32)</f>
        <v>230.93899999999999</v>
      </c>
      <c r="DH32" s="28">
        <v>49.064</v>
      </c>
      <c r="DI32" s="28">
        <v>62.029000000000003</v>
      </c>
      <c r="DJ32" s="28">
        <v>51.073999999999998</v>
      </c>
      <c r="DK32" s="28">
        <v>46.777999999999999</v>
      </c>
      <c r="DL32" s="28">
        <f t="shared" ref="DL32:DL53" si="33">SUM(DH32:DK32)</f>
        <v>208.94499999999999</v>
      </c>
      <c r="DM32" s="28">
        <v>44.448</v>
      </c>
      <c r="DN32" s="28">
        <v>67.641000000000005</v>
      </c>
      <c r="DO32" s="28">
        <v>63.728999999999999</v>
      </c>
      <c r="DP32" s="28">
        <v>56.341999999999999</v>
      </c>
      <c r="DQ32" s="28">
        <f t="shared" ref="DQ32:DQ53" si="34">SUM(DM32:DP32)</f>
        <v>232.15999999999997</v>
      </c>
      <c r="DR32" s="28">
        <v>50.634</v>
      </c>
      <c r="DS32" s="28">
        <v>46.484000000000002</v>
      </c>
      <c r="DT32" s="28">
        <v>52.088000000000001</v>
      </c>
      <c r="DU32" s="28">
        <v>146.233</v>
      </c>
      <c r="DV32" s="28">
        <f t="shared" ref="DV32:DV53" si="35">SUM(DR32:DU32)</f>
        <v>295.43899999999996</v>
      </c>
      <c r="DW32" s="28">
        <v>87.275999999999996</v>
      </c>
      <c r="DX32" s="28">
        <v>90.263000000000019</v>
      </c>
      <c r="DY32" s="28">
        <v>104.20607824000001</v>
      </c>
      <c r="DZ32" s="28">
        <v>97.975831400000033</v>
      </c>
      <c r="EA32" s="28">
        <f t="shared" ref="EA32:EA43" si="36">SUM(DW32:DZ32)</f>
        <v>379.72090964000006</v>
      </c>
      <c r="EB32" s="28">
        <v>97.130153179999994</v>
      </c>
      <c r="EC32" s="28">
        <v>104.31835051</v>
      </c>
      <c r="ED32" s="28">
        <v>121.732</v>
      </c>
      <c r="EE32" s="28">
        <v>124.08909811000008</v>
      </c>
      <c r="EF32" s="28">
        <f t="shared" ref="EF32:EF43" si="37">SUM(EB32:EE32)</f>
        <v>447.26960180000009</v>
      </c>
      <c r="EG32" s="28">
        <v>127.25309616</v>
      </c>
      <c r="EH32" s="28">
        <v>118.29026546999999</v>
      </c>
      <c r="EI32" s="28">
        <v>136.06078457999999</v>
      </c>
    </row>
    <row r="33" spans="1:139" ht="15" thickTop="1" x14ac:dyDescent="0.3">
      <c r="A33" s="1" t="s">
        <v>442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27">
        <v>113.705</v>
      </c>
      <c r="BK33" s="27">
        <f>218.869-BJ33</f>
        <v>105.164</v>
      </c>
      <c r="BL33" s="27">
        <f>337.109-BK33-BJ33</f>
        <v>118.24</v>
      </c>
      <c r="BM33" s="27">
        <f>463.685-SUM(BJ33:BL33)</f>
        <v>126.57600000000002</v>
      </c>
      <c r="BN33" s="27">
        <f t="shared" si="23"/>
        <v>463.685</v>
      </c>
      <c r="BO33" s="27">
        <v>119.887</v>
      </c>
      <c r="BP33" s="27">
        <f>224.598-BO33</f>
        <v>104.71100000000001</v>
      </c>
      <c r="BQ33" s="27">
        <f>347.613-BP33-BO33</f>
        <v>123.01499999999999</v>
      </c>
      <c r="BR33" s="27">
        <f>482.611-SUM(BO33:BQ33)</f>
        <v>134.99799999999999</v>
      </c>
      <c r="BS33" s="27">
        <f t="shared" si="24"/>
        <v>482.61099999999999</v>
      </c>
      <c r="BT33" s="27">
        <v>133.005</v>
      </c>
      <c r="BU33" s="27">
        <f>242.949-BT33</f>
        <v>109.94400000000002</v>
      </c>
      <c r="BV33" s="27">
        <f>378.504-BU33-BT33</f>
        <v>135.55500000000001</v>
      </c>
      <c r="BW33" s="27">
        <f>517.052-SUM(BT33:BV33)</f>
        <v>138.548</v>
      </c>
      <c r="BX33" s="27">
        <f t="shared" si="25"/>
        <v>517.05200000000002</v>
      </c>
      <c r="BY33" s="27">
        <v>140.917</v>
      </c>
      <c r="BZ33" s="27">
        <f>267.649-BY33</f>
        <v>126.732</v>
      </c>
      <c r="CA33" s="27">
        <f>424.998-SUM(BY33:BZ33)</f>
        <v>157.34899999999999</v>
      </c>
      <c r="CB33" s="27">
        <f>577.089-SUM(BY33:CA33)</f>
        <v>152.09100000000007</v>
      </c>
      <c r="CC33" s="27">
        <f t="shared" si="26"/>
        <v>577.08900000000006</v>
      </c>
      <c r="CD33" s="27">
        <v>160.15899999999999</v>
      </c>
      <c r="CE33" s="27">
        <f>285.349-CD33</f>
        <v>125.19</v>
      </c>
      <c r="CF33" s="27">
        <v>149.44</v>
      </c>
      <c r="CG33" s="27">
        <v>155.511</v>
      </c>
      <c r="CH33" s="27">
        <f t="shared" si="27"/>
        <v>590.29999999999995</v>
      </c>
      <c r="CI33" s="27">
        <v>156.08500000000001</v>
      </c>
      <c r="CJ33" s="27">
        <f>293.31-CI33</f>
        <v>137.22499999999999</v>
      </c>
      <c r="CK33" s="27">
        <f>451.555-SUM(CI33:CJ33)</f>
        <v>158.245</v>
      </c>
      <c r="CL33" s="27">
        <v>174.59</v>
      </c>
      <c r="CM33" s="27">
        <f t="shared" si="28"/>
        <v>626.14499999999998</v>
      </c>
      <c r="CN33" s="27">
        <v>167.387</v>
      </c>
      <c r="CO33" s="27">
        <f>301.149-CN33</f>
        <v>133.762</v>
      </c>
      <c r="CP33" s="27">
        <f>454.846-CO33-CN33</f>
        <v>153.697</v>
      </c>
      <c r="CQ33" s="27">
        <f>635.286-SUM(CN33:CP33)</f>
        <v>180.43999999999994</v>
      </c>
      <c r="CR33" s="27">
        <f t="shared" si="29"/>
        <v>635.28599999999994</v>
      </c>
      <c r="CS33" s="27">
        <v>192.703</v>
      </c>
      <c r="CT33" s="27">
        <v>167.18299999999999</v>
      </c>
      <c r="CU33" s="27">
        <v>186.976</v>
      </c>
      <c r="CV33" s="27">
        <v>195.02</v>
      </c>
      <c r="CW33" s="27">
        <f t="shared" si="30"/>
        <v>741.88199999999995</v>
      </c>
      <c r="CX33" s="27">
        <v>204.89400000000001</v>
      </c>
      <c r="CY33" s="27">
        <v>177.22</v>
      </c>
      <c r="CZ33" s="27">
        <v>176.20099999999999</v>
      </c>
      <c r="DA33" s="27">
        <v>195.8</v>
      </c>
      <c r="DB33" s="27">
        <f t="shared" si="31"/>
        <v>754.11500000000001</v>
      </c>
      <c r="DC33" s="27">
        <v>190.43199999999999</v>
      </c>
      <c r="DD33" s="27">
        <v>162.905</v>
      </c>
      <c r="DE33" s="27">
        <v>182.27500000000001</v>
      </c>
      <c r="DF33" s="27">
        <v>235.874</v>
      </c>
      <c r="DG33" s="27">
        <f t="shared" si="32"/>
        <v>771.48599999999999</v>
      </c>
      <c r="DH33" s="27">
        <v>188.21799999999999</v>
      </c>
      <c r="DI33" s="27">
        <v>140.08099999999999</v>
      </c>
      <c r="DJ33" s="27">
        <v>192.48099999999999</v>
      </c>
      <c r="DK33" s="27">
        <v>224.96899999999999</v>
      </c>
      <c r="DL33" s="27">
        <f t="shared" si="33"/>
        <v>745.74900000000002</v>
      </c>
      <c r="DM33" s="27">
        <v>195.73699999999999</v>
      </c>
      <c r="DN33" s="27">
        <v>180.453</v>
      </c>
      <c r="DO33" s="27">
        <v>201.828</v>
      </c>
      <c r="DP33" s="27">
        <v>233.56800000000001</v>
      </c>
      <c r="DQ33" s="27">
        <f t="shared" si="34"/>
        <v>811.58600000000001</v>
      </c>
      <c r="DR33" s="27">
        <v>230.35499999999999</v>
      </c>
      <c r="DS33" s="27">
        <v>198.09700000000001</v>
      </c>
      <c r="DT33" s="27">
        <v>246.11199999999999</v>
      </c>
      <c r="DU33" s="27">
        <v>269.15600000000001</v>
      </c>
      <c r="DV33" s="27">
        <f t="shared" si="35"/>
        <v>943.72</v>
      </c>
      <c r="DW33" s="27">
        <v>271.065</v>
      </c>
      <c r="DX33" s="27">
        <v>256.70799999999997</v>
      </c>
      <c r="DY33" s="27">
        <v>288.93342189000015</v>
      </c>
      <c r="DZ33" s="27">
        <v>316.89959519999957</v>
      </c>
      <c r="EA33" s="27">
        <f t="shared" si="36"/>
        <v>1133.6060170899996</v>
      </c>
      <c r="EB33" s="27">
        <v>309.41792244999999</v>
      </c>
      <c r="EC33" s="27">
        <v>288.74993658</v>
      </c>
      <c r="ED33" s="27">
        <v>303.53699999999998</v>
      </c>
      <c r="EE33" s="27">
        <v>305.21410786999991</v>
      </c>
      <c r="EF33" s="27">
        <f t="shared" si="37"/>
        <v>1206.9189669</v>
      </c>
      <c r="EG33" s="27">
        <v>322.31250318000002</v>
      </c>
      <c r="EH33" s="27">
        <v>293.92967819</v>
      </c>
      <c r="EI33" s="27">
        <v>330.19439645000006</v>
      </c>
    </row>
    <row r="34" spans="1:139" ht="15" thickBot="1" x14ac:dyDescent="0.35">
      <c r="A34" s="2" t="s">
        <v>3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28">
        <v>21.634</v>
      </c>
      <c r="BK34" s="28">
        <f>38.967-BJ34</f>
        <v>17.332999999999998</v>
      </c>
      <c r="BL34" s="28">
        <f>60.789-BK34-BJ34</f>
        <v>21.822000000000003</v>
      </c>
      <c r="BM34" s="28">
        <f>77.255-SUM(BJ34:BL34)</f>
        <v>16.465999999999994</v>
      </c>
      <c r="BN34" s="28">
        <f t="shared" si="23"/>
        <v>77.254999999999995</v>
      </c>
      <c r="BO34" s="28">
        <v>25.058</v>
      </c>
      <c r="BP34" s="28">
        <f>46.42-BO34</f>
        <v>21.362000000000002</v>
      </c>
      <c r="BQ34" s="28">
        <f>72.106-BP34-BO34</f>
        <v>25.685999999999993</v>
      </c>
      <c r="BR34" s="28">
        <f>96.163-SUM(BO34:BQ34)</f>
        <v>24.057000000000002</v>
      </c>
      <c r="BS34" s="28">
        <f t="shared" si="24"/>
        <v>96.162999999999997</v>
      </c>
      <c r="BT34" s="28">
        <v>29.41</v>
      </c>
      <c r="BU34" s="28">
        <f>54.938-BT34</f>
        <v>25.528000000000002</v>
      </c>
      <c r="BV34" s="28">
        <f>83.751-BU34-BT34</f>
        <v>28.812999999999999</v>
      </c>
      <c r="BW34" s="28">
        <f>102.578-SUM(BT34:BV34)</f>
        <v>18.826999999999998</v>
      </c>
      <c r="BX34" s="28">
        <f t="shared" si="25"/>
        <v>102.578</v>
      </c>
      <c r="BY34" s="28">
        <v>33.723999999999997</v>
      </c>
      <c r="BZ34" s="28">
        <f>59.117-BY34</f>
        <v>25.393000000000001</v>
      </c>
      <c r="CA34" s="28">
        <f>90.735-SUM(BY34:BZ34)</f>
        <v>31.618000000000002</v>
      </c>
      <c r="CB34" s="28">
        <f>121.124-SUM(BY34:CA34)</f>
        <v>30.388999999999996</v>
      </c>
      <c r="CC34" s="28">
        <f t="shared" si="26"/>
        <v>121.124</v>
      </c>
      <c r="CD34" s="28">
        <v>36.709000000000003</v>
      </c>
      <c r="CE34" s="28">
        <f>61.205-CD34</f>
        <v>24.495999999999995</v>
      </c>
      <c r="CF34" s="28">
        <v>30.991</v>
      </c>
      <c r="CG34" s="28">
        <v>29.204000000000001</v>
      </c>
      <c r="CH34" s="28">
        <f t="shared" si="27"/>
        <v>121.4</v>
      </c>
      <c r="CI34" s="28">
        <v>38.320999999999998</v>
      </c>
      <c r="CJ34" s="28">
        <f>71.276-CI34</f>
        <v>32.954999999999998</v>
      </c>
      <c r="CK34" s="28">
        <f>106.152-SUM(CI34:CJ34)</f>
        <v>34.876000000000005</v>
      </c>
      <c r="CL34" s="28">
        <v>35.700000000000003</v>
      </c>
      <c r="CM34" s="28">
        <f t="shared" si="28"/>
        <v>141.852</v>
      </c>
      <c r="CN34" s="28">
        <v>47.65</v>
      </c>
      <c r="CO34" s="28">
        <f>88.928-CN34</f>
        <v>41.277999999999999</v>
      </c>
      <c r="CP34" s="28">
        <f>131.633-CO34-CN34</f>
        <v>42.70500000000002</v>
      </c>
      <c r="CQ34" s="28">
        <f>176.954-SUM(CN34:CP34)</f>
        <v>45.320999999999998</v>
      </c>
      <c r="CR34" s="28">
        <f t="shared" si="29"/>
        <v>176.95400000000001</v>
      </c>
      <c r="CS34" s="28">
        <v>53.656999999999996</v>
      </c>
      <c r="CT34" s="28">
        <v>49.582999999999998</v>
      </c>
      <c r="CU34" s="28">
        <v>44.262999999999998</v>
      </c>
      <c r="CV34" s="28">
        <v>40.128</v>
      </c>
      <c r="CW34" s="28">
        <f t="shared" si="30"/>
        <v>187.63099999999997</v>
      </c>
      <c r="CX34" s="28">
        <v>52.95</v>
      </c>
      <c r="CY34" s="28">
        <v>42.807000000000002</v>
      </c>
      <c r="CZ34" s="28">
        <v>47.448</v>
      </c>
      <c r="DA34" s="28">
        <v>11.852</v>
      </c>
      <c r="DB34" s="28">
        <f t="shared" si="31"/>
        <v>155.05700000000002</v>
      </c>
      <c r="DC34" s="28">
        <v>59.460999999999999</v>
      </c>
      <c r="DD34" s="28">
        <v>53.643000000000001</v>
      </c>
      <c r="DE34" s="28">
        <v>-195.06800000000001</v>
      </c>
      <c r="DF34" s="28">
        <v>30.991</v>
      </c>
      <c r="DG34" s="28">
        <f t="shared" si="32"/>
        <v>-50.973000000000013</v>
      </c>
      <c r="DH34" s="28">
        <v>67.033000000000001</v>
      </c>
      <c r="DI34" s="28">
        <v>43.408000000000001</v>
      </c>
      <c r="DJ34" s="28">
        <v>53.125999999999998</v>
      </c>
      <c r="DK34" s="28">
        <v>48.569000000000003</v>
      </c>
      <c r="DL34" s="28">
        <f t="shared" si="33"/>
        <v>212.13600000000002</v>
      </c>
      <c r="DM34" s="28">
        <v>59.622999999999998</v>
      </c>
      <c r="DN34" s="28">
        <v>63.686</v>
      </c>
      <c r="DO34" s="28">
        <v>69.683000000000007</v>
      </c>
      <c r="DP34" s="28">
        <v>54.237000000000002</v>
      </c>
      <c r="DQ34" s="28">
        <f t="shared" si="34"/>
        <v>247.22900000000001</v>
      </c>
      <c r="DR34" s="28">
        <v>-2.0619999999999998</v>
      </c>
      <c r="DS34" s="28">
        <v>-2.8460000000000001</v>
      </c>
      <c r="DT34" s="28">
        <v>-2.6059999999999999</v>
      </c>
      <c r="DU34" s="28">
        <v>-0.189</v>
      </c>
      <c r="DV34" s="28">
        <f t="shared" si="35"/>
        <v>-7.7029999999999994</v>
      </c>
      <c r="DW34" s="28">
        <v>-7.5999999999999998E-2</v>
      </c>
      <c r="DX34" s="28">
        <v>-3.54</v>
      </c>
      <c r="DY34" s="28">
        <v>-0.51707273999999981</v>
      </c>
      <c r="DZ34" s="28">
        <v>-10.802326280000001</v>
      </c>
      <c r="EA34" s="28">
        <f t="shared" si="36"/>
        <v>-14.935399020000002</v>
      </c>
      <c r="EB34" s="28">
        <v>0.29716281999999994</v>
      </c>
      <c r="EC34" s="28">
        <v>-0.18801534999999997</v>
      </c>
      <c r="ED34" s="28">
        <v>-0.316</v>
      </c>
      <c r="EE34" s="28">
        <v>-0.26733107</v>
      </c>
      <c r="EF34" s="28">
        <f t="shared" si="37"/>
        <v>-0.47418360000000004</v>
      </c>
      <c r="EG34" s="28">
        <v>-0.43767731999999998</v>
      </c>
      <c r="EH34" s="28">
        <v>-0.14942153999999999</v>
      </c>
      <c r="EI34" s="28">
        <v>-1.0611254399999999</v>
      </c>
    </row>
    <row r="35" spans="1:139" ht="15" thickTop="1" x14ac:dyDescent="0.3">
      <c r="A35" s="1" t="s">
        <v>443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27">
        <v>18.899000000000001</v>
      </c>
      <c r="BK35" s="27">
        <f>41.791-BJ35</f>
        <v>22.891999999999996</v>
      </c>
      <c r="BL35" s="27">
        <f>66.782-BK35-BJ35</f>
        <v>24.991</v>
      </c>
      <c r="BM35" s="27">
        <f>92.761-SUM(BJ35:BL35)</f>
        <v>25.978999999999999</v>
      </c>
      <c r="BN35" s="27">
        <f t="shared" si="23"/>
        <v>92.760999999999996</v>
      </c>
      <c r="BO35" s="27">
        <v>28.056000000000001</v>
      </c>
      <c r="BP35" s="27">
        <f>55.733-BO35</f>
        <v>27.676999999999996</v>
      </c>
      <c r="BQ35" s="27">
        <f>86.611-BP35-BO35</f>
        <v>30.878000000000011</v>
      </c>
      <c r="BR35" s="27">
        <f>118.079-SUM(BO35:BQ35)</f>
        <v>31.467999999999989</v>
      </c>
      <c r="BS35" s="27">
        <f t="shared" si="24"/>
        <v>118.07899999999999</v>
      </c>
      <c r="BT35" s="27">
        <v>31.213999999999999</v>
      </c>
      <c r="BU35" s="27">
        <f>60.876-BT35</f>
        <v>29.661999999999999</v>
      </c>
      <c r="BV35" s="27">
        <f>99.152-BU35-BT35</f>
        <v>38.27600000000001</v>
      </c>
      <c r="BW35" s="27">
        <f>136.751-SUM(BT35:BV35)</f>
        <v>37.59899999999999</v>
      </c>
      <c r="BX35" s="27">
        <f t="shared" si="25"/>
        <v>136.751</v>
      </c>
      <c r="BY35" s="27">
        <v>34.689</v>
      </c>
      <c r="BZ35" s="27">
        <f>68.491-BY35</f>
        <v>33.802</v>
      </c>
      <c r="CA35" s="27">
        <f>108.35-SUM(BY35:BZ35)</f>
        <v>39.858999999999995</v>
      </c>
      <c r="CB35" s="27">
        <f>146.401-SUM(BY35:CA35)</f>
        <v>38.051000000000016</v>
      </c>
      <c r="CC35" s="27">
        <f t="shared" si="26"/>
        <v>146.40100000000001</v>
      </c>
      <c r="CD35" s="27">
        <v>35.197000000000003</v>
      </c>
      <c r="CE35" s="27">
        <f>58.073-CD35</f>
        <v>22.875999999999998</v>
      </c>
      <c r="CF35" s="27">
        <v>34.780999999999999</v>
      </c>
      <c r="CG35" s="27">
        <v>40.9</v>
      </c>
      <c r="CH35" s="27">
        <f t="shared" si="27"/>
        <v>133.75399999999999</v>
      </c>
      <c r="CI35" s="27">
        <v>36</v>
      </c>
      <c r="CJ35" s="27">
        <f>67.631-CI35</f>
        <v>31.631</v>
      </c>
      <c r="CK35" s="27">
        <f>104.02-SUM(CI35:CJ35)</f>
        <v>36.388999999999996</v>
      </c>
      <c r="CL35" s="27">
        <v>38.01</v>
      </c>
      <c r="CM35" s="27">
        <f t="shared" si="28"/>
        <v>142.03</v>
      </c>
      <c r="CN35" s="27">
        <v>37.64</v>
      </c>
      <c r="CO35" s="27">
        <f>71.807-CN35</f>
        <v>34.167000000000002</v>
      </c>
      <c r="CP35" s="27">
        <f>112.298-CO35-CN35</f>
        <v>40.491</v>
      </c>
      <c r="CQ35" s="27">
        <f>159.163-SUM(CN35:CP35)</f>
        <v>46.865000000000009</v>
      </c>
      <c r="CR35" s="27">
        <f t="shared" si="29"/>
        <v>159.16300000000001</v>
      </c>
      <c r="CS35" s="27">
        <v>41.871000000000002</v>
      </c>
      <c r="CT35" s="27">
        <v>39.656999999999996</v>
      </c>
      <c r="CU35" s="27">
        <v>45.930999999999997</v>
      </c>
      <c r="CV35" s="27">
        <v>46.353999999999999</v>
      </c>
      <c r="CW35" s="27">
        <f t="shared" si="30"/>
        <v>173.81299999999999</v>
      </c>
      <c r="CX35" s="27">
        <v>47.375999999999998</v>
      </c>
      <c r="CY35" s="27">
        <v>41.012</v>
      </c>
      <c r="CZ35" s="27">
        <v>50.33</v>
      </c>
      <c r="DA35" s="27">
        <v>47.970999999999997</v>
      </c>
      <c r="DB35" s="27">
        <f t="shared" si="31"/>
        <v>186.68900000000002</v>
      </c>
      <c r="DC35" s="27">
        <v>42.21</v>
      </c>
      <c r="DD35" s="27">
        <v>38.643999999999998</v>
      </c>
      <c r="DE35" s="27">
        <v>41.09</v>
      </c>
      <c r="DF35" s="27">
        <v>44.646999999999998</v>
      </c>
      <c r="DG35" s="27">
        <f t="shared" si="32"/>
        <v>166.59100000000001</v>
      </c>
      <c r="DH35" s="27">
        <v>42.588000000000001</v>
      </c>
      <c r="DI35" s="27">
        <v>18.268000000000001</v>
      </c>
      <c r="DJ35" s="27">
        <v>40.883000000000003</v>
      </c>
      <c r="DK35" s="27">
        <v>50.247</v>
      </c>
      <c r="DL35" s="27">
        <f t="shared" si="33"/>
        <v>151.98599999999999</v>
      </c>
      <c r="DM35" s="27">
        <v>37.825000000000003</v>
      </c>
      <c r="DN35" s="27">
        <v>31.934000000000001</v>
      </c>
      <c r="DO35" s="27">
        <v>46.902999999999999</v>
      </c>
      <c r="DP35" s="27">
        <v>79.786000000000001</v>
      </c>
      <c r="DQ35" s="27">
        <f t="shared" si="34"/>
        <v>196.44800000000001</v>
      </c>
      <c r="DR35" s="27">
        <v>50.304000000000002</v>
      </c>
      <c r="DS35" s="27">
        <v>46.347000000000001</v>
      </c>
      <c r="DT35" s="27">
        <v>64.090999999999994</v>
      </c>
      <c r="DU35" s="27">
        <v>67.858999999999995</v>
      </c>
      <c r="DV35" s="27">
        <f t="shared" si="35"/>
        <v>228.601</v>
      </c>
      <c r="DW35" s="27">
        <v>64.573999999999998</v>
      </c>
      <c r="DX35" s="27">
        <v>60.672000000000018</v>
      </c>
      <c r="DY35" s="27">
        <v>74.510446520000002</v>
      </c>
      <c r="DZ35" s="27">
        <v>101.18536146999998</v>
      </c>
      <c r="EA35" s="27">
        <f t="shared" si="36"/>
        <v>300.94180798999997</v>
      </c>
      <c r="EB35" s="27">
        <v>83.718699949999987</v>
      </c>
      <c r="EC35" s="27">
        <v>85.367312949999985</v>
      </c>
      <c r="ED35" s="27">
        <v>94.582999999999998</v>
      </c>
      <c r="EE35" s="27">
        <v>94.066741569999991</v>
      </c>
      <c r="EF35" s="27">
        <f t="shared" si="37"/>
        <v>357.73575446999996</v>
      </c>
      <c r="EG35" s="27">
        <v>100.79508226999999</v>
      </c>
      <c r="EH35" s="27">
        <v>90.651827459999993</v>
      </c>
      <c r="EI35" s="27">
        <v>106.26287056000004</v>
      </c>
    </row>
    <row r="36" spans="1:139" ht="15" thickBot="1" x14ac:dyDescent="0.35">
      <c r="A36" s="2" t="s">
        <v>481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28">
        <v>0</v>
      </c>
      <c r="BK36" s="28">
        <v>0</v>
      </c>
      <c r="BL36" s="28">
        <v>0</v>
      </c>
      <c r="BM36" s="28">
        <v>0</v>
      </c>
      <c r="BN36" s="28">
        <f t="shared" si="23"/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f t="shared" si="24"/>
        <v>0</v>
      </c>
      <c r="BT36" s="28">
        <v>0</v>
      </c>
      <c r="BU36" s="28">
        <v>-0.40400000000000003</v>
      </c>
      <c r="BV36" s="28">
        <f>-1.981-BU36</f>
        <v>-1.577</v>
      </c>
      <c r="BW36" s="28">
        <f>-3.907-SUM(BT36:BV36)</f>
        <v>-1.9260000000000002</v>
      </c>
      <c r="BX36" s="28">
        <f t="shared" si="25"/>
        <v>-3.907</v>
      </c>
      <c r="BY36" s="28">
        <v>-3.294</v>
      </c>
      <c r="BZ36" s="28">
        <f>-7.691-BY36</f>
        <v>-4.3970000000000002</v>
      </c>
      <c r="CA36" s="28">
        <f>-15.93-SUM(BY36:BZ36)</f>
        <v>-8.238999999999999</v>
      </c>
      <c r="CB36" s="28">
        <f>-32.664-SUM(BY36:CA36)</f>
        <v>-16.734000000000002</v>
      </c>
      <c r="CC36" s="28">
        <f t="shared" si="26"/>
        <v>-32.664000000000001</v>
      </c>
      <c r="CD36" s="28">
        <v>-16.46</v>
      </c>
      <c r="CE36" s="28">
        <f>-20.345-CD36</f>
        <v>-3.884999999999998</v>
      </c>
      <c r="CF36" s="28">
        <v>16.443999999999999</v>
      </c>
      <c r="CG36" s="28">
        <v>19</v>
      </c>
      <c r="CH36" s="28">
        <f t="shared" si="27"/>
        <v>15.099</v>
      </c>
      <c r="CI36" s="28">
        <v>15.911</v>
      </c>
      <c r="CJ36" s="28">
        <f>28.248-CI36</f>
        <v>12.337000000000002</v>
      </c>
      <c r="CK36" s="28">
        <f>46.73-SUM(CI36:CJ36)</f>
        <v>18.481999999999996</v>
      </c>
      <c r="CL36" s="28">
        <v>23.794</v>
      </c>
      <c r="CM36" s="28">
        <f t="shared" si="28"/>
        <v>70.524000000000001</v>
      </c>
      <c r="CN36" s="28">
        <v>17.045000000000002</v>
      </c>
      <c r="CO36" s="28">
        <f>31.968-CN36</f>
        <v>14.922999999999998</v>
      </c>
      <c r="CP36" s="28">
        <f>50.031-CO36-CN36</f>
        <v>18.063000000000002</v>
      </c>
      <c r="CQ36" s="28">
        <f>65.911-SUM(CN36:CP36)</f>
        <v>15.879999999999995</v>
      </c>
      <c r="CR36" s="28">
        <f t="shared" si="29"/>
        <v>65.911000000000001</v>
      </c>
      <c r="CS36" s="28">
        <v>16.652000000000001</v>
      </c>
      <c r="CT36" s="28">
        <v>17.353000000000002</v>
      </c>
      <c r="CU36" s="28">
        <v>21.306000000000001</v>
      </c>
      <c r="CV36" s="28">
        <v>33.259</v>
      </c>
      <c r="CW36" s="28">
        <f t="shared" si="30"/>
        <v>88.570000000000007</v>
      </c>
      <c r="CX36" s="28">
        <v>22.901</v>
      </c>
      <c r="CY36" s="28">
        <v>16.637</v>
      </c>
      <c r="CZ36" s="28">
        <v>22.721</v>
      </c>
      <c r="DA36" s="28">
        <v>41.414000000000001</v>
      </c>
      <c r="DB36" s="28">
        <f t="shared" si="31"/>
        <v>103.673</v>
      </c>
      <c r="DC36" s="28">
        <v>22.425999999999998</v>
      </c>
      <c r="DD36" s="28">
        <v>18.277000000000001</v>
      </c>
      <c r="DE36" s="28">
        <v>17.652000000000001</v>
      </c>
      <c r="DF36" s="28">
        <v>6.5490000000000004</v>
      </c>
      <c r="DG36" s="28">
        <f t="shared" si="32"/>
        <v>64.904000000000011</v>
      </c>
      <c r="DH36" s="28">
        <v>14.430999999999999</v>
      </c>
      <c r="DI36" s="28">
        <v>10.647</v>
      </c>
      <c r="DJ36" s="28">
        <v>20.945</v>
      </c>
      <c r="DK36" s="28">
        <v>-31.783999999999999</v>
      </c>
      <c r="DL36" s="28">
        <f t="shared" si="33"/>
        <v>14.238999999999997</v>
      </c>
      <c r="DM36" s="28">
        <v>17.818999999999999</v>
      </c>
      <c r="DN36" s="28">
        <v>7.1529999999999996</v>
      </c>
      <c r="DO36" s="28">
        <v>4.5129999999999999</v>
      </c>
      <c r="DP36" s="28">
        <v>2.839</v>
      </c>
      <c r="DQ36" s="28">
        <f t="shared" si="34"/>
        <v>32.323999999999998</v>
      </c>
      <c r="DR36" s="28">
        <v>11.973000000000001</v>
      </c>
      <c r="DS36" s="28">
        <v>10.845000000000001</v>
      </c>
      <c r="DT36" s="28">
        <v>15.608000000000001</v>
      </c>
      <c r="DU36" s="28">
        <v>18.396999999999998</v>
      </c>
      <c r="DV36" s="28">
        <f t="shared" si="35"/>
        <v>56.823</v>
      </c>
      <c r="DW36" s="28">
        <v>8.7840000000000007</v>
      </c>
      <c r="DX36" s="28">
        <v>15.401999999999996</v>
      </c>
      <c r="DY36" s="28">
        <v>14.218438680000029</v>
      </c>
      <c r="DZ36" s="28">
        <v>-138.51034711000003</v>
      </c>
      <c r="EA36" s="28">
        <f t="shared" si="36"/>
        <v>-100.10590843</v>
      </c>
      <c r="EB36" s="28">
        <v>17.34524386999999</v>
      </c>
      <c r="EC36" s="28">
        <v>12.279114210000012</v>
      </c>
      <c r="ED36" s="28">
        <v>19.414999999999999</v>
      </c>
      <c r="EE36" s="28">
        <v>-22.490622799999976</v>
      </c>
      <c r="EF36" s="28">
        <f t="shared" si="37"/>
        <v>26.548735280000024</v>
      </c>
      <c r="EG36" s="28">
        <v>21.299729760000002</v>
      </c>
      <c r="EH36" s="28">
        <v>17.76774331</v>
      </c>
      <c r="EI36" s="28">
        <v>211.59502484999999</v>
      </c>
    </row>
    <row r="37" spans="1:139" ht="15" thickTop="1" x14ac:dyDescent="0.3">
      <c r="A37" s="1" t="s">
        <v>445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27">
        <v>0</v>
      </c>
      <c r="BK37" s="27">
        <v>0</v>
      </c>
      <c r="BL37" s="27">
        <v>0</v>
      </c>
      <c r="BM37" s="27">
        <v>0</v>
      </c>
      <c r="BN37" s="27">
        <f t="shared" si="23"/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f t="shared" si="24"/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f t="shared" si="25"/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f t="shared" si="26"/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f t="shared" si="27"/>
        <v>0</v>
      </c>
      <c r="CI37" s="27">
        <v>0</v>
      </c>
      <c r="CJ37" s="27">
        <v>3.7029999999999998</v>
      </c>
      <c r="CK37" s="27">
        <f>16.589-SUM(CI37:CJ37)</f>
        <v>12.885999999999999</v>
      </c>
      <c r="CL37" s="27">
        <v>13.433</v>
      </c>
      <c r="CM37" s="27">
        <f t="shared" si="28"/>
        <v>30.021999999999998</v>
      </c>
      <c r="CN37" s="27">
        <v>13.202999999999999</v>
      </c>
      <c r="CO37" s="27">
        <f>27.098-CN37</f>
        <v>13.895</v>
      </c>
      <c r="CP37" s="27">
        <f>43.853-CO37-CN37</f>
        <v>16.755000000000003</v>
      </c>
      <c r="CQ37" s="27">
        <f>58.895-SUM(CN37:CP37)</f>
        <v>15.042000000000002</v>
      </c>
      <c r="CR37" s="27">
        <f t="shared" si="29"/>
        <v>58.895000000000003</v>
      </c>
      <c r="CS37" s="27">
        <v>17.738</v>
      </c>
      <c r="CT37" s="27">
        <v>16.457999999999998</v>
      </c>
      <c r="CU37" s="27">
        <v>20.109000000000002</v>
      </c>
      <c r="CV37" s="27">
        <v>12.769</v>
      </c>
      <c r="CW37" s="27">
        <f t="shared" si="30"/>
        <v>67.073999999999998</v>
      </c>
      <c r="CX37" s="27">
        <v>20.064</v>
      </c>
      <c r="CY37" s="27">
        <v>18.422999999999998</v>
      </c>
      <c r="CZ37" s="27">
        <v>15.436</v>
      </c>
      <c r="DA37" s="27">
        <v>18.542999999999999</v>
      </c>
      <c r="DB37" s="27">
        <f t="shared" si="31"/>
        <v>72.465999999999994</v>
      </c>
      <c r="DC37" s="27">
        <v>14.722</v>
      </c>
      <c r="DD37" s="27">
        <v>14.737</v>
      </c>
      <c r="DE37" s="27">
        <v>15.28</v>
      </c>
      <c r="DF37" s="27">
        <v>15.342000000000001</v>
      </c>
      <c r="DG37" s="27">
        <f t="shared" si="32"/>
        <v>60.080999999999996</v>
      </c>
      <c r="DH37" s="27">
        <v>14.872999999999999</v>
      </c>
      <c r="DI37" s="27">
        <v>7.5339999999999998</v>
      </c>
      <c r="DJ37" s="27">
        <v>14.362</v>
      </c>
      <c r="DK37" s="27">
        <v>15.541</v>
      </c>
      <c r="DL37" s="27">
        <f t="shared" si="33"/>
        <v>52.31</v>
      </c>
      <c r="DM37" s="27">
        <v>16.256</v>
      </c>
      <c r="DN37" s="27">
        <v>14.86</v>
      </c>
      <c r="DO37" s="27">
        <v>20.646000000000001</v>
      </c>
      <c r="DP37" s="27">
        <v>30.193000000000001</v>
      </c>
      <c r="DQ37" s="27">
        <f t="shared" si="34"/>
        <v>81.954999999999998</v>
      </c>
      <c r="DR37" s="27">
        <v>17.684000000000001</v>
      </c>
      <c r="DS37" s="27">
        <v>18.373999999999999</v>
      </c>
      <c r="DT37" s="27">
        <v>27.712</v>
      </c>
      <c r="DU37" s="27">
        <v>39.570999999999998</v>
      </c>
      <c r="DV37" s="27">
        <f t="shared" si="35"/>
        <v>103.34099999999999</v>
      </c>
      <c r="DW37" s="27">
        <v>25.407</v>
      </c>
      <c r="DX37" s="27">
        <v>25.563000000000006</v>
      </c>
      <c r="DY37" s="27">
        <v>27.064375529999992</v>
      </c>
      <c r="DZ37" s="27">
        <v>31.514506560000033</v>
      </c>
      <c r="EA37" s="27">
        <f t="shared" si="36"/>
        <v>109.54888209000003</v>
      </c>
      <c r="EB37" s="27">
        <v>24.90354361</v>
      </c>
      <c r="EC37" s="27">
        <v>28.668214659999997</v>
      </c>
      <c r="ED37" s="27">
        <v>28.95</v>
      </c>
      <c r="EE37" s="27">
        <v>30.129413600000024</v>
      </c>
      <c r="EF37" s="27">
        <f t="shared" si="37"/>
        <v>112.65117187000001</v>
      </c>
      <c r="EG37" s="27">
        <v>28.054714629999999</v>
      </c>
      <c r="EH37" s="27">
        <v>26.468724340000001</v>
      </c>
      <c r="EI37" s="27">
        <v>29.225316890000002</v>
      </c>
    </row>
    <row r="38" spans="1:139" ht="15" thickBot="1" x14ac:dyDescent="0.35">
      <c r="A38" s="2" t="s">
        <v>444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28">
        <v>0</v>
      </c>
      <c r="BK38" s="28">
        <v>0</v>
      </c>
      <c r="BL38" s="28">
        <v>0</v>
      </c>
      <c r="BM38" s="28">
        <v>0</v>
      </c>
      <c r="BN38" s="28">
        <f t="shared" si="23"/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f t="shared" si="24"/>
        <v>0</v>
      </c>
      <c r="BT38" s="28">
        <v>0</v>
      </c>
      <c r="BU38" s="28">
        <v>0</v>
      </c>
      <c r="BV38" s="28">
        <v>0</v>
      </c>
      <c r="BW38" s="28">
        <v>0</v>
      </c>
      <c r="BX38" s="28">
        <f t="shared" si="25"/>
        <v>0</v>
      </c>
      <c r="BY38" s="28">
        <v>0</v>
      </c>
      <c r="BZ38" s="28">
        <v>0</v>
      </c>
      <c r="CA38" s="28">
        <v>0</v>
      </c>
      <c r="CB38" s="28">
        <v>0</v>
      </c>
      <c r="CC38" s="28">
        <f t="shared" si="26"/>
        <v>0</v>
      </c>
      <c r="CD38" s="28">
        <v>0</v>
      </c>
      <c r="CE38" s="28">
        <v>0</v>
      </c>
      <c r="CF38" s="28">
        <v>0</v>
      </c>
      <c r="CG38" s="28">
        <v>0</v>
      </c>
      <c r="CH38" s="28">
        <f t="shared" si="27"/>
        <v>0</v>
      </c>
      <c r="CI38" s="28">
        <v>0</v>
      </c>
      <c r="CJ38" s="28">
        <v>0</v>
      </c>
      <c r="CK38" s="28">
        <v>0</v>
      </c>
      <c r="CL38" s="28">
        <v>0</v>
      </c>
      <c r="CM38" s="28">
        <f t="shared" si="28"/>
        <v>0</v>
      </c>
      <c r="CN38" s="28">
        <v>0</v>
      </c>
      <c r="CO38" s="28">
        <v>0</v>
      </c>
      <c r="CP38" s="28">
        <v>0</v>
      </c>
      <c r="CQ38" s="28">
        <v>0</v>
      </c>
      <c r="CR38" s="28">
        <f t="shared" si="29"/>
        <v>0</v>
      </c>
      <c r="CS38" s="28">
        <v>0</v>
      </c>
      <c r="CT38" s="28">
        <v>0</v>
      </c>
      <c r="CU38" s="28">
        <v>0</v>
      </c>
      <c r="CV38" s="28">
        <v>0</v>
      </c>
      <c r="CW38" s="28">
        <f t="shared" si="30"/>
        <v>0</v>
      </c>
      <c r="CX38" s="28">
        <v>0</v>
      </c>
      <c r="CY38" s="28">
        <v>0</v>
      </c>
      <c r="CZ38" s="28">
        <v>0</v>
      </c>
      <c r="DA38" s="28">
        <v>0</v>
      </c>
      <c r="DB38" s="28">
        <f t="shared" si="31"/>
        <v>0</v>
      </c>
      <c r="DC38" s="28">
        <v>0</v>
      </c>
      <c r="DD38" s="28">
        <v>4.9039999999999999</v>
      </c>
      <c r="DE38" s="28">
        <v>19.507999999999999</v>
      </c>
      <c r="DF38" s="28">
        <v>36.521999999999998</v>
      </c>
      <c r="DG38" s="28">
        <f t="shared" si="32"/>
        <v>60.933999999999997</v>
      </c>
      <c r="DH38" s="28">
        <v>21.460999999999999</v>
      </c>
      <c r="DI38" s="28">
        <v>22.49</v>
      </c>
      <c r="DJ38" s="28">
        <v>30.617000000000001</v>
      </c>
      <c r="DK38" s="28">
        <v>28.062999999999999</v>
      </c>
      <c r="DL38" s="28">
        <f t="shared" si="33"/>
        <v>102.631</v>
      </c>
      <c r="DM38" s="28">
        <v>28.492000000000001</v>
      </c>
      <c r="DN38" s="28">
        <v>25.303000000000001</v>
      </c>
      <c r="DO38" s="28">
        <v>38.36</v>
      </c>
      <c r="DP38" s="28">
        <v>32.594000000000001</v>
      </c>
      <c r="DQ38" s="28">
        <f t="shared" si="34"/>
        <v>124.749</v>
      </c>
      <c r="DR38" s="28">
        <v>31.178999999999998</v>
      </c>
      <c r="DS38" s="28">
        <v>36.280999999999999</v>
      </c>
      <c r="DT38" s="28">
        <v>50.637</v>
      </c>
      <c r="DU38" s="28">
        <v>43.914000000000001</v>
      </c>
      <c r="DV38" s="28">
        <f t="shared" si="35"/>
        <v>162.011</v>
      </c>
      <c r="DW38" s="28">
        <v>52.143999999999998</v>
      </c>
      <c r="DX38" s="28">
        <v>54.210000000000015</v>
      </c>
      <c r="DY38" s="28">
        <v>53.859429869999978</v>
      </c>
      <c r="DZ38" s="28">
        <v>66.867533060000127</v>
      </c>
      <c r="EA38" s="28">
        <f t="shared" si="36"/>
        <v>227.08096293000011</v>
      </c>
      <c r="EB38" s="28">
        <v>53.350799599999995</v>
      </c>
      <c r="EC38" s="28">
        <v>55.833378889999999</v>
      </c>
      <c r="ED38" s="28">
        <v>60.264000000000003</v>
      </c>
      <c r="EE38" s="28">
        <v>68.832668120000065</v>
      </c>
      <c r="EF38" s="28">
        <f t="shared" si="37"/>
        <v>238.28084661000008</v>
      </c>
      <c r="EG38" s="28">
        <v>56.981487990000005</v>
      </c>
      <c r="EH38" s="28">
        <v>60.310700779999991</v>
      </c>
      <c r="EI38" s="28">
        <v>73.664176639999994</v>
      </c>
    </row>
    <row r="39" spans="1:139" ht="15" thickTop="1" x14ac:dyDescent="0.3">
      <c r="A39" s="1" t="s">
        <v>456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27">
        <v>0</v>
      </c>
      <c r="BK39" s="27">
        <v>0</v>
      </c>
      <c r="BL39" s="27">
        <v>0</v>
      </c>
      <c r="BM39" s="27">
        <v>0</v>
      </c>
      <c r="BN39" s="27">
        <f t="shared" si="23"/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f t="shared" si="24"/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f t="shared" si="25"/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f t="shared" si="26"/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f t="shared" si="27"/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f t="shared" si="28"/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f t="shared" si="29"/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f t="shared" si="30"/>
        <v>0</v>
      </c>
      <c r="CX39" s="27">
        <v>0</v>
      </c>
      <c r="CY39" s="27">
        <v>-0.45</v>
      </c>
      <c r="CZ39" s="27">
        <v>-4.3899999999999997</v>
      </c>
      <c r="DA39" s="27">
        <v>-6.4539999999999997</v>
      </c>
      <c r="DB39" s="27">
        <f t="shared" si="31"/>
        <v>-11.294</v>
      </c>
      <c r="DC39" s="27">
        <v>-10.984</v>
      </c>
      <c r="DD39" s="27">
        <v>39.802999999999997</v>
      </c>
      <c r="DE39" s="27">
        <v>43.831000000000003</v>
      </c>
      <c r="DF39" s="27">
        <v>45.537999999999997</v>
      </c>
      <c r="DG39" s="27">
        <f t="shared" si="32"/>
        <v>118.188</v>
      </c>
      <c r="DH39" s="27">
        <v>40.637999999999998</v>
      </c>
      <c r="DI39" s="27">
        <v>31.6</v>
      </c>
      <c r="DJ39" s="27">
        <v>47.231999999999999</v>
      </c>
      <c r="DK39" s="27">
        <v>51.581000000000003</v>
      </c>
      <c r="DL39" s="27">
        <f t="shared" si="33"/>
        <v>171.05099999999999</v>
      </c>
      <c r="DM39" s="27">
        <v>44.448</v>
      </c>
      <c r="DN39" s="27">
        <v>45.87</v>
      </c>
      <c r="DO39" s="27">
        <v>53.804000000000002</v>
      </c>
      <c r="DP39" s="27">
        <v>55.578000000000003</v>
      </c>
      <c r="DQ39" s="27">
        <f t="shared" si="34"/>
        <v>199.70000000000002</v>
      </c>
      <c r="DR39" s="27">
        <v>51.219000000000001</v>
      </c>
      <c r="DS39" s="27">
        <v>57.79</v>
      </c>
      <c r="DT39" s="27">
        <v>62.368000000000002</v>
      </c>
      <c r="DU39" s="27">
        <v>62.954999999999998</v>
      </c>
      <c r="DV39" s="27">
        <f t="shared" si="35"/>
        <v>234.33199999999999</v>
      </c>
      <c r="DW39" s="27">
        <v>56.819000000000003</v>
      </c>
      <c r="DX39" s="27">
        <v>59.480999999999995</v>
      </c>
      <c r="DY39" s="27">
        <v>63.7332027100001</v>
      </c>
      <c r="DZ39" s="27">
        <v>63.927885769999804</v>
      </c>
      <c r="EA39" s="27">
        <f t="shared" si="36"/>
        <v>243.96108847999989</v>
      </c>
      <c r="EB39" s="27">
        <v>63.573430949999974</v>
      </c>
      <c r="EC39" s="27">
        <v>66.702325060000021</v>
      </c>
      <c r="ED39" s="27">
        <v>74.024000000000001</v>
      </c>
      <c r="EE39" s="27">
        <v>77.71118484000003</v>
      </c>
      <c r="EF39" s="27">
        <f t="shared" si="37"/>
        <v>282.01094085000005</v>
      </c>
      <c r="EG39" s="27">
        <v>77.029237590000008</v>
      </c>
      <c r="EH39" s="27">
        <v>83.109636609999981</v>
      </c>
      <c r="EI39" s="27">
        <v>86.251565589999998</v>
      </c>
    </row>
    <row r="40" spans="1:139" ht="15" thickBot="1" x14ac:dyDescent="0.35">
      <c r="A40" s="2" t="s">
        <v>446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28">
        <v>0</v>
      </c>
      <c r="BK40" s="28">
        <v>0</v>
      </c>
      <c r="BL40" s="28">
        <v>0</v>
      </c>
      <c r="BM40" s="28">
        <v>0</v>
      </c>
      <c r="BN40" s="28">
        <f t="shared" si="23"/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f t="shared" si="24"/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f t="shared" si="25"/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f t="shared" si="26"/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f t="shared" si="27"/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f t="shared" si="28"/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f t="shared" si="29"/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f t="shared" si="30"/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f t="shared" si="31"/>
        <v>0</v>
      </c>
      <c r="DC40" s="28">
        <v>0</v>
      </c>
      <c r="DD40" s="28">
        <v>0</v>
      </c>
      <c r="DE40" s="28">
        <v>0</v>
      </c>
      <c r="DF40" s="28">
        <v>-1.4999999999999999E-2</v>
      </c>
      <c r="DG40" s="28">
        <f t="shared" si="32"/>
        <v>-1.4999999999999999E-2</v>
      </c>
      <c r="DH40" s="28">
        <v>-3.4529999999999998</v>
      </c>
      <c r="DI40" s="28">
        <v>-5.3529999999999998</v>
      </c>
      <c r="DJ40" s="28">
        <v>-9.3019999999999996</v>
      </c>
      <c r="DK40" s="28">
        <v>-8.6630000000000003</v>
      </c>
      <c r="DL40" s="28">
        <f t="shared" si="33"/>
        <v>-26.770999999999997</v>
      </c>
      <c r="DM40" s="28">
        <v>12.624000000000001</v>
      </c>
      <c r="DN40" s="28">
        <v>17.449000000000002</v>
      </c>
      <c r="DO40" s="28">
        <v>33.612000000000002</v>
      </c>
      <c r="DP40" s="28">
        <v>7.3310000000000004</v>
      </c>
      <c r="DQ40" s="28">
        <f t="shared" si="34"/>
        <v>71.016000000000005</v>
      </c>
      <c r="DR40" s="28">
        <v>16.696999999999999</v>
      </c>
      <c r="DS40" s="28">
        <v>19.443000000000001</v>
      </c>
      <c r="DT40" s="28">
        <v>20.795999999999999</v>
      </c>
      <c r="DU40" s="28">
        <v>11.394</v>
      </c>
      <c r="DV40" s="28">
        <f t="shared" si="35"/>
        <v>68.33</v>
      </c>
      <c r="DW40" s="28">
        <v>21.914000000000001</v>
      </c>
      <c r="DX40" s="28">
        <v>23.945000000000011</v>
      </c>
      <c r="DY40" s="28">
        <v>26.538626300000026</v>
      </c>
      <c r="DZ40" s="28">
        <v>22.250602879999949</v>
      </c>
      <c r="EA40" s="28">
        <f t="shared" si="36"/>
        <v>94.648229179999987</v>
      </c>
      <c r="EB40" s="28">
        <v>23.212780940000005</v>
      </c>
      <c r="EC40" s="28">
        <v>21.768910629999986</v>
      </c>
      <c r="ED40" s="28">
        <v>22.827999999999999</v>
      </c>
      <c r="EE40" s="28">
        <v>33.29914928999996</v>
      </c>
      <c r="EF40" s="28">
        <f t="shared" si="37"/>
        <v>101.10884085999996</v>
      </c>
      <c r="EG40" s="28">
        <v>24.347419239999997</v>
      </c>
      <c r="EH40" s="28">
        <v>25.522088989999997</v>
      </c>
      <c r="EI40" s="28">
        <v>30.263885300000005</v>
      </c>
    </row>
    <row r="41" spans="1:139" ht="15" thickTop="1" x14ac:dyDescent="0.3">
      <c r="A41" s="1" t="s">
        <v>447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27">
        <v>0</v>
      </c>
      <c r="BK41" s="27">
        <v>0</v>
      </c>
      <c r="BL41" s="27">
        <v>0</v>
      </c>
      <c r="BM41" s="27">
        <v>0</v>
      </c>
      <c r="BN41" s="27">
        <f t="shared" si="23"/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f t="shared" si="24"/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f t="shared" si="25"/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f t="shared" si="26"/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f t="shared" si="27"/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f t="shared" si="28"/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f t="shared" si="29"/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f t="shared" si="30"/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f t="shared" si="31"/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f t="shared" si="32"/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f t="shared" si="33"/>
        <v>0</v>
      </c>
      <c r="DM41" s="27">
        <v>0</v>
      </c>
      <c r="DN41" s="27">
        <v>0</v>
      </c>
      <c r="DO41" s="27">
        <v>-0.88</v>
      </c>
      <c r="DP41" s="27">
        <v>-10.647</v>
      </c>
      <c r="DQ41" s="27">
        <f t="shared" si="34"/>
        <v>-11.527000000000001</v>
      </c>
      <c r="DR41" s="27">
        <v>-11.201000000000001</v>
      </c>
      <c r="DS41" s="27">
        <v>-21.116</v>
      </c>
      <c r="DT41" s="27">
        <v>-25.027000000000001</v>
      </c>
      <c r="DU41" s="27">
        <v>83.161000000000001</v>
      </c>
      <c r="DV41" s="27">
        <f t="shared" si="35"/>
        <v>25.817</v>
      </c>
      <c r="DW41" s="27">
        <v>77.331999999999994</v>
      </c>
      <c r="DX41" s="27">
        <v>80.919000000000025</v>
      </c>
      <c r="DY41" s="27">
        <v>96.821063120000005</v>
      </c>
      <c r="DZ41" s="27">
        <v>94.117762259999992</v>
      </c>
      <c r="EA41" s="27">
        <f t="shared" si="36"/>
        <v>349.18982538000006</v>
      </c>
      <c r="EB41" s="27">
        <v>83.00574813999998</v>
      </c>
      <c r="EC41" s="27">
        <v>91.378384660000052</v>
      </c>
      <c r="ED41" s="27">
        <v>102.664</v>
      </c>
      <c r="EE41" s="27">
        <v>101.36828579000014</v>
      </c>
      <c r="EF41" s="27">
        <f t="shared" si="37"/>
        <v>378.41641859000015</v>
      </c>
      <c r="EG41" s="27">
        <v>90.492385980000009</v>
      </c>
      <c r="EH41" s="27">
        <v>93.670290040000012</v>
      </c>
      <c r="EI41" s="27">
        <v>106.39135620000002</v>
      </c>
    </row>
    <row r="42" spans="1:139" ht="15" thickBot="1" x14ac:dyDescent="0.35">
      <c r="A42" s="2" t="s">
        <v>448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28">
        <v>0</v>
      </c>
      <c r="BK42" s="28">
        <v>0</v>
      </c>
      <c r="BL42" s="28">
        <v>0</v>
      </c>
      <c r="BM42" s="28">
        <v>0</v>
      </c>
      <c r="BN42" s="28">
        <f t="shared" si="23"/>
        <v>0</v>
      </c>
      <c r="BO42" s="28">
        <v>0</v>
      </c>
      <c r="BP42" s="28">
        <v>0</v>
      </c>
      <c r="BQ42" s="28">
        <v>0</v>
      </c>
      <c r="BR42" s="28">
        <v>0</v>
      </c>
      <c r="BS42" s="28">
        <f t="shared" si="24"/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f t="shared" si="25"/>
        <v>0</v>
      </c>
      <c r="BY42" s="28">
        <v>0</v>
      </c>
      <c r="BZ42" s="28">
        <v>0</v>
      </c>
      <c r="CA42" s="28">
        <v>0</v>
      </c>
      <c r="CB42" s="28">
        <v>0</v>
      </c>
      <c r="CC42" s="28">
        <f t="shared" si="26"/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f t="shared" si="27"/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f t="shared" si="28"/>
        <v>0</v>
      </c>
      <c r="CN42" s="28">
        <v>0</v>
      </c>
      <c r="CO42" s="28">
        <v>0</v>
      </c>
      <c r="CP42" s="28">
        <v>0</v>
      </c>
      <c r="CQ42" s="28">
        <v>0</v>
      </c>
      <c r="CR42" s="28">
        <f t="shared" si="29"/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f t="shared" si="30"/>
        <v>0</v>
      </c>
      <c r="CX42" s="28">
        <v>0</v>
      </c>
      <c r="CY42" s="28">
        <v>-3.7999999999999999E-2</v>
      </c>
      <c r="CZ42" s="28">
        <v>-5.8999999999999997E-2</v>
      </c>
      <c r="DA42" s="28">
        <v>-0.19900000000000001</v>
      </c>
      <c r="DB42" s="28">
        <f t="shared" si="31"/>
        <v>-0.29600000000000004</v>
      </c>
      <c r="DC42" s="28">
        <v>-0.121</v>
      </c>
      <c r="DD42" s="28">
        <v>-9.0999999999999998E-2</v>
      </c>
      <c r="DE42" s="28">
        <v>-9.9000000000000005E-2</v>
      </c>
      <c r="DF42" s="28">
        <v>-6.3E-2</v>
      </c>
      <c r="DG42" s="28">
        <f t="shared" si="32"/>
        <v>-0.374</v>
      </c>
      <c r="DH42" s="28">
        <v>-8.7999999999999995E-2</v>
      </c>
      <c r="DI42" s="28">
        <v>-4.2999999999999997E-2</v>
      </c>
      <c r="DJ42" s="28">
        <v>-3.4000000000000002E-2</v>
      </c>
      <c r="DK42" s="28">
        <v>-3.7999999999999999E-2</v>
      </c>
      <c r="DL42" s="28">
        <f t="shared" si="33"/>
        <v>-0.20300000000000001</v>
      </c>
      <c r="DM42" s="28">
        <v>-0.04</v>
      </c>
      <c r="DN42" s="28">
        <v>-7.0999999999999994E-2</v>
      </c>
      <c r="DO42" s="28">
        <v>0</v>
      </c>
      <c r="DP42" s="28">
        <v>-6.0000000000000001E-3</v>
      </c>
      <c r="DQ42" s="28">
        <f t="shared" si="34"/>
        <v>-0.11699999999999999</v>
      </c>
      <c r="DR42" s="28">
        <v>-0.128</v>
      </c>
      <c r="DS42" s="28">
        <v>-4.1000000000000002E-2</v>
      </c>
      <c r="DT42" s="28">
        <v>3.0059999999999998</v>
      </c>
      <c r="DU42" s="28">
        <v>34.575000000000003</v>
      </c>
      <c r="DV42" s="28">
        <f t="shared" si="35"/>
        <v>37.412000000000006</v>
      </c>
      <c r="DW42" s="28">
        <v>54.408000000000001</v>
      </c>
      <c r="DX42" s="28">
        <v>90.424999999999983</v>
      </c>
      <c r="DY42" s="28">
        <v>97.530613120000126</v>
      </c>
      <c r="DZ42" s="28">
        <v>140.00467937999974</v>
      </c>
      <c r="EA42" s="28">
        <f t="shared" si="36"/>
        <v>382.36829249999982</v>
      </c>
      <c r="EB42" s="28">
        <v>151.57611046000008</v>
      </c>
      <c r="EC42" s="28">
        <v>174.57522453000007</v>
      </c>
      <c r="ED42" s="28">
        <v>173.35400000000001</v>
      </c>
      <c r="EE42" s="28">
        <v>185.47293875000037</v>
      </c>
      <c r="EF42" s="28">
        <f t="shared" si="37"/>
        <v>684.97827374000053</v>
      </c>
      <c r="EG42" s="28">
        <v>179.70973481000001</v>
      </c>
      <c r="EH42" s="28">
        <v>174.39190374</v>
      </c>
      <c r="EI42" s="28">
        <v>190.05397514000003</v>
      </c>
    </row>
    <row r="43" spans="1:139" ht="15" thickTop="1" x14ac:dyDescent="0.3">
      <c r="A43" s="1" t="s">
        <v>449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27">
        <v>0</v>
      </c>
      <c r="BK43" s="27">
        <v>0</v>
      </c>
      <c r="BL43" s="27">
        <v>0</v>
      </c>
      <c r="BM43" s="27">
        <v>0</v>
      </c>
      <c r="BN43" s="27">
        <f t="shared" si="23"/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f t="shared" si="24"/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f t="shared" si="25"/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f t="shared" si="26"/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f t="shared" si="27"/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f t="shared" si="28"/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89.474999999999994</v>
      </c>
      <c r="DY43" s="27">
        <v>137.04671874000007</v>
      </c>
      <c r="DZ43" s="27">
        <v>131.23166235999989</v>
      </c>
      <c r="EA43" s="27">
        <f t="shared" si="36"/>
        <v>357.75338109999996</v>
      </c>
      <c r="EB43" s="27">
        <v>120.09218093000004</v>
      </c>
      <c r="EC43" s="27">
        <v>135.34819742999997</v>
      </c>
      <c r="ED43" s="27">
        <v>158.00899999999999</v>
      </c>
      <c r="EE43" s="27">
        <v>154.12494590000023</v>
      </c>
      <c r="EF43" s="27">
        <f t="shared" si="37"/>
        <v>567.57432426000014</v>
      </c>
      <c r="EG43" s="27">
        <v>146.78559274</v>
      </c>
      <c r="EH43" s="27">
        <v>172.23695802999998</v>
      </c>
      <c r="EI43" s="27">
        <v>194.97555692</v>
      </c>
    </row>
    <row r="44" spans="1:139" ht="15" thickBot="1" x14ac:dyDescent="0.35">
      <c r="A44" s="2" t="s">
        <v>460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>
        <v>2.5377909999999999</v>
      </c>
      <c r="EH44" s="28">
        <v>118.47893282</v>
      </c>
      <c r="EI44" s="28">
        <v>119.95030020000002</v>
      </c>
    </row>
    <row r="45" spans="1:139" ht="15" thickTop="1" x14ac:dyDescent="0.3">
      <c r="A45" s="1" t="s">
        <v>304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27">
        <v>0</v>
      </c>
      <c r="BK45" s="27">
        <v>0</v>
      </c>
      <c r="BL45" s="27">
        <v>0</v>
      </c>
      <c r="BM45" s="27">
        <v>0</v>
      </c>
      <c r="BN45" s="27">
        <f t="shared" si="23"/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f t="shared" si="24"/>
        <v>0</v>
      </c>
      <c r="BT45" s="27">
        <v>0</v>
      </c>
      <c r="BU45" s="27">
        <f>12.507</f>
        <v>12.507</v>
      </c>
      <c r="BV45" s="27">
        <f>62.666-BU45</f>
        <v>50.158999999999999</v>
      </c>
      <c r="BW45" s="27">
        <v>51</v>
      </c>
      <c r="BX45" s="27">
        <f t="shared" si="25"/>
        <v>113.666</v>
      </c>
      <c r="BY45" s="27">
        <v>38.335999999999999</v>
      </c>
      <c r="BZ45" s="27">
        <f>89.919-BY45</f>
        <v>51.582999999999998</v>
      </c>
      <c r="CA45" s="27">
        <f>125.937-SUM(BY45:BZ45)</f>
        <v>36.018000000000001</v>
      </c>
      <c r="CB45" s="27">
        <f>157.614-SUM(BY45:CA45)</f>
        <v>31.677000000000007</v>
      </c>
      <c r="CC45" s="27">
        <f t="shared" si="26"/>
        <v>157.614</v>
      </c>
      <c r="CD45" s="27">
        <v>33.572000000000003</v>
      </c>
      <c r="CE45" s="27">
        <f>62.703-CD45</f>
        <v>29.131</v>
      </c>
      <c r="CF45" s="27">
        <f>88.123-SUM(CD45:CE45)</f>
        <v>25.42</v>
      </c>
      <c r="CG45" s="27">
        <f>112.237-SUM(CD45:CF45)</f>
        <v>24.11399999999999</v>
      </c>
      <c r="CH45" s="27">
        <f t="shared" si="27"/>
        <v>112.23699999999999</v>
      </c>
      <c r="CI45" s="27">
        <v>15.116</v>
      </c>
      <c r="CJ45" s="27">
        <f>12.024-CI45</f>
        <v>-3.0920000000000005</v>
      </c>
      <c r="CK45" s="27">
        <f>4.029-SUM(CI45:CJ45)</f>
        <v>-7.9949999999999992</v>
      </c>
      <c r="CL45" s="27">
        <f>-3.581-SUM(CI45:CK45)</f>
        <v>-7.6099999999999994</v>
      </c>
      <c r="CM45" s="27">
        <f t="shared" si="28"/>
        <v>-3.5809999999999995</v>
      </c>
      <c r="CN45" s="27">
        <v>-2.8769999999999998</v>
      </c>
      <c r="CO45" s="27">
        <f>-14.948-CN45</f>
        <v>-12.071000000000002</v>
      </c>
      <c r="CP45" s="27">
        <f>-22.511-CO45-CN45</f>
        <v>-7.5629999999999979</v>
      </c>
      <c r="CQ45" s="27">
        <f>-31.19-SUM(CN45:CP45)</f>
        <v>-8.679000000000002</v>
      </c>
      <c r="CR45" s="27">
        <f t="shared" si="29"/>
        <v>-31.19</v>
      </c>
      <c r="CS45" s="27">
        <v>-1.7969999999999999</v>
      </c>
      <c r="CT45" s="27">
        <v>-6.0220000000000002</v>
      </c>
      <c r="CU45" s="27">
        <v>1.165</v>
      </c>
      <c r="CV45" s="27">
        <v>-0.94</v>
      </c>
      <c r="CW45" s="27">
        <f t="shared" si="30"/>
        <v>-7.5939999999999994</v>
      </c>
      <c r="CX45" s="27">
        <v>7.8369999999999997</v>
      </c>
      <c r="CY45" s="27">
        <v>-1.9279999999999999</v>
      </c>
      <c r="CZ45" s="27">
        <v>5.6630000000000003</v>
      </c>
      <c r="DA45" s="27">
        <v>1.1619999999999999</v>
      </c>
      <c r="DB45" s="27">
        <f t="shared" si="31"/>
        <v>12.733999999999998</v>
      </c>
      <c r="DC45" s="27">
        <v>3.47</v>
      </c>
      <c r="DD45" s="27">
        <v>5.84</v>
      </c>
      <c r="DE45" s="27">
        <v>3.7759999999999998</v>
      </c>
      <c r="DF45" s="27">
        <v>40.256999999999998</v>
      </c>
      <c r="DG45" s="27">
        <f t="shared" si="32"/>
        <v>53.342999999999996</v>
      </c>
      <c r="DH45" s="27">
        <v>-2.2810000000000001</v>
      </c>
      <c r="DI45" s="27">
        <v>5.8810000000000002</v>
      </c>
      <c r="DJ45" s="27">
        <v>5.8070000000000004</v>
      </c>
      <c r="DK45" s="27">
        <v>-68.606999999999999</v>
      </c>
      <c r="DL45" s="27">
        <f t="shared" si="33"/>
        <v>-59.2</v>
      </c>
      <c r="DM45" s="27">
        <v>11.885</v>
      </c>
      <c r="DN45" s="27">
        <v>10.429</v>
      </c>
      <c r="DO45" s="27">
        <v>11.664</v>
      </c>
      <c r="DP45" s="27">
        <v>11.093</v>
      </c>
      <c r="DQ45" s="27">
        <f t="shared" si="34"/>
        <v>45.070999999999998</v>
      </c>
      <c r="DR45" s="27">
        <v>10.920999999999999</v>
      </c>
      <c r="DS45" s="27">
        <v>9.6270000000000007</v>
      </c>
      <c r="DT45" s="27">
        <v>20.515999999999998</v>
      </c>
      <c r="DU45" s="27">
        <v>21.085000000000001</v>
      </c>
      <c r="DV45" s="27">
        <f t="shared" si="35"/>
        <v>62.149000000000001</v>
      </c>
      <c r="DW45" s="27">
        <v>29.853000000000002</v>
      </c>
      <c r="DX45" s="27">
        <v>16.326000000000001</v>
      </c>
      <c r="DY45" s="27">
        <f>(-819835.279999949-4648792.70999999)/1000000</f>
        <v>-5.4686279899999386</v>
      </c>
      <c r="DZ45" s="27">
        <v>6.5670138199999633</v>
      </c>
      <c r="EA45" s="27">
        <f t="shared" ref="EA45:EA53" si="38">SUM(DW45:DZ45)</f>
        <v>47.277385830000028</v>
      </c>
      <c r="EB45" s="27">
        <f>(12174807.29+206160.270000002)/1000000</f>
        <v>12.38096756</v>
      </c>
      <c r="EC45" s="27">
        <v>24.084767249999999</v>
      </c>
      <c r="ED45" s="27">
        <v>13.207000000000001</v>
      </c>
      <c r="EE45" s="27">
        <v>11.231227999999982</v>
      </c>
      <c r="EF45" s="27">
        <f t="shared" ref="EF45:EF53" si="39">SUM(EB45:EE45)</f>
        <v>60.903962809999982</v>
      </c>
      <c r="EG45" s="27">
        <v>25.723932229999999</v>
      </c>
      <c r="EH45" s="27">
        <v>21.265245999999998</v>
      </c>
      <c r="EI45" s="27">
        <v>20.740581270000003</v>
      </c>
    </row>
    <row r="46" spans="1:139" ht="15" thickBot="1" x14ac:dyDescent="0.35">
      <c r="A46" s="2" t="s">
        <v>305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28">
        <v>0</v>
      </c>
      <c r="BK46" s="28">
        <v>0</v>
      </c>
      <c r="BL46" s="28">
        <v>0</v>
      </c>
      <c r="BM46" s="28">
        <v>0</v>
      </c>
      <c r="BN46" s="28">
        <f t="shared" si="23"/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f t="shared" si="24"/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f t="shared" si="25"/>
        <v>0</v>
      </c>
      <c r="BY46" s="28">
        <v>0</v>
      </c>
      <c r="BZ46" s="28">
        <v>0</v>
      </c>
      <c r="CA46" s="28">
        <v>0</v>
      </c>
      <c r="CB46" s="28">
        <v>0</v>
      </c>
      <c r="CC46" s="28">
        <f t="shared" si="26"/>
        <v>0</v>
      </c>
      <c r="CD46" s="28">
        <v>0</v>
      </c>
      <c r="CE46" s="28">
        <v>0</v>
      </c>
      <c r="CF46" s="28">
        <v>0</v>
      </c>
      <c r="CG46" s="28">
        <v>0</v>
      </c>
      <c r="CH46" s="28">
        <f t="shared" si="27"/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f t="shared" si="28"/>
        <v>0</v>
      </c>
      <c r="CN46" s="28">
        <v>0.80600000000000005</v>
      </c>
      <c r="CO46" s="28">
        <f>-CN46</f>
        <v>-0.80600000000000005</v>
      </c>
      <c r="CP46" s="28">
        <v>0</v>
      </c>
      <c r="CQ46" s="28">
        <v>0</v>
      </c>
      <c r="CR46" s="28">
        <f t="shared" si="29"/>
        <v>0</v>
      </c>
      <c r="CS46" s="28">
        <v>0</v>
      </c>
      <c r="CT46" s="28">
        <v>0</v>
      </c>
      <c r="CU46" s="28">
        <v>0</v>
      </c>
      <c r="CV46" s="28">
        <v>0</v>
      </c>
      <c r="CW46" s="28">
        <f t="shared" si="30"/>
        <v>0</v>
      </c>
      <c r="CX46" s="28">
        <v>0</v>
      </c>
      <c r="CY46" s="28">
        <v>0</v>
      </c>
      <c r="CZ46" s="28">
        <v>0</v>
      </c>
      <c r="DA46" s="28">
        <v>0</v>
      </c>
      <c r="DB46" s="28">
        <f t="shared" si="31"/>
        <v>0</v>
      </c>
      <c r="DC46" s="28">
        <v>0</v>
      </c>
      <c r="DD46" s="28">
        <v>0</v>
      </c>
      <c r="DE46" s="28">
        <f>-36.664+38.485</f>
        <v>1.820999999999998</v>
      </c>
      <c r="DF46" s="28">
        <v>0.17</v>
      </c>
      <c r="DG46" s="28">
        <f t="shared" si="32"/>
        <v>1.9909999999999979</v>
      </c>
      <c r="DH46" s="28">
        <v>3.0139999999999998</v>
      </c>
      <c r="DI46" s="28">
        <v>5.7469999999999999</v>
      </c>
      <c r="DJ46" s="28">
        <v>2.76</v>
      </c>
      <c r="DK46" s="28">
        <v>-0.58699999999999997</v>
      </c>
      <c r="DL46" s="28">
        <f t="shared" si="33"/>
        <v>10.933999999999999</v>
      </c>
      <c r="DM46" s="28">
        <v>2.298</v>
      </c>
      <c r="DN46" s="28">
        <v>5.5010000000000003</v>
      </c>
      <c r="DO46" s="28">
        <v>-8.1000000000000003E-2</v>
      </c>
      <c r="DP46" s="28">
        <v>-0.64600000000000002</v>
      </c>
      <c r="DQ46" s="28">
        <f t="shared" si="34"/>
        <v>7.0720000000000001</v>
      </c>
      <c r="DR46" s="28">
        <v>2.7370000000000001</v>
      </c>
      <c r="DS46" s="28">
        <v>3.484</v>
      </c>
      <c r="DT46" s="28">
        <v>-6.9459999999999997</v>
      </c>
      <c r="DU46" s="28">
        <v>2.3929999999999998</v>
      </c>
      <c r="DV46" s="28">
        <f t="shared" si="35"/>
        <v>1.6680000000000001</v>
      </c>
      <c r="DW46" s="28">
        <v>5.766</v>
      </c>
      <c r="DX46" s="28">
        <v>9.7409999999999997</v>
      </c>
      <c r="DY46" s="28">
        <v>9.3175053299999959</v>
      </c>
      <c r="DZ46" s="28">
        <v>7.5937736200000012</v>
      </c>
      <c r="EA46" s="28">
        <f t="shared" si="38"/>
        <v>32.418278949999994</v>
      </c>
      <c r="EB46" s="28">
        <v>8.5343983500000036</v>
      </c>
      <c r="EC46" s="28">
        <v>6.4727162099999971</v>
      </c>
      <c r="ED46" s="28">
        <v>6.0049999999999999</v>
      </c>
      <c r="EE46" s="28">
        <v>-23.870410920000005</v>
      </c>
      <c r="EF46" s="28">
        <f t="shared" si="39"/>
        <v>-2.8582963600000042</v>
      </c>
      <c r="EG46" s="28">
        <v>4.2304222300000003</v>
      </c>
      <c r="EH46" s="28">
        <v>9.45877327</v>
      </c>
      <c r="EI46" s="28">
        <v>8.6303867399999987</v>
      </c>
    </row>
    <row r="47" spans="1:139" ht="15" thickTop="1" x14ac:dyDescent="0.3">
      <c r="A47" s="1" t="s">
        <v>306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27">
        <v>14.096</v>
      </c>
      <c r="BK47" s="27">
        <f>27.868-BJ47</f>
        <v>13.771999999999998</v>
      </c>
      <c r="BL47" s="27">
        <f>41.543-BK47-BJ47</f>
        <v>13.675000000000001</v>
      </c>
      <c r="BM47" s="27">
        <f>53.77-SUM(BJ47:BL47)</f>
        <v>12.227000000000004</v>
      </c>
      <c r="BN47" s="27">
        <f t="shared" si="23"/>
        <v>53.77</v>
      </c>
      <c r="BO47" s="27">
        <v>14.976000000000001</v>
      </c>
      <c r="BP47" s="27">
        <f>27.327-BO47</f>
        <v>12.351000000000001</v>
      </c>
      <c r="BQ47" s="27">
        <f>43.935-SUM(BO47:BP47)</f>
        <v>16.608000000000001</v>
      </c>
      <c r="BR47" s="27">
        <f>56.665-SUM(BO47:BQ47)</f>
        <v>12.729999999999997</v>
      </c>
      <c r="BS47" s="27">
        <f t="shared" si="24"/>
        <v>56.664999999999999</v>
      </c>
      <c r="BT47" s="27">
        <f>14.61</f>
        <v>14.61</v>
      </c>
      <c r="BU47" s="27">
        <f>29.467-BT47</f>
        <v>14.856999999999999</v>
      </c>
      <c r="BV47" s="27">
        <f>41.477-BU47-BT47</f>
        <v>12.009999999999998</v>
      </c>
      <c r="BW47" s="27">
        <f>52.219-SUM(BT47:BV47)</f>
        <v>10.742000000000004</v>
      </c>
      <c r="BX47" s="27">
        <f t="shared" si="25"/>
        <v>52.219000000000001</v>
      </c>
      <c r="BY47" s="27">
        <f>12.532</f>
        <v>12.532</v>
      </c>
      <c r="BZ47" s="27">
        <f>23.508-BY47</f>
        <v>10.975999999999999</v>
      </c>
      <c r="CA47" s="27">
        <f>33.763-SUM(BY47:BZ47)</f>
        <v>10.254999999999999</v>
      </c>
      <c r="CB47" s="27">
        <f>40.309-SUM(BY47:CA47)</f>
        <v>6.5459999999999994</v>
      </c>
      <c r="CC47" s="27">
        <f t="shared" si="26"/>
        <v>40.308999999999997</v>
      </c>
      <c r="CD47" s="27">
        <f>17.586</f>
        <v>17.585999999999999</v>
      </c>
      <c r="CE47" s="27">
        <f>37.561-CD47</f>
        <v>19.975000000000001</v>
      </c>
      <c r="CF47" s="27">
        <f>51.44-SUM(CD47:CE47)</f>
        <v>13.878999999999998</v>
      </c>
      <c r="CG47" s="27">
        <f>60.592-SUM(CD47:CF47)</f>
        <v>9.152000000000001</v>
      </c>
      <c r="CH47" s="27">
        <f t="shared" si="27"/>
        <v>60.591999999999999</v>
      </c>
      <c r="CI47" s="27">
        <v>19.155999999999999</v>
      </c>
      <c r="CJ47" s="27">
        <f>35.03-CI47</f>
        <v>15.874000000000002</v>
      </c>
      <c r="CK47" s="27">
        <f>55.056-SUM(CI47:CJ47)</f>
        <v>20.025999999999996</v>
      </c>
      <c r="CL47" s="27">
        <f>76.816-SUM(CI47:CK47)</f>
        <v>21.760000000000005</v>
      </c>
      <c r="CM47" s="27">
        <f t="shared" si="28"/>
        <v>76.816000000000003</v>
      </c>
      <c r="CN47" s="27">
        <v>21.113</v>
      </c>
      <c r="CO47" s="27">
        <f>38.667-CN47</f>
        <v>17.554000000000002</v>
      </c>
      <c r="CP47" s="27">
        <f>54.795-CO47-CN47</f>
        <v>16.128</v>
      </c>
      <c r="CQ47" s="27">
        <f>40.171-SUM(CN47:CP47)</f>
        <v>-14.624000000000002</v>
      </c>
      <c r="CR47" s="27">
        <f t="shared" si="29"/>
        <v>40.170999999999999</v>
      </c>
      <c r="CS47" s="27">
        <v>7.2670000000000003</v>
      </c>
      <c r="CT47" s="27">
        <v>5.7969999999999997</v>
      </c>
      <c r="CU47" s="27">
        <v>4.9589999999999996</v>
      </c>
      <c r="CV47" s="27">
        <v>2.8610000000000002</v>
      </c>
      <c r="CW47" s="27">
        <f t="shared" si="30"/>
        <v>20.884</v>
      </c>
      <c r="CX47" s="27">
        <v>10.99</v>
      </c>
      <c r="CY47" s="27">
        <v>8.5679999999999996</v>
      </c>
      <c r="CZ47" s="27">
        <v>5.0670000000000002</v>
      </c>
      <c r="DA47" s="27">
        <v>-9.0180000000000007</v>
      </c>
      <c r="DB47" s="27">
        <f t="shared" si="31"/>
        <v>15.606999999999999</v>
      </c>
      <c r="DC47" s="27">
        <v>2.6789999999999998</v>
      </c>
      <c r="DD47" s="27">
        <v>4.7789999999999999</v>
      </c>
      <c r="DE47" s="27">
        <v>-41.997</v>
      </c>
      <c r="DF47" s="27">
        <v>31.260999999999999</v>
      </c>
      <c r="DG47" s="27">
        <f t="shared" si="32"/>
        <v>-3.2780000000000022</v>
      </c>
      <c r="DH47" s="27">
        <v>11.047000000000001</v>
      </c>
      <c r="DI47" s="27">
        <v>13.895</v>
      </c>
      <c r="DJ47" s="27">
        <v>6.7160000000000002</v>
      </c>
      <c r="DK47" s="27">
        <v>14.382</v>
      </c>
      <c r="DL47" s="27">
        <f t="shared" si="33"/>
        <v>46.04</v>
      </c>
      <c r="DM47" s="27">
        <v>23.064</v>
      </c>
      <c r="DN47" s="27">
        <v>23.754000000000001</v>
      </c>
      <c r="DO47" s="27">
        <v>12.294</v>
      </c>
      <c r="DP47" s="27">
        <v>0.75800000000000001</v>
      </c>
      <c r="DQ47" s="27">
        <f t="shared" si="34"/>
        <v>59.87</v>
      </c>
      <c r="DR47" s="27">
        <v>8.3490000000000002</v>
      </c>
      <c r="DS47" s="27">
        <v>18.748999999999999</v>
      </c>
      <c r="DT47" s="27">
        <v>15.311999999999999</v>
      </c>
      <c r="DU47" s="27">
        <v>16.448</v>
      </c>
      <c r="DV47" s="27">
        <f t="shared" si="35"/>
        <v>58.857999999999997</v>
      </c>
      <c r="DW47" s="27">
        <v>44.581000000000003</v>
      </c>
      <c r="DX47" s="27">
        <v>28.369</v>
      </c>
      <c r="DY47" s="27">
        <v>24.394007439999925</v>
      </c>
      <c r="DZ47" s="27">
        <v>20.542562340000107</v>
      </c>
      <c r="EA47" s="27">
        <f t="shared" si="38"/>
        <v>117.88656978000003</v>
      </c>
      <c r="EB47" s="27">
        <v>31.148854830000019</v>
      </c>
      <c r="EC47" s="27">
        <v>33.238340410000006</v>
      </c>
      <c r="ED47" s="27">
        <v>20.649000000000001</v>
      </c>
      <c r="EE47" s="27">
        <v>24.940358689999982</v>
      </c>
      <c r="EF47" s="27">
        <f t="shared" si="39"/>
        <v>109.97655393000001</v>
      </c>
      <c r="EG47" s="27">
        <v>46.169422479999994</v>
      </c>
      <c r="EH47" s="27">
        <v>50.023393160000005</v>
      </c>
      <c r="EI47" s="27">
        <v>45.744947559999986</v>
      </c>
    </row>
    <row r="48" spans="1:139" ht="15" thickBot="1" x14ac:dyDescent="0.35">
      <c r="A48" s="2" t="s">
        <v>323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28">
        <v>0</v>
      </c>
      <c r="BK48" s="28">
        <v>0</v>
      </c>
      <c r="BL48" s="28">
        <v>0</v>
      </c>
      <c r="BM48" s="28">
        <v>0</v>
      </c>
      <c r="BN48" s="28">
        <f t="shared" si="23"/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f t="shared" si="24"/>
        <v>0</v>
      </c>
      <c r="BT48" s="28">
        <v>0</v>
      </c>
      <c r="BU48" s="28">
        <v>0</v>
      </c>
      <c r="BV48" s="28">
        <v>0</v>
      </c>
      <c r="BW48" s="28">
        <v>0</v>
      </c>
      <c r="BX48" s="28">
        <f t="shared" si="25"/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f t="shared" si="26"/>
        <v>0</v>
      </c>
      <c r="CD48" s="28">
        <v>0</v>
      </c>
      <c r="CE48" s="28">
        <v>0</v>
      </c>
      <c r="CF48" s="28">
        <v>0</v>
      </c>
      <c r="CG48" s="28">
        <v>0</v>
      </c>
      <c r="CH48" s="28">
        <f t="shared" si="27"/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f t="shared" si="28"/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f t="shared" si="29"/>
        <v>0</v>
      </c>
      <c r="CS48" s="28">
        <v>0</v>
      </c>
      <c r="CT48" s="28">
        <v>0</v>
      </c>
      <c r="CU48" s="28">
        <v>0</v>
      </c>
      <c r="CV48" s="28">
        <v>0</v>
      </c>
      <c r="CW48" s="28">
        <f t="shared" si="30"/>
        <v>0</v>
      </c>
      <c r="CX48" s="28">
        <v>0</v>
      </c>
      <c r="CY48" s="28">
        <v>0</v>
      </c>
      <c r="CZ48" s="28">
        <v>0</v>
      </c>
      <c r="DA48" s="28">
        <v>0</v>
      </c>
      <c r="DB48" s="28">
        <f t="shared" si="31"/>
        <v>0</v>
      </c>
      <c r="DC48" s="28">
        <v>0</v>
      </c>
      <c r="DD48" s="28">
        <v>0</v>
      </c>
      <c r="DE48" s="28">
        <v>-1.0999999999999999E-2</v>
      </c>
      <c r="DF48" s="28">
        <v>-1.7000000000000001E-2</v>
      </c>
      <c r="DG48" s="28">
        <f t="shared" si="32"/>
        <v>-2.8000000000000001E-2</v>
      </c>
      <c r="DH48" s="28">
        <v>-7.0000000000000001E-3</v>
      </c>
      <c r="DI48" s="28">
        <v>-1.6E-2</v>
      </c>
      <c r="DJ48" s="28">
        <v>5.0000000000000001E-3</v>
      </c>
      <c r="DK48" s="28">
        <v>0</v>
      </c>
      <c r="DL48" s="28">
        <f t="shared" si="33"/>
        <v>-1.7999999999999999E-2</v>
      </c>
      <c r="DM48" s="28">
        <v>-1.4E-2</v>
      </c>
      <c r="DN48" s="28">
        <v>-4.0000000000000001E-3</v>
      </c>
      <c r="DO48" s="28">
        <v>-5.0000000000000001E-3</v>
      </c>
      <c r="DP48" s="28">
        <v>4.2999999999999997E-2</v>
      </c>
      <c r="DQ48" s="28">
        <f t="shared" si="34"/>
        <v>1.9999999999999993E-2</v>
      </c>
      <c r="DR48" s="28">
        <v>0</v>
      </c>
      <c r="DS48" s="28">
        <v>-3.0000000000000001E-3</v>
      </c>
      <c r="DT48" s="28">
        <v>-5.0000000000000001E-3</v>
      </c>
      <c r="DU48" s="28">
        <v>0</v>
      </c>
      <c r="DV48" s="28">
        <f t="shared" si="35"/>
        <v>-8.0000000000000002E-3</v>
      </c>
      <c r="DW48" s="28">
        <v>-7.0000000000000001E-3</v>
      </c>
      <c r="DX48" s="28">
        <v>-2E-3</v>
      </c>
      <c r="DY48" s="28">
        <v>-2.8200399999973162E-3</v>
      </c>
      <c r="DZ48" s="28">
        <v>-5.6647499999999996E-3</v>
      </c>
      <c r="EA48" s="28">
        <f t="shared" si="38"/>
        <v>-1.7484789999997315E-2</v>
      </c>
      <c r="EB48" s="28">
        <v>-1.3154500000000298E-2</v>
      </c>
      <c r="EC48" s="28">
        <v>0</v>
      </c>
      <c r="ED48" s="28">
        <v>-8.9999999999999993E-3</v>
      </c>
      <c r="EE48" s="28">
        <v>-2.3282499999976135E-3</v>
      </c>
      <c r="EF48" s="28">
        <f t="shared" si="39"/>
        <v>-2.4482749999997912E-2</v>
      </c>
      <c r="EG48" s="28">
        <v>-1.0723999999999999E-2</v>
      </c>
      <c r="EH48" s="28">
        <v>-8.9326300000000004E-3</v>
      </c>
      <c r="EI48" s="28">
        <v>0</v>
      </c>
    </row>
    <row r="49" spans="1:139" ht="15" thickTop="1" x14ac:dyDescent="0.3">
      <c r="A49" s="1" t="s">
        <v>322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27">
        <v>0</v>
      </c>
      <c r="BK49" s="27">
        <v>0</v>
      </c>
      <c r="BL49" s="27">
        <v>0</v>
      </c>
      <c r="BM49" s="27">
        <v>0</v>
      </c>
      <c r="BN49" s="27">
        <f t="shared" si="23"/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f t="shared" si="24"/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f t="shared" si="25"/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f t="shared" si="26"/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f t="shared" si="27"/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f t="shared" si="28"/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f t="shared" si="29"/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f t="shared" si="30"/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f t="shared" si="31"/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f t="shared" si="32"/>
        <v>0</v>
      </c>
      <c r="DH49" s="27">
        <v>0</v>
      </c>
      <c r="DI49" s="27">
        <v>0</v>
      </c>
      <c r="DJ49" s="27">
        <v>0</v>
      </c>
      <c r="DK49" s="27">
        <v>0</v>
      </c>
      <c r="DL49" s="27">
        <f t="shared" si="33"/>
        <v>0</v>
      </c>
      <c r="DM49" s="27">
        <v>0</v>
      </c>
      <c r="DN49" s="27">
        <v>0</v>
      </c>
      <c r="DO49" s="27">
        <v>-0.28399999999999997</v>
      </c>
      <c r="DP49" s="27">
        <v>-0.61799999999999999</v>
      </c>
      <c r="DQ49" s="27">
        <f t="shared" si="34"/>
        <v>-0.90199999999999991</v>
      </c>
      <c r="DR49" s="27">
        <v>-0.38700000000000001</v>
      </c>
      <c r="DS49" s="27">
        <v>-0.23400000000000001</v>
      </c>
      <c r="DT49" s="27">
        <v>-0.17299999999999999</v>
      </c>
      <c r="DU49" s="27">
        <v>-0.187</v>
      </c>
      <c r="DV49" s="27">
        <f t="shared" si="35"/>
        <v>-0.98100000000000009</v>
      </c>
      <c r="DW49" s="27">
        <v>-0.22</v>
      </c>
      <c r="DX49" s="27">
        <v>-0.21199999999999999</v>
      </c>
      <c r="DY49" s="27">
        <v>-0.19152460999999196</v>
      </c>
      <c r="DZ49" s="27">
        <v>-0.1901693599999994</v>
      </c>
      <c r="EA49" s="27">
        <f t="shared" si="38"/>
        <v>-0.81369396999999133</v>
      </c>
      <c r="EB49" s="27">
        <v>-0.23195169999999926</v>
      </c>
      <c r="EC49" s="27">
        <v>-0.22861465000000222</v>
      </c>
      <c r="ED49" s="27">
        <v>-0.20799999999999999</v>
      </c>
      <c r="EE49" s="27">
        <v>-0.2182098600000143</v>
      </c>
      <c r="EF49" s="27">
        <f t="shared" si="39"/>
        <v>-0.88677621000001572</v>
      </c>
      <c r="EG49" s="27">
        <v>-0.22522325000000001</v>
      </c>
      <c r="EH49" s="27">
        <v>-0.22239879999999998</v>
      </c>
      <c r="EI49" s="27">
        <v>0.16684362</v>
      </c>
    </row>
    <row r="50" spans="1:139" ht="15" thickBot="1" x14ac:dyDescent="0.35">
      <c r="A50" s="2" t="s">
        <v>370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28">
        <v>1.36</v>
      </c>
      <c r="BK50" s="28">
        <f>4.178-BJ50</f>
        <v>2.8179999999999996</v>
      </c>
      <c r="BL50" s="28">
        <f>2.351-BK50-BJ50</f>
        <v>-1.8269999999999997</v>
      </c>
      <c r="BM50" s="28">
        <f>1.414-SUM(BJ50:BL50)</f>
        <v>-0.93700000000000006</v>
      </c>
      <c r="BN50" s="28">
        <f t="shared" si="23"/>
        <v>1.4139999999999999</v>
      </c>
      <c r="BO50" s="28">
        <v>8.8989999999999991</v>
      </c>
      <c r="BP50" s="28">
        <f>22.102-BO50</f>
        <v>13.203000000000001</v>
      </c>
      <c r="BQ50" s="28">
        <f>40.271-SUM(BO50:BP50)</f>
        <v>18.169</v>
      </c>
      <c r="BR50" s="28">
        <f>55.97-SUM(BO50:BQ50)</f>
        <v>15.698999999999998</v>
      </c>
      <c r="BS50" s="28">
        <f t="shared" si="24"/>
        <v>55.97</v>
      </c>
      <c r="BT50" s="28">
        <v>0</v>
      </c>
      <c r="BU50" s="28">
        <v>0</v>
      </c>
      <c r="BV50" s="28">
        <v>0</v>
      </c>
      <c r="BW50" s="28">
        <v>0</v>
      </c>
      <c r="BX50" s="28">
        <f t="shared" si="25"/>
        <v>0</v>
      </c>
      <c r="BY50" s="28">
        <v>0</v>
      </c>
      <c r="BZ50" s="28">
        <v>0</v>
      </c>
      <c r="CA50" s="28">
        <v>0</v>
      </c>
      <c r="CB50" s="28">
        <v>0</v>
      </c>
      <c r="CC50" s="28">
        <f t="shared" si="26"/>
        <v>0</v>
      </c>
      <c r="CD50" s="28">
        <v>0</v>
      </c>
      <c r="CE50" s="28">
        <v>0</v>
      </c>
      <c r="CF50" s="28">
        <v>0</v>
      </c>
      <c r="CG50" s="28">
        <v>0</v>
      </c>
      <c r="CH50" s="28">
        <f t="shared" si="27"/>
        <v>0</v>
      </c>
      <c r="CI50" s="28">
        <v>0</v>
      </c>
      <c r="CJ50" s="28">
        <v>0</v>
      </c>
      <c r="CK50" s="28">
        <v>0</v>
      </c>
      <c r="CL50" s="28">
        <v>0</v>
      </c>
      <c r="CM50" s="28">
        <f t="shared" si="28"/>
        <v>0</v>
      </c>
      <c r="CN50" s="28">
        <v>1.96</v>
      </c>
      <c r="CO50" s="28">
        <f>-CN50</f>
        <v>-1.96</v>
      </c>
      <c r="CP50" s="28">
        <v>0</v>
      </c>
      <c r="CQ50" s="28">
        <v>0</v>
      </c>
      <c r="CR50" s="28">
        <f t="shared" si="29"/>
        <v>0</v>
      </c>
      <c r="CS50" s="28">
        <v>0</v>
      </c>
      <c r="CT50" s="28">
        <v>0</v>
      </c>
      <c r="CU50" s="28">
        <v>0</v>
      </c>
      <c r="CV50" s="28">
        <v>0</v>
      </c>
      <c r="CW50" s="28">
        <f t="shared" si="30"/>
        <v>0</v>
      </c>
      <c r="CX50" s="28">
        <v>0</v>
      </c>
      <c r="CY50" s="28">
        <v>0</v>
      </c>
      <c r="CZ50" s="28">
        <v>0</v>
      </c>
      <c r="DA50" s="28">
        <v>0</v>
      </c>
      <c r="DB50" s="28">
        <f t="shared" si="31"/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f t="shared" si="32"/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f t="shared" si="33"/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f t="shared" si="34"/>
        <v>0</v>
      </c>
      <c r="DR50" s="28">
        <v>0</v>
      </c>
      <c r="DS50" s="28">
        <v>0</v>
      </c>
      <c r="DT50" s="28">
        <v>0</v>
      </c>
      <c r="DU50" s="28">
        <v>0</v>
      </c>
      <c r="DV50" s="28">
        <f t="shared" si="35"/>
        <v>0</v>
      </c>
      <c r="DW50" s="28">
        <v>0</v>
      </c>
      <c r="DX50" s="28">
        <v>0</v>
      </c>
      <c r="DY50" s="28">
        <v>0</v>
      </c>
      <c r="DZ50" s="28">
        <v>0</v>
      </c>
      <c r="EA50" s="28">
        <f t="shared" si="38"/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f t="shared" si="39"/>
        <v>0</v>
      </c>
      <c r="EG50" s="28">
        <v>0</v>
      </c>
      <c r="EH50" s="28">
        <v>0</v>
      </c>
      <c r="EI50" s="28">
        <v>0</v>
      </c>
    </row>
    <row r="51" spans="1:139" ht="15" thickTop="1" x14ac:dyDescent="0.3">
      <c r="A51" s="1" t="s">
        <v>338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27">
        <v>6.8719999999999999</v>
      </c>
      <c r="BK51" s="27">
        <f>11.896-BJ51</f>
        <v>5.0240000000000009</v>
      </c>
      <c r="BL51" s="27">
        <f>17.578-BK51-BJ51</f>
        <v>5.6819999999999986</v>
      </c>
      <c r="BM51" s="27">
        <f>19.671-SUM(BJ51:BL51)</f>
        <v>2.093</v>
      </c>
      <c r="BN51" s="27">
        <f t="shared" si="23"/>
        <v>19.670999999999999</v>
      </c>
      <c r="BO51" s="27">
        <v>5.8179999999999996</v>
      </c>
      <c r="BP51" s="27">
        <f>11.962-BO51</f>
        <v>6.1440000000000001</v>
      </c>
      <c r="BQ51" s="27">
        <f>18.345-SUM(BO51:BP51)</f>
        <v>6.3829999999999991</v>
      </c>
      <c r="BR51" s="27">
        <f>24.606-SUM(BO51:BQ51)</f>
        <v>6.2610000000000028</v>
      </c>
      <c r="BS51" s="27">
        <f t="shared" si="24"/>
        <v>24.606000000000002</v>
      </c>
      <c r="BT51" s="27">
        <v>0</v>
      </c>
      <c r="BU51" s="27">
        <v>0</v>
      </c>
      <c r="BV51" s="27">
        <v>0</v>
      </c>
      <c r="BW51" s="27">
        <v>0</v>
      </c>
      <c r="BX51" s="27">
        <f t="shared" si="25"/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f t="shared" si="26"/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f t="shared" si="27"/>
        <v>0</v>
      </c>
      <c r="CI51" s="27">
        <v>0</v>
      </c>
      <c r="CJ51" s="27">
        <v>0</v>
      </c>
      <c r="CK51" s="27">
        <v>-0.47199999999999998</v>
      </c>
      <c r="CL51" s="27">
        <f>-0.8-SUM(CI51:CK51)</f>
        <v>-0.32800000000000007</v>
      </c>
      <c r="CM51" s="27">
        <f t="shared" si="28"/>
        <v>-0.8</v>
      </c>
      <c r="CN51" s="27">
        <v>-0.46400000000000002</v>
      </c>
      <c r="CO51" s="27">
        <f>-0.817-CN51</f>
        <v>-0.35299999999999992</v>
      </c>
      <c r="CP51" s="27">
        <f>-1.231-CO51-CN51</f>
        <v>-0.41400000000000009</v>
      </c>
      <c r="CQ51" s="27">
        <f>-1.525-SUM(CN51:CP51)</f>
        <v>-0.29399999999999982</v>
      </c>
      <c r="CR51" s="27">
        <f t="shared" si="29"/>
        <v>-1.5249999999999999</v>
      </c>
      <c r="CS51" s="27">
        <v>-0.36699999999999999</v>
      </c>
      <c r="CT51" s="27">
        <v>-0.34200000000000003</v>
      </c>
      <c r="CU51" s="27">
        <v>-0.503</v>
      </c>
      <c r="CV51" s="27">
        <v>-0.58899999999999997</v>
      </c>
      <c r="CW51" s="27">
        <f t="shared" si="30"/>
        <v>-1.8010000000000002</v>
      </c>
      <c r="CX51" s="27">
        <v>-0.41399999999999998</v>
      </c>
      <c r="CY51" s="27">
        <v>-0.74099999999999999</v>
      </c>
      <c r="CZ51" s="27">
        <v>-0.44500000000000001</v>
      </c>
      <c r="DA51" s="27">
        <v>-0.40300000000000002</v>
      </c>
      <c r="DB51" s="27">
        <f t="shared" si="31"/>
        <v>-2.0030000000000001</v>
      </c>
      <c r="DC51" s="27">
        <v>-0.33</v>
      </c>
      <c r="DD51" s="27">
        <v>-0.56399999999999995</v>
      </c>
      <c r="DE51" s="27">
        <v>-0.505</v>
      </c>
      <c r="DF51" s="27">
        <v>-0.56399999999999995</v>
      </c>
      <c r="DG51" s="27">
        <f t="shared" si="32"/>
        <v>-1.9630000000000001</v>
      </c>
      <c r="DH51" s="27">
        <v>-0.47799999999999998</v>
      </c>
      <c r="DI51" s="27">
        <v>-0.35599999999999998</v>
      </c>
      <c r="DJ51" s="27">
        <v>-0.54100000000000004</v>
      </c>
      <c r="DK51" s="27">
        <v>1.232</v>
      </c>
      <c r="DL51" s="27">
        <f t="shared" si="33"/>
        <v>-0.14300000000000002</v>
      </c>
      <c r="DM51" s="27">
        <v>-0.313</v>
      </c>
      <c r="DN51" s="27">
        <v>-0.754</v>
      </c>
      <c r="DO51" s="27">
        <v>-0.69599999999999995</v>
      </c>
      <c r="DP51" s="27">
        <v>-0.88</v>
      </c>
      <c r="DQ51" s="27">
        <f t="shared" si="34"/>
        <v>-2.6429999999999998</v>
      </c>
      <c r="DR51" s="27">
        <v>-0.36399999999999999</v>
      </c>
      <c r="DS51" s="27">
        <v>-0.376</v>
      </c>
      <c r="DT51" s="27">
        <v>-0.79800000000000004</v>
      </c>
      <c r="DU51" s="27">
        <v>-43.73</v>
      </c>
      <c r="DV51" s="27">
        <f t="shared" si="35"/>
        <v>-45.267999999999994</v>
      </c>
      <c r="DW51" s="27">
        <v>-0.42799999999999999</v>
      </c>
      <c r="DX51" s="27">
        <v>-0.17100000000000001</v>
      </c>
      <c r="DY51" s="27">
        <v>-0.86394769999999999</v>
      </c>
      <c r="DZ51" s="27">
        <v>-19.819104099999997</v>
      </c>
      <c r="EA51" s="27">
        <f t="shared" si="38"/>
        <v>-21.282051799999998</v>
      </c>
      <c r="EB51" s="27">
        <f>(-103331.6+34186.87)/1000000</f>
        <v>-6.9144730000000015E-2</v>
      </c>
      <c r="EC51" s="27">
        <v>-6.9137690000000002E-2</v>
      </c>
      <c r="ED51" s="27">
        <v>1.006</v>
      </c>
      <c r="EE51" s="27">
        <v>-1.0655999999999444E-3</v>
      </c>
      <c r="EF51" s="27">
        <f t="shared" si="39"/>
        <v>0.8666519800000001</v>
      </c>
      <c r="EG51" s="27">
        <v>0.26051389000000003</v>
      </c>
      <c r="EH51" s="27">
        <v>0.90025524000000012</v>
      </c>
      <c r="EI51" s="27">
        <v>-0.67813074000000018</v>
      </c>
    </row>
    <row r="52" spans="1:139" ht="15" thickBot="1" x14ac:dyDescent="0.35">
      <c r="A52" s="2" t="s">
        <v>331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28">
        <v>-10.569000000000001</v>
      </c>
      <c r="BK52" s="28">
        <f>-18.667-BJ52</f>
        <v>-8.0980000000000008</v>
      </c>
      <c r="BL52" s="28">
        <f>-28.137-BK52-BJ52</f>
        <v>-9.4700000000000006</v>
      </c>
      <c r="BM52" s="28">
        <f>-37.202-SUM(BJ52:BL52)</f>
        <v>-9.0649999999999977</v>
      </c>
      <c r="BN52" s="28">
        <f t="shared" si="23"/>
        <v>-37.201999999999998</v>
      </c>
      <c r="BO52" s="28">
        <v>-8.3810000000000002</v>
      </c>
      <c r="BP52" s="28">
        <f>-18.013-BO52</f>
        <v>-9.6320000000000014</v>
      </c>
      <c r="BQ52" s="28">
        <f>-27.911-SUM(BO52:BP52)</f>
        <v>-9.8979999999999997</v>
      </c>
      <c r="BR52" s="28">
        <f>-40.343-SUM(BO52:BQ52)</f>
        <v>-12.432000000000002</v>
      </c>
      <c r="BS52" s="28">
        <f t="shared" si="24"/>
        <v>-40.343000000000004</v>
      </c>
      <c r="BT52" s="28">
        <v>-14.622999999999999</v>
      </c>
      <c r="BU52" s="28">
        <f>-28.103-BT52</f>
        <v>-13.480000000000002</v>
      </c>
      <c r="BV52" s="28">
        <f>-42.457-BU52-BT52</f>
        <v>-14.353999999999997</v>
      </c>
      <c r="BW52" s="28">
        <f>-58.692-SUM(BT52:BV52)</f>
        <v>-16.234999999999999</v>
      </c>
      <c r="BX52" s="28">
        <f t="shared" si="25"/>
        <v>-58.692</v>
      </c>
      <c r="BY52" s="28">
        <v>-14.497999999999999</v>
      </c>
      <c r="BZ52" s="28">
        <f>-33.37-BY52</f>
        <v>-18.872</v>
      </c>
      <c r="CA52" s="28">
        <f>-52.633-SUM(BY52:BZ52)</f>
        <v>-19.263000000000005</v>
      </c>
      <c r="CB52" s="28">
        <f>-42.765-SUM(BY52:CA52)</f>
        <v>9.8680000000000021</v>
      </c>
      <c r="CC52" s="28">
        <f t="shared" si="26"/>
        <v>-42.765000000000001</v>
      </c>
      <c r="CD52" s="28">
        <v>248.66300000000001</v>
      </c>
      <c r="CE52" s="28">
        <f>232.507-CD52</f>
        <v>-16.156000000000006</v>
      </c>
      <c r="CF52" s="28">
        <f>203.601-SUM(CD52:CE52)</f>
        <v>-28.906000000000006</v>
      </c>
      <c r="CG52" s="28">
        <f>169.715-SUM(CD52:CF52)</f>
        <v>-33.885999999999996</v>
      </c>
      <c r="CH52" s="28">
        <f t="shared" si="27"/>
        <v>169.715</v>
      </c>
      <c r="CI52" s="28">
        <v>-18.114000000000001</v>
      </c>
      <c r="CJ52" s="28">
        <f>-28.006-CI52</f>
        <v>-9.8919999999999995</v>
      </c>
      <c r="CK52" s="28">
        <f>-34.638-SUM(CI52:CJ52)</f>
        <v>-6.6319999999999979</v>
      </c>
      <c r="CL52" s="28">
        <f>-19.678-SUM(CI52:CK52)</f>
        <v>14.959999999999997</v>
      </c>
      <c r="CM52" s="28">
        <f t="shared" si="28"/>
        <v>-19.678000000000001</v>
      </c>
      <c r="CN52" s="28">
        <v>-6.8890000000000002</v>
      </c>
      <c r="CO52" s="28">
        <f>-315.569-CN52</f>
        <v>-308.68</v>
      </c>
      <c r="CP52" s="28">
        <f>-319.681-CO52-CN52</f>
        <v>-4.1119999999999761</v>
      </c>
      <c r="CQ52" s="28">
        <f>-325.064-SUM(CN52:CP52)</f>
        <v>-5.3830000000000382</v>
      </c>
      <c r="CR52" s="28">
        <f t="shared" si="29"/>
        <v>-325.06400000000002</v>
      </c>
      <c r="CS52" s="28">
        <v>-8.9190000000000005</v>
      </c>
      <c r="CT52" s="28">
        <v>-2.5270000000000001</v>
      </c>
      <c r="CU52" s="28">
        <v>-8.4550000000000001</v>
      </c>
      <c r="CV52" s="28">
        <v>-6.9569999999999999</v>
      </c>
      <c r="CW52" s="28">
        <f t="shared" si="30"/>
        <v>-26.858000000000004</v>
      </c>
      <c r="CX52" s="28">
        <v>-8.0660000000000007</v>
      </c>
      <c r="CY52" s="28">
        <f>-5.005+0.4</f>
        <v>-4.6049999999999995</v>
      </c>
      <c r="CZ52" s="28">
        <v>-9.0860000000000003</v>
      </c>
      <c r="DA52" s="28">
        <v>-15.877000000000001</v>
      </c>
      <c r="DB52" s="28">
        <f t="shared" si="31"/>
        <v>-37.634</v>
      </c>
      <c r="DC52" s="28">
        <v>-14.19</v>
      </c>
      <c r="DD52" s="28">
        <v>-16.55</v>
      </c>
      <c r="DE52" s="28">
        <v>-70.186000000000007</v>
      </c>
      <c r="DF52" s="28">
        <v>-49.610999999999997</v>
      </c>
      <c r="DG52" s="28">
        <f t="shared" si="32"/>
        <v>-150.53700000000001</v>
      </c>
      <c r="DH52" s="28">
        <v>-10.169</v>
      </c>
      <c r="DI52" s="28">
        <v>-54.359000000000002</v>
      </c>
      <c r="DJ52" s="28">
        <v>-19.527000000000001</v>
      </c>
      <c r="DK52" s="28">
        <v>-310.69</v>
      </c>
      <c r="DL52" s="28">
        <f t="shared" si="33"/>
        <v>-394.745</v>
      </c>
      <c r="DM52" s="28">
        <v>-6.2919999999999998</v>
      </c>
      <c r="DN52" s="28">
        <v>-6.8440000000000003</v>
      </c>
      <c r="DO52" s="28">
        <v>41.281999999999996</v>
      </c>
      <c r="DP52" s="28">
        <v>-57.621000000000002</v>
      </c>
      <c r="DQ52" s="28">
        <f t="shared" si="34"/>
        <v>-29.475000000000005</v>
      </c>
      <c r="DR52" s="28">
        <v>-7.0789999999999997</v>
      </c>
      <c r="DS52" s="28">
        <v>-5.0590000000000002</v>
      </c>
      <c r="DT52" s="28">
        <v>-8.7040000000000006</v>
      </c>
      <c r="DU52" s="28">
        <v>-46.868000000000002</v>
      </c>
      <c r="DV52" s="28">
        <f t="shared" si="35"/>
        <v>-67.710000000000008</v>
      </c>
      <c r="DW52" s="28">
        <v>-9.2859999999999996</v>
      </c>
      <c r="DX52" s="28">
        <v>-8.7720000000000002</v>
      </c>
      <c r="DY52" s="28">
        <v>-8.3672070800000053</v>
      </c>
      <c r="DZ52" s="28">
        <v>-12.627222950000062</v>
      </c>
      <c r="EA52" s="28">
        <f t="shared" si="38"/>
        <v>-39.052430030000068</v>
      </c>
      <c r="EB52" s="28">
        <v>-10.617302359999998</v>
      </c>
      <c r="EC52" s="28">
        <v>-10.350806640000021</v>
      </c>
      <c r="ED52" s="28">
        <v>-12.56</v>
      </c>
      <c r="EE52" s="28">
        <v>-4.4398003899999257</v>
      </c>
      <c r="EF52" s="28">
        <f t="shared" si="39"/>
        <v>-37.967909389999946</v>
      </c>
      <c r="EG52" s="28">
        <v>-10.94685022</v>
      </c>
      <c r="EH52" s="28">
        <v>-11.144336470000001</v>
      </c>
      <c r="EI52" s="28">
        <v>-11.420569949999996</v>
      </c>
    </row>
    <row r="53" spans="1:139" ht="15" thickTop="1" x14ac:dyDescent="0.3">
      <c r="A53" s="1" t="s">
        <v>308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27">
        <v>9.4E-2</v>
      </c>
      <c r="BK53" s="27">
        <f>-0.375-BJ53</f>
        <v>-0.46899999999999997</v>
      </c>
      <c r="BL53" s="27">
        <f>0.088-BK53-BJ53</f>
        <v>0.46299999999999997</v>
      </c>
      <c r="BM53" s="27">
        <f>0.372-BL53-BK53-BJ53</f>
        <v>0.28400000000000003</v>
      </c>
      <c r="BN53" s="27">
        <f t="shared" si="23"/>
        <v>0.372</v>
      </c>
      <c r="BO53" s="27">
        <v>-1.78</v>
      </c>
      <c r="BP53" s="27">
        <f>-4.42-BO53</f>
        <v>-2.6399999999999997</v>
      </c>
      <c r="BQ53" s="27">
        <f>-8.054-SUM(BO53:BP53)</f>
        <v>-3.6340000000000003</v>
      </c>
      <c r="BR53" s="27">
        <f>-11.194-SUM(BO53:BQ53)</f>
        <v>-3.1400000000000006</v>
      </c>
      <c r="BS53" s="27">
        <f t="shared" si="24"/>
        <v>-11.194000000000001</v>
      </c>
      <c r="BT53" s="27">
        <v>-0.1</v>
      </c>
      <c r="BU53" s="27">
        <v>-0.33900000000000002</v>
      </c>
      <c r="BV53" s="27">
        <v>-9.7000000000000003E-2</v>
      </c>
      <c r="BW53" s="27">
        <v>-2.8879999999999999</v>
      </c>
      <c r="BX53" s="27">
        <f t="shared" si="25"/>
        <v>-3.4239999999999999</v>
      </c>
      <c r="BY53" s="27">
        <v>-0.185</v>
      </c>
      <c r="BZ53" s="27">
        <v>-6.2E-2</v>
      </c>
      <c r="CA53" s="27">
        <v>0.11700000000000001</v>
      </c>
      <c r="CB53" s="27">
        <v>-1.5469999999999999</v>
      </c>
      <c r="CC53" s="27">
        <f>SUM(BY53:CB53)</f>
        <v>-1.677</v>
      </c>
      <c r="CD53" s="27">
        <v>0</v>
      </c>
      <c r="CE53" s="27">
        <v>0</v>
      </c>
      <c r="CF53" s="27">
        <v>0</v>
      </c>
      <c r="CG53" s="27">
        <v>0</v>
      </c>
      <c r="CH53" s="27">
        <f t="shared" si="27"/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f t="shared" si="28"/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f t="shared" si="29"/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f t="shared" si="30"/>
        <v>0</v>
      </c>
      <c r="CX53" s="27">
        <v>0</v>
      </c>
      <c r="CY53" s="27">
        <v>0</v>
      </c>
      <c r="CZ53" s="27">
        <v>0</v>
      </c>
      <c r="DA53" s="27">
        <v>0</v>
      </c>
      <c r="DB53" s="27">
        <f t="shared" si="31"/>
        <v>0</v>
      </c>
      <c r="DC53" s="27">
        <v>-1.8</v>
      </c>
      <c r="DD53" s="27">
        <v>0</v>
      </c>
      <c r="DE53" s="27">
        <f>37.23-38.485</f>
        <v>-1.2550000000000026</v>
      </c>
      <c r="DF53" s="27">
        <v>-2.0310000000000001</v>
      </c>
      <c r="DG53" s="27">
        <f t="shared" si="32"/>
        <v>-5.0860000000000021</v>
      </c>
      <c r="DH53" s="27">
        <v>-2.41</v>
      </c>
      <c r="DI53" s="27">
        <v>-1.3109999999999999</v>
      </c>
      <c r="DJ53" s="27">
        <v>-2.722</v>
      </c>
      <c r="DK53" s="27">
        <v>-27.428999999999998</v>
      </c>
      <c r="DL53" s="27">
        <f t="shared" si="33"/>
        <v>-33.872</v>
      </c>
      <c r="DM53" s="27">
        <v>-3.5489999999999999</v>
      </c>
      <c r="DN53" s="27">
        <v>-3.5489999999999999</v>
      </c>
      <c r="DO53" s="27">
        <v>-3.9009999999999998</v>
      </c>
      <c r="DP53" s="27">
        <v>-4.9610000000000003</v>
      </c>
      <c r="DQ53" s="27">
        <f t="shared" si="34"/>
        <v>-15.959999999999999</v>
      </c>
      <c r="DR53" s="27">
        <v>-4.2080000000000002</v>
      </c>
      <c r="DS53" s="27">
        <v>-4.2249999999999996</v>
      </c>
      <c r="DT53" s="27">
        <v>-4.2320000000000002</v>
      </c>
      <c r="DU53" s="27">
        <v>-6.5419999999999998</v>
      </c>
      <c r="DV53" s="27">
        <f t="shared" si="35"/>
        <v>-19.207000000000001</v>
      </c>
      <c r="DW53" s="27">
        <v>-4.1580000000000004</v>
      </c>
      <c r="DX53" s="27">
        <v>-4.085</v>
      </c>
      <c r="DY53" s="27">
        <v>-4.546051109999933</v>
      </c>
      <c r="DZ53" s="27">
        <v>-4.47016247999996</v>
      </c>
      <c r="EA53" s="27">
        <f t="shared" si="38"/>
        <v>-17.259213589999895</v>
      </c>
      <c r="EB53" s="27">
        <v>-5.7048793300000469</v>
      </c>
      <c r="EC53" s="27">
        <v>-6.8431303799999261</v>
      </c>
      <c r="ED53" s="27">
        <v>-5.7939999999999996</v>
      </c>
      <c r="EE53" s="27">
        <v>-6.6849365599999206</v>
      </c>
      <c r="EF53" s="27">
        <f t="shared" si="39"/>
        <v>-25.026946269999897</v>
      </c>
      <c r="EG53" s="27">
        <v>-8.3914916999999996</v>
      </c>
      <c r="EH53" s="27">
        <v>-13.913261650000003</v>
      </c>
      <c r="EI53" s="27">
        <v>-10.703099879999998</v>
      </c>
    </row>
    <row r="54" spans="1:139" x14ac:dyDescent="0.3">
      <c r="A54" s="5" t="s">
        <v>311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>
        <f>SUM(BJ31:BJ53)</f>
        <v>200.96300000000005</v>
      </c>
      <c r="BK54" s="29">
        <f t="shared" ref="BK54:DT54" si="40">SUM(BK31:BK53)</f>
        <v>196.268</v>
      </c>
      <c r="BL54" s="29">
        <f t="shared" si="40"/>
        <v>208.667</v>
      </c>
      <c r="BM54" s="29">
        <f t="shared" si="40"/>
        <v>206.50099999999998</v>
      </c>
      <c r="BN54" s="29">
        <f t="shared" si="40"/>
        <v>812.39899999999989</v>
      </c>
      <c r="BO54" s="29">
        <f t="shared" si="40"/>
        <v>234.83700000000002</v>
      </c>
      <c r="BP54" s="29">
        <f t="shared" si="40"/>
        <v>220.29400000000001</v>
      </c>
      <c r="BQ54" s="29">
        <f t="shared" si="40"/>
        <v>250.38799999999998</v>
      </c>
      <c r="BR54" s="29">
        <f t="shared" si="40"/>
        <v>251.78399999999999</v>
      </c>
      <c r="BS54" s="29">
        <f t="shared" si="40"/>
        <v>957.303</v>
      </c>
      <c r="BT54" s="29">
        <f t="shared" si="40"/>
        <v>245.70700000000002</v>
      </c>
      <c r="BU54" s="29">
        <f t="shared" si="40"/>
        <v>229.94000000000003</v>
      </c>
      <c r="BV54" s="29">
        <f t="shared" si="40"/>
        <v>302.40600000000001</v>
      </c>
      <c r="BW54" s="29">
        <f t="shared" si="40"/>
        <v>288.31200000000001</v>
      </c>
      <c r="BX54" s="29">
        <f t="shared" si="40"/>
        <v>1066.365</v>
      </c>
      <c r="BY54" s="29">
        <f t="shared" si="40"/>
        <v>296.79500000000002</v>
      </c>
      <c r="BZ54" s="29">
        <f t="shared" si="40"/>
        <v>288.79699999999997</v>
      </c>
      <c r="CA54" s="29">
        <f t="shared" si="40"/>
        <v>311.01799999999997</v>
      </c>
      <c r="CB54" s="29">
        <f t="shared" si="40"/>
        <v>298.90700000000004</v>
      </c>
      <c r="CC54" s="29">
        <f t="shared" si="40"/>
        <v>1195.5170000000001</v>
      </c>
      <c r="CD54" s="29">
        <f t="shared" si="40"/>
        <v>580.97500000000014</v>
      </c>
      <c r="CE54" s="29">
        <f t="shared" si="40"/>
        <v>266.76300000000003</v>
      </c>
      <c r="CF54" s="29">
        <f t="shared" si="40"/>
        <v>299.40000000000003</v>
      </c>
      <c r="CG54" s="29">
        <f t="shared" si="40"/>
        <v>299.67399999999998</v>
      </c>
      <c r="CH54" s="29">
        <f t="shared" si="40"/>
        <v>1446.8119999999999</v>
      </c>
      <c r="CI54" s="29">
        <f t="shared" si="40"/>
        <v>330.61700000000002</v>
      </c>
      <c r="CJ54" s="29">
        <f t="shared" si="40"/>
        <v>291.47899999999998</v>
      </c>
      <c r="CK54" s="29">
        <f t="shared" si="40"/>
        <v>332.10300000000001</v>
      </c>
      <c r="CL54" s="29">
        <f t="shared" si="40"/>
        <v>371.05999999999995</v>
      </c>
      <c r="CM54" s="29">
        <f t="shared" si="40"/>
        <v>1325.259</v>
      </c>
      <c r="CN54" s="29">
        <f t="shared" si="40"/>
        <v>385.4899999999999</v>
      </c>
      <c r="CO54" s="29">
        <f t="shared" si="40"/>
        <v>25.031999999999982</v>
      </c>
      <c r="CP54" s="29">
        <f t="shared" si="40"/>
        <v>354.46000000000004</v>
      </c>
      <c r="CQ54" s="29">
        <f t="shared" si="40"/>
        <v>349.46399999999994</v>
      </c>
      <c r="CR54" s="29">
        <f t="shared" si="40"/>
        <v>1114.4459999999999</v>
      </c>
      <c r="CS54" s="29">
        <f t="shared" si="40"/>
        <v>422.07699999999994</v>
      </c>
      <c r="CT54" s="29">
        <f t="shared" si="40"/>
        <v>389.44299999999998</v>
      </c>
      <c r="CU54" s="29">
        <f t="shared" si="40"/>
        <v>420.10499999999996</v>
      </c>
      <c r="CV54" s="29">
        <f t="shared" si="40"/>
        <v>398.50900000000001</v>
      </c>
      <c r="CW54" s="29">
        <f t="shared" si="40"/>
        <v>1630.134</v>
      </c>
      <c r="CX54" s="29">
        <f t="shared" si="40"/>
        <v>463.18500000000006</v>
      </c>
      <c r="CY54" s="29">
        <f t="shared" si="40"/>
        <v>389.36500000000001</v>
      </c>
      <c r="CZ54" s="29">
        <f t="shared" si="40"/>
        <v>409.88199999999995</v>
      </c>
      <c r="DA54" s="29">
        <f t="shared" si="40"/>
        <v>355.40199999999987</v>
      </c>
      <c r="DB54" s="29">
        <f t="shared" si="40"/>
        <v>1617.8339999999998</v>
      </c>
      <c r="DC54" s="29">
        <f t="shared" si="40"/>
        <v>409.26599999999996</v>
      </c>
      <c r="DD54" s="29">
        <f t="shared" si="40"/>
        <v>431.86499999999995</v>
      </c>
      <c r="DE54" s="29">
        <f t="shared" si="40"/>
        <v>-9.7620000000000218</v>
      </c>
      <c r="DF54" s="29">
        <f t="shared" si="40"/>
        <v>528.7879999999999</v>
      </c>
      <c r="DG54" s="29">
        <f t="shared" si="40"/>
        <v>1360.1569999999997</v>
      </c>
      <c r="DH54" s="29">
        <f t="shared" si="40"/>
        <v>499.33800000000008</v>
      </c>
      <c r="DI54" s="29">
        <f t="shared" si="40"/>
        <v>354.298</v>
      </c>
      <c r="DJ54" s="29">
        <f t="shared" si="40"/>
        <v>488.80399999999997</v>
      </c>
      <c r="DK54" s="29">
        <f t="shared" si="40"/>
        <v>70.364000000000061</v>
      </c>
      <c r="DL54" s="29">
        <f t="shared" si="40"/>
        <v>1412.8039999999999</v>
      </c>
      <c r="DM54" s="29">
        <f t="shared" si="40"/>
        <v>543.31099999999992</v>
      </c>
      <c r="DN54" s="29">
        <f t="shared" si="40"/>
        <v>539.53699999999992</v>
      </c>
      <c r="DO54" s="29">
        <f t="shared" si="40"/>
        <v>650.65800000000002</v>
      </c>
      <c r="DP54" s="29">
        <f t="shared" si="40"/>
        <v>525.58500000000004</v>
      </c>
      <c r="DQ54" s="29">
        <f t="shared" si="40"/>
        <v>2259.0909999999999</v>
      </c>
      <c r="DR54" s="29">
        <f t="shared" si="40"/>
        <v>451.70400000000001</v>
      </c>
      <c r="DS54" s="29">
        <f t="shared" si="40"/>
        <v>427.85900000000009</v>
      </c>
      <c r="DT54" s="29">
        <f t="shared" si="40"/>
        <v>524.84600000000012</v>
      </c>
      <c r="DU54" s="29">
        <f t="shared" ref="DU54:EA54" si="41">SUM(DU31:DU53)</f>
        <v>719.19699999999989</v>
      </c>
      <c r="DV54" s="29">
        <f t="shared" si="41"/>
        <v>2123.6060000000002</v>
      </c>
      <c r="DW54" s="29">
        <f t="shared" si="41"/>
        <v>785.06099999999992</v>
      </c>
      <c r="DX54" s="29">
        <f t="shared" si="41"/>
        <v>884.56799999999998</v>
      </c>
      <c r="DY54" s="29">
        <f t="shared" si="41"/>
        <v>997.87215204000051</v>
      </c>
      <c r="DZ54" s="29">
        <f t="shared" si="41"/>
        <v>913.25802589999898</v>
      </c>
      <c r="EA54" s="29">
        <f t="shared" si="41"/>
        <v>3580.7591779400004</v>
      </c>
      <c r="EB54" s="29">
        <f>SUM(EB31:EB53)</f>
        <v>1062.87519453</v>
      </c>
      <c r="EC54" s="29">
        <f>SUM(EC31:EC53)</f>
        <v>1110.5511806000004</v>
      </c>
      <c r="ED54" s="29">
        <f>SUM(ED31:ED53)</f>
        <v>1181.4070000000002</v>
      </c>
      <c r="EE54" s="29">
        <f>SUM(EE31:EE53)</f>
        <v>1152.265784200001</v>
      </c>
      <c r="EF54" s="29">
        <f t="shared" ref="EF54" si="42">SUM(EF31:EF53)</f>
        <v>4507.0991593300005</v>
      </c>
      <c r="EG54" s="29">
        <f>SUM(EG31:EG53)</f>
        <v>1233.8108518100003</v>
      </c>
      <c r="EH54" s="29">
        <f>SUM(EH31:EH53)</f>
        <v>1331.0199856499996</v>
      </c>
      <c r="EI54" s="29">
        <f>SUM(EI31:EI53)</f>
        <v>1666.1450163199995</v>
      </c>
    </row>
    <row r="55" spans="1:139" x14ac:dyDescent="0.3"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</row>
    <row r="56" spans="1:139" x14ac:dyDescent="0.3">
      <c r="BJ56" s="33"/>
      <c r="BL56" s="33"/>
      <c r="BM56" s="33"/>
      <c r="BT56" s="33"/>
      <c r="BU56" s="33"/>
      <c r="BV56" s="33"/>
      <c r="BW56" s="33"/>
      <c r="BX56" s="33"/>
      <c r="BY56" s="33"/>
      <c r="BZ56" s="33"/>
      <c r="CA56" s="33"/>
      <c r="CB56" s="33"/>
      <c r="CV56" s="36"/>
      <c r="DC56" s="33"/>
      <c r="DG56" s="33"/>
    </row>
    <row r="57" spans="1:139" x14ac:dyDescent="0.3">
      <c r="A57" s="3" t="s">
        <v>347</v>
      </c>
      <c r="B57" s="6" t="s">
        <v>4</v>
      </c>
      <c r="C57" s="6" t="s">
        <v>5</v>
      </c>
      <c r="D57" s="6" t="s">
        <v>6</v>
      </c>
      <c r="E57" s="6" t="s">
        <v>7</v>
      </c>
      <c r="F57" s="6">
        <v>2018</v>
      </c>
      <c r="G57" s="6" t="s">
        <v>8</v>
      </c>
      <c r="H57" s="6" t="s">
        <v>9</v>
      </c>
      <c r="I57" s="6" t="s">
        <v>10</v>
      </c>
      <c r="J57" s="6" t="s">
        <v>11</v>
      </c>
      <c r="K57" s="6">
        <v>2019</v>
      </c>
      <c r="L57" s="6" t="s">
        <v>12</v>
      </c>
      <c r="M57" s="6" t="s">
        <v>13</v>
      </c>
      <c r="N57" s="6" t="s">
        <v>14</v>
      </c>
      <c r="O57" s="6" t="s">
        <v>15</v>
      </c>
      <c r="P57" s="6">
        <v>2000</v>
      </c>
      <c r="Q57" s="6" t="s">
        <v>16</v>
      </c>
      <c r="R57" s="6" t="s">
        <v>17</v>
      </c>
      <c r="S57" s="6" t="s">
        <v>18</v>
      </c>
      <c r="T57" s="6" t="s">
        <v>19</v>
      </c>
      <c r="U57" s="6">
        <v>2001</v>
      </c>
      <c r="V57" s="6" t="s">
        <v>20</v>
      </c>
      <c r="W57" s="6" t="s">
        <v>21</v>
      </c>
      <c r="X57" s="6" t="s">
        <v>22</v>
      </c>
      <c r="Y57" s="6" t="s">
        <v>23</v>
      </c>
      <c r="Z57" s="6">
        <v>2002</v>
      </c>
      <c r="AA57" s="6" t="s">
        <v>24</v>
      </c>
      <c r="AB57" s="6" t="s">
        <v>25</v>
      </c>
      <c r="AC57" s="6" t="s">
        <v>26</v>
      </c>
      <c r="AD57" s="6" t="s">
        <v>27</v>
      </c>
      <c r="AE57" s="6">
        <v>2003</v>
      </c>
      <c r="AF57" s="6" t="s">
        <v>28</v>
      </c>
      <c r="AG57" s="6" t="s">
        <v>29</v>
      </c>
      <c r="AH57" s="6" t="s">
        <v>30</v>
      </c>
      <c r="AI57" s="6" t="s">
        <v>31</v>
      </c>
      <c r="AJ57" s="6">
        <v>2004</v>
      </c>
      <c r="AK57" s="6" t="s">
        <v>32</v>
      </c>
      <c r="AL57" s="6" t="s">
        <v>33</v>
      </c>
      <c r="AM57" s="6" t="s">
        <v>34</v>
      </c>
      <c r="AN57" s="6" t="s">
        <v>35</v>
      </c>
      <c r="AO57" s="6">
        <v>2005</v>
      </c>
      <c r="AP57" s="6" t="s">
        <v>36</v>
      </c>
      <c r="AQ57" s="6" t="s">
        <v>37</v>
      </c>
      <c r="AR57" s="6" t="s">
        <v>38</v>
      </c>
      <c r="AS57" s="6" t="s">
        <v>39</v>
      </c>
      <c r="AT57" s="6">
        <v>2006</v>
      </c>
      <c r="AU57" s="6" t="s">
        <v>40</v>
      </c>
      <c r="AV57" s="6" t="s">
        <v>41</v>
      </c>
      <c r="AW57" s="6" t="s">
        <v>42</v>
      </c>
      <c r="AX57" s="6" t="s">
        <v>43</v>
      </c>
      <c r="AY57" s="6">
        <v>2007</v>
      </c>
      <c r="AZ57" s="6" t="s">
        <v>44</v>
      </c>
      <c r="BA57" s="6" t="s">
        <v>45</v>
      </c>
      <c r="BB57" s="6" t="s">
        <v>46</v>
      </c>
      <c r="BC57" s="6" t="s">
        <v>47</v>
      </c>
      <c r="BD57" s="6">
        <v>2008</v>
      </c>
      <c r="BE57" s="6" t="s">
        <v>48</v>
      </c>
      <c r="BF57" s="6" t="s">
        <v>49</v>
      </c>
      <c r="BG57" s="6" t="s">
        <v>50</v>
      </c>
      <c r="BH57" s="6" t="s">
        <v>51</v>
      </c>
      <c r="BI57" s="6">
        <v>2009</v>
      </c>
      <c r="BJ57" s="6" t="s">
        <v>52</v>
      </c>
      <c r="BK57" s="6" t="s">
        <v>53</v>
      </c>
      <c r="BL57" s="6" t="s">
        <v>54</v>
      </c>
      <c r="BM57" s="6" t="s">
        <v>55</v>
      </c>
      <c r="BN57" s="6">
        <v>2010</v>
      </c>
      <c r="BO57" s="6" t="s">
        <v>56</v>
      </c>
      <c r="BP57" s="6" t="s">
        <v>57</v>
      </c>
      <c r="BQ57" s="6" t="s">
        <v>58</v>
      </c>
      <c r="BR57" s="6" t="s">
        <v>59</v>
      </c>
      <c r="BS57" s="6">
        <v>2011</v>
      </c>
      <c r="BT57" s="6" t="s">
        <v>60</v>
      </c>
      <c r="BU57" s="6" t="s">
        <v>61</v>
      </c>
      <c r="BV57" s="6" t="s">
        <v>62</v>
      </c>
      <c r="BW57" s="6" t="s">
        <v>63</v>
      </c>
      <c r="BX57" s="6">
        <v>2012</v>
      </c>
      <c r="BY57" s="6" t="s">
        <v>64</v>
      </c>
      <c r="BZ57" s="6" t="s">
        <v>65</v>
      </c>
      <c r="CA57" s="6" t="s">
        <v>66</v>
      </c>
      <c r="CB57" s="6" t="s">
        <v>67</v>
      </c>
      <c r="CC57" s="6">
        <v>2013</v>
      </c>
      <c r="CD57" s="6" t="s">
        <v>68</v>
      </c>
      <c r="CE57" s="6" t="s">
        <v>69</v>
      </c>
      <c r="CF57" s="6" t="s">
        <v>70</v>
      </c>
      <c r="CG57" s="6" t="s">
        <v>71</v>
      </c>
      <c r="CH57" s="6">
        <v>2014</v>
      </c>
      <c r="CI57" s="6" t="s">
        <v>72</v>
      </c>
      <c r="CJ57" s="6" t="s">
        <v>73</v>
      </c>
      <c r="CK57" s="6" t="s">
        <v>74</v>
      </c>
      <c r="CL57" s="6" t="s">
        <v>75</v>
      </c>
      <c r="CM57" s="6">
        <v>2015</v>
      </c>
      <c r="CN57" s="6" t="s">
        <v>76</v>
      </c>
      <c r="CO57" s="6" t="s">
        <v>77</v>
      </c>
      <c r="CP57" s="6" t="s">
        <v>78</v>
      </c>
      <c r="CQ57" s="6" t="s">
        <v>79</v>
      </c>
      <c r="CR57" s="6">
        <v>2016</v>
      </c>
      <c r="CS57" s="6" t="s">
        <v>80</v>
      </c>
      <c r="CT57" s="6" t="s">
        <v>81</v>
      </c>
      <c r="CU57" s="6" t="s">
        <v>82</v>
      </c>
      <c r="CV57" s="6" t="s">
        <v>83</v>
      </c>
      <c r="CW57" s="6">
        <v>2017</v>
      </c>
      <c r="CX57" s="6" t="s">
        <v>84</v>
      </c>
      <c r="CY57" s="6" t="s">
        <v>85</v>
      </c>
      <c r="CZ57" s="6" t="s">
        <v>86</v>
      </c>
      <c r="DA57" s="6" t="s">
        <v>87</v>
      </c>
      <c r="DB57" s="6">
        <v>2018</v>
      </c>
      <c r="DC57" s="6" t="s">
        <v>88</v>
      </c>
      <c r="DD57" s="6" t="s">
        <v>89</v>
      </c>
      <c r="DE57" s="6" t="s">
        <v>90</v>
      </c>
      <c r="DF57" s="6" t="s">
        <v>91</v>
      </c>
      <c r="DG57" s="6">
        <v>2019</v>
      </c>
      <c r="DH57" s="6" t="s">
        <v>92</v>
      </c>
      <c r="DI57" s="6" t="s">
        <v>93</v>
      </c>
      <c r="DJ57" s="6" t="s">
        <v>94</v>
      </c>
      <c r="DK57" s="6" t="s">
        <v>95</v>
      </c>
      <c r="DL57" s="6">
        <v>2020</v>
      </c>
      <c r="DM57" s="6" t="s">
        <v>96</v>
      </c>
      <c r="DN57" s="6" t="s">
        <v>97</v>
      </c>
      <c r="DO57" s="6" t="s">
        <v>98</v>
      </c>
      <c r="DP57" s="6" t="s">
        <v>99</v>
      </c>
      <c r="DQ57" s="6">
        <v>2021</v>
      </c>
      <c r="DR57" s="6" t="s">
        <v>100</v>
      </c>
      <c r="DS57" s="6" t="s">
        <v>101</v>
      </c>
      <c r="DT57" s="6" t="s">
        <v>200</v>
      </c>
      <c r="DU57" s="6" t="s">
        <v>380</v>
      </c>
      <c r="DV57" s="6">
        <v>2022</v>
      </c>
      <c r="DW57" s="6" t="s">
        <v>379</v>
      </c>
      <c r="DX57" s="6" t="s">
        <v>402</v>
      </c>
      <c r="DY57" s="6" t="s">
        <v>414</v>
      </c>
      <c r="DZ57" s="6" t="s">
        <v>419</v>
      </c>
      <c r="EA57" s="6">
        <v>2023</v>
      </c>
      <c r="EB57" s="6" t="s">
        <v>424</v>
      </c>
      <c r="EC57" s="6" t="s">
        <v>429</v>
      </c>
      <c r="ED57" s="6" t="str">
        <f>$ED$1</f>
        <v>3T24</v>
      </c>
      <c r="EE57" s="6" t="str">
        <f>$EE$1</f>
        <v>4T24</v>
      </c>
      <c r="EF57" s="6">
        <f>$EF$1</f>
        <v>2024</v>
      </c>
      <c r="EG57" s="6" t="str">
        <f>EG$1</f>
        <v>1T25</v>
      </c>
      <c r="EH57" s="6" t="str">
        <f>EH$1</f>
        <v>2T25</v>
      </c>
      <c r="EI57" s="6" t="str">
        <f>EI$1</f>
        <v>3T25</v>
      </c>
    </row>
    <row r="58" spans="1:139" ht="15" thickBot="1" x14ac:dyDescent="0.35">
      <c r="A58" s="4" t="s">
        <v>348</v>
      </c>
      <c r="B58" s="7" t="s">
        <v>102</v>
      </c>
      <c r="C58" s="7" t="s">
        <v>103</v>
      </c>
      <c r="D58" s="7" t="s">
        <v>104</v>
      </c>
      <c r="E58" s="7" t="s">
        <v>105</v>
      </c>
      <c r="F58" s="7">
        <v>2018</v>
      </c>
      <c r="G58" s="7" t="s">
        <v>106</v>
      </c>
      <c r="H58" s="7" t="s">
        <v>107</v>
      </c>
      <c r="I58" s="7" t="s">
        <v>108</v>
      </c>
      <c r="J58" s="7" t="s">
        <v>109</v>
      </c>
      <c r="K58" s="7">
        <v>2019</v>
      </c>
      <c r="L58" s="7" t="s">
        <v>110</v>
      </c>
      <c r="M58" s="7" t="s">
        <v>111</v>
      </c>
      <c r="N58" s="7" t="s">
        <v>112</v>
      </c>
      <c r="O58" s="7" t="s">
        <v>113</v>
      </c>
      <c r="P58" s="7">
        <v>2000</v>
      </c>
      <c r="Q58" s="7" t="s">
        <v>114</v>
      </c>
      <c r="R58" s="7" t="s">
        <v>115</v>
      </c>
      <c r="S58" s="7" t="s">
        <v>116</v>
      </c>
      <c r="T58" s="7" t="s">
        <v>117</v>
      </c>
      <c r="U58" s="7">
        <v>2001</v>
      </c>
      <c r="V58" s="7" t="s">
        <v>118</v>
      </c>
      <c r="W58" s="7" t="s">
        <v>119</v>
      </c>
      <c r="X58" s="7" t="s">
        <v>120</v>
      </c>
      <c r="Y58" s="7" t="s">
        <v>121</v>
      </c>
      <c r="Z58" s="7">
        <v>2002</v>
      </c>
      <c r="AA58" s="7" t="s">
        <v>122</v>
      </c>
      <c r="AB58" s="7" t="s">
        <v>123</v>
      </c>
      <c r="AC58" s="7" t="s">
        <v>124</v>
      </c>
      <c r="AD58" s="7" t="s">
        <v>125</v>
      </c>
      <c r="AE58" s="7">
        <v>2003</v>
      </c>
      <c r="AF58" s="7" t="s">
        <v>126</v>
      </c>
      <c r="AG58" s="7" t="s">
        <v>127</v>
      </c>
      <c r="AH58" s="7" t="s">
        <v>128</v>
      </c>
      <c r="AI58" s="7" t="s">
        <v>129</v>
      </c>
      <c r="AJ58" s="7">
        <v>2004</v>
      </c>
      <c r="AK58" s="7" t="s">
        <v>130</v>
      </c>
      <c r="AL58" s="7" t="s">
        <v>131</v>
      </c>
      <c r="AM58" s="7" t="s">
        <v>132</v>
      </c>
      <c r="AN58" s="7" t="s">
        <v>133</v>
      </c>
      <c r="AO58" s="7">
        <v>2005</v>
      </c>
      <c r="AP58" s="7" t="s">
        <v>134</v>
      </c>
      <c r="AQ58" s="7" t="s">
        <v>135</v>
      </c>
      <c r="AR58" s="7" t="s">
        <v>136</v>
      </c>
      <c r="AS58" s="7" t="s">
        <v>137</v>
      </c>
      <c r="AT58" s="7">
        <v>2006</v>
      </c>
      <c r="AU58" s="7" t="s">
        <v>138</v>
      </c>
      <c r="AV58" s="7" t="s">
        <v>139</v>
      </c>
      <c r="AW58" s="7" t="s">
        <v>140</v>
      </c>
      <c r="AX58" s="7" t="s">
        <v>141</v>
      </c>
      <c r="AY58" s="7">
        <v>2007</v>
      </c>
      <c r="AZ58" s="7" t="s">
        <v>142</v>
      </c>
      <c r="BA58" s="7" t="s">
        <v>143</v>
      </c>
      <c r="BB58" s="7" t="s">
        <v>144</v>
      </c>
      <c r="BC58" s="7" t="s">
        <v>145</v>
      </c>
      <c r="BD58" s="7">
        <v>2008</v>
      </c>
      <c r="BE58" s="7" t="s">
        <v>146</v>
      </c>
      <c r="BF58" s="7" t="s">
        <v>147</v>
      </c>
      <c r="BG58" s="7" t="s">
        <v>148</v>
      </c>
      <c r="BH58" s="7" t="s">
        <v>149</v>
      </c>
      <c r="BI58" s="7">
        <v>2009</v>
      </c>
      <c r="BJ58" s="7" t="s">
        <v>150</v>
      </c>
      <c r="BK58" s="7" t="s">
        <v>151</v>
      </c>
      <c r="BL58" s="7" t="s">
        <v>152</v>
      </c>
      <c r="BM58" s="7" t="s">
        <v>153</v>
      </c>
      <c r="BN58" s="7">
        <v>2010</v>
      </c>
      <c r="BO58" s="7" t="s">
        <v>154</v>
      </c>
      <c r="BP58" s="7" t="s">
        <v>155</v>
      </c>
      <c r="BQ58" s="7" t="s">
        <v>156</v>
      </c>
      <c r="BR58" s="7" t="s">
        <v>157</v>
      </c>
      <c r="BS58" s="7">
        <v>2011</v>
      </c>
      <c r="BT58" s="7" t="s">
        <v>158</v>
      </c>
      <c r="BU58" s="7" t="s">
        <v>159</v>
      </c>
      <c r="BV58" s="7" t="s">
        <v>160</v>
      </c>
      <c r="BW58" s="7" t="s">
        <v>161</v>
      </c>
      <c r="BX58" s="7">
        <v>2012</v>
      </c>
      <c r="BY58" s="7" t="s">
        <v>162</v>
      </c>
      <c r="BZ58" s="7" t="s">
        <v>163</v>
      </c>
      <c r="CA58" s="7" t="s">
        <v>164</v>
      </c>
      <c r="CB58" s="7" t="s">
        <v>165</v>
      </c>
      <c r="CC58" s="7">
        <v>2013</v>
      </c>
      <c r="CD58" s="7" t="s">
        <v>166</v>
      </c>
      <c r="CE58" s="7" t="s">
        <v>167</v>
      </c>
      <c r="CF58" s="7" t="s">
        <v>168</v>
      </c>
      <c r="CG58" s="7" t="s">
        <v>169</v>
      </c>
      <c r="CH58" s="7">
        <v>2014</v>
      </c>
      <c r="CI58" s="7" t="s">
        <v>170</v>
      </c>
      <c r="CJ58" s="7" t="s">
        <v>171</v>
      </c>
      <c r="CK58" s="7" t="s">
        <v>172</v>
      </c>
      <c r="CL58" s="7" t="s">
        <v>173</v>
      </c>
      <c r="CM58" s="7">
        <v>2015</v>
      </c>
      <c r="CN58" s="7" t="s">
        <v>174</v>
      </c>
      <c r="CO58" s="7" t="s">
        <v>175</v>
      </c>
      <c r="CP58" s="7" t="s">
        <v>176</v>
      </c>
      <c r="CQ58" s="7" t="s">
        <v>177</v>
      </c>
      <c r="CR58" s="7">
        <v>2016</v>
      </c>
      <c r="CS58" s="7" t="s">
        <v>178</v>
      </c>
      <c r="CT58" s="7" t="s">
        <v>179</v>
      </c>
      <c r="CU58" s="7" t="s">
        <v>180</v>
      </c>
      <c r="CV58" s="7" t="s">
        <v>181</v>
      </c>
      <c r="CW58" s="7">
        <v>2017</v>
      </c>
      <c r="CX58" s="7" t="s">
        <v>182</v>
      </c>
      <c r="CY58" s="7" t="s">
        <v>183</v>
      </c>
      <c r="CZ58" s="7" t="s">
        <v>184</v>
      </c>
      <c r="DA58" s="7" t="s">
        <v>185</v>
      </c>
      <c r="DB58" s="7">
        <v>2018</v>
      </c>
      <c r="DC58" s="7" t="s">
        <v>186</v>
      </c>
      <c r="DD58" s="7" t="s">
        <v>187</v>
      </c>
      <c r="DE58" s="7" t="s">
        <v>188</v>
      </c>
      <c r="DF58" s="7" t="s">
        <v>189</v>
      </c>
      <c r="DG58" s="7">
        <v>2019</v>
      </c>
      <c r="DH58" s="7" t="s">
        <v>190</v>
      </c>
      <c r="DI58" s="7" t="s">
        <v>191</v>
      </c>
      <c r="DJ58" s="7" t="s">
        <v>192</v>
      </c>
      <c r="DK58" s="7" t="s">
        <v>193</v>
      </c>
      <c r="DL58" s="7">
        <v>2020</v>
      </c>
      <c r="DM58" s="7" t="s">
        <v>194</v>
      </c>
      <c r="DN58" s="7" t="s">
        <v>195</v>
      </c>
      <c r="DO58" s="7" t="s">
        <v>196</v>
      </c>
      <c r="DP58" s="7" t="s">
        <v>197</v>
      </c>
      <c r="DQ58" s="7">
        <v>2021</v>
      </c>
      <c r="DR58" s="7" t="s">
        <v>198</v>
      </c>
      <c r="DS58" s="7" t="s">
        <v>199</v>
      </c>
      <c r="DT58" s="7" t="s">
        <v>201</v>
      </c>
      <c r="DU58" s="7" t="s">
        <v>381</v>
      </c>
      <c r="DV58" s="7">
        <v>2022</v>
      </c>
      <c r="DW58" s="7" t="s">
        <v>382</v>
      </c>
      <c r="DX58" s="7" t="s">
        <v>403</v>
      </c>
      <c r="DY58" s="7" t="s">
        <v>415</v>
      </c>
      <c r="DZ58" s="7" t="s">
        <v>420</v>
      </c>
      <c r="EA58" s="7">
        <v>2023</v>
      </c>
      <c r="EB58" s="7" t="s">
        <v>425</v>
      </c>
      <c r="EC58" s="7" t="s">
        <v>430</v>
      </c>
      <c r="ED58" s="7" t="str">
        <f>$ED$2</f>
        <v>3Q24</v>
      </c>
      <c r="EE58" s="7" t="str">
        <f>$EE$2</f>
        <v>4Q24</v>
      </c>
      <c r="EF58" s="7">
        <f>$EF$2</f>
        <v>2024</v>
      </c>
      <c r="EG58" s="7" t="str">
        <f>EG$2</f>
        <v>1Q25</v>
      </c>
      <c r="EH58" s="7" t="str">
        <f>EH$2</f>
        <v>2Q25</v>
      </c>
      <c r="EI58" s="7" t="str">
        <f>EI$2</f>
        <v>3Q25</v>
      </c>
    </row>
    <row r="59" spans="1:139" ht="15" thickTop="1" x14ac:dyDescent="0.3">
      <c r="A59" s="1" t="s">
        <v>2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52">
        <f>BJ31/Revenues!BJ122</f>
        <v>0.42168188370975485</v>
      </c>
      <c r="BK59" s="52">
        <f>BK31/Revenues!BK122</f>
        <v>0.54951782039601083</v>
      </c>
      <c r="BL59" s="52">
        <f>BL31/Revenues!BL122</f>
        <v>0.52509163977868334</v>
      </c>
      <c r="BM59" s="52">
        <f>BM31/Revenues!BM122</f>
        <v>0.47962857142857163</v>
      </c>
      <c r="BN59" s="52">
        <f>BN31/Revenues!BN122</f>
        <v>0.48608998732572883</v>
      </c>
      <c r="BO59" s="52">
        <f>BO31/Revenues!BO122</f>
        <v>0.55950071216203734</v>
      </c>
      <c r="BP59" s="52">
        <f>BP31/Revenues!BP122</f>
        <v>0.58770539011077827</v>
      </c>
      <c r="BQ59" s="52">
        <f>BQ31/Revenues!BQ122</f>
        <v>0.50333631243279764</v>
      </c>
      <c r="BR59" s="52">
        <f>BR31/Revenues!BR122</f>
        <v>0.47316560049739748</v>
      </c>
      <c r="BS59" s="52">
        <f>BS31/Revenues!BS122</f>
        <v>0.52969097664049591</v>
      </c>
      <c r="BT59" s="52">
        <f>BT31/Revenues!BT122</f>
        <v>0.65184158415841587</v>
      </c>
      <c r="BU59" s="52">
        <f>BU31/Revenues!BU122</f>
        <v>0.52548784908519786</v>
      </c>
      <c r="BV59" s="52">
        <f>BV31/Revenues!BV122</f>
        <v>0.53982776136512867</v>
      </c>
      <c r="BW59" s="52">
        <f>BW31/Revenues!BW122</f>
        <v>0.48547642208282937</v>
      </c>
      <c r="BX59" s="52">
        <f>BX31/Revenues!BX122</f>
        <v>0.54985882897009364</v>
      </c>
      <c r="BY59" s="52">
        <f>BY31/Revenues!BY122</f>
        <v>0.57592445328031816</v>
      </c>
      <c r="BZ59" s="52">
        <f>BZ31/Revenues!BZ122</f>
        <v>0.44086677367576244</v>
      </c>
      <c r="CA59" s="52">
        <f>CA31/Revenues!CA122</f>
        <v>0.58152014652014672</v>
      </c>
      <c r="CB59" s="52">
        <f>CB31/Revenues!CB122</f>
        <v>0.47232108317214699</v>
      </c>
      <c r="CC59" s="52">
        <f>CC31/Revenues!CC122</f>
        <v>0.51441297396071262</v>
      </c>
      <c r="CD59" s="52">
        <f>CD31/Revenues!CD122</f>
        <v>0.60860937500000001</v>
      </c>
      <c r="CE59" s="52">
        <f>CE31/Revenues!CE122</f>
        <v>0.5088633345099437</v>
      </c>
      <c r="CF59" s="52">
        <f>CF31/Revenues!CF122</f>
        <v>0.49983136593591898</v>
      </c>
      <c r="CG59" s="52">
        <f>CG31/Revenues!CG122</f>
        <v>0.49922955974842803</v>
      </c>
      <c r="CH59" s="52">
        <f>CH31/Revenues!CH122</f>
        <v>0.52990688225741323</v>
      </c>
      <c r="CI59" s="52">
        <f>CI31/Revenues!CI122</f>
        <v>0.54153089887640449</v>
      </c>
      <c r="CJ59" s="52">
        <f>CJ31/Revenues!CJ122</f>
        <v>0.48417827298050137</v>
      </c>
      <c r="CK59" s="52">
        <f>CK31/Revenues!CK122</f>
        <v>0.5399891432260876</v>
      </c>
      <c r="CL59" s="52">
        <f>CL31/Revenues!CL122</f>
        <v>0.6281521513025653</v>
      </c>
      <c r="CM59" s="52">
        <f>CM31/Revenues!CM122</f>
        <v>0.54452517643429343</v>
      </c>
      <c r="CN59" s="52">
        <f>CN31/Revenues!CN122</f>
        <v>0.67224704336399466</v>
      </c>
      <c r="CO59" s="52">
        <f>CO31/Revenues!CO122</f>
        <v>0.69774410774410778</v>
      </c>
      <c r="CP59" s="52">
        <f>CP31/Revenues!CP122</f>
        <v>0.6759857904085258</v>
      </c>
      <c r="CQ59" s="52">
        <f>CQ31/Revenues!CQ122</f>
        <v>0.71338078291814899</v>
      </c>
      <c r="CR59" s="52">
        <f>CR31/Revenues!CR122</f>
        <v>0.68852419354838701</v>
      </c>
      <c r="CS59" s="52">
        <f>CS31/Revenues!CS122</f>
        <v>0.75063379947073494</v>
      </c>
      <c r="CT59" s="52">
        <f>CT31/Revenues!CT122</f>
        <v>0.6925909594913342</v>
      </c>
      <c r="CU59" s="52">
        <f>CU31/Revenues!CU122</f>
        <v>0.70517096016688252</v>
      </c>
      <c r="CV59" s="52">
        <f>CV31/Revenues!CV122</f>
        <v>0.61195887486809752</v>
      </c>
      <c r="CW59" s="52">
        <f>CW31/Revenues!CW122</f>
        <v>0.69206809875804487</v>
      </c>
      <c r="CX59" s="52">
        <f>CX31/Revenues!CX122</f>
        <v>0.72851196023609821</v>
      </c>
      <c r="CY59" s="52">
        <f>CY31/Revenues!CY122</f>
        <v>0.63160378076437185</v>
      </c>
      <c r="CZ59" s="52">
        <f>CZ31/Revenues!CZ122</f>
        <v>0.6405182130780317</v>
      </c>
      <c r="DA59" s="52">
        <f>DA31/Revenues!DA122</f>
        <v>0.30000142586229023</v>
      </c>
      <c r="DB59" s="52">
        <f>DB31/Revenues!DB122</f>
        <v>0.57981256721462582</v>
      </c>
      <c r="DC59" s="52">
        <f>DC31/Revenues!DC122</f>
        <v>0.73472344100399756</v>
      </c>
      <c r="DD59" s="52">
        <f>DD31/Revenues!DD122</f>
        <v>0.6937452503916004</v>
      </c>
      <c r="DE59" s="52">
        <f>DE31/Revenues!DE122</f>
        <v>-1.2602803197034638</v>
      </c>
      <c r="DF59" s="52">
        <f>DF31/Revenues!DF122</f>
        <v>0.4525983146067416</v>
      </c>
      <c r="DG59" s="52">
        <f>DG31/Revenues!DG122</f>
        <v>0.15732468573719319</v>
      </c>
      <c r="DH59" s="52">
        <f>DH31/Revenues!DH122</f>
        <v>0.76855839139212723</v>
      </c>
      <c r="DI59" s="52">
        <f>DI31/Revenues!DI122</f>
        <v>0.73971480085231922</v>
      </c>
      <c r="DJ59" s="52">
        <f>DJ31/Revenues!DJ122</f>
        <v>0.71957131252784101</v>
      </c>
      <c r="DK59" s="52">
        <f>DK31/Revenues!DK122</f>
        <v>0.48432523492406093</v>
      </c>
      <c r="DL59" s="52">
        <f>DL31/Revenues!DL122</f>
        <v>0.680362714445919</v>
      </c>
      <c r="DM59" s="52">
        <f>DM31/Revenues!DM122</f>
        <v>0.74428227220547238</v>
      </c>
      <c r="DN59" s="52">
        <f>DN31/Revenues!DN122</f>
        <v>0.72130105284573531</v>
      </c>
      <c r="DO59" s="52">
        <f>DO31/Revenues!DO122</f>
        <v>0.6956589314108772</v>
      </c>
      <c r="DP59" s="52">
        <f>DP31/Revenues!DP122</f>
        <v>0.7051457414221588</v>
      </c>
      <c r="DQ59" s="52">
        <f>DQ31/Revenues!DQ122</f>
        <v>0.71734278363689041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</row>
    <row r="60" spans="1:139" ht="15" thickBot="1" x14ac:dyDescent="0.35">
      <c r="A60" s="2" t="s">
        <v>454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53">
        <f>BJ32/Revenues!BJ123</f>
        <v>0.47672404260808665</v>
      </c>
      <c r="BK60" s="53">
        <f>BK32/Revenues!BK123</f>
        <v>0.58249516539489266</v>
      </c>
      <c r="BL60" s="53">
        <f>BL32/Revenues!BL123</f>
        <v>0.50431586304098386</v>
      </c>
      <c r="BM60" s="53">
        <f>BM32/Revenues!BM123</f>
        <v>0.53996644295301999</v>
      </c>
      <c r="BN60" s="53">
        <f>BN32/Revenues!BN123</f>
        <v>0.52848645076007927</v>
      </c>
      <c r="BO60" s="53">
        <f>BO32/Revenues!BO123</f>
        <v>0.55001726464731504</v>
      </c>
      <c r="BP60" s="53">
        <f>BP32/Revenues!BP123</f>
        <v>0.45790705066417992</v>
      </c>
      <c r="BQ60" s="53">
        <f>BQ32/Revenues!BQ123</f>
        <v>0.48879421060216366</v>
      </c>
      <c r="BR60" s="53">
        <f>BR32/Revenues!BR123</f>
        <v>0.55724811391854434</v>
      </c>
      <c r="BS60" s="53">
        <f>BS32/Revenues!BS123</f>
        <v>0.5095221028403103</v>
      </c>
      <c r="BT60" s="53">
        <f>BT32/Revenues!BT123</f>
        <v>0.52947802197802185</v>
      </c>
      <c r="BU60" s="53">
        <f>BU32/Revenues!BU123</f>
        <v>0.568276132838612</v>
      </c>
      <c r="BV60" s="53">
        <f>BV32/Revenues!BV123</f>
        <v>0.55983546887023006</v>
      </c>
      <c r="BW60" s="53">
        <f>BW32/Revenues!BW123</f>
        <v>0.64957252006930588</v>
      </c>
      <c r="BX60" s="53">
        <f>BX32/Revenues!BX123</f>
        <v>0.57809514157838882</v>
      </c>
      <c r="BY60" s="53">
        <f>BY32/Revenues!BY123</f>
        <v>0.62451219512195111</v>
      </c>
      <c r="BZ60" s="53">
        <f>BZ32/Revenues!BZ123</f>
        <v>0.58632090761750411</v>
      </c>
      <c r="CA60" s="53">
        <f>CA32/Revenues!CA123</f>
        <v>0.5695487364620937</v>
      </c>
      <c r="CB60" s="53">
        <f>CB32/Revenues!CB123</f>
        <v>0.46436538461538457</v>
      </c>
      <c r="CC60" s="53">
        <f>CC32/Revenues!CC123</f>
        <v>0.55916706330318888</v>
      </c>
      <c r="CD60" s="53">
        <f>CD32/Revenues!CD123</f>
        <v>0.55878151260504194</v>
      </c>
      <c r="CE60" s="53">
        <f>CE32/Revenues!CE123</f>
        <v>0.59855670716155629</v>
      </c>
      <c r="CF60" s="53">
        <f>CF32/Revenues!CF123</f>
        <v>0.50752747252747243</v>
      </c>
      <c r="CG60" s="53">
        <f>CG32/Revenues!CG123</f>
        <v>0.4757057654075546</v>
      </c>
      <c r="CH60" s="53">
        <f>CH32/Revenues!CH123</f>
        <v>0.53606234773307704</v>
      </c>
      <c r="CI60" s="53">
        <f>CI32/Revenues!CI123</f>
        <v>0.61</v>
      </c>
      <c r="CJ60" s="53">
        <f>CJ32/Revenues!CJ123</f>
        <v>0.61076400679117149</v>
      </c>
      <c r="CK60" s="53">
        <f>CK32/Revenues!CK123</f>
        <v>0.53043074252110745</v>
      </c>
      <c r="CL60" s="53">
        <f>CL32/Revenues!CL123</f>
        <v>0.42402626354007139</v>
      </c>
      <c r="CM60" s="53">
        <f>CM32/Revenues!CM123</f>
        <v>0.54696867686002359</v>
      </c>
      <c r="CN60" s="53">
        <f>CN32/Revenues!CN123</f>
        <v>0.54801161103047902</v>
      </c>
      <c r="CO60" s="53">
        <f>CO32/Revenues!CO123</f>
        <v>0.60817116060961307</v>
      </c>
      <c r="CP60" s="53">
        <f>CP32/Revenues!CP123</f>
        <v>0.51393173198482922</v>
      </c>
      <c r="CQ60" s="53">
        <f>CQ32/Revenues!CQ123</f>
        <v>0.54723270440251592</v>
      </c>
      <c r="CR60" s="53">
        <f>CR32/Revenues!CR123</f>
        <v>0.5560491748063322</v>
      </c>
      <c r="CS60" s="53">
        <f>CS32/Revenues!CS123</f>
        <v>0.63175080533143257</v>
      </c>
      <c r="CT60" s="53">
        <f>CT32/Revenues!CT123</f>
        <v>0.59015434313172555</v>
      </c>
      <c r="CU60" s="53">
        <f>CU32/Revenues!CU123</f>
        <v>0.55724824489557712</v>
      </c>
      <c r="CV60" s="53">
        <f>CV32/Revenues!CV123</f>
        <v>0.39827235173830283</v>
      </c>
      <c r="CW60" s="53">
        <f>CW32/Revenues!CW123</f>
        <v>0.54188700335137741</v>
      </c>
      <c r="CX60" s="53">
        <f>CX32/Revenues!CX123</f>
        <v>0.57770079451745304</v>
      </c>
      <c r="CY60" s="53">
        <f>CY32/Revenues!CY123</f>
        <v>0.53736332099663642</v>
      </c>
      <c r="CZ60" s="53">
        <f>CZ32/Revenues!CZ123</f>
        <v>0.60460805655538075</v>
      </c>
      <c r="DA60" s="53">
        <f>DA32/Revenues!DA123</f>
        <v>0.55400829263386131</v>
      </c>
      <c r="DB60" s="53">
        <f>DB32/Revenues!DB123</f>
        <v>0.56803473279126415</v>
      </c>
      <c r="DC60" s="53">
        <f>DC32/Revenues!DC123</f>
        <v>0.58646643792586872</v>
      </c>
      <c r="DD60" s="53">
        <f>DD32/Revenues!DD123</f>
        <v>0.61882130244959854</v>
      </c>
      <c r="DE60" s="53">
        <f>DE32/Revenues!DE123</f>
        <v>0.63627096076228518</v>
      </c>
      <c r="DF60" s="53">
        <f>DF32/Revenues!DF123</f>
        <v>0.59662703898258229</v>
      </c>
      <c r="DG60" s="53">
        <f>DG32/Revenues!DG123</f>
        <v>0.61023779135981571</v>
      </c>
      <c r="DH60" s="53">
        <f>DH32/Revenues!DH123</f>
        <v>0.60270001351235158</v>
      </c>
      <c r="DI60" s="53">
        <f>DI32/Revenues!DI123</f>
        <v>0.63087610097434965</v>
      </c>
      <c r="DJ60" s="53">
        <f>DJ32/Revenues!DJ123</f>
        <v>0.58470520892959366</v>
      </c>
      <c r="DK60" s="53">
        <f>DK32/Revenues!DK123</f>
        <v>0.48348354555978174</v>
      </c>
      <c r="DL60" s="53">
        <f>DL32/Revenues!DL123</f>
        <v>0.57429136054926599</v>
      </c>
      <c r="DM60" s="53">
        <f>DM32/Revenues!DM123</f>
        <v>0.43804511722792183</v>
      </c>
      <c r="DN60" s="53">
        <f>DN32/Revenues!DN123</f>
        <v>0.52058368543787958</v>
      </c>
      <c r="DO60" s="53">
        <f>DO32/Revenues!DO123</f>
        <v>0.50858697907522388</v>
      </c>
      <c r="DP60" s="53">
        <f>DP32/Revenues!DP123</f>
        <v>0.48166670941157358</v>
      </c>
      <c r="DQ60" s="53">
        <f>DQ32/Revenues!DQ123</f>
        <v>0.49011887747239169</v>
      </c>
      <c r="DR60" s="53">
        <f>DR32/Revenues!DR123</f>
        <v>0.59220359995789518</v>
      </c>
      <c r="DS60" s="53">
        <f>DS32/Revenues!DS123</f>
        <v>0.56764644824091148</v>
      </c>
      <c r="DT60" s="53">
        <f>DT32/Revenues!DT123</f>
        <v>0.59141176737743262</v>
      </c>
      <c r="DU60" s="53">
        <f>DU32/Revenues!DU123</f>
        <v>0.83082211237997849</v>
      </c>
      <c r="DV60" s="53">
        <f>DV32/Revenues!DV123</f>
        <v>0.68472028442038213</v>
      </c>
      <c r="DW60" s="53">
        <f>DW32/Revenues!DW123</f>
        <v>0.73150002933509894</v>
      </c>
      <c r="DX60" s="53">
        <f>DX32/Revenues!DX123</f>
        <v>0.70694705513784473</v>
      </c>
      <c r="DY60" s="53">
        <f>DY32/Revenues!DY123</f>
        <v>0.74757765395622355</v>
      </c>
      <c r="DZ60" s="53">
        <f>DZ32/Revenues!DZ123</f>
        <v>0.74080612127415402</v>
      </c>
      <c r="EA60" s="53">
        <f>EA32/Revenues!EA123</f>
        <v>0.73214970455061623</v>
      </c>
      <c r="EB60" s="53">
        <f>EB32/Revenues!EB123</f>
        <v>0.72951350519979963</v>
      </c>
      <c r="EC60" s="53">
        <f>EC32/Revenues!EC123</f>
        <v>0.7543490146863171</v>
      </c>
      <c r="ED60" s="53">
        <f>ED32/Revenues!ED123</f>
        <v>0.77045569620253163</v>
      </c>
      <c r="EE60" s="53">
        <f>EE32/Revenues!EE123</f>
        <v>0.76337319525968039</v>
      </c>
      <c r="EF60" s="53">
        <f>EF32/Revenues!EF123</f>
        <v>0.75554004945740627</v>
      </c>
      <c r="EG60" s="53">
        <f>EG32/Revenues!EG123</f>
        <v>0.76652000969764889</v>
      </c>
      <c r="EH60" s="53">
        <f>EH32/Revenues!EH123</f>
        <v>0.75321043445743008</v>
      </c>
      <c r="EI60" s="53">
        <f>EI32/Revenues!EI123</f>
        <v>0.77383876386603467</v>
      </c>
    </row>
    <row r="61" spans="1:139" ht="15" thickTop="1" x14ac:dyDescent="0.3">
      <c r="A61" s="1" t="s">
        <v>442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52">
        <f>BJ33/Revenues!BJ124</f>
        <v>0.71556682735270805</v>
      </c>
      <c r="BK61" s="52">
        <f>BK33/Revenues!BK124</f>
        <v>0.67363433309643206</v>
      </c>
      <c r="BL61" s="52">
        <f>BL33/Revenues!BL124</f>
        <v>0.66470422529571727</v>
      </c>
      <c r="BM61" s="52">
        <f>BM33/Revenues!BM124</f>
        <v>0.65077634961439579</v>
      </c>
      <c r="BN61" s="52">
        <f>BN33/Revenues!BN124</f>
        <v>0.67454902531277283</v>
      </c>
      <c r="BO61" s="52">
        <f>BO33/Revenues!BO124</f>
        <v>0.66540221319823811</v>
      </c>
      <c r="BP61" s="52">
        <f>BP33/Revenues!BP124</f>
        <v>0.59608597536262442</v>
      </c>
      <c r="BQ61" s="52">
        <f>BQ33/Revenues!BQ124</f>
        <v>0.61193878161742465</v>
      </c>
      <c r="BR61" s="52">
        <f>BR33/Revenues!BR124</f>
        <v>0.62829170712438465</v>
      </c>
      <c r="BS61" s="52">
        <f>BS33/Revenues!BS124</f>
        <v>0.62536520415326113</v>
      </c>
      <c r="BT61" s="52">
        <f>BT33/Revenues!BT124</f>
        <v>0.68665462054723803</v>
      </c>
      <c r="BU61" s="52">
        <f>BU33/Revenues!BU124</f>
        <v>0.63593187268858309</v>
      </c>
      <c r="BV61" s="52">
        <f>BV33/Revenues!BV124</f>
        <v>0.60955396634632175</v>
      </c>
      <c r="BW61" s="52">
        <f>BW33/Revenues!BW124</f>
        <v>0.55591717844697541</v>
      </c>
      <c r="BX61" s="52">
        <f>BX33/Revenues!BX124</f>
        <v>0.61686395784437342</v>
      </c>
      <c r="BY61" s="52">
        <f>BY33/Revenues!BY124</f>
        <v>0.65941506785212911</v>
      </c>
      <c r="BZ61" s="52">
        <f>BZ33/Revenues!BZ124</f>
        <v>0.55706373626373618</v>
      </c>
      <c r="CA61" s="52">
        <f>CA33/Revenues!CA124</f>
        <v>0.6031008049060943</v>
      </c>
      <c r="CB61" s="52">
        <f>CB33/Revenues!CB124</f>
        <v>0.49188551099611927</v>
      </c>
      <c r="CC61" s="52">
        <f>CC33/Revenues!CC124</f>
        <v>0.57064075941857029</v>
      </c>
      <c r="CD61" s="52">
        <f>CD33/Revenues!CD124</f>
        <v>0.61059473884864657</v>
      </c>
      <c r="CE61" s="52">
        <f>CE33/Revenues!CE124</f>
        <v>0.40384308363672217</v>
      </c>
      <c r="CF61" s="52">
        <f>CF33/Revenues!CF124</f>
        <v>0.54800146681334805</v>
      </c>
      <c r="CG61" s="52">
        <f>CG33/Revenues!CG124</f>
        <v>0.54950883392226146</v>
      </c>
      <c r="CH61" s="52">
        <f>CH33/Revenues!CH124</f>
        <v>0.52331716052195509</v>
      </c>
      <c r="CI61" s="52">
        <f>CI33/Revenues!CI124</f>
        <v>0.67657130472475069</v>
      </c>
      <c r="CJ61" s="52">
        <f>CJ33/Revenues!CJ124</f>
        <v>0.64637305699481873</v>
      </c>
      <c r="CK61" s="52">
        <f>CK33/Revenues!CK124</f>
        <v>0.6712896128836785</v>
      </c>
      <c r="CL61" s="52">
        <f>CL33/Revenues!CL124</f>
        <v>0.67934796055740065</v>
      </c>
      <c r="CM61" s="52">
        <f>CM33/Revenues!CM124</f>
        <v>0.66915188777597512</v>
      </c>
      <c r="CN61" s="52">
        <f>CN33/Revenues!CN124</f>
        <v>0.73447564721369019</v>
      </c>
      <c r="CO61" s="52">
        <f>CO33/Revenues!CO124</f>
        <v>0.6333428030303031</v>
      </c>
      <c r="CP61" s="52">
        <f>CP33/Revenues!CP124</f>
        <v>0.64389191453707584</v>
      </c>
      <c r="CQ61" s="52">
        <f>CQ33/Revenues!CQ124</f>
        <v>0.68090566037735856</v>
      </c>
      <c r="CR61" s="52">
        <f>CR33/Revenues!CR124</f>
        <v>0.6738290199406024</v>
      </c>
      <c r="CS61" s="52">
        <f>CS33/Revenues!CS124</f>
        <v>0.76541115035716234</v>
      </c>
      <c r="CT61" s="52">
        <f>CT33/Revenues!CT124</f>
        <v>0.72169056021370748</v>
      </c>
      <c r="CU61" s="52">
        <f>CU33/Revenues!CU124</f>
        <v>0.70278502581508362</v>
      </c>
      <c r="CV61" s="52">
        <f>CV33/Revenues!CV124</f>
        <v>0.71173728075191989</v>
      </c>
      <c r="CW61" s="52">
        <f>CW33/Revenues!CW124</f>
        <v>0.72486621302223242</v>
      </c>
      <c r="CX61" s="52">
        <f>CX33/Revenues!CX124</f>
        <v>0.72665692560857964</v>
      </c>
      <c r="CY61" s="52">
        <f>CY33/Revenues!CY124</f>
        <v>0.73977600507599395</v>
      </c>
      <c r="CZ61" s="52">
        <f>CZ33/Revenues!CZ124</f>
        <v>0.67231248235285135</v>
      </c>
      <c r="DA61" s="52">
        <f>DA33/Revenues!DA124</f>
        <v>0.68575911572797987</v>
      </c>
      <c r="DB61" s="52">
        <f>DB33/Revenues!DB124</f>
        <v>0.70535256638095201</v>
      </c>
      <c r="DC61" s="52">
        <f>DC33/Revenues!DC124</f>
        <v>0.68289464247292542</v>
      </c>
      <c r="DD61" s="52">
        <f>DD33/Revenues!DD124</f>
        <v>0.6321841310742532</v>
      </c>
      <c r="DE61" s="52">
        <f>DE33/Revenues!DE124</f>
        <v>0.63181556635493286</v>
      </c>
      <c r="DF61" s="52">
        <f>DF33/Revenues!DF124</f>
        <v>0.75299202870559845</v>
      </c>
      <c r="DG61" s="52">
        <f>DG33/Revenues!DG124</f>
        <v>0.67775933879708927</v>
      </c>
      <c r="DH61" s="52">
        <f>DH33/Revenues!DH124</f>
        <v>0.68259229709146296</v>
      </c>
      <c r="DI61" s="52">
        <f>DI33/Revenues!DI124</f>
        <v>0.65948401676003954</v>
      </c>
      <c r="DJ61" s="52">
        <f>DJ33/Revenues!DJ124</f>
        <v>0.70757269418814095</v>
      </c>
      <c r="DK61" s="52">
        <f>DK33/Revenues!DK124</f>
        <v>0.81167017837557021</v>
      </c>
      <c r="DL61" s="52">
        <f>DL33/Revenues!DL124</f>
        <v>0.71889953998079725</v>
      </c>
      <c r="DM61" s="52">
        <f>DM33/Revenues!DM124</f>
        <v>0.74565908069271847</v>
      </c>
      <c r="DN61" s="52">
        <f>DN33/Revenues!DN124</f>
        <v>0.72707310095853595</v>
      </c>
      <c r="DO61" s="52">
        <f>DO33/Revenues!DO124</f>
        <v>0.71608048224061649</v>
      </c>
      <c r="DP61" s="52">
        <f>DP33/Revenues!DP124</f>
        <v>0.78434059014940116</v>
      </c>
      <c r="DQ61" s="52">
        <f>DQ33/Revenues!DQ124</f>
        <v>0.74434691053100288</v>
      </c>
      <c r="DR61" s="52">
        <f>DR33/Revenues!DR124</f>
        <v>0.71492860179946427</v>
      </c>
      <c r="DS61" s="52">
        <f>DS33/Revenues!DS124</f>
        <v>0.65323141757651104</v>
      </c>
      <c r="DT61" s="52">
        <f>DT33/Revenues!DT124</f>
        <v>0.65029857844950589</v>
      </c>
      <c r="DU61" s="52">
        <f>DU33/Revenues!DU124</f>
        <v>0.67098273158546828</v>
      </c>
      <c r="DV61" s="52">
        <f>DV33/Revenues!DV124</f>
        <v>0.67165767180214941</v>
      </c>
      <c r="DW61" s="52">
        <f>DW33/Revenues!DW124</f>
        <v>0.68153875165000943</v>
      </c>
      <c r="DX61" s="52">
        <f>DX33/Revenues!DX124</f>
        <v>0.61287157314717766</v>
      </c>
      <c r="DY61" s="52">
        <f>DY33/Revenues!DY124</f>
        <v>0.6420554593408353</v>
      </c>
      <c r="DZ61" s="52">
        <f>DZ33/Revenues!DZ124</f>
        <v>0.68312300613907617</v>
      </c>
      <c r="EA61" s="52">
        <f>EA33/Revenues!EA124</f>
        <v>0.65507522144815566</v>
      </c>
      <c r="EB61" s="52">
        <f>EB33/Revenues!EB124</f>
        <v>0.72138686698405607</v>
      </c>
      <c r="EC61" s="52">
        <f>EC33/Revenues!EC124</f>
        <v>0.63760515137220286</v>
      </c>
      <c r="ED61" s="52">
        <f>ED33/Revenues!ED124</f>
        <v>0.6642921391101102</v>
      </c>
      <c r="EE61" s="52">
        <f>EE33/Revenues!EE124</f>
        <v>0.65099199188834045</v>
      </c>
      <c r="EF61" s="52">
        <f>EF33/Revenues!EF124</f>
        <v>0.66770434358982234</v>
      </c>
      <c r="EG61" s="52">
        <f>EG33/Revenues!EG124</f>
        <v>0.70795241154367639</v>
      </c>
      <c r="EH61" s="52">
        <f>EH33/Revenues!EH124</f>
        <v>0.63944173812891369</v>
      </c>
      <c r="EI61" s="52">
        <f>EI33/Revenues!EI124</f>
        <v>0.6540840225087573</v>
      </c>
    </row>
    <row r="62" spans="1:139" ht="15" thickBot="1" x14ac:dyDescent="0.35">
      <c r="A62" s="2" t="s">
        <v>3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53">
        <f>BJ34/Revenues!BJ125</f>
        <v>0.52944055601781603</v>
      </c>
      <c r="BK62" s="53">
        <f>BK34/Revenues!BK125</f>
        <v>0.45768435381466288</v>
      </c>
      <c r="BL62" s="53">
        <f>BL34/Revenues!BL125</f>
        <v>0.52122293958860599</v>
      </c>
      <c r="BM62" s="53">
        <f>BM34/Revenues!BM125</f>
        <v>0.37940092165898609</v>
      </c>
      <c r="BN62" s="53">
        <f>BN34/Revenues!BN125</f>
        <v>0.47106707317073165</v>
      </c>
      <c r="BO62" s="53">
        <f>BO34/Revenues!BO125</f>
        <v>0.53142693199923918</v>
      </c>
      <c r="BP62" s="53">
        <f>BP34/Revenues!BP125</f>
        <v>0.46507408871674694</v>
      </c>
      <c r="BQ62" s="53">
        <f>BQ34/Revenues!BQ125</f>
        <v>0.53422550670684077</v>
      </c>
      <c r="BR62" s="53">
        <f>BR34/Revenues!BR125</f>
        <v>0.45652450371789921</v>
      </c>
      <c r="BS62" s="53">
        <f>BS34/Revenues!BS125</f>
        <v>0.49603957485776462</v>
      </c>
      <c r="BT62" s="53">
        <f>BT34/Revenues!BT125</f>
        <v>0.45176651305683557</v>
      </c>
      <c r="BU62" s="53">
        <f>BU34/Revenues!BU125</f>
        <v>0.49154083883242561</v>
      </c>
      <c r="BV62" s="53">
        <f>BV34/Revenues!BV125</f>
        <v>0.48432316529348379</v>
      </c>
      <c r="BW62" s="53">
        <f>BW34/Revenues!BW125</f>
        <v>0.24895475449785462</v>
      </c>
      <c r="BX62" s="53">
        <f>BX34/Revenues!BX125</f>
        <v>0.40681324330095181</v>
      </c>
      <c r="BY62" s="53">
        <f>BY34/Revenues!BY125</f>
        <v>0.52858934169278993</v>
      </c>
      <c r="BZ62" s="53">
        <f>BZ34/Revenues!BZ125</f>
        <v>0.38070464767616191</v>
      </c>
      <c r="CA62" s="53">
        <f>CA34/Revenues!CA125</f>
        <v>0.49635792778649934</v>
      </c>
      <c r="CB62" s="53">
        <f>CB34/Revenues!CB125</f>
        <v>0.51681972789115638</v>
      </c>
      <c r="CC62" s="53">
        <f>CC34/Revenues!CC125</f>
        <v>0.47875098814229244</v>
      </c>
      <c r="CD62" s="53">
        <f>CD34/Revenues!CD125</f>
        <v>0.56869093725793951</v>
      </c>
      <c r="CE62" s="53">
        <f>CE34/Revenues!CE125</f>
        <v>0.40365852569505484</v>
      </c>
      <c r="CF62" s="53">
        <f>CF34/Revenues!CF125</f>
        <v>0.49427432216905898</v>
      </c>
      <c r="CG62" s="53">
        <f>CG34/Revenues!CG125</f>
        <v>0.39950752393980854</v>
      </c>
      <c r="CH62" s="53">
        <f>CH34/Revenues!CH125</f>
        <v>0.46507181149783261</v>
      </c>
      <c r="CI62" s="53">
        <f>CI34/Revenues!CI125</f>
        <v>0.57452773613193397</v>
      </c>
      <c r="CJ62" s="53">
        <f>CJ34/Revenues!CJ125</f>
        <v>0.50159817351598168</v>
      </c>
      <c r="CK62" s="53">
        <f>CK34/Revenues!CK125</f>
        <v>0.47200088164827597</v>
      </c>
      <c r="CL62" s="53">
        <f>CL34/Revenues!CL125</f>
        <v>0.44537415291124205</v>
      </c>
      <c r="CM62" s="53">
        <f>CM34/Revenues!CM125</f>
        <v>0.49521200131607429</v>
      </c>
      <c r="CN62" s="53">
        <f>CN34/Revenues!CN125</f>
        <v>0.61642949547218628</v>
      </c>
      <c r="CO62" s="53">
        <f>CO34/Revenues!CO125</f>
        <v>0.54028795811518338</v>
      </c>
      <c r="CP62" s="53">
        <f>CP34/Revenues!CP125</f>
        <v>0.51826456310679625</v>
      </c>
      <c r="CQ62" s="53">
        <f>CQ34/Revenues!CQ125</f>
        <v>0.59243137254901979</v>
      </c>
      <c r="CR62" s="53">
        <f>CR34/Revenues!CR125</f>
        <v>0.56607165706973772</v>
      </c>
      <c r="CS62" s="53">
        <f>CS34/Revenues!CS125</f>
        <v>0.6146329579090194</v>
      </c>
      <c r="CT62" s="53">
        <f>CT34/Revenues!CT125</f>
        <v>0.61244204458665519</v>
      </c>
      <c r="CU62" s="53">
        <f>CU34/Revenues!CU125</f>
        <v>0.50289684454561212</v>
      </c>
      <c r="CV62" s="53">
        <f>CV34/Revenues!CV125</f>
        <v>0.37703617369443809</v>
      </c>
      <c r="CW62" s="53">
        <f>CW34/Revenues!CW125</f>
        <v>0.51731032232486529</v>
      </c>
      <c r="CX62" s="53">
        <f>CX34/Revenues!CX125</f>
        <v>0.55573047858942071</v>
      </c>
      <c r="CY62" s="53">
        <f>CY34/Revenues!CY125</f>
        <v>0.49329891561127953</v>
      </c>
      <c r="CZ62" s="53">
        <f>CZ34/Revenues!CZ125</f>
        <v>0.51957381106207767</v>
      </c>
      <c r="DA62" s="53">
        <f>DA34/Revenues!DA125</f>
        <v>0.12405534970378279</v>
      </c>
      <c r="DB62" s="53">
        <f>DB34/Revenues!DB125</f>
        <v>0.42030435112600162</v>
      </c>
      <c r="DC62" s="53">
        <f>DC34/Revenues!DC125</f>
        <v>0.70088522696464994</v>
      </c>
      <c r="DD62" s="53">
        <f>DD34/Revenues!DD125</f>
        <v>0.67608988820689919</v>
      </c>
      <c r="DE62" s="53">
        <f>DE34/Revenues!DE125</f>
        <v>-2.2568694827207199</v>
      </c>
      <c r="DF62" s="53">
        <f>DF34/Revenues!DF125</f>
        <v>0.3476782929647621</v>
      </c>
      <c r="DG62" s="53">
        <f>DG34/Revenues!DG125</f>
        <v>-0.15003090507726274</v>
      </c>
      <c r="DH62" s="53">
        <f>DH34/Revenues!DH125</f>
        <v>0.73879404406335081</v>
      </c>
      <c r="DI62" s="53">
        <f>DI34/Revenues!DI125</f>
        <v>0.64077469258816411</v>
      </c>
      <c r="DJ62" s="53">
        <f>DJ34/Revenues!DJ125</f>
        <v>0.6678315524827152</v>
      </c>
      <c r="DK62" s="53">
        <f>DK34/Revenues!DK125</f>
        <v>0.52482629696465433</v>
      </c>
      <c r="DL62" s="53">
        <f>DL34/Revenues!DL125</f>
        <v>0.64172986577688784</v>
      </c>
      <c r="DM62" s="53">
        <f>DM34/Revenues!DM125</f>
        <v>0.69012894413963921</v>
      </c>
      <c r="DN62" s="53">
        <f>DN34/Revenues!DN125</f>
        <v>0.66897058823529409</v>
      </c>
      <c r="DO62" s="53">
        <f>DO34/Revenues!DO125</f>
        <v>0.63993351149314459</v>
      </c>
      <c r="DP62" s="53">
        <f>DP34/Revenues!DP125</f>
        <v>0.77715685853071403</v>
      </c>
      <c r="DQ62" s="53">
        <f>DQ34/Revenues!DQ125</f>
        <v>0.68622492880418795</v>
      </c>
      <c r="DR62" s="53">
        <v>0</v>
      </c>
      <c r="DS62" s="53">
        <v>0</v>
      </c>
      <c r="DT62" s="53">
        <v>0</v>
      </c>
      <c r="DU62" s="53">
        <v>0</v>
      </c>
      <c r="DV62" s="53">
        <v>0</v>
      </c>
      <c r="DW62" s="53">
        <v>0</v>
      </c>
      <c r="DX62" s="53">
        <v>0</v>
      </c>
      <c r="DY62" s="53">
        <v>0</v>
      </c>
      <c r="DZ62" s="53">
        <v>0</v>
      </c>
      <c r="EA62" s="53">
        <v>0</v>
      </c>
      <c r="EB62" s="53">
        <v>0</v>
      </c>
      <c r="EC62" s="53">
        <v>0</v>
      </c>
      <c r="ED62" s="53">
        <v>0</v>
      </c>
      <c r="EE62" s="53">
        <v>0</v>
      </c>
      <c r="EF62" s="53">
        <v>0</v>
      </c>
      <c r="EG62" s="53">
        <v>0</v>
      </c>
      <c r="EH62" s="53">
        <v>0</v>
      </c>
      <c r="EI62" s="53">
        <v>0</v>
      </c>
    </row>
    <row r="63" spans="1:139" ht="15" thickTop="1" x14ac:dyDescent="0.3">
      <c r="A63" s="1" t="s">
        <v>443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52">
        <f>BJ35/Revenues!BJ126</f>
        <v>0.25101940522519894</v>
      </c>
      <c r="BK63" s="52">
        <f>BK35/Revenues!BK126</f>
        <v>0.36182194243577465</v>
      </c>
      <c r="BL63" s="52">
        <f>BL35/Revenues!BL126</f>
        <v>0.46451672862453536</v>
      </c>
      <c r="BM63" s="52">
        <f>BM35/Revenues!BM126</f>
        <v>0.46640933572710946</v>
      </c>
      <c r="BN63" s="52">
        <f>BN35/Revenues!BN126</f>
        <v>0.37394930317055036</v>
      </c>
      <c r="BO63" s="52">
        <f>BO35/Revenues!BO126</f>
        <v>0.48977953737473673</v>
      </c>
      <c r="BP63" s="52">
        <f>BP35/Revenues!BP126</f>
        <v>0.42356316714991304</v>
      </c>
      <c r="BQ63" s="52">
        <f>BQ35/Revenues!BQ126</f>
        <v>0.52811228057721915</v>
      </c>
      <c r="BR63" s="52">
        <f>BR35/Revenues!BR126</f>
        <v>0.45351360124465617</v>
      </c>
      <c r="BS63" s="52">
        <f>BS35/Revenues!BS126</f>
        <v>0.4714072750595576</v>
      </c>
      <c r="BT63" s="52">
        <f>BT35/Revenues!BT126</f>
        <v>0.51764510779436157</v>
      </c>
      <c r="BU63" s="52">
        <f>BU35/Revenues!BU126</f>
        <v>0.37051236184916286</v>
      </c>
      <c r="BV63" s="52">
        <f>BV35/Revenues!BV126</f>
        <v>0.43360375937223494</v>
      </c>
      <c r="BW63" s="52">
        <f>BW35/Revenues!BW126</f>
        <v>0.50908575084175134</v>
      </c>
      <c r="BX63" s="52">
        <f>BX35/Revenues!BX126</f>
        <v>0.45208918279149879</v>
      </c>
      <c r="BY63" s="52">
        <f>BY35/Revenues!BY126</f>
        <v>0.46190412782956064</v>
      </c>
      <c r="BZ63" s="52">
        <f>BZ35/Revenues!BZ126</f>
        <v>0.36229367631296894</v>
      </c>
      <c r="CA63" s="52">
        <f>CA35/Revenues!CA126</f>
        <v>0.36071493212669681</v>
      </c>
      <c r="CB63" s="52">
        <f>CB35/Revenues!CB126</f>
        <v>0.37488669950738929</v>
      </c>
      <c r="CC63" s="52">
        <f>CC35/Revenues!CC126</f>
        <v>0.384860672975815</v>
      </c>
      <c r="CD63" s="52">
        <f>CD35/Revenues!CD126</f>
        <v>0.43996249999999998</v>
      </c>
      <c r="CE63" s="52">
        <f>CE35/Revenues!CE126</f>
        <v>0.26523130309068488</v>
      </c>
      <c r="CF63" s="52">
        <f>CF35/Revenues!CF126</f>
        <v>0.38948488241881291</v>
      </c>
      <c r="CG63" s="52">
        <f>CG35/Revenues!CG126</f>
        <v>0.39708737864077676</v>
      </c>
      <c r="CH63" s="52">
        <f>CH35/Revenues!CH126</f>
        <v>0.37304220092945117</v>
      </c>
      <c r="CI63" s="52">
        <f>CI35/Revenues!CI126</f>
        <v>0.30534351145038169</v>
      </c>
      <c r="CJ63" s="52">
        <f>CJ35/Revenues!CJ126</f>
        <v>0.31982810920121335</v>
      </c>
      <c r="CK63" s="52">
        <f>CK35/Revenues!CK126</f>
        <v>0.41052417398798335</v>
      </c>
      <c r="CL63" s="52">
        <f>CL35/Revenues!CL126</f>
        <v>0.43156081437324595</v>
      </c>
      <c r="CM63" s="52">
        <f>CM35/Revenues!CM126</f>
        <v>0.36092561687288288</v>
      </c>
      <c r="CN63" s="52">
        <f>CN35/Revenues!CN126</f>
        <v>0.507277628032345</v>
      </c>
      <c r="CO63" s="52">
        <f>CO35/Revenues!CO126</f>
        <v>0.43747759282970555</v>
      </c>
      <c r="CP63" s="52">
        <f>CP35/Revenues!CP126</f>
        <v>0.34314406779661016</v>
      </c>
      <c r="CQ63" s="52">
        <f>CQ35/Revenues!CQ126</f>
        <v>0.51670341786108054</v>
      </c>
      <c r="CR63" s="52">
        <f>CR35/Revenues!CR126</f>
        <v>0.44089473684210528</v>
      </c>
      <c r="CS63" s="52">
        <f>CS35/Revenues!CS126</f>
        <v>0.47565556122679753</v>
      </c>
      <c r="CT63" s="52">
        <f>CT35/Revenues!CT126</f>
        <v>0.33702779931594501</v>
      </c>
      <c r="CU63" s="52">
        <f>CU35/Revenues!CU126</f>
        <v>0.35398061319322927</v>
      </c>
      <c r="CV63" s="52">
        <f>CV35/Revenues!CV126</f>
        <v>0.37072512412849323</v>
      </c>
      <c r="CW63" s="52">
        <f>CW35/Revenues!CW126</f>
        <v>0.37745509477344019</v>
      </c>
      <c r="CX63" s="52">
        <f>CX35/Revenues!CX126</f>
        <v>0.4884929472902747</v>
      </c>
      <c r="CY63" s="52">
        <f>CY35/Revenues!CY126</f>
        <v>0.5499651343667864</v>
      </c>
      <c r="CZ63" s="52">
        <f>CZ35/Revenues!CZ126</f>
        <v>0.65450336809799992</v>
      </c>
      <c r="DA63" s="52">
        <f>DA35/Revenues!DA126</f>
        <v>0.5517586436934967</v>
      </c>
      <c r="DB63" s="52">
        <f>DB35/Revenues!DB126</f>
        <v>0.55662261923219136</v>
      </c>
      <c r="DC63" s="52">
        <f>DC35/Revenues!DC126</f>
        <v>0.49687466892679316</v>
      </c>
      <c r="DD63" s="52">
        <f>DD35/Revenues!DD126</f>
        <v>0.43874747383001428</v>
      </c>
      <c r="DE63" s="52">
        <f>DE35/Revenues!DE126</f>
        <v>0.48845724067425883</v>
      </c>
      <c r="DF63" s="52">
        <f>DF35/Revenues!DF126</f>
        <v>0.51593556438938704</v>
      </c>
      <c r="DG63" s="52">
        <f>DG35/Revenues!DG126</f>
        <v>0.48471719907939492</v>
      </c>
      <c r="DH63" s="52">
        <f>DH35/Revenues!DH126</f>
        <v>0.57001365205985488</v>
      </c>
      <c r="DI63" s="52">
        <f>DI35/Revenues!DI126</f>
        <v>0.34679930138962722</v>
      </c>
      <c r="DJ63" s="52">
        <f>DJ35/Revenues!DJ126</f>
        <v>0.55133305463029147</v>
      </c>
      <c r="DK63" s="52">
        <f>DK35/Revenues!DK126</f>
        <v>0.52769376181474481</v>
      </c>
      <c r="DL63" s="52">
        <f>DL35/Revenues!DL126</f>
        <v>0.51214605594363172</v>
      </c>
      <c r="DM63" s="52">
        <f>DM35/Revenues!DM126</f>
        <v>0.48963767459320917</v>
      </c>
      <c r="DN63" s="52">
        <f>DN35/Revenues!DN126</f>
        <v>0.37394318368111668</v>
      </c>
      <c r="DO63" s="52">
        <f>DO35/Revenues!DO126</f>
        <v>0.4541299948683688</v>
      </c>
      <c r="DP63" s="52">
        <f>DP35/Revenues!DP126</f>
        <v>0.81167470345276604</v>
      </c>
      <c r="DQ63" s="52">
        <f>DQ35/Revenues!DQ126</f>
        <v>0.53935447027685945</v>
      </c>
      <c r="DR63" s="52">
        <f>DR35/Revenues!DR126</f>
        <v>0.58260658073034299</v>
      </c>
      <c r="DS63" s="52">
        <f>DS35/Revenues!DS126</f>
        <v>0.52361799961587563</v>
      </c>
      <c r="DT63" s="52">
        <f>DT35/Revenues!DT126</f>
        <v>0.51306046318014065</v>
      </c>
      <c r="DU63" s="52">
        <f>DU35/Revenues!DU126</f>
        <v>0.46573189480041721</v>
      </c>
      <c r="DV63" s="52">
        <f>DV35/Revenues!DV126</f>
        <v>0.5131577470542944</v>
      </c>
      <c r="DW63" s="52">
        <f>DW35/Revenues!DW126</f>
        <v>0.61351220392767902</v>
      </c>
      <c r="DX63" s="52">
        <f>DX35/Revenues!DX126</f>
        <v>0.53791049010568137</v>
      </c>
      <c r="DY63" s="52">
        <f>DY35/Revenues!DY126</f>
        <v>0.57205112098379907</v>
      </c>
      <c r="DZ63" s="52">
        <f>DZ35/Revenues!DZ126</f>
        <v>0.69920824072770116</v>
      </c>
      <c r="EA63" s="52">
        <f>EA35/Revenues!EA126</f>
        <v>0.61041653357553971</v>
      </c>
      <c r="EB63" s="52">
        <f>EB35/Revenues!EB126</f>
        <v>0.58914803988151743</v>
      </c>
      <c r="EC63" s="52">
        <f>EC35/Revenues!EC126</f>
        <v>0.58192565251020401</v>
      </c>
      <c r="ED63" s="52">
        <f>ED35/Revenues!ED126</f>
        <v>0.54383987764278363</v>
      </c>
      <c r="EE63" s="52">
        <f>EE35/Revenues!EE126</f>
        <v>0.49182848318566652</v>
      </c>
      <c r="EF63" s="52">
        <f>EF35/Revenues!EF126</f>
        <v>0.54701705283364654</v>
      </c>
      <c r="EG63" s="52">
        <f>EG35/Revenues!EG126</f>
        <v>0.57790983414712882</v>
      </c>
      <c r="EH63" s="52">
        <f>EH35/Revenues!EH126</f>
        <v>0.48641134607785108</v>
      </c>
      <c r="EI63" s="52">
        <f>EI35/Revenues!EI126</f>
        <v>0.60836436287008966</v>
      </c>
    </row>
    <row r="64" spans="1:139" ht="15" thickBot="1" x14ac:dyDescent="0.35">
      <c r="A64" s="2" t="s">
        <v>481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3">
        <v>0</v>
      </c>
      <c r="BS64" s="53">
        <v>0</v>
      </c>
      <c r="BT64" s="53">
        <v>0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f>CA36/Revenues!CA127</f>
        <v>-0.74225225225225222</v>
      </c>
      <c r="CB64" s="53">
        <f>CB36/Revenues!CB127</f>
        <v>-1.0796129032258066</v>
      </c>
      <c r="CC64" s="53">
        <f>CC36/Revenues!CC127</f>
        <v>-1.2279699248120302</v>
      </c>
      <c r="CD64" s="53">
        <f>CD36/Revenues!CD127</f>
        <v>-0.52596261383607601</v>
      </c>
      <c r="CE64" s="53">
        <f>CE36/Revenues!CE127</f>
        <v>-2.6920984246578544E-2</v>
      </c>
      <c r="CF64" s="53">
        <f>CF36/Revenues!CF127</f>
        <v>0.27777027027027029</v>
      </c>
      <c r="CG64" s="53">
        <f>CG36/Revenues!CG127</f>
        <v>0.33989266547406077</v>
      </c>
      <c r="CH64" s="53">
        <f>CH36/Revenues!CH127</f>
        <v>5.1939033691051802E-2</v>
      </c>
      <c r="CI64" s="53">
        <f>CI36/Revenues!CI127</f>
        <v>0.2996421845574388</v>
      </c>
      <c r="CJ64" s="53">
        <f>CJ36/Revenues!CJ127</f>
        <v>0.18664145234493193</v>
      </c>
      <c r="CK64" s="53">
        <f>CK36/Revenues!CK127</f>
        <v>0.23409144026541476</v>
      </c>
      <c r="CL64" s="53">
        <f>CL36/Revenues!CL127</f>
        <v>0.32159945495312492</v>
      </c>
      <c r="CM64" s="53">
        <f>CM36/Revenues!CM127</f>
        <v>0.25914745839491676</v>
      </c>
      <c r="CN64" s="53">
        <f>CN36/Revenues!CN127</f>
        <v>0.31859813084112154</v>
      </c>
      <c r="CO64" s="53">
        <f>CO36/Revenues!CO127</f>
        <v>0.26365724381625438</v>
      </c>
      <c r="CP64" s="53">
        <f>CP36/Revenues!CP127</f>
        <v>0.24542119565217396</v>
      </c>
      <c r="CQ64" s="53">
        <f>CQ36/Revenues!CQ127</f>
        <v>0.21286863270777476</v>
      </c>
      <c r="CR64" s="53">
        <f>CR36/Revenues!CR127</f>
        <v>0.25517228029423156</v>
      </c>
      <c r="CS64" s="53">
        <f>CS36/Revenues!CS127</f>
        <v>0.28105557487026861</v>
      </c>
      <c r="CT64" s="53">
        <f>CT36/Revenues!CT127</f>
        <v>0.25688361765514772</v>
      </c>
      <c r="CU64" s="53">
        <f>CU36/Revenues!CU127</f>
        <v>0.29960557546125977</v>
      </c>
      <c r="CV64" s="53">
        <f>CV36/Revenues!CV127</f>
        <v>0.41561426174739574</v>
      </c>
      <c r="CW64" s="53">
        <f>CW36/Revenues!CW127</f>
        <v>0.31866901958102628</v>
      </c>
      <c r="CX64" s="53">
        <f>CX36/Revenues!CX127</f>
        <v>0.24304074203784476</v>
      </c>
      <c r="CY64" s="53">
        <f>CY36/Revenues!CY127</f>
        <v>0.17514106451069564</v>
      </c>
      <c r="CZ64" s="53">
        <f>CZ36/Revenues!CZ127</f>
        <v>0.24972248172775732</v>
      </c>
      <c r="DA64" s="53">
        <f>DA36/Revenues!DA127</f>
        <v>0.36050418705061021</v>
      </c>
      <c r="DB64" s="53">
        <f>DB36/Revenues!DB127</f>
        <v>0.2624088163976086</v>
      </c>
      <c r="DC64" s="53">
        <f>DC36/Revenues!DC127</f>
        <v>0.22474995490168567</v>
      </c>
      <c r="DD64" s="53">
        <f>DD36/Revenues!DD127</f>
        <v>0.17608408720868621</v>
      </c>
      <c r="DE64" s="53">
        <f>DE36/Revenues!DE127</f>
        <v>0.14851585111395305</v>
      </c>
      <c r="DF64" s="53">
        <f>DF36/Revenues!DF127</f>
        <v>5.4865329032798567E-2</v>
      </c>
      <c r="DG64" s="53">
        <f>DG36/Revenues!DG127</f>
        <v>0.14690810321412406</v>
      </c>
      <c r="DH64" s="53">
        <f>DH36/Revenues!DH127</f>
        <v>0.15400787594847551</v>
      </c>
      <c r="DI64" s="53">
        <f>DI36/Revenues!DI127</f>
        <v>0.1442722024987127</v>
      </c>
      <c r="DJ64" s="53">
        <f>DJ36/Revenues!DJ127</f>
        <v>0.25452048801827637</v>
      </c>
      <c r="DK64" s="53">
        <f>DK36/Revenues!DK127</f>
        <v>-0.36389448616962816</v>
      </c>
      <c r="DL64" s="53">
        <f>DL36/Revenues!DL127</f>
        <v>4.2235055778511395E-2</v>
      </c>
      <c r="DM64" s="53">
        <f>DM36/Revenues!DM127</f>
        <v>0.19569276049903356</v>
      </c>
      <c r="DN64" s="53">
        <f>DN36/Revenues!DN127</f>
        <v>6.8673195084485411E-2</v>
      </c>
      <c r="DO64" s="53">
        <f>DO36/Revenues!DO127</f>
        <v>3.6660059786846895E-2</v>
      </c>
      <c r="DP64" s="53">
        <f>DP36/Revenues!DP127</f>
        <v>2.6229235573458489E-2</v>
      </c>
      <c r="DQ64" s="53">
        <f>DQ36/Revenues!DQ127</f>
        <v>7.5778674881258806E-2</v>
      </c>
      <c r="DR64" s="53">
        <f>DR36/Revenues!DR127</f>
        <v>0.10403885924818826</v>
      </c>
      <c r="DS64" s="53">
        <f>DS36/Revenues!DS127</f>
        <v>8.3030915522072674E-2</v>
      </c>
      <c r="DT64" s="53">
        <f>DT36/Revenues!DT127</f>
        <v>0.10507748858877862</v>
      </c>
      <c r="DU64" s="53">
        <f>DU36/Revenues!DU127</f>
        <v>0.18311120843245179</v>
      </c>
      <c r="DV64" s="53">
        <f>DV36/Revenues!DV127</f>
        <v>0.11486285710820431</v>
      </c>
      <c r="DW64" s="53">
        <f>DW36/Revenues!DW127</f>
        <v>8.8560885608856096E-2</v>
      </c>
      <c r="DX64" s="53">
        <f>DX36/Revenues!DX127</f>
        <v>0.13372229312635112</v>
      </c>
      <c r="DY64" s="53">
        <f>DY36/Revenues!DY127</f>
        <v>0.12633988524487696</v>
      </c>
      <c r="DZ64" s="53">
        <f>DZ36/Revenues!DZ127</f>
        <v>-1.2274768064762127</v>
      </c>
      <c r="EA64" s="53">
        <f>EA36/Revenues!EA127</f>
        <v>-0.22764396645045271</v>
      </c>
      <c r="EB64" s="53">
        <f>EB36/Revenues!EB127</f>
        <v>0.15462908505508738</v>
      </c>
      <c r="EC64" s="53">
        <f>EC36/Revenues!EC127</f>
        <v>8.9908831331404995E-2</v>
      </c>
      <c r="ED64" s="53">
        <f>ED36/Revenues!ED127</f>
        <v>0.16672677933498212</v>
      </c>
      <c r="EE64" s="53">
        <f>EE36/Revenues!EE127</f>
        <v>-0.17130773842012989</v>
      </c>
      <c r="EF64" s="53">
        <f>EF36/Revenues!EF127</f>
        <v>5.3473709712093448E-2</v>
      </c>
      <c r="EG64" s="53">
        <f>EG36/Revenues!EG127</f>
        <v>0.18935639668981086</v>
      </c>
      <c r="EH64" s="53">
        <f>EH36/Revenues!EH127</f>
        <v>0.17168106336118</v>
      </c>
      <c r="EI64" s="53">
        <f>EI36/Revenues!EI127</f>
        <v>1.85813110883011</v>
      </c>
    </row>
    <row r="65" spans="1:139" ht="15" thickTop="1" x14ac:dyDescent="0.3">
      <c r="A65" s="1" t="s">
        <v>445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2">
        <v>0</v>
      </c>
      <c r="CF65" s="52">
        <v>0</v>
      </c>
      <c r="CG65" s="52">
        <v>0</v>
      </c>
      <c r="CH65" s="52">
        <v>0</v>
      </c>
      <c r="CI65" s="52">
        <v>0</v>
      </c>
      <c r="CJ65" s="52">
        <f>CJ37/Revenues!CJ128</f>
        <v>0.46287500000000004</v>
      </c>
      <c r="CK65" s="52">
        <f>CK37/Revenues!CK128</f>
        <v>0.51672009549513465</v>
      </c>
      <c r="CL65" s="52">
        <f>CL37/Revenues!CL128</f>
        <v>0.40163154207578106</v>
      </c>
      <c r="CM65" s="52">
        <f>CM37/Revenues!CM128</f>
        <v>0.45224654449373547</v>
      </c>
      <c r="CN65" s="52">
        <f>CN37/Revenues!CN128</f>
        <v>0.40376146788990819</v>
      </c>
      <c r="CO65" s="52">
        <f>CO37/Revenues!CO128</f>
        <v>0.35628205128205126</v>
      </c>
      <c r="CP65" s="52">
        <f>CP37/Revenues!CP128</f>
        <v>0.39516509433962277</v>
      </c>
      <c r="CQ65" s="52">
        <f>CQ37/Revenues!CQ128</f>
        <v>0.29610236220472436</v>
      </c>
      <c r="CR65" s="52">
        <f>CR37/Revenues!CR128</f>
        <v>0.35715585203153433</v>
      </c>
      <c r="CS65" s="52">
        <f>CS37/Revenues!CS128</f>
        <v>0.33620696229777269</v>
      </c>
      <c r="CT65" s="52">
        <f>CT37/Revenues!CT128</f>
        <v>0.27413260142951351</v>
      </c>
      <c r="CU65" s="52">
        <f>CU37/Revenues!CU128</f>
        <v>0.37209383288082404</v>
      </c>
      <c r="CV65" s="52">
        <f>CV37/Revenues!CV128</f>
        <v>0.27162376753752054</v>
      </c>
      <c r="CW65" s="52">
        <f>CW37/Revenues!CW128</f>
        <v>0.3136519467203891</v>
      </c>
      <c r="CX65" s="52">
        <f>CX37/Revenues!CX128</f>
        <v>0.6043191470136442</v>
      </c>
      <c r="CY65" s="52">
        <f>CY37/Revenues!CY128</f>
        <v>0.52880392663394471</v>
      </c>
      <c r="CZ65" s="52">
        <f>CZ37/Revenues!CZ128</f>
        <v>0.32645292276457155</v>
      </c>
      <c r="DA65" s="52">
        <f>DA37/Revenues!DA128</f>
        <v>0.27507380101170431</v>
      </c>
      <c r="DB65" s="52">
        <f>DB37/Revenues!DB128</f>
        <v>0.39656332941144273</v>
      </c>
      <c r="DC65" s="52">
        <f>DC37/Revenues!DC128</f>
        <v>0.19823070812069965</v>
      </c>
      <c r="DD65" s="52">
        <f>DD37/Revenues!DD128</f>
        <v>0.14818501759678229</v>
      </c>
      <c r="DE65" s="52">
        <f>DE37/Revenues!DE128</f>
        <v>0.16030718549681586</v>
      </c>
      <c r="DF65" s="52">
        <f>DF37/Revenues!DF128</f>
        <v>0.15256411531309355</v>
      </c>
      <c r="DG65" s="52">
        <f>DG37/Revenues!DG128</f>
        <v>0.16255901730272326</v>
      </c>
      <c r="DH65" s="52">
        <f>DH37/Revenues!DH128</f>
        <v>0.19736719880037687</v>
      </c>
      <c r="DI65" s="52">
        <f>DI37/Revenues!DI128</f>
        <v>0.15872079550003157</v>
      </c>
      <c r="DJ65" s="52">
        <f>DJ37/Revenues!DJ128</f>
        <v>0.24411054832239859</v>
      </c>
      <c r="DK65" s="52">
        <f>DK37/Revenues!DK128</f>
        <v>0.26323723703377483</v>
      </c>
      <c r="DL65" s="52">
        <f>DL37/Revenues!DL128</f>
        <v>0.21732808189583541</v>
      </c>
      <c r="DM65" s="52">
        <f>DM37/Revenues!DM128</f>
        <v>0.36526233007527248</v>
      </c>
      <c r="DN65" s="52">
        <f>DN37/Revenues!DN128</f>
        <v>0.40349733898120987</v>
      </c>
      <c r="DO65" s="52">
        <f>DO37/Revenues!DO128</f>
        <v>0.52693907761414982</v>
      </c>
      <c r="DP65" s="52">
        <f>DP37/Revenues!DP128</f>
        <v>0.72636947578608035</v>
      </c>
      <c r="DQ65" s="52">
        <f>DQ37/Revenues!DQ128</f>
        <v>0.50564224060809104</v>
      </c>
      <c r="DR65" s="52">
        <f>DR37/Revenues!DR128</f>
        <v>0.39746471275734963</v>
      </c>
      <c r="DS65" s="52">
        <f>DS37/Revenues!DS128</f>
        <v>0.48125933104586294</v>
      </c>
      <c r="DT65" s="52">
        <f>DT37/Revenues!DT128</f>
        <v>0.6268265098394028</v>
      </c>
      <c r="DU65" s="52">
        <f>DU37/Revenues!DU128</f>
        <v>0.81878375302613349</v>
      </c>
      <c r="DV65" s="52">
        <f>DV37/Revenues!DV128</f>
        <v>0.58981222532960442</v>
      </c>
      <c r="DW65" s="52">
        <f>DW37/Revenues!DW128</f>
        <v>0.61457149077187301</v>
      </c>
      <c r="DX65" s="52">
        <f>DX37/Revenues!DX128</f>
        <v>0.59922644163150507</v>
      </c>
      <c r="DY65" s="52">
        <f>DY37/Revenues!DY128</f>
        <v>0.51264690832060433</v>
      </c>
      <c r="DZ65" s="52">
        <f>DZ37/Revenues!DZ128</f>
        <v>0.59705314517707364</v>
      </c>
      <c r="EA65" s="52">
        <f>EA37/Revenues!EA128</f>
        <v>0.57785705056244197</v>
      </c>
      <c r="EB65" s="52">
        <f>EB37/Revenues!EB128</f>
        <v>0.45905255800169231</v>
      </c>
      <c r="EC65" s="52">
        <f>EC37/Revenues!EC128</f>
        <v>0.45231375474825453</v>
      </c>
      <c r="ED65" s="52">
        <f>ED37/Revenues!ED128</f>
        <v>0.4819858817261588</v>
      </c>
      <c r="EE65" s="52">
        <f>EE37/Revenues!EE128</f>
        <v>0.49407610180900291</v>
      </c>
      <c r="EF65" s="52">
        <f>EF37/Revenues!EF128</f>
        <v>0.47198276233613279</v>
      </c>
      <c r="EG65" s="52">
        <f>EG37/Revenues!EG128</f>
        <v>0.54500882560194508</v>
      </c>
      <c r="EH65" s="52">
        <f>EH37/Revenues!EH128</f>
        <v>0.41929353210978221</v>
      </c>
      <c r="EI65" s="52">
        <f>EI37/Revenues!EI128</f>
        <v>0.5326013021003333</v>
      </c>
    </row>
    <row r="66" spans="1:139" ht="15" thickBot="1" x14ac:dyDescent="0.35">
      <c r="A66" s="2" t="s">
        <v>444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  <c r="BR66" s="53">
        <v>0</v>
      </c>
      <c r="BS66" s="53">
        <v>0</v>
      </c>
      <c r="BT66" s="53">
        <v>0</v>
      </c>
      <c r="BU66" s="53">
        <v>0</v>
      </c>
      <c r="BV66" s="5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0</v>
      </c>
      <c r="CB66" s="53">
        <v>0</v>
      </c>
      <c r="CC66" s="53">
        <v>0</v>
      </c>
      <c r="CD66" s="53">
        <v>0</v>
      </c>
      <c r="CE66" s="53">
        <v>0</v>
      </c>
      <c r="CF66" s="53">
        <v>0</v>
      </c>
      <c r="CG66" s="53">
        <v>0</v>
      </c>
      <c r="CH66" s="53">
        <v>0</v>
      </c>
      <c r="CI66" s="53">
        <v>0</v>
      </c>
      <c r="CJ66" s="53">
        <v>0</v>
      </c>
      <c r="CK66" s="53">
        <v>0</v>
      </c>
      <c r="CL66" s="53">
        <v>0</v>
      </c>
      <c r="CM66" s="53">
        <v>0</v>
      </c>
      <c r="CN66" s="53">
        <v>0</v>
      </c>
      <c r="CO66" s="53">
        <v>0</v>
      </c>
      <c r="CP66" s="53">
        <v>0</v>
      </c>
      <c r="CQ66" s="53">
        <v>0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0</v>
      </c>
      <c r="DB66" s="53">
        <v>0</v>
      </c>
      <c r="DC66" s="53">
        <v>0</v>
      </c>
      <c r="DD66" s="53">
        <f>DD38/Revenues!DD129</f>
        <v>7.788948714283446E-2</v>
      </c>
      <c r="DE66" s="53">
        <f>DE38/Revenues!DE129</f>
        <v>0.62467578212558839</v>
      </c>
      <c r="DF66" s="53">
        <f>DF38/Revenues!DF129</f>
        <v>0.31670959182080693</v>
      </c>
      <c r="DG66" s="53">
        <f>DG38/Revenues!DG129</f>
        <v>0.29084469731321627</v>
      </c>
      <c r="DH66" s="53">
        <f>DH38/Revenues!DH129</f>
        <v>0.23115117832062385</v>
      </c>
      <c r="DI66" s="53">
        <f>DI38/Revenues!DI129</f>
        <v>0.28161430485468503</v>
      </c>
      <c r="DJ66" s="53">
        <f>DJ38/Revenues!DJ129</f>
        <v>0.32887556930480366</v>
      </c>
      <c r="DK66" s="53">
        <f>DK38/Revenues!DK129</f>
        <v>0.28050657710607335</v>
      </c>
      <c r="DL66" s="53">
        <f>DL38/Revenues!DL129</f>
        <v>0.28053137257581767</v>
      </c>
      <c r="DM66" s="53">
        <f>DM38/Revenues!DM129</f>
        <v>0.34375754065923458</v>
      </c>
      <c r="DN66" s="53">
        <f>DN38/Revenues!DN129</f>
        <v>0.22144913837617386</v>
      </c>
      <c r="DO66" s="53">
        <f>DO38/Revenues!DO129</f>
        <v>0.27400391434163346</v>
      </c>
      <c r="DP66" s="53">
        <f>DP38/Revenues!DP129</f>
        <v>0.26832521074815596</v>
      </c>
      <c r="DQ66" s="53">
        <f>DQ38/Revenues!DQ129</f>
        <v>0.27201247233518311</v>
      </c>
      <c r="DR66" s="53">
        <f>DR38/Revenues!DR129</f>
        <v>0.32785144215097634</v>
      </c>
      <c r="DS66" s="53">
        <f>DS38/Revenues!DS129</f>
        <v>0.37662068034837493</v>
      </c>
      <c r="DT66" s="53">
        <f>DT38/Revenues!DT129</f>
        <v>0.33300013810065565</v>
      </c>
      <c r="DU66" s="53">
        <f>DU38/Revenues!DU129</f>
        <v>0.25235610518573004</v>
      </c>
      <c r="DV66" s="53">
        <f>DV38/Revenues!DV129</f>
        <v>0.31305687006896443</v>
      </c>
      <c r="DW66" s="53">
        <f>DW38/Revenues!DW129</f>
        <v>0.46964729617754075</v>
      </c>
      <c r="DX66" s="53">
        <f>DX38/Revenues!DX129</f>
        <v>0.39605190099067777</v>
      </c>
      <c r="DY66" s="53">
        <f>DY38/Revenues!DY129</f>
        <v>0.33859065720071946</v>
      </c>
      <c r="DZ66" s="53">
        <f>DZ38/Revenues!DZ129</f>
        <v>0.38824428639457165</v>
      </c>
      <c r="EA66" s="53">
        <f>EA38/Revenues!EA129</f>
        <v>0.39205695488350473</v>
      </c>
      <c r="EB66" s="53">
        <f>EB38/Revenues!EB129</f>
        <v>0.37296298320503801</v>
      </c>
      <c r="EC66" s="53">
        <f>EC38/Revenues!EC129</f>
        <v>0.32776802120702203</v>
      </c>
      <c r="ED66" s="53">
        <f>ED38/Revenues!ED129</f>
        <v>0.36453160253812333</v>
      </c>
      <c r="EE66" s="53">
        <f>EE38/Revenues!EE129</f>
        <v>0.39554017712026096</v>
      </c>
      <c r="EF66" s="53">
        <f>EF38/Revenues!EF129</f>
        <v>0.36505215929594975</v>
      </c>
      <c r="EG66" s="53">
        <f>EG38/Revenues!EG129</f>
        <v>0.44537765023079279</v>
      </c>
      <c r="EH66" s="53">
        <f>EH38/Revenues!EH129</f>
        <v>0.44993312548432551</v>
      </c>
      <c r="EI66" s="53">
        <f>EI38/Revenues!EI129</f>
        <v>0.45135248144330226</v>
      </c>
    </row>
    <row r="67" spans="1:139" ht="15" thickTop="1" x14ac:dyDescent="0.3">
      <c r="A67" s="1" t="s">
        <v>456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f>DA39/Revenues!DA130</f>
        <v>-0.12070997063609329</v>
      </c>
      <c r="DB67" s="52">
        <f>DB39/Revenues!DB130</f>
        <v>-0.21123309705051715</v>
      </c>
      <c r="DC67" s="52">
        <f>DC39/Revenues!DC130</f>
        <v>-0.15850156567915841</v>
      </c>
      <c r="DD67" s="52">
        <f>DD39/Revenues!DD130</f>
        <v>0.53541834813021261</v>
      </c>
      <c r="DE67" s="52">
        <f>DE39/Revenues!DE130</f>
        <v>0.70272393503599317</v>
      </c>
      <c r="DF67" s="52">
        <f>DF39/Revenues!DF130</f>
        <v>0.6170627930296213</v>
      </c>
      <c r="DG67" s="52">
        <f>DG39/Revenues!DG130</f>
        <v>0.42238661949179801</v>
      </c>
      <c r="DH67" s="52">
        <f>DH39/Revenues!DH130</f>
        <v>0.63189812007277124</v>
      </c>
      <c r="DI67" s="52">
        <f>DI39/Revenues!DI130</f>
        <v>0.5299968133102998</v>
      </c>
      <c r="DJ67" s="52">
        <f>DJ39/Revenues!DJ130</f>
        <v>0.57588763168162316</v>
      </c>
      <c r="DK67" s="52">
        <f>DK39/Revenues!DK130</f>
        <v>0.69928012689288666</v>
      </c>
      <c r="DL67" s="52">
        <f>DL39/Revenues!DL130</f>
        <v>0.61152323989231827</v>
      </c>
      <c r="DM67" s="52">
        <f>DM39/Revenues!DM130</f>
        <v>0.66153685871199153</v>
      </c>
      <c r="DN67" s="52">
        <f>DN39/Revenues!DN130</f>
        <v>0.54291733737335479</v>
      </c>
      <c r="DO67" s="52">
        <f>DO39/Revenues!DO130</f>
        <v>0.45877317143880358</v>
      </c>
      <c r="DP67" s="52">
        <f>DP39/Revenues!DP130</f>
        <v>0.30085420117574463</v>
      </c>
      <c r="DQ67" s="52">
        <f>DQ39/Revenues!DQ130</f>
        <v>0.44016936712153049</v>
      </c>
      <c r="DR67" s="52">
        <f>DR39/Revenues!DR130</f>
        <v>0.34661297963050686</v>
      </c>
      <c r="DS67" s="52">
        <f>DS39/Revenues!DS130</f>
        <v>0.34967235234678007</v>
      </c>
      <c r="DT67" s="52">
        <f>DT39/Revenues!DT130</f>
        <v>0.29742953884305406</v>
      </c>
      <c r="DU67" s="52">
        <f>DU39/Revenues!DU130</f>
        <v>0.27336795574352779</v>
      </c>
      <c r="DV67" s="52">
        <f>DV39/Revenues!DV130</f>
        <v>0.31118837007634559</v>
      </c>
      <c r="DW67" s="52">
        <f>DW39/Revenues!DW130</f>
        <v>0.37021423545049392</v>
      </c>
      <c r="DX67" s="52">
        <f>DX39/Revenues!DX130</f>
        <v>0.25705950991831972</v>
      </c>
      <c r="DY67" s="52">
        <f>DY39/Revenues!DY130</f>
        <v>0.18036797906570151</v>
      </c>
      <c r="DZ67" s="52">
        <f>DZ39/Revenues!DZ130</f>
        <v>0.18041899930600805</v>
      </c>
      <c r="EA67" s="52">
        <f>EA39/Revenues!EA130</f>
        <v>0.22329571666527431</v>
      </c>
      <c r="EB67" s="52">
        <f>EB39/Revenues!EB130</f>
        <v>0.33308762639755146</v>
      </c>
      <c r="EC67" s="52">
        <f>EC39/Revenues!EC130</f>
        <v>0.27272980846480477</v>
      </c>
      <c r="ED67" s="52">
        <f>ED39/Revenues!ED130</f>
        <v>0.24598902048357724</v>
      </c>
      <c r="EE67" s="52">
        <f>EE39/Revenues!EE130</f>
        <v>0.21982633656167225</v>
      </c>
      <c r="EF67" s="52">
        <f>EF39/Revenues!EF130</f>
        <v>0.25875658689935149</v>
      </c>
      <c r="EG67" s="52">
        <f>EG39/Revenues!EG130</f>
        <v>0.39745951194917578</v>
      </c>
      <c r="EH67" s="52">
        <f>EH39/Revenues!EH130</f>
        <v>0.37680280941409716</v>
      </c>
      <c r="EI67" s="52">
        <f>EI39/Revenues!EI130</f>
        <v>0.34262559252871</v>
      </c>
    </row>
    <row r="68" spans="1:139" ht="15" thickBot="1" x14ac:dyDescent="0.35">
      <c r="A68" s="2" t="s">
        <v>446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3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f>DI40/Revenues!DI131</f>
        <v>-5.5151452709664123E-2</v>
      </c>
      <c r="DJ68" s="53">
        <f>DJ40/Revenues!DJ131</f>
        <v>-8.6417688591601635E-2</v>
      </c>
      <c r="DK68" s="53">
        <f>DK40/Revenues!DK131</f>
        <v>-0.15176147013997163</v>
      </c>
      <c r="DL68" s="53">
        <f>DL40/Revenues!DL131</f>
        <v>-0.10226408895917609</v>
      </c>
      <c r="DM68" s="53">
        <f>DM40/Revenues!DM131</f>
        <v>0.22456240216308526</v>
      </c>
      <c r="DN68" s="53">
        <f>DN40/Revenues!DN131</f>
        <v>0.28645773480209485</v>
      </c>
      <c r="DO68" s="53">
        <f>DO40/Revenues!DO131</f>
        <v>0.41061350142930447</v>
      </c>
      <c r="DP68" s="53">
        <f>DP40/Revenues!DP131</f>
        <v>6.1783122782473852E-2</v>
      </c>
      <c r="DQ68" s="53">
        <f>DQ40/Revenues!DQ131</f>
        <v>0.22357104179521731</v>
      </c>
      <c r="DR68" s="53">
        <f>DR40/Revenues!DR131</f>
        <v>0.14288770602632345</v>
      </c>
      <c r="DS68" s="53">
        <f>DS40/Revenues!DS131</f>
        <v>0.18508681745487779</v>
      </c>
      <c r="DT68" s="53">
        <f>DT40/Revenues!DT131</f>
        <v>0.1525752017608217</v>
      </c>
      <c r="DU68" s="53">
        <f>DU40/Revenues!DU131</f>
        <v>8.0959520239880067E-2</v>
      </c>
      <c r="DV68" s="53">
        <f>DV40/Revenues!DV131</f>
        <v>0.13695060919270691</v>
      </c>
      <c r="DW68" s="53">
        <f>DW40/Revenues!DW131</f>
        <v>0.20684707814579539</v>
      </c>
      <c r="DX68" s="53">
        <f>DX40/Revenues!DX131</f>
        <v>0.31478000236627285</v>
      </c>
      <c r="DY68" s="53">
        <f>DY40/Revenues!DY131</f>
        <v>0.32160014469042625</v>
      </c>
      <c r="DZ68" s="53">
        <f>DZ40/Revenues!DZ131</f>
        <v>0.1628028665267251</v>
      </c>
      <c r="EA68" s="53">
        <f>EA40/Revenues!EA131</f>
        <v>0.23591011464177072</v>
      </c>
      <c r="EB68" s="53">
        <f>EB40/Revenues!EB131</f>
        <v>0.18473201346768284</v>
      </c>
      <c r="EC68" s="53">
        <f>EC40/Revenues!EC131</f>
        <v>0.17772488701126771</v>
      </c>
      <c r="ED68" s="53">
        <f>ED40/Revenues!ED131</f>
        <v>0.17642785377540765</v>
      </c>
      <c r="EE68" s="53">
        <f>EE40/Revenues!EE131</f>
        <v>0.25978037059988679</v>
      </c>
      <c r="EF68" s="53">
        <f>EF40/Revenues!EF131</f>
        <v>0.1999324506343223</v>
      </c>
      <c r="EG68" s="53">
        <f>EG40/Revenues!EG131</f>
        <v>0.19335083613246848</v>
      </c>
      <c r="EH68" s="53">
        <f>EH40/Revenues!EH131</f>
        <v>0.21931451308725636</v>
      </c>
      <c r="EI68" s="53">
        <f>EI40/Revenues!EI131</f>
        <v>0.30285119469234895</v>
      </c>
    </row>
    <row r="69" spans="1:139" ht="15" thickTop="1" x14ac:dyDescent="0.3">
      <c r="A69" s="1" t="s">
        <v>447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f>DP41/Revenues!DP132</f>
        <v>-0.54619607038424056</v>
      </c>
      <c r="DQ69" s="52">
        <f>DQ41/Revenues!DQ132</f>
        <v>-0.59134048119837901</v>
      </c>
      <c r="DR69" s="52">
        <f>DR41/Revenues!DR132</f>
        <v>-0.17723662141207</v>
      </c>
      <c r="DS69" s="52">
        <f>DS41/Revenues!DS132</f>
        <v>-8.236790163908847E-2</v>
      </c>
      <c r="DT69" s="52">
        <f>DT41/Revenues!DT132</f>
        <v>-8.4367973408935384E-2</v>
      </c>
      <c r="DU69" s="52">
        <f>DU41/Revenues!DU132</f>
        <v>0.31442139370635452</v>
      </c>
      <c r="DV69" s="52">
        <f>DV41/Revenues!DV132</f>
        <v>2.9314514755475821E-2</v>
      </c>
      <c r="DW69" s="52">
        <f>DW41/Revenues!DW132</f>
        <v>0.44163216355900736</v>
      </c>
      <c r="DX69" s="52">
        <f>DX41/Revenues!DX132</f>
        <v>0.40345725055343939</v>
      </c>
      <c r="DY69" s="52">
        <f>DY41/Revenues!DY132</f>
        <v>0.37693156450540843</v>
      </c>
      <c r="DZ69" s="52">
        <f>DZ41/Revenues!DZ132</f>
        <v>0.36835609089269505</v>
      </c>
      <c r="EA69" s="52">
        <f>EA41/Revenues!EA132</f>
        <v>0.3932127561430378</v>
      </c>
      <c r="EB69" s="52">
        <f>EB41/Revenues!EB132</f>
        <v>0.48075036819633965</v>
      </c>
      <c r="EC69" s="52">
        <f>EC41/Revenues!EC132</f>
        <v>0.46169106213703009</v>
      </c>
      <c r="ED69" s="52">
        <f>ED41/Revenues!ED132</f>
        <v>0.38399880308952522</v>
      </c>
      <c r="EE69" s="52">
        <f>EE41/Revenues!EE132</f>
        <v>0.33831203452395453</v>
      </c>
      <c r="EF69" s="52">
        <f>EF41/Revenues!EF132</f>
        <v>0.40361647558153385</v>
      </c>
      <c r="EG69" s="52">
        <f>EG41/Revenues!EG132</f>
        <v>0.607763698822811</v>
      </c>
      <c r="EH69" s="52">
        <f>EH41/Revenues!EH132</f>
        <v>0.57421848824053956</v>
      </c>
      <c r="EI69" s="52">
        <f>EI41/Revenues!EI132</f>
        <v>0.51623000703096888</v>
      </c>
    </row>
    <row r="70" spans="1:139" ht="15" thickBot="1" x14ac:dyDescent="0.35">
      <c r="A70" s="2" t="s">
        <v>448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f>DT42/Revenues!DT133</f>
        <v>0.54211000901713247</v>
      </c>
      <c r="DU70" s="53">
        <f>DU42/Revenues!DU133</f>
        <v>0.25875230126775528</v>
      </c>
      <c r="DV70" s="53">
        <f>DV42/Revenues!DV133</f>
        <v>0.26882809861533269</v>
      </c>
      <c r="DW70" s="53">
        <f>DW42/Revenues!DW133</f>
        <v>0.27023751576981531</v>
      </c>
      <c r="DX70" s="53">
        <f>DX42/Revenues!DX133</f>
        <v>0.2636789371777824</v>
      </c>
      <c r="DY70" s="53">
        <f>DY42/Revenues!DY133</f>
        <v>0.18569795420670743</v>
      </c>
      <c r="DZ70" s="53">
        <f>DZ42/Revenues!DZ133</f>
        <v>0.28109661936209213</v>
      </c>
      <c r="EA70" s="53">
        <f>EA42/Revenues!EA133</f>
        <v>0.24392779094223999</v>
      </c>
      <c r="EB70" s="53">
        <f>EB42/Revenues!EB133</f>
        <v>0.50596023416936009</v>
      </c>
      <c r="EC70" s="53">
        <f>EC42/Revenues!EC133</f>
        <v>0.49002844653451866</v>
      </c>
      <c r="ED70" s="53">
        <f>ED42/Revenues!ED133</f>
        <v>0.47931009693812665</v>
      </c>
      <c r="EE70" s="53">
        <f>EE42/Revenues!EE133</f>
        <v>0.42293028217419976</v>
      </c>
      <c r="EF70" s="53">
        <f>EF42/Revenues!EF133</f>
        <v>0.4704350046887536</v>
      </c>
      <c r="EG70" s="53">
        <f>EG42/Revenues!EG133</f>
        <v>0.4327225896704589</v>
      </c>
      <c r="EH70" s="53">
        <f>EH42/Revenues!EH133</f>
        <v>0.33342831002331857</v>
      </c>
      <c r="EI70" s="53">
        <f>EI42/Revenues!EI133</f>
        <v>0.32380428096802027</v>
      </c>
    </row>
    <row r="71" spans="1:139" ht="15" thickTop="1" x14ac:dyDescent="0.3">
      <c r="A71" s="1" t="s">
        <v>449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f>DX43/Revenues!DX134</f>
        <v>0.73511288573400368</v>
      </c>
      <c r="DY71" s="52">
        <f>DY43/Revenues!DY134</f>
        <v>0.5687782055214633</v>
      </c>
      <c r="DZ71" s="52">
        <f>DZ43/Revenues!DZ134</f>
        <v>0.49037544291042556</v>
      </c>
      <c r="EA71" s="52">
        <f>EA43/Revenues!EA134</f>
        <v>0.56761025234320295</v>
      </c>
      <c r="EB71" s="52">
        <f>EB43/Revenues!EB134</f>
        <v>0.48659460097275548</v>
      </c>
      <c r="EC71" s="52">
        <f>EC43/Revenues!EC134</f>
        <v>0.45570558456683558</v>
      </c>
      <c r="ED71" s="52">
        <f>ED43/Revenues!ED134</f>
        <v>0.59623787781593129</v>
      </c>
      <c r="EE71" s="52">
        <f>EE43/Revenues!EE134</f>
        <v>0.50926299367534933</v>
      </c>
      <c r="EF71" s="52">
        <f>EF43/Revenues!EF134</f>
        <v>0.51065543577288541</v>
      </c>
      <c r="EG71" s="52">
        <f>EG43/Revenues!EG134</f>
        <v>0.41020022400121481</v>
      </c>
      <c r="EH71" s="52">
        <f>EH43/Revenues!EH134</f>
        <v>0.47743048870550969</v>
      </c>
      <c r="EI71" s="52">
        <f>EI43/Revenues!EI134</f>
        <v>0.4706052440463091</v>
      </c>
    </row>
    <row r="72" spans="1:139" ht="15" thickBot="1" x14ac:dyDescent="0.35">
      <c r="A72" s="2" t="s">
        <v>460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>
        <f>EG44/Revenues!EG135</f>
        <v>0.99620480658551114</v>
      </c>
      <c r="EH72" s="53">
        <f>EH44/Revenues!EH135</f>
        <v>0.8708996682785245</v>
      </c>
      <c r="EI72" s="53">
        <f>EI44/Revenues!EI135</f>
        <v>0.78990108603548592</v>
      </c>
    </row>
    <row r="73" spans="1:139" ht="15" thickTop="1" x14ac:dyDescent="0.3">
      <c r="A73" s="1" t="s">
        <v>304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f>BU45/Revenues!BU136</f>
        <v>0.27731707317073173</v>
      </c>
      <c r="BV73" s="52">
        <f>BV45/Revenues!BV136</f>
        <v>0.35827857142857134</v>
      </c>
      <c r="BW73" s="52">
        <f>BW45/Revenues!BW136</f>
        <v>0.35490605427974942</v>
      </c>
      <c r="BX73" s="52">
        <f>BX45/Revenues!BX136</f>
        <v>0.34569951338199506</v>
      </c>
      <c r="BY73" s="52">
        <f>BY45/Revenues!BY136</f>
        <v>0.30114689709347986</v>
      </c>
      <c r="BZ73" s="52">
        <f>BZ45/Revenues!BZ136</f>
        <v>0.35525482093663913</v>
      </c>
      <c r="CA73" s="52">
        <f>CA45/Revenues!CA136</f>
        <v>0.24703703703703703</v>
      </c>
      <c r="CB73" s="52">
        <f>CB45/Revenues!CB136</f>
        <v>0.23943310657596376</v>
      </c>
      <c r="CC73" s="52">
        <f>CC45/Revenues!CC136</f>
        <v>0.2862586269524155</v>
      </c>
      <c r="CD73" s="52">
        <f>CD45/Revenues!CD136</f>
        <v>0.29041522491349481</v>
      </c>
      <c r="CE73" s="52">
        <f>CE45/Revenues!CE136</f>
        <v>0.26149910233393175</v>
      </c>
      <c r="CF73" s="52">
        <f>CF45/Revenues!CF136</f>
        <v>0.21782347900599833</v>
      </c>
      <c r="CG73" s="52">
        <f>CG45/Revenues!CG136</f>
        <v>0.22143250688705227</v>
      </c>
      <c r="CH73" s="52">
        <f>CH45/Revenues!CH136</f>
        <v>0.24798276623950508</v>
      </c>
      <c r="CI73" s="52">
        <f>CI45/Revenues!CI136</f>
        <v>0.1514629258517034</v>
      </c>
      <c r="CJ73" s="52">
        <f>CJ45/Revenues!CJ136</f>
        <v>-3.6809523809523813E-2</v>
      </c>
      <c r="CK73" s="52">
        <f>CK45/Revenues!CK136</f>
        <v>-0.11325697291531907</v>
      </c>
      <c r="CL73" s="52">
        <f>CL45/Revenues!CL136</f>
        <v>-0.129725026106778</v>
      </c>
      <c r="CM73" s="52">
        <f>CM45/Revenues!CM136</f>
        <v>-1.1438912907132864E-2</v>
      </c>
      <c r="CN73" s="52">
        <f>CN45/Revenues!CN136</f>
        <v>-5.1101243339253991E-2</v>
      </c>
      <c r="CO73" s="52">
        <f>CO45/Revenues!CO136</f>
        <v>-0.19313600000000003</v>
      </c>
      <c r="CP73" s="52">
        <f>CP45/Revenues!CP136</f>
        <v>-0.11321856287425147</v>
      </c>
      <c r="CQ73" s="52">
        <f>CQ45/Revenues!CQ136</f>
        <v>-0.12614825581395353</v>
      </c>
      <c r="CR73" s="52">
        <f>CR45/Revenues!CR136</f>
        <v>-0.12260220125786164</v>
      </c>
      <c r="CS73" s="52">
        <f>CS45/Revenues!CS136</f>
        <v>-6.4587551337129442E-2</v>
      </c>
      <c r="CT73" s="52">
        <f>CT45/Revenues!CT136</f>
        <v>-0.2345353405850788</v>
      </c>
      <c r="CU73" s="52">
        <f>CU45/Revenues!CU136</f>
        <v>4.6682160602660679E-2</v>
      </c>
      <c r="CV73" s="52">
        <f>CV45/Revenues!CV136</f>
        <v>-3.1006729119936693E-2</v>
      </c>
      <c r="CW73" s="52">
        <f>CW45/Revenues!CW136</f>
        <v>-6.9816403269253771E-2</v>
      </c>
      <c r="CX73" s="52">
        <f>CX45/Revenues!CX136</f>
        <v>0.27025069829994131</v>
      </c>
      <c r="CY73" s="52">
        <f>CY45/Revenues!CY136</f>
        <v>-5.8657093309805591E-2</v>
      </c>
      <c r="CZ73" s="52">
        <f>CZ45/Revenues!CZ136</f>
        <v>0.14668324397130056</v>
      </c>
      <c r="DA73" s="52">
        <f>DA45/Revenues!DA136</f>
        <v>3.4488899442004041E-2</v>
      </c>
      <c r="DB73" s="52">
        <f>DB45/Revenues!DB136</f>
        <v>9.4911565437104495E-2</v>
      </c>
      <c r="DC73" s="52">
        <f>DC45/Revenues!DC136</f>
        <v>8.9113742006728489E-2</v>
      </c>
      <c r="DD73" s="52">
        <f>DD45/Revenues!DD136</f>
        <v>0.12196904826549153</v>
      </c>
      <c r="DE73" s="52">
        <f>DE45/Revenues!DE136</f>
        <v>8.7324529959991654E-2</v>
      </c>
      <c r="DF73" s="52">
        <f>DF45/Revenues!DF136</f>
        <v>1.0758150721539286</v>
      </c>
      <c r="DG73" s="52">
        <f>DG45/Revenues!DG136</f>
        <v>0.31850180020420232</v>
      </c>
      <c r="DH73" s="52">
        <f>DH45/Revenues!DH136</f>
        <v>-6.6033639232261257E-2</v>
      </c>
      <c r="DI73" s="52">
        <f>DI45/Revenues!DI136</f>
        <v>0.14387063629914132</v>
      </c>
      <c r="DJ73" s="52">
        <f>DJ45/Revenues!DJ136</f>
        <v>0.13381726005300149</v>
      </c>
      <c r="DK73" s="52">
        <f>DK45/Revenues!DK136</f>
        <v>-1.3501859760297561</v>
      </c>
      <c r="DL73" s="52">
        <f>DL45/Revenues!DL136</f>
        <v>-0.34899898601645957</v>
      </c>
      <c r="DM73" s="52">
        <f>DM45/Revenues!DM136</f>
        <v>0.20755112376228982</v>
      </c>
      <c r="DN73" s="52">
        <f>DN45/Revenues!DN136</f>
        <v>0.18210232233280951</v>
      </c>
      <c r="DO73" s="52">
        <f>DO45/Revenues!DO136</f>
        <v>0.19290179605067312</v>
      </c>
      <c r="DP73" s="52">
        <f>DP45/Revenues!DP136</f>
        <v>0.18601180495003014</v>
      </c>
      <c r="DQ73" s="52">
        <f>DQ45/Revenues!DQ136</f>
        <v>0.19208984166897516</v>
      </c>
      <c r="DR73" s="52">
        <f>DR45/Revenues!DR136</f>
        <v>0.17421752863478285</v>
      </c>
      <c r="DS73" s="52">
        <f>DS45/Revenues!DS136</f>
        <v>0.13865564373262662</v>
      </c>
      <c r="DT73" s="52">
        <f>DT45/Revenues!DT136</f>
        <v>0.23473415635976699</v>
      </c>
      <c r="DU73" s="52">
        <f>DU45/Revenues!DU136</f>
        <v>0.21666974947078532</v>
      </c>
      <c r="DV73" s="52">
        <f>DV45/Revenues!DV136</f>
        <v>0.1961575850924149</v>
      </c>
      <c r="DW73" s="52">
        <f>DW45/Revenues!DW136</f>
        <v>0.31676287084588944</v>
      </c>
      <c r="DX73" s="52">
        <f>DX45/Revenues!DX136</f>
        <v>0.21085940123472741</v>
      </c>
      <c r="DY73" s="52">
        <f>DY45/Revenues!DY136</f>
        <v>-8.8993580518045221E-2</v>
      </c>
      <c r="DZ73" s="52">
        <f>DZ45/Revenues!DZ136</f>
        <v>9.744578777007698E-2</v>
      </c>
      <c r="EA73" s="52">
        <f>EA45/Revenues!EA136</f>
        <v>0.15732323368242332</v>
      </c>
      <c r="EB73" s="52">
        <f>EB45/Revenues!EB136</f>
        <v>0.16604137828963134</v>
      </c>
      <c r="EC73" s="52">
        <f>EC45/Revenues!EC136</f>
        <v>0.27988801682046899</v>
      </c>
      <c r="ED73" s="52">
        <f>ED45/Revenues!ED136</f>
        <v>0.1677228452052881</v>
      </c>
      <c r="EE73" s="52">
        <f>EE45/Revenues!EE136</f>
        <v>0.12370990296582084</v>
      </c>
      <c r="EF73" s="52">
        <f>EF45/Revenues!EF136</f>
        <v>0.18447539336250859</v>
      </c>
      <c r="EG73" s="52">
        <f>EG45/Revenues!EG136</f>
        <v>0.26263989927352294</v>
      </c>
      <c r="EH73" s="52">
        <f>EH45/Revenues!EH136</f>
        <v>0.23221860947960582</v>
      </c>
      <c r="EI73" s="52">
        <f>EI45/Revenues!EI136</f>
        <v>0.22323538757786202</v>
      </c>
    </row>
    <row r="74" spans="1:139" ht="15" thickBot="1" x14ac:dyDescent="0.35">
      <c r="A74" s="2" t="s">
        <v>305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53">
        <v>0</v>
      </c>
      <c r="BK74" s="53">
        <v>0</v>
      </c>
      <c r="BL74" s="53">
        <v>0</v>
      </c>
      <c r="BM74" s="53">
        <v>0</v>
      </c>
      <c r="BN74" s="53">
        <v>0</v>
      </c>
      <c r="BO74" s="53">
        <v>0</v>
      </c>
      <c r="BP74" s="53">
        <v>0</v>
      </c>
      <c r="BQ74" s="53">
        <v>0</v>
      </c>
      <c r="BR74" s="53">
        <v>0</v>
      </c>
      <c r="BS74" s="53">
        <v>0</v>
      </c>
      <c r="BT74" s="53">
        <v>0</v>
      </c>
      <c r="BU74" s="53">
        <v>0</v>
      </c>
      <c r="BV74" s="53">
        <v>0</v>
      </c>
      <c r="BW74" s="53">
        <v>0</v>
      </c>
      <c r="BX74" s="53">
        <v>0</v>
      </c>
      <c r="BY74" s="53">
        <v>0</v>
      </c>
      <c r="BZ74" s="53">
        <v>0</v>
      </c>
      <c r="CA74" s="53">
        <v>0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0</v>
      </c>
      <c r="CH74" s="53">
        <v>0</v>
      </c>
      <c r="CI74" s="53">
        <v>0</v>
      </c>
      <c r="CJ74" s="53">
        <v>0</v>
      </c>
      <c r="CK74" s="53">
        <v>0</v>
      </c>
      <c r="CL74" s="53">
        <v>0</v>
      </c>
      <c r="CM74" s="53">
        <v>0</v>
      </c>
      <c r="CN74" s="53">
        <v>0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0</v>
      </c>
      <c r="DB74" s="53">
        <v>0</v>
      </c>
      <c r="DC74" s="53">
        <f>DC46/Revenues!DC137</f>
        <v>0</v>
      </c>
      <c r="DD74" s="53">
        <f>DD46/Revenues!DD137</f>
        <v>0</v>
      </c>
      <c r="DE74" s="53">
        <f>DE46/Revenues!DE137</f>
        <v>0.35168018539976781</v>
      </c>
      <c r="DF74" s="53">
        <f>DF46/Revenues!DF137</f>
        <v>5.3241465706232387E-2</v>
      </c>
      <c r="DG74" s="53">
        <f>DG46/Revenues!DG137</f>
        <v>9.5519094223757331E-2</v>
      </c>
      <c r="DH74" s="53">
        <f>DH46/Revenues!DH137</f>
        <v>0.50578956200704805</v>
      </c>
      <c r="DI74" s="53">
        <f>DI46/Revenues!DI137</f>
        <v>0.54670852359208522</v>
      </c>
      <c r="DJ74" s="53">
        <f>DJ46/Revenues!DJ137</f>
        <v>0.36454893673226779</v>
      </c>
      <c r="DK74" s="53">
        <f>DK46/Revenues!DK137</f>
        <v>-0.15754159957058506</v>
      </c>
      <c r="DL74" s="53">
        <f>DL46/Revenues!DL137</f>
        <v>0.3937626044367617</v>
      </c>
      <c r="DM74" s="53">
        <f>DM46/Revenues!DM137</f>
        <v>0.3614912694667296</v>
      </c>
      <c r="DN74" s="53">
        <f>DN46/Revenues!DN137</f>
        <v>0.56368480377087815</v>
      </c>
      <c r="DO74" s="53">
        <f>DO46/Revenues!DO137</f>
        <v>-1.9045379731953915E-2</v>
      </c>
      <c r="DP74" s="53">
        <f>DP46/Revenues!DP137</f>
        <v>-0.21598127716482785</v>
      </c>
      <c r="DQ74" s="53">
        <f>DQ46/Revenues!DQ137</f>
        <v>0.30273972602739729</v>
      </c>
      <c r="DR74" s="53">
        <f>DR46/Revenues!DR137</f>
        <v>0.41608391608391615</v>
      </c>
      <c r="DS74" s="53">
        <f>DS46/Revenues!DS137</f>
        <v>0.428220255653884</v>
      </c>
      <c r="DT74" s="53">
        <f>DT46/Revenues!DT137</f>
        <v>-0.93915630070308265</v>
      </c>
      <c r="DU74" s="53">
        <f>DU46/Revenues!DU137</f>
        <v>0.37250933997509339</v>
      </c>
      <c r="DV74" s="53">
        <f>DV46/Revenues!DV137</f>
        <v>5.8456578117333714E-2</v>
      </c>
      <c r="DW74" s="53">
        <f>DW46/Revenues!DW137</f>
        <v>0.61281751514507388</v>
      </c>
      <c r="DX74" s="53">
        <f>DX46/Revenues!DX137</f>
        <v>0.65826463035545335</v>
      </c>
      <c r="DY74" s="53">
        <f>DY46/Revenues!DY137</f>
        <v>0.63063166649541169</v>
      </c>
      <c r="DZ74" s="53">
        <f>DZ46/Revenues!DZ137</f>
        <v>0.56567259762543043</v>
      </c>
      <c r="EA74" s="53">
        <f>EA46/Revenues!EA137</f>
        <v>0.61859621161071121</v>
      </c>
      <c r="EB74" s="53">
        <f>EB46/Revenues!EB137</f>
        <v>0.60297922069149967</v>
      </c>
      <c r="EC74" s="53">
        <f>EC46/Revenues!EC137</f>
        <v>0.50545205757267142</v>
      </c>
      <c r="ED74" s="53">
        <f>ED46/Revenues!ED137</f>
        <v>0.48682610458046205</v>
      </c>
      <c r="EE74" s="53">
        <f>EE46/Revenues!EE137</f>
        <v>-3.6019814329277495</v>
      </c>
      <c r="EF74" s="53">
        <f>EF46/Revenues!EF137</f>
        <v>-6.224304566551133E-2</v>
      </c>
      <c r="EG74" s="53">
        <f>EG46/Revenues!EG137</f>
        <v>0.41689895015415052</v>
      </c>
      <c r="EH74" s="53">
        <f>EH46/Revenues!EH137</f>
        <v>0.57133751083622319</v>
      </c>
      <c r="EI74" s="53">
        <f>EI46/Revenues!EI137</f>
        <v>0.55502977762098149</v>
      </c>
    </row>
    <row r="75" spans="1:139" ht="15" thickTop="1" x14ac:dyDescent="0.3">
      <c r="A75" s="1" t="s">
        <v>306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52">
        <f>BJ47/Revenues!BJ138</f>
        <v>0.61824561403508771</v>
      </c>
      <c r="BK75" s="52">
        <f>BK47/Revenues!BK138</f>
        <v>0.60139737991266373</v>
      </c>
      <c r="BL75" s="52">
        <f>BL47/Revenues!BL138</f>
        <v>0.57457983193277318</v>
      </c>
      <c r="BM75" s="52">
        <f>BM47/Revenues!BM138</f>
        <v>0.53627192982456151</v>
      </c>
      <c r="BN75" s="52">
        <f>BN47/Revenues!BN138</f>
        <v>0.58255687973997838</v>
      </c>
      <c r="BO75" s="52">
        <f>BO47/Revenues!BO138</f>
        <v>0.57600000000000007</v>
      </c>
      <c r="BP75" s="52">
        <f>BP47/Revenues!BP138</f>
        <v>0.5124896265560166</v>
      </c>
      <c r="BQ75" s="52">
        <f>BQ47/Revenues!BQ138</f>
        <v>0.59314285714285719</v>
      </c>
      <c r="BR75" s="52">
        <f>BR47/Revenues!BR138</f>
        <v>0.49341085271317814</v>
      </c>
      <c r="BS75" s="52">
        <f>BS47/Revenues!BS138</f>
        <v>0.54538017324350341</v>
      </c>
      <c r="BT75" s="52">
        <f>BT47/Revenues!BT138</f>
        <v>0.52365591397849465</v>
      </c>
      <c r="BU75" s="52">
        <f>BU47/Revenues!BU138</f>
        <v>0.54025454545454543</v>
      </c>
      <c r="BV75" s="52">
        <f>BV47/Revenues!BV138</f>
        <v>0.45150375939849619</v>
      </c>
      <c r="BW75" s="52">
        <f>BW47/Revenues!BW138</f>
        <v>0.39204379562043812</v>
      </c>
      <c r="BX75" s="52">
        <f>BX47/Revenues!BX138</f>
        <v>0.4773217550274223</v>
      </c>
      <c r="BY75" s="52">
        <f>BY47/Revenues!BY138</f>
        <v>0.44757142857142856</v>
      </c>
      <c r="BZ75" s="52">
        <f>BZ47/Revenues!BZ138</f>
        <v>0.39199999999999996</v>
      </c>
      <c r="CA75" s="52">
        <f>CA47/Revenues!CA138</f>
        <v>0.36494661921708177</v>
      </c>
      <c r="CB75" s="52">
        <f>CB47/Revenues!CB138</f>
        <v>0.19776435045317217</v>
      </c>
      <c r="CC75" s="52">
        <f>CC47/Revenues!CC138</f>
        <v>0.34393344709897611</v>
      </c>
      <c r="CD75" s="52">
        <f>CD47/Revenues!CD138</f>
        <v>0.46523809523809523</v>
      </c>
      <c r="CE75" s="52">
        <f>CE47/Revenues!CE138</f>
        <v>0.40599593495934966</v>
      </c>
      <c r="CF75" s="52">
        <f>CF47/Revenues!CF138</f>
        <v>0.30503296703296701</v>
      </c>
      <c r="CG75" s="52">
        <f>CG47/Revenues!CG138</f>
        <v>0.1985249457700651</v>
      </c>
      <c r="CH75" s="52">
        <f>CH47/Revenues!CH138</f>
        <v>0.33926091825307958</v>
      </c>
      <c r="CI75" s="52">
        <f>CI47/Revenues!CI138</f>
        <v>0.4058474576271186</v>
      </c>
      <c r="CJ75" s="52">
        <f>CJ47/Revenues!CJ138</f>
        <v>0.33139874739039671</v>
      </c>
      <c r="CK75" s="52">
        <f>CK47/Revenues!CK138</f>
        <v>0.38288379032783176</v>
      </c>
      <c r="CL75" s="52">
        <f>CL47/Revenues!CL138</f>
        <v>0.41076517653842931</v>
      </c>
      <c r="CM75" s="52">
        <f>CM47/Revenues!CM138</f>
        <v>0.38335664117191259</v>
      </c>
      <c r="CN75" s="52">
        <f>CN47/Revenues!CN138</f>
        <v>0.45699134199134195</v>
      </c>
      <c r="CO75" s="52">
        <f>CO47/Revenues!CO138</f>
        <v>0.3892239467849225</v>
      </c>
      <c r="CP75" s="52">
        <f>CP47/Revenues!CP138</f>
        <v>0.34025316455696197</v>
      </c>
      <c r="CQ75" s="52">
        <f>CQ47/Revenues!CQ138</f>
        <v>-0.57962742766547792</v>
      </c>
      <c r="CR75" s="52">
        <f>CR47/Revenues!CR138</f>
        <v>0.24504971634234132</v>
      </c>
      <c r="CS75" s="52">
        <f>CS47/Revenues!CS138</f>
        <v>0.16695345922089308</v>
      </c>
      <c r="CT75" s="52">
        <f>CT47/Revenues!CT138</f>
        <v>0.13298702584999195</v>
      </c>
      <c r="CU75" s="52">
        <f>CU47/Revenues!CU138</f>
        <v>0.11583693127128224</v>
      </c>
      <c r="CV75" s="52">
        <f>CV47/Revenues!CV138</f>
        <v>6.7259092084538175E-2</v>
      </c>
      <c r="CW75" s="52">
        <f>CW47/Revenues!CW138</f>
        <v>0.12109123590293683</v>
      </c>
      <c r="CX75" s="52">
        <f>CX47/Revenues!CX138</f>
        <v>0.26063035074821544</v>
      </c>
      <c r="CY75" s="52">
        <f>CY47/Revenues!CY138</f>
        <v>0.20580322828593386</v>
      </c>
      <c r="CZ75" s="52">
        <f>CZ47/Revenues!CZ138</f>
        <v>0.12475993499778401</v>
      </c>
      <c r="DA75" s="52">
        <f>DA47/Revenues!DA138</f>
        <v>-0.22486535008976663</v>
      </c>
      <c r="DB75" s="52">
        <f>DB47/Revenues!DB138</f>
        <v>9.4865576201851501E-2</v>
      </c>
      <c r="DC75" s="52">
        <f>DC47/Revenues!DC138</f>
        <v>6.4532446885388062E-2</v>
      </c>
      <c r="DD75" s="52">
        <f>DD47/Revenues!DD138</f>
        <v>0.11528719272429015</v>
      </c>
      <c r="DE75" s="52">
        <f>DE47/Revenues!DE138</f>
        <v>-0.88908883055296817</v>
      </c>
      <c r="DF75" s="52">
        <f>DF47/Revenues!DF138</f>
        <v>0.63447058107203014</v>
      </c>
      <c r="DG75" s="52">
        <f>DG47/Revenues!DG138</f>
        <v>-1.8264483992110291E-2</v>
      </c>
      <c r="DH75" s="52">
        <f>DH47/Revenues!DH138</f>
        <v>0.18512249891074842</v>
      </c>
      <c r="DI75" s="52">
        <f>DI47/Revenues!DI138</f>
        <v>0.22595332953898689</v>
      </c>
      <c r="DJ75" s="52">
        <f>DJ47/Revenues!DJ138</f>
        <v>0.11021942133162654</v>
      </c>
      <c r="DK75" s="52">
        <f>DK47/Revenues!DK138</f>
        <v>0.22311511014582688</v>
      </c>
      <c r="DL75" s="52">
        <f>DL47/Revenues!DL138</f>
        <v>0.18672788183093911</v>
      </c>
      <c r="DM75" s="52">
        <f>DM47/Revenues!DM138</f>
        <v>0.32093955248803302</v>
      </c>
      <c r="DN75" s="52">
        <f>DN47/Revenues!DN138</f>
        <v>0.33239066888129848</v>
      </c>
      <c r="DO75" s="52">
        <f>DO47/Revenues!DO138</f>
        <v>0.17134733585137077</v>
      </c>
      <c r="DP75" s="52">
        <f>DP47/Revenues!DP138</f>
        <v>1.0391818156891778E-2</v>
      </c>
      <c r="DQ75" s="52">
        <f>DQ47/Revenues!DQ138</f>
        <v>0.20786815874363887</v>
      </c>
      <c r="DR75" s="52">
        <f>DR47/Revenues!DR138</f>
        <v>0.11216346928905367</v>
      </c>
      <c r="DS75" s="52">
        <f>DS47/Revenues!DS138</f>
        <v>0.25178609798023205</v>
      </c>
      <c r="DT75" s="52">
        <f>DT47/Revenues!DT138</f>
        <v>0.20709242879169032</v>
      </c>
      <c r="DU75" s="52">
        <f>DU47/Revenues!DU138</f>
        <v>0.18083667747787369</v>
      </c>
      <c r="DV75" s="52">
        <f>DV47/Revenues!DV138</f>
        <v>0.18756951238555353</v>
      </c>
      <c r="DW75" s="52">
        <f>DW47/Revenues!DW138</f>
        <v>0.52198908741774597</v>
      </c>
      <c r="DX75" s="52">
        <f>DX47/Revenues!DX138</f>
        <v>0.33651234238401956</v>
      </c>
      <c r="DY75" s="52">
        <f>DY47/Revenues!DY138</f>
        <v>0.2663694824801951</v>
      </c>
      <c r="DZ75" s="52">
        <f>DZ47/Revenues!DZ138</f>
        <v>0.22261777072603223</v>
      </c>
      <c r="EA75" s="52">
        <f>EA47/Revenues!EA138</f>
        <v>0.33342180484462358</v>
      </c>
      <c r="EB75" s="52">
        <f>EB47/Revenues!EB138</f>
        <v>0.30368803738477645</v>
      </c>
      <c r="EC75" s="52">
        <f>EC47/Revenues!EC138</f>
        <v>0.31412133404989362</v>
      </c>
      <c r="ED75" s="52">
        <f>ED47/Revenues!ED138</f>
        <v>0.20171539656334564</v>
      </c>
      <c r="EE75" s="52">
        <f>EE47/Revenues!EE138</f>
        <v>0.23755167382647049</v>
      </c>
      <c r="EF75" s="52">
        <f>EF47/Revenues!EF138</f>
        <v>0.26453301176527305</v>
      </c>
      <c r="EG75" s="52">
        <f>EG47/Revenues!EG138</f>
        <v>0.3760289034999556</v>
      </c>
      <c r="EH75" s="52">
        <f>EH47/Revenues!EH138</f>
        <v>0.38134344798184644</v>
      </c>
      <c r="EI75" s="52">
        <f>EI47/Revenues!EI138</f>
        <v>0.34861391142348508</v>
      </c>
    </row>
    <row r="76" spans="1:139" ht="15" thickBot="1" x14ac:dyDescent="0.35">
      <c r="A76" s="2" t="s">
        <v>323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  <c r="BR76" s="53">
        <v>0</v>
      </c>
      <c r="BS76" s="53">
        <v>0</v>
      </c>
      <c r="BT76" s="53">
        <v>0</v>
      </c>
      <c r="BU76" s="53">
        <v>0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  <c r="DN76" s="53">
        <v>0</v>
      </c>
      <c r="DO76" s="53">
        <v>0</v>
      </c>
      <c r="DP76" s="53">
        <v>0</v>
      </c>
      <c r="DQ76" s="53">
        <v>0</v>
      </c>
      <c r="DR76" s="53">
        <v>0</v>
      </c>
      <c r="DS76" s="53">
        <v>0</v>
      </c>
      <c r="DT76" s="53">
        <v>0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0</v>
      </c>
      <c r="EA76" s="53">
        <v>0</v>
      </c>
      <c r="EB76" s="53">
        <v>0</v>
      </c>
      <c r="EC76" s="53">
        <v>0</v>
      </c>
      <c r="ED76" s="53">
        <v>0</v>
      </c>
      <c r="EE76" s="53">
        <v>0</v>
      </c>
      <c r="EF76" s="53">
        <v>0</v>
      </c>
      <c r="EG76" s="53">
        <v>0</v>
      </c>
      <c r="EH76" s="53">
        <v>0</v>
      </c>
      <c r="EI76" s="53">
        <v>0</v>
      </c>
    </row>
    <row r="77" spans="1:139" ht="15" thickTop="1" x14ac:dyDescent="0.3">
      <c r="A77" s="1" t="s">
        <v>322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f>EE49/Revenues!EE140</f>
        <v>-0.36022373934901758</v>
      </c>
      <c r="EF77" s="52">
        <f>EF49/Revenues!EF140</f>
        <v>-0.41704241387164287</v>
      </c>
      <c r="EG77" s="52">
        <f>EG49/Revenues!EG140</f>
        <v>-0.39335104511071639</v>
      </c>
      <c r="EH77" s="52">
        <f>EH49/Revenues!EH140</f>
        <v>-0.40502339532652926</v>
      </c>
      <c r="EI77" s="52">
        <f>EI49/Revenues!EI140</f>
        <v>0.28002681109587024</v>
      </c>
    </row>
    <row r="78" spans="1:139" ht="15" thickBot="1" x14ac:dyDescent="0.35">
      <c r="A78" s="2" t="s">
        <v>370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53">
        <f>BJ50/Revenues!BJ139</f>
        <v>0.25185185185185188</v>
      </c>
      <c r="BK78" s="53">
        <f>BK50/Revenues!BK139</f>
        <v>0.4403125</v>
      </c>
      <c r="BL78" s="53">
        <f>BL50/Revenues!BL139</f>
        <v>-0.26478260869565212</v>
      </c>
      <c r="BM78" s="53">
        <f>BM50/Revenues!BM139</f>
        <v>-0.1800160996255589</v>
      </c>
      <c r="BN78" s="53">
        <f>BN50/Revenues!BN139</f>
        <v>5.9150582574673427E-2</v>
      </c>
      <c r="BO78" s="53">
        <f>BO50/Revenues!BO139</f>
        <v>0.16581490385873146</v>
      </c>
      <c r="BP78" s="53">
        <f>BP50/Revenues!BP139</f>
        <v>0.23029690659855817</v>
      </c>
      <c r="BQ78" s="53">
        <f>BQ50/Revenues!BQ139</f>
        <v>0.26899081724643675</v>
      </c>
      <c r="BR78" s="53">
        <f>BR50/Revenues!BR139</f>
        <v>0.2460416579379657</v>
      </c>
      <c r="BS78" s="53">
        <f>BS50/Revenues!BS139</f>
        <v>0.23094703386160514</v>
      </c>
      <c r="BT78" s="53">
        <v>0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0</v>
      </c>
      <c r="CA78" s="53">
        <v>0</v>
      </c>
      <c r="CB78" s="53">
        <v>0</v>
      </c>
      <c r="CC78" s="53">
        <v>0</v>
      </c>
      <c r="CD78" s="53">
        <v>0</v>
      </c>
      <c r="CE78" s="53">
        <v>0</v>
      </c>
      <c r="CF78" s="53">
        <v>0</v>
      </c>
      <c r="CG78" s="53">
        <v>0</v>
      </c>
      <c r="CH78" s="53">
        <v>0</v>
      </c>
      <c r="CI78" s="53">
        <v>0</v>
      </c>
      <c r="CJ78" s="53">
        <v>0</v>
      </c>
      <c r="CK78" s="53">
        <v>0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0</v>
      </c>
      <c r="DL78" s="53">
        <v>0</v>
      </c>
      <c r="DM78" s="53">
        <v>0</v>
      </c>
      <c r="DN78" s="53">
        <v>0</v>
      </c>
      <c r="DO78" s="53">
        <v>0</v>
      </c>
      <c r="DP78" s="53">
        <v>0</v>
      </c>
      <c r="DQ78" s="53">
        <v>0</v>
      </c>
      <c r="DR78" s="53">
        <v>0</v>
      </c>
      <c r="DS78" s="53">
        <v>0</v>
      </c>
      <c r="DT78" s="53">
        <v>0</v>
      </c>
      <c r="DU78" s="53">
        <v>0</v>
      </c>
      <c r="DV78" s="53">
        <v>0</v>
      </c>
      <c r="DW78" s="53">
        <v>0</v>
      </c>
      <c r="DX78" s="53">
        <v>0</v>
      </c>
      <c r="DY78" s="53">
        <v>0</v>
      </c>
      <c r="DZ78" s="53">
        <v>0</v>
      </c>
      <c r="EA78" s="53">
        <v>0</v>
      </c>
      <c r="EB78" s="53">
        <v>0</v>
      </c>
      <c r="EC78" s="53">
        <v>0</v>
      </c>
      <c r="ED78" s="53">
        <v>0</v>
      </c>
      <c r="EE78" s="53">
        <f>EE50/Revenues!EE141</f>
        <v>0</v>
      </c>
      <c r="EF78" s="53">
        <f>EF50/Revenues!EF141</f>
        <v>0</v>
      </c>
      <c r="EG78" s="53">
        <f>EG50/Revenues!EG141</f>
        <v>0</v>
      </c>
      <c r="EH78" s="53">
        <f>EH50/Revenues!EH141</f>
        <v>0</v>
      </c>
      <c r="EI78" s="53">
        <f>EI50/Revenues!EI141</f>
        <v>0</v>
      </c>
    </row>
    <row r="79" spans="1:139" ht="15" thickTop="1" x14ac:dyDescent="0.3">
      <c r="A79" s="1" t="s">
        <v>338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f>EE51/Revenues!EE142</f>
        <v>-3.810244144202217E-7</v>
      </c>
      <c r="EF79" s="52">
        <f>EF51/Revenues!EF142</f>
        <v>8.7785591505835185E-5</v>
      </c>
      <c r="EG79" s="52">
        <f>EG51/Revenues!EG142</f>
        <v>1.073788589261004E-4</v>
      </c>
      <c r="EH79" s="52">
        <f>EH51/Revenues!EH142</f>
        <v>3.3120305528088704E-4</v>
      </c>
      <c r="EI79" s="52">
        <f>EI51/Revenues!EI142</f>
        <v>-2.2654725995703724E-4</v>
      </c>
    </row>
    <row r="80" spans="1:139" x14ac:dyDescent="0.3">
      <c r="A80" s="2" t="s">
        <v>331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>
        <v>0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  <c r="DK80" s="53">
        <v>0</v>
      </c>
      <c r="DL80" s="53">
        <v>0</v>
      </c>
      <c r="DM80" s="53">
        <v>0</v>
      </c>
      <c r="DN80" s="53">
        <v>0</v>
      </c>
      <c r="DO80" s="53">
        <v>0</v>
      </c>
      <c r="DP80" s="53">
        <v>0</v>
      </c>
      <c r="DQ80" s="53">
        <v>0</v>
      </c>
      <c r="DR80" s="53">
        <v>0</v>
      </c>
      <c r="DS80" s="53">
        <v>0</v>
      </c>
      <c r="DT80" s="53">
        <v>0</v>
      </c>
      <c r="DU80" s="53">
        <v>0</v>
      </c>
      <c r="DV80" s="53">
        <v>0</v>
      </c>
      <c r="DW80" s="53">
        <v>0</v>
      </c>
      <c r="DX80" s="53">
        <v>0</v>
      </c>
      <c r="DY80" s="53">
        <v>0</v>
      </c>
      <c r="DZ80" s="53">
        <v>0</v>
      </c>
      <c r="EA80" s="53">
        <v>0</v>
      </c>
      <c r="EB80" s="53">
        <v>0</v>
      </c>
      <c r="EC80" s="53">
        <v>0</v>
      </c>
      <c r="ED80" s="53">
        <v>0</v>
      </c>
      <c r="EE80" s="53">
        <v>0</v>
      </c>
      <c r="EF80" s="53">
        <v>0</v>
      </c>
      <c r="EG80" s="53">
        <v>0</v>
      </c>
      <c r="EH80" s="53">
        <v>0</v>
      </c>
      <c r="EI80" s="53">
        <v>0</v>
      </c>
    </row>
    <row r="81" spans="1:139" x14ac:dyDescent="0.3">
      <c r="A81" s="5" t="s">
        <v>311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54">
        <f>BJ54/Revenues!BJ142</f>
        <v>0.54548884527793851</v>
      </c>
      <c r="BK81" s="54">
        <f>BK54/Revenues!BK142</f>
        <v>0.58293146823014352</v>
      </c>
      <c r="BL81" s="54">
        <f>BL54/Revenues!BL142</f>
        <v>0.58727275224255948</v>
      </c>
      <c r="BM81" s="54">
        <f>BM54/Revenues!BM142</f>
        <v>0.56235876251061756</v>
      </c>
      <c r="BN81" s="54">
        <f>BN54/Revenues!BN142</f>
        <v>0.56905798225309523</v>
      </c>
      <c r="BO81" s="54">
        <f>BO54/Revenues!BO142</f>
        <v>0.55611281715729333</v>
      </c>
      <c r="BP81" s="54">
        <f>BP54/Revenues!BP142</f>
        <v>0.49903270046319742</v>
      </c>
      <c r="BQ81" s="54">
        <f>BQ54/Revenues!BQ142</f>
        <v>0.53151470098404907</v>
      </c>
      <c r="BR81" s="54">
        <f>BR54/Revenues!BR142</f>
        <v>0.51112629422381051</v>
      </c>
      <c r="BS81" s="54">
        <f>BS54/Revenues!BS142</f>
        <v>0.52385633756006778</v>
      </c>
      <c r="BT81" s="54">
        <f>BT54/Revenues!BT142</f>
        <v>0.60638450148075018</v>
      </c>
      <c r="BU81" s="54">
        <f>BU54/Revenues!BU142</f>
        <v>0.5196605695356924</v>
      </c>
      <c r="BV81" s="54">
        <f>BV54/Revenues!BV142</f>
        <v>0.49940172793982102</v>
      </c>
      <c r="BW81" s="54">
        <f>BW54/Revenues!BW142</f>
        <v>0.45456203803077067</v>
      </c>
      <c r="BX81" s="54">
        <f>BX54/Revenues!BX142</f>
        <v>0.51083819505762362</v>
      </c>
      <c r="BY81" s="54">
        <f>BY54/Revenues!BY142</f>
        <v>0.52215869106263191</v>
      </c>
      <c r="BZ81" s="54">
        <f>BZ54/Revenues!BZ142</f>
        <v>0.44165315797522547</v>
      </c>
      <c r="CA81" s="54">
        <f>CA54/Revenues!CA142</f>
        <v>0.44481979405034316</v>
      </c>
      <c r="CB81" s="54">
        <f>CB54/Revenues!CB142</f>
        <v>0.41653706800445933</v>
      </c>
      <c r="CC81" s="54">
        <f>CC54/Revenues!CC142</f>
        <v>0.45300178091015886</v>
      </c>
      <c r="CD81" s="54">
        <f>CD54/Revenues!CD142</f>
        <v>0.87762430021178717</v>
      </c>
      <c r="CE81" s="54">
        <f>CE54/Revenues!CE142</f>
        <v>0.32231839719196004</v>
      </c>
      <c r="CF81" s="54">
        <f>CF54/Revenues!CF142</f>
        <v>0.42026951151038749</v>
      </c>
      <c r="CG81" s="54">
        <f>CG54/Revenues!CG142</f>
        <v>0.40771972789115646</v>
      </c>
      <c r="CH81" s="54">
        <f>CH54/Revenues!CH142</f>
        <v>0.4926115445799123</v>
      </c>
      <c r="CI81" s="54">
        <f>CI54/Revenues!CI142</f>
        <v>0.48223016336056013</v>
      </c>
      <c r="CJ81" s="54">
        <f>CJ54/Revenues!CJ142</f>
        <v>0.43950392038600716</v>
      </c>
      <c r="CK81" s="54">
        <f>CK54/Revenues!CK142</f>
        <v>0.47900504982845604</v>
      </c>
      <c r="CL81" s="54">
        <f>CL54/Revenues!CL142</f>
        <v>0.53497530986184361</v>
      </c>
      <c r="CM81" s="54">
        <f>CM54/Revenues!CM142</f>
        <v>0.48442778179581503</v>
      </c>
      <c r="CN81" s="54">
        <f>CN54/Revenues!CN142</f>
        <v>0.58108230328610178</v>
      </c>
      <c r="CO81" s="54">
        <f>CO54/Revenues!CO142</f>
        <v>3.766476075835086E-2</v>
      </c>
      <c r="CP81" s="54">
        <f>CP54/Revenues!CP142</f>
        <v>0.46923484246756691</v>
      </c>
      <c r="CQ81" s="54">
        <f>CQ54/Revenues!CQ142</f>
        <v>0.46868285879055294</v>
      </c>
      <c r="CR81" s="54">
        <f>CR54/Revenues!CR142</f>
        <v>0.39393219584097738</v>
      </c>
      <c r="CS81" s="54">
        <f>CS54/Revenues!CS142</f>
        <v>0.59209000517466137</v>
      </c>
      <c r="CT81" s="54">
        <f>CT54/Revenues!CT142</f>
        <v>0.52496475157536249</v>
      </c>
      <c r="CU81" s="54">
        <f>CU54/Revenues!CU142</f>
        <v>0.52736930290641626</v>
      </c>
      <c r="CV81" s="54">
        <f>CV54/Revenues!CV142</f>
        <v>0.48893759156139904</v>
      </c>
      <c r="CW81" s="54">
        <f>CW54/Revenues!CW142</f>
        <v>0.53161836617133162</v>
      </c>
      <c r="CX81" s="54">
        <f>CX54/Revenues!CX142</f>
        <v>0.58757601820631278</v>
      </c>
      <c r="CY81" s="54">
        <f>CY54/Revenues!CY142</f>
        <v>0.53991860279690218</v>
      </c>
      <c r="CZ81" s="54">
        <f>CZ54/Revenues!CZ142</f>
        <v>0.53455176668053417</v>
      </c>
      <c r="DA81" s="54">
        <f>DA54/Revenues!DA142</f>
        <v>0.39796561659128787</v>
      </c>
      <c r="DB81" s="54">
        <f>DB54/Revenues!DB142</f>
        <v>0.5104741554619554</v>
      </c>
      <c r="DC81" s="54">
        <f>DC54/Revenues!DC142</f>
        <v>0.46026574598372688</v>
      </c>
      <c r="DD81" s="54">
        <f>DD54/Revenues!DD142</f>
        <v>0.44159104271581584</v>
      </c>
      <c r="DE81" s="54">
        <f>DE54/Revenues!DE142</f>
        <v>-9.9965080831219775E-3</v>
      </c>
      <c r="DF81" s="54">
        <f>DF54/Revenues!DF142</f>
        <v>0.47673862986824456</v>
      </c>
      <c r="DG81" s="54">
        <f>DG54/Revenues!DG142</f>
        <v>0.34409187811749836</v>
      </c>
      <c r="DH81" s="54">
        <f>DH54/Revenues!DH142</f>
        <v>0.51476764540331921</v>
      </c>
      <c r="DI81" s="54">
        <f>DI54/Revenues!DI142</f>
        <v>0.39029962798496082</v>
      </c>
      <c r="DJ81" s="54">
        <f>DJ54/Revenues!DJ142</f>
        <v>0.46178888824857039</v>
      </c>
      <c r="DK81" s="54">
        <f>DK54/Revenues!DK142</f>
        <v>6.6162608215695182E-2</v>
      </c>
      <c r="DL81" s="54">
        <f>DL54/Revenues!DL142</f>
        <v>0.3532198089548268</v>
      </c>
      <c r="DM81" s="54">
        <f>DM54/Revenues!DM142</f>
        <v>0.54013930201854699</v>
      </c>
      <c r="DN81" s="54">
        <f>DN54/Revenues!DN142</f>
        <v>0.49130951733766559</v>
      </c>
      <c r="DO81" s="54">
        <f>DO54/Revenues!DO142</f>
        <v>0.51540574088317748</v>
      </c>
      <c r="DP81" s="54">
        <f>DP54/Revenues!DP142</f>
        <v>0.40891882387357403</v>
      </c>
      <c r="DQ81" s="54">
        <f>DQ54/Revenues!DQ142</f>
        <v>0.48564261569947748</v>
      </c>
      <c r="DR81" s="54">
        <f>DR54/Revenues!DR142</f>
        <v>0.39636856948805116</v>
      </c>
      <c r="DS81" s="54">
        <f>DS54/Revenues!DS142</f>
        <v>0.32003240273942279</v>
      </c>
      <c r="DT81" s="54">
        <f>DT54/Revenues!DT142</f>
        <v>0.31379632170630933</v>
      </c>
      <c r="DU81" s="54">
        <f>DU54/Revenues!DU142</f>
        <v>0.3761036192803065</v>
      </c>
      <c r="DV81" s="54">
        <f>DV54/Revenues!DV142</f>
        <v>0.35035314031738918</v>
      </c>
      <c r="DW81" s="54">
        <f>DW54/Revenues!DW142</f>
        <v>0.48933549663070369</v>
      </c>
      <c r="DX81" s="54">
        <f>DX54/Revenues!DX142</f>
        <v>0.4401816922378719</v>
      </c>
      <c r="DY81" s="54">
        <f>DY54/Revenues!DY142</f>
        <v>0.38843713235095273</v>
      </c>
      <c r="DZ81" s="54">
        <f>DZ54/Revenues!DZ142</f>
        <v>0.34302733329473534</v>
      </c>
      <c r="EA81" s="54">
        <f>EA54/Revenues!EA142</f>
        <v>0.40482595229005408</v>
      </c>
      <c r="EB81" s="54">
        <f>EB54/Revenues!EB142</f>
        <v>0.49977308223430184</v>
      </c>
      <c r="EC81" s="54">
        <f>EC54/Revenues!EC142</f>
        <v>0.46011203462624983</v>
      </c>
      <c r="ED81" s="54">
        <f>ED54/Revenues!ED142</f>
        <v>0.46597742069970344</v>
      </c>
      <c r="EE81" s="54">
        <f>EE54/Revenues!EE142</f>
        <v>0.41201332177297845</v>
      </c>
      <c r="EF81" s="54">
        <f>EF54/Revenues!EF142</f>
        <v>0.45653662001353368</v>
      </c>
      <c r="EG81" s="54">
        <f>EG54/Revenues!EG142</f>
        <v>0.50855331129560022</v>
      </c>
      <c r="EH81" s="54">
        <f>EH54/Revenues!EH142</f>
        <v>0.4896809996764942</v>
      </c>
      <c r="EI81" s="54">
        <f>EI54/Revenues!EI142</f>
        <v>0.55661919726330189</v>
      </c>
    </row>
    <row r="84" spans="1:139" x14ac:dyDescent="0.3">
      <c r="A84" s="3" t="s">
        <v>349</v>
      </c>
      <c r="B84" s="6" t="s">
        <v>4</v>
      </c>
      <c r="C84" s="6" t="s">
        <v>5</v>
      </c>
      <c r="D84" s="6" t="s">
        <v>6</v>
      </c>
      <c r="E84" s="6" t="s">
        <v>7</v>
      </c>
      <c r="F84" s="6">
        <v>2018</v>
      </c>
      <c r="G84" s="6" t="s">
        <v>8</v>
      </c>
      <c r="H84" s="6" t="s">
        <v>9</v>
      </c>
      <c r="I84" s="6" t="s">
        <v>10</v>
      </c>
      <c r="J84" s="6" t="s">
        <v>11</v>
      </c>
      <c r="K84" s="6">
        <v>2019</v>
      </c>
      <c r="L84" s="6" t="s">
        <v>12</v>
      </c>
      <c r="M84" s="6" t="s">
        <v>13</v>
      </c>
      <c r="N84" s="6" t="s">
        <v>14</v>
      </c>
      <c r="O84" s="6" t="s">
        <v>15</v>
      </c>
      <c r="P84" s="6">
        <v>2000</v>
      </c>
      <c r="Q84" s="6" t="s">
        <v>16</v>
      </c>
      <c r="R84" s="6" t="s">
        <v>17</v>
      </c>
      <c r="S84" s="6" t="s">
        <v>18</v>
      </c>
      <c r="T84" s="6" t="s">
        <v>19</v>
      </c>
      <c r="U84" s="6">
        <v>2001</v>
      </c>
      <c r="V84" s="6" t="s">
        <v>20</v>
      </c>
      <c r="W84" s="6" t="s">
        <v>21</v>
      </c>
      <c r="X84" s="6" t="s">
        <v>22</v>
      </c>
      <c r="Y84" s="6" t="s">
        <v>23</v>
      </c>
      <c r="Z84" s="6">
        <v>2002</v>
      </c>
      <c r="AA84" s="6" t="s">
        <v>24</v>
      </c>
      <c r="AB84" s="6" t="s">
        <v>25</v>
      </c>
      <c r="AC84" s="6" t="s">
        <v>26</v>
      </c>
      <c r="AD84" s="6" t="s">
        <v>27</v>
      </c>
      <c r="AE84" s="6">
        <v>2003</v>
      </c>
      <c r="AF84" s="6" t="s">
        <v>28</v>
      </c>
      <c r="AG84" s="6" t="s">
        <v>29</v>
      </c>
      <c r="AH84" s="6" t="s">
        <v>30</v>
      </c>
      <c r="AI84" s="6" t="s">
        <v>31</v>
      </c>
      <c r="AJ84" s="6">
        <v>2004</v>
      </c>
      <c r="AK84" s="6" t="s">
        <v>32</v>
      </c>
      <c r="AL84" s="6" t="s">
        <v>33</v>
      </c>
      <c r="AM84" s="6" t="s">
        <v>34</v>
      </c>
      <c r="AN84" s="6" t="s">
        <v>35</v>
      </c>
      <c r="AO84" s="6">
        <v>2005</v>
      </c>
      <c r="AP84" s="6" t="s">
        <v>36</v>
      </c>
      <c r="AQ84" s="6" t="s">
        <v>37</v>
      </c>
      <c r="AR84" s="6" t="s">
        <v>38</v>
      </c>
      <c r="AS84" s="6" t="s">
        <v>39</v>
      </c>
      <c r="AT84" s="6">
        <v>2006</v>
      </c>
      <c r="AU84" s="6" t="s">
        <v>40</v>
      </c>
      <c r="AV84" s="6" t="s">
        <v>41</v>
      </c>
      <c r="AW84" s="6" t="s">
        <v>42</v>
      </c>
      <c r="AX84" s="6" t="s">
        <v>43</v>
      </c>
      <c r="AY84" s="6">
        <v>2007</v>
      </c>
      <c r="AZ84" s="6" t="s">
        <v>44</v>
      </c>
      <c r="BA84" s="6" t="s">
        <v>45</v>
      </c>
      <c r="BB84" s="6" t="s">
        <v>46</v>
      </c>
      <c r="BC84" s="6" t="s">
        <v>47</v>
      </c>
      <c r="BD84" s="6">
        <v>2008</v>
      </c>
      <c r="BE84" s="6" t="s">
        <v>48</v>
      </c>
      <c r="BF84" s="6" t="s">
        <v>49</v>
      </c>
      <c r="BG84" s="6" t="s">
        <v>50</v>
      </c>
      <c r="BH84" s="6" t="s">
        <v>51</v>
      </c>
      <c r="BI84" s="6">
        <v>2009</v>
      </c>
      <c r="BJ84" s="6" t="s">
        <v>52</v>
      </c>
      <c r="BK84" s="6" t="s">
        <v>53</v>
      </c>
      <c r="BL84" s="6" t="s">
        <v>54</v>
      </c>
      <c r="BM84" s="6" t="s">
        <v>55</v>
      </c>
      <c r="BN84" s="6">
        <v>2010</v>
      </c>
      <c r="BO84" s="6" t="s">
        <v>56</v>
      </c>
      <c r="BP84" s="6" t="s">
        <v>57</v>
      </c>
      <c r="BQ84" s="6" t="s">
        <v>58</v>
      </c>
      <c r="BR84" s="6" t="s">
        <v>59</v>
      </c>
      <c r="BS84" s="6">
        <v>2011</v>
      </c>
      <c r="BT84" s="6" t="s">
        <v>60</v>
      </c>
      <c r="BU84" s="6" t="s">
        <v>61</v>
      </c>
      <c r="BV84" s="6" t="s">
        <v>62</v>
      </c>
      <c r="BW84" s="6" t="s">
        <v>63</v>
      </c>
      <c r="BX84" s="6">
        <v>2012</v>
      </c>
      <c r="BY84" s="6" t="s">
        <v>64</v>
      </c>
      <c r="BZ84" s="6" t="s">
        <v>65</v>
      </c>
      <c r="CA84" s="6" t="s">
        <v>66</v>
      </c>
      <c r="CB84" s="6" t="s">
        <v>67</v>
      </c>
      <c r="CC84" s="6">
        <v>2013</v>
      </c>
      <c r="CD84" s="6" t="s">
        <v>68</v>
      </c>
      <c r="CE84" s="6" t="s">
        <v>69</v>
      </c>
      <c r="CF84" s="6" t="s">
        <v>70</v>
      </c>
      <c r="CG84" s="6" t="s">
        <v>71</v>
      </c>
      <c r="CH84" s="6">
        <v>2014</v>
      </c>
      <c r="CI84" s="6" t="s">
        <v>72</v>
      </c>
      <c r="CJ84" s="6" t="s">
        <v>73</v>
      </c>
      <c r="CK84" s="6" t="s">
        <v>74</v>
      </c>
      <c r="CL84" s="6" t="s">
        <v>75</v>
      </c>
      <c r="CM84" s="6">
        <v>2015</v>
      </c>
      <c r="CN84" s="6" t="s">
        <v>76</v>
      </c>
      <c r="CO84" s="6" t="s">
        <v>77</v>
      </c>
      <c r="CP84" s="6" t="s">
        <v>78</v>
      </c>
      <c r="CQ84" s="6" t="s">
        <v>79</v>
      </c>
      <c r="CR84" s="6">
        <v>2016</v>
      </c>
      <c r="CS84" s="6" t="s">
        <v>80</v>
      </c>
      <c r="CT84" s="6" t="s">
        <v>81</v>
      </c>
      <c r="CU84" s="6" t="s">
        <v>82</v>
      </c>
      <c r="CV84" s="6" t="s">
        <v>83</v>
      </c>
      <c r="CW84" s="6">
        <v>2017</v>
      </c>
      <c r="CX84" s="6" t="s">
        <v>84</v>
      </c>
      <c r="CY84" s="6" t="s">
        <v>85</v>
      </c>
      <c r="CZ84" s="6" t="s">
        <v>86</v>
      </c>
      <c r="DA84" s="6" t="s">
        <v>87</v>
      </c>
      <c r="DB84" s="6">
        <v>2018</v>
      </c>
      <c r="DC84" s="6" t="s">
        <v>88</v>
      </c>
      <c r="DD84" s="6" t="s">
        <v>89</v>
      </c>
      <c r="DE84" s="6" t="s">
        <v>90</v>
      </c>
      <c r="DF84" s="6" t="s">
        <v>91</v>
      </c>
      <c r="DG84" s="6">
        <v>2019</v>
      </c>
      <c r="DH84" s="6" t="s">
        <v>92</v>
      </c>
      <c r="DI84" s="6" t="s">
        <v>93</v>
      </c>
      <c r="DJ84" s="6" t="s">
        <v>94</v>
      </c>
      <c r="DK84" s="6" t="s">
        <v>95</v>
      </c>
      <c r="DL84" s="6">
        <v>2020</v>
      </c>
      <c r="DM84" s="6" t="s">
        <v>96</v>
      </c>
      <c r="DN84" s="6" t="s">
        <v>97</v>
      </c>
      <c r="DO84" s="6" t="s">
        <v>98</v>
      </c>
      <c r="DP84" s="6" t="s">
        <v>99</v>
      </c>
      <c r="DQ84" s="6">
        <v>2021</v>
      </c>
      <c r="DR84" s="6" t="s">
        <v>100</v>
      </c>
      <c r="DS84" s="6" t="s">
        <v>101</v>
      </c>
      <c r="DT84" s="6" t="s">
        <v>200</v>
      </c>
      <c r="DU84" s="6" t="s">
        <v>380</v>
      </c>
      <c r="DV84" s="6">
        <v>2022</v>
      </c>
      <c r="DW84" s="6" t="s">
        <v>379</v>
      </c>
      <c r="DX84" s="6" t="s">
        <v>402</v>
      </c>
      <c r="DY84" s="6" t="s">
        <v>414</v>
      </c>
      <c r="DZ84" s="6" t="s">
        <v>419</v>
      </c>
      <c r="EA84" s="6">
        <v>2023</v>
      </c>
      <c r="EB84" s="6" t="s">
        <v>424</v>
      </c>
      <c r="EC84" s="6" t="s">
        <v>429</v>
      </c>
      <c r="ED84" s="6" t="str">
        <f>$ED$1</f>
        <v>3T24</v>
      </c>
      <c r="EE84" s="6" t="str">
        <f>$EE$1</f>
        <v>4T24</v>
      </c>
      <c r="EF84" s="6">
        <f>$EF$1</f>
        <v>2024</v>
      </c>
      <c r="EG84" s="6" t="str">
        <f>EG$1</f>
        <v>1T25</v>
      </c>
      <c r="EH84" s="6" t="str">
        <f>EH$1</f>
        <v>2T25</v>
      </c>
      <c r="EI84" s="6" t="str">
        <f>EI$1</f>
        <v>3T25</v>
      </c>
    </row>
    <row r="85" spans="1:139" ht="15" thickBot="1" x14ac:dyDescent="0.35">
      <c r="A85" s="4" t="s">
        <v>350</v>
      </c>
      <c r="B85" s="7" t="s">
        <v>102</v>
      </c>
      <c r="C85" s="7" t="s">
        <v>103</v>
      </c>
      <c r="D85" s="7" t="s">
        <v>104</v>
      </c>
      <c r="E85" s="7" t="s">
        <v>105</v>
      </c>
      <c r="F85" s="7">
        <v>2018</v>
      </c>
      <c r="G85" s="7" t="s">
        <v>106</v>
      </c>
      <c r="H85" s="7" t="s">
        <v>107</v>
      </c>
      <c r="I85" s="7" t="s">
        <v>108</v>
      </c>
      <c r="J85" s="7" t="s">
        <v>109</v>
      </c>
      <c r="K85" s="7">
        <v>2019</v>
      </c>
      <c r="L85" s="7" t="s">
        <v>110</v>
      </c>
      <c r="M85" s="7" t="s">
        <v>111</v>
      </c>
      <c r="N85" s="7" t="s">
        <v>112</v>
      </c>
      <c r="O85" s="7" t="s">
        <v>113</v>
      </c>
      <c r="P85" s="7">
        <v>2000</v>
      </c>
      <c r="Q85" s="7" t="s">
        <v>114</v>
      </c>
      <c r="R85" s="7" t="s">
        <v>115</v>
      </c>
      <c r="S85" s="7" t="s">
        <v>116</v>
      </c>
      <c r="T85" s="7" t="s">
        <v>117</v>
      </c>
      <c r="U85" s="7">
        <v>2001</v>
      </c>
      <c r="V85" s="7" t="s">
        <v>118</v>
      </c>
      <c r="W85" s="7" t="s">
        <v>119</v>
      </c>
      <c r="X85" s="7" t="s">
        <v>120</v>
      </c>
      <c r="Y85" s="7" t="s">
        <v>121</v>
      </c>
      <c r="Z85" s="7">
        <v>2002</v>
      </c>
      <c r="AA85" s="7" t="s">
        <v>122</v>
      </c>
      <c r="AB85" s="7" t="s">
        <v>123</v>
      </c>
      <c r="AC85" s="7" t="s">
        <v>124</v>
      </c>
      <c r="AD85" s="7" t="s">
        <v>125</v>
      </c>
      <c r="AE85" s="7">
        <v>2003</v>
      </c>
      <c r="AF85" s="7" t="s">
        <v>126</v>
      </c>
      <c r="AG85" s="7" t="s">
        <v>127</v>
      </c>
      <c r="AH85" s="7" t="s">
        <v>128</v>
      </c>
      <c r="AI85" s="7" t="s">
        <v>129</v>
      </c>
      <c r="AJ85" s="7">
        <v>2004</v>
      </c>
      <c r="AK85" s="7" t="s">
        <v>130</v>
      </c>
      <c r="AL85" s="7" t="s">
        <v>131</v>
      </c>
      <c r="AM85" s="7" t="s">
        <v>132</v>
      </c>
      <c r="AN85" s="7" t="s">
        <v>133</v>
      </c>
      <c r="AO85" s="7">
        <v>2005</v>
      </c>
      <c r="AP85" s="7" t="s">
        <v>134</v>
      </c>
      <c r="AQ85" s="7" t="s">
        <v>135</v>
      </c>
      <c r="AR85" s="7" t="s">
        <v>136</v>
      </c>
      <c r="AS85" s="7" t="s">
        <v>137</v>
      </c>
      <c r="AT85" s="7">
        <v>2006</v>
      </c>
      <c r="AU85" s="7" t="s">
        <v>138</v>
      </c>
      <c r="AV85" s="7" t="s">
        <v>139</v>
      </c>
      <c r="AW85" s="7" t="s">
        <v>140</v>
      </c>
      <c r="AX85" s="7" t="s">
        <v>141</v>
      </c>
      <c r="AY85" s="7">
        <v>2007</v>
      </c>
      <c r="AZ85" s="7" t="s">
        <v>142</v>
      </c>
      <c r="BA85" s="7" t="s">
        <v>143</v>
      </c>
      <c r="BB85" s="7" t="s">
        <v>144</v>
      </c>
      <c r="BC85" s="7" t="s">
        <v>145</v>
      </c>
      <c r="BD85" s="7">
        <v>2008</v>
      </c>
      <c r="BE85" s="7" t="s">
        <v>146</v>
      </c>
      <c r="BF85" s="7" t="s">
        <v>147</v>
      </c>
      <c r="BG85" s="7" t="s">
        <v>148</v>
      </c>
      <c r="BH85" s="7" t="s">
        <v>149</v>
      </c>
      <c r="BI85" s="7">
        <v>2009</v>
      </c>
      <c r="BJ85" s="7" t="s">
        <v>150</v>
      </c>
      <c r="BK85" s="7" t="s">
        <v>151</v>
      </c>
      <c r="BL85" s="7" t="s">
        <v>152</v>
      </c>
      <c r="BM85" s="7" t="s">
        <v>153</v>
      </c>
      <c r="BN85" s="7">
        <v>2010</v>
      </c>
      <c r="BO85" s="7" t="s">
        <v>154</v>
      </c>
      <c r="BP85" s="7" t="s">
        <v>155</v>
      </c>
      <c r="BQ85" s="7" t="s">
        <v>156</v>
      </c>
      <c r="BR85" s="7" t="s">
        <v>157</v>
      </c>
      <c r="BS85" s="7">
        <v>2011</v>
      </c>
      <c r="BT85" s="7" t="s">
        <v>158</v>
      </c>
      <c r="BU85" s="7" t="s">
        <v>159</v>
      </c>
      <c r="BV85" s="7" t="s">
        <v>160</v>
      </c>
      <c r="BW85" s="7" t="s">
        <v>161</v>
      </c>
      <c r="BX85" s="7">
        <v>2012</v>
      </c>
      <c r="BY85" s="7" t="s">
        <v>162</v>
      </c>
      <c r="BZ85" s="7" t="s">
        <v>163</v>
      </c>
      <c r="CA85" s="7" t="s">
        <v>164</v>
      </c>
      <c r="CB85" s="7" t="s">
        <v>165</v>
      </c>
      <c r="CC85" s="7">
        <v>2013</v>
      </c>
      <c r="CD85" s="7" t="s">
        <v>166</v>
      </c>
      <c r="CE85" s="7" t="s">
        <v>167</v>
      </c>
      <c r="CF85" s="7" t="s">
        <v>168</v>
      </c>
      <c r="CG85" s="7" t="s">
        <v>169</v>
      </c>
      <c r="CH85" s="7">
        <v>2014</v>
      </c>
      <c r="CI85" s="7" t="s">
        <v>170</v>
      </c>
      <c r="CJ85" s="7" t="s">
        <v>171</v>
      </c>
      <c r="CK85" s="7" t="s">
        <v>172</v>
      </c>
      <c r="CL85" s="7" t="s">
        <v>173</v>
      </c>
      <c r="CM85" s="7">
        <v>2015</v>
      </c>
      <c r="CN85" s="7" t="s">
        <v>174</v>
      </c>
      <c r="CO85" s="7" t="s">
        <v>175</v>
      </c>
      <c r="CP85" s="7" t="s">
        <v>176</v>
      </c>
      <c r="CQ85" s="7" t="s">
        <v>177</v>
      </c>
      <c r="CR85" s="7">
        <v>2016</v>
      </c>
      <c r="CS85" s="7" t="s">
        <v>178</v>
      </c>
      <c r="CT85" s="7" t="s">
        <v>179</v>
      </c>
      <c r="CU85" s="7" t="s">
        <v>180</v>
      </c>
      <c r="CV85" s="7" t="s">
        <v>181</v>
      </c>
      <c r="CW85" s="7">
        <v>2017</v>
      </c>
      <c r="CX85" s="7" t="s">
        <v>182</v>
      </c>
      <c r="CY85" s="7" t="s">
        <v>183</v>
      </c>
      <c r="CZ85" s="7" t="s">
        <v>184</v>
      </c>
      <c r="DA85" s="7" t="s">
        <v>185</v>
      </c>
      <c r="DB85" s="7">
        <v>2018</v>
      </c>
      <c r="DC85" s="7" t="s">
        <v>186</v>
      </c>
      <c r="DD85" s="7" t="s">
        <v>187</v>
      </c>
      <c r="DE85" s="7" t="s">
        <v>188</v>
      </c>
      <c r="DF85" s="7" t="s">
        <v>189</v>
      </c>
      <c r="DG85" s="7">
        <v>2019</v>
      </c>
      <c r="DH85" s="7" t="s">
        <v>190</v>
      </c>
      <c r="DI85" s="7" t="s">
        <v>191</v>
      </c>
      <c r="DJ85" s="7" t="s">
        <v>192</v>
      </c>
      <c r="DK85" s="7" t="s">
        <v>193</v>
      </c>
      <c r="DL85" s="7">
        <v>2020</v>
      </c>
      <c r="DM85" s="7" t="s">
        <v>194</v>
      </c>
      <c r="DN85" s="7" t="s">
        <v>195</v>
      </c>
      <c r="DO85" s="7" t="s">
        <v>196</v>
      </c>
      <c r="DP85" s="7" t="s">
        <v>197</v>
      </c>
      <c r="DQ85" s="7">
        <v>2021</v>
      </c>
      <c r="DR85" s="7" t="s">
        <v>198</v>
      </c>
      <c r="DS85" s="7" t="s">
        <v>199</v>
      </c>
      <c r="DT85" s="7" t="s">
        <v>201</v>
      </c>
      <c r="DU85" s="7" t="s">
        <v>381</v>
      </c>
      <c r="DV85" s="7">
        <v>2022</v>
      </c>
      <c r="DW85" s="7" t="s">
        <v>382</v>
      </c>
      <c r="DX85" s="7" t="s">
        <v>403</v>
      </c>
      <c r="DY85" s="7" t="s">
        <v>415</v>
      </c>
      <c r="DZ85" s="7" t="s">
        <v>420</v>
      </c>
      <c r="EA85" s="7">
        <v>2023</v>
      </c>
      <c r="EB85" s="7" t="s">
        <v>425</v>
      </c>
      <c r="EC85" s="7" t="s">
        <v>430</v>
      </c>
      <c r="ED85" s="7" t="str">
        <f>$ED$2</f>
        <v>3Q24</v>
      </c>
      <c r="EE85" s="7" t="str">
        <f>$EE$2</f>
        <v>4Q24</v>
      </c>
      <c r="EF85" s="7">
        <f>$EF$2</f>
        <v>2024</v>
      </c>
      <c r="EG85" s="7" t="str">
        <f>EG$2</f>
        <v>1Q25</v>
      </c>
      <c r="EH85" s="7" t="str">
        <f>EH$2</f>
        <v>2Q25</v>
      </c>
      <c r="EI85" s="7" t="str">
        <f>EI$2</f>
        <v>3Q25</v>
      </c>
    </row>
    <row r="86" spans="1:139" ht="15" thickTop="1" x14ac:dyDescent="0.3">
      <c r="A86" s="1" t="s">
        <v>2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27">
        <f>BJ31+'COGS + SG&amp;A'!BJ200</f>
        <v>22.91132047</v>
      </c>
      <c r="BK86" s="27">
        <f>BK31+'COGS + SG&amp;A'!BK200</f>
        <v>19.345320470000004</v>
      </c>
      <c r="BL86" s="27">
        <f>BL31+'COGS + SG&amp;A'!BL200</f>
        <v>20.581320469999994</v>
      </c>
      <c r="BM86" s="27">
        <f>BM31+'COGS + SG&amp;A'!BM200</f>
        <v>17.760320470000007</v>
      </c>
      <c r="BN86" s="27">
        <f>SUM(BJ86:BM86)</f>
        <v>80.598281880000002</v>
      </c>
      <c r="BO86" s="27">
        <f>BO31+'COGS + SG&amp;A'!BO200</f>
        <v>24.622930090000001</v>
      </c>
      <c r="BP86" s="27">
        <f>BP31+'COGS + SG&amp;A'!BP200</f>
        <v>27.600930089999995</v>
      </c>
      <c r="BQ86" s="27">
        <f>BQ31+'COGS + SG&amp;A'!BQ200</f>
        <v>25.362930090000006</v>
      </c>
      <c r="BR86" s="27">
        <f>BR31+'COGS + SG&amp;A'!BR200</f>
        <v>22.899930089999991</v>
      </c>
      <c r="BS86" s="27">
        <f>SUM(BO86:BR86)</f>
        <v>100.48672035999999</v>
      </c>
      <c r="BT86" s="27">
        <f>BT31+'COGS + SG&amp;A'!BT200</f>
        <v>34.533657290000001</v>
      </c>
      <c r="BU86" s="27">
        <f>BU31+'COGS + SG&amp;A'!BU200</f>
        <v>27.354657289999999</v>
      </c>
      <c r="BV86" s="27">
        <f>BV31+'COGS + SG&amp;A'!BV200</f>
        <v>32.691321430000009</v>
      </c>
      <c r="BW86" s="27">
        <f>BW31+'COGS + SG&amp;A'!BW200</f>
        <v>27.207630729999995</v>
      </c>
      <c r="BX86" s="27">
        <f>SUM(BT86:BW86)</f>
        <v>121.78726673999999</v>
      </c>
      <c r="BY86" s="27">
        <f>BY31+'COGS + SG&amp;A'!BY200</f>
        <v>31.552167670000003</v>
      </c>
      <c r="BZ86" s="27">
        <f>BZ31+'COGS + SG&amp;A'!BZ200</f>
        <v>31.674735770000002</v>
      </c>
      <c r="CA86" s="27">
        <f>CA31+'COGS + SG&amp;A'!CA200</f>
        <v>33.332285200000001</v>
      </c>
      <c r="CB86" s="27">
        <f>CB31+'COGS + SG&amp;A'!CB200</f>
        <v>26.259835729999995</v>
      </c>
      <c r="CC86" s="27">
        <f>SUM(BY86:CB86)</f>
        <v>122.81902436999999</v>
      </c>
      <c r="CD86" s="27">
        <f>CD31+'COGS + SG&amp;A'!CD200</f>
        <v>40.391552760000003</v>
      </c>
      <c r="CE86" s="27">
        <f>CE31+'COGS + SG&amp;A'!CE200</f>
        <v>33.004271839999994</v>
      </c>
      <c r="CF86" s="27">
        <f>CF31+'COGS + SG&amp;A'!CF200</f>
        <v>31.115412300000003</v>
      </c>
      <c r="CG86" s="27">
        <f>CG31+'COGS + SG&amp;A'!CG200</f>
        <v>32.722884210000018</v>
      </c>
      <c r="CH86" s="27">
        <f>SUM(CD86:CG86)</f>
        <v>137.23412111000002</v>
      </c>
      <c r="CI86" s="27">
        <f>CI31+'COGS + SG&amp;A'!CI200</f>
        <v>40.078949860000002</v>
      </c>
      <c r="CJ86" s="27">
        <f>CJ31+'COGS + SG&amp;A'!CJ200</f>
        <v>36.285949859999995</v>
      </c>
      <c r="CK86" s="27">
        <f>CK31+'COGS + SG&amp;A'!CK200</f>
        <v>38.03094986</v>
      </c>
      <c r="CL86" s="27">
        <f>CL31+'COGS + SG&amp;A'!CL200</f>
        <v>37.485480960000004</v>
      </c>
      <c r="CM86" s="27">
        <f>SUM(CI86:CL86)</f>
        <v>151.88133054000002</v>
      </c>
      <c r="CN86" s="27">
        <f>CN31+'COGS + SG&amp;A'!CN200</f>
        <v>52.629953960000002</v>
      </c>
      <c r="CO86" s="27">
        <f>CO31+'COGS + SG&amp;A'!CO200</f>
        <v>42.917953959999998</v>
      </c>
      <c r="CP86" s="27">
        <f>CP31+'COGS + SG&amp;A'!CP200</f>
        <v>39.529953960000007</v>
      </c>
      <c r="CQ86" s="27">
        <f>CQ31+'COGS + SG&amp;A'!CQ200</f>
        <v>42.167138119999983</v>
      </c>
      <c r="CR86" s="27">
        <f>SUM(CN86:CQ86)</f>
        <v>177.24499999999998</v>
      </c>
      <c r="CS86" s="27">
        <f>CS31+'COGS + SG&amp;A'!CS200</f>
        <v>59.757910459999998</v>
      </c>
      <c r="CT86" s="27">
        <f>CT31+'COGS + SG&amp;A'!CT200</f>
        <v>50.388910459999998</v>
      </c>
      <c r="CU86" s="27">
        <f>CU31+'COGS + SG&amp;A'!CU200</f>
        <v>58.777910460000001</v>
      </c>
      <c r="CV86" s="27">
        <f>CV31+'COGS + SG&amp;A'!CV200</f>
        <v>46.038709140000002</v>
      </c>
      <c r="CW86" s="27">
        <f>SUM(CS86:CV86)</f>
        <v>214.96344052000001</v>
      </c>
      <c r="CX86" s="27">
        <f>CX31+'COGS + SG&amp;A'!CX200</f>
        <v>62.538000000000004</v>
      </c>
      <c r="CY86" s="27">
        <f>CY31+'COGS + SG&amp;A'!CY200</f>
        <v>45.408000000000001</v>
      </c>
      <c r="CZ86" s="27">
        <f>CZ31+'COGS + SG&amp;A'!CZ200</f>
        <v>49.228999999999999</v>
      </c>
      <c r="DA86" s="27">
        <f>DA31+'COGS + SG&amp;A'!DA200</f>
        <v>45.769999999999996</v>
      </c>
      <c r="DB86" s="27">
        <f>SUM(CX86:DA86)</f>
        <v>202.94499999999999</v>
      </c>
      <c r="DC86" s="27">
        <f>DC31+'COGS + SG&amp;A'!DC200</f>
        <v>55.742999999999995</v>
      </c>
      <c r="DD86" s="27">
        <f>DD31+'COGS + SG&amp;A'!DD200</f>
        <v>47.726999999999997</v>
      </c>
      <c r="DE86" s="27">
        <v>50.275999999999996</v>
      </c>
      <c r="DF86" s="27">
        <f>DF31+'COGS + SG&amp;A'!DF200</f>
        <v>55.930000000000007</v>
      </c>
      <c r="DG86" s="27">
        <f>SUM(DC86:DF86)</f>
        <v>209.67599999999999</v>
      </c>
      <c r="DH86" s="27">
        <f>DH31+'COGS + SG&amp;A'!DH200</f>
        <v>67.394999999999996</v>
      </c>
      <c r="DI86" s="27">
        <f>DI31+'COGS + SG&amp;A'!DI200</f>
        <v>55.713000000000001</v>
      </c>
      <c r="DJ86" s="27">
        <f>DJ31+'COGS + SG&amp;A'!DJ200</f>
        <v>56.515999999999998</v>
      </c>
      <c r="DK86" s="27">
        <f>DK31+'COGS + SG&amp;A'!DK200</f>
        <v>47.652000000000001</v>
      </c>
      <c r="DL86" s="27">
        <f>SUM(DH86:DK86)</f>
        <v>227.27600000000001</v>
      </c>
      <c r="DM86" s="27">
        <f>DM31+'COGS + SG&amp;A'!DM200</f>
        <v>59</v>
      </c>
      <c r="DN86" s="27">
        <f>DN31+'COGS + SG&amp;A'!DN200</f>
        <v>56.725999999999999</v>
      </c>
      <c r="DO86" s="27">
        <f>DO31+'COGS + SG&amp;A'!DO200</f>
        <v>58.186999999999998</v>
      </c>
      <c r="DP86" s="27">
        <f>DP31+'COGS + SG&amp;A'!DP200</f>
        <v>31.086999999999996</v>
      </c>
      <c r="DQ86" s="27">
        <f>SUM(DM86:DP86)</f>
        <v>205</v>
      </c>
      <c r="DR86" s="27">
        <f>DR31+'COGS + SG&amp;A'!DR200</f>
        <v>-4.9189999999999996</v>
      </c>
      <c r="DS86" s="27">
        <f>DS31+'COGS + SG&amp;A'!DS200</f>
        <v>-3.762</v>
      </c>
      <c r="DT86" s="27">
        <f>DT31+'COGS + SG&amp;A'!DT200</f>
        <v>-4.9089999999999998</v>
      </c>
      <c r="DU86" s="27">
        <f>DU31+'COGS + SG&amp;A'!DU200</f>
        <v>-0.42799999999999999</v>
      </c>
      <c r="DV86" s="27">
        <f>SUM(DR86:DU86)</f>
        <v>-14.018000000000001</v>
      </c>
      <c r="DW86" s="27">
        <f>DW31+'COGS + SG&amp;A'!DW200</f>
        <v>-0.68700000000000006</v>
      </c>
      <c r="DX86" s="27">
        <f>DX31+'COGS + SG&amp;A'!DX200</f>
        <v>-0.14899999999999991</v>
      </c>
      <c r="DY86" s="27">
        <f>DY31+'COGS + SG&amp;A'!DY200</f>
        <v>-0.34452417999999996</v>
      </c>
      <c r="DZ86" s="27">
        <f>DZ31+'COGS + SG&amp;A'!DZ200</f>
        <v>-0.99574718999999967</v>
      </c>
      <c r="EA86" s="27">
        <f>SUM(DW86:DZ86)</f>
        <v>-2.1762713699999994</v>
      </c>
      <c r="EB86" s="27">
        <f>EB31+'COGS + SG&amp;A'!EB200</f>
        <v>-0.17637048999999999</v>
      </c>
      <c r="EC86" s="27">
        <f>EC31+'COGS + SG&amp;A'!EC200</f>
        <v>-0.55428867000000015</v>
      </c>
      <c r="ED86" s="27">
        <f>ED31+'COGS + SG&amp;A'!ED200</f>
        <v>6.7000000000000004E-2</v>
      </c>
      <c r="EE86" s="27">
        <f>EE31+'COGS + SG&amp;A'!EE200</f>
        <v>-0.23963088000000002</v>
      </c>
      <c r="EF86" s="27">
        <f>SUM(EB86:EE86)</f>
        <v>-0.90329004000000013</v>
      </c>
      <c r="EG86" s="27">
        <f>EG31+'COGS + SG&amp;A'!EG200</f>
        <v>-0.16024788000000001</v>
      </c>
      <c r="EH86" s="27">
        <f>EH31+'COGS + SG&amp;A'!EH200</f>
        <v>-1.8080709999999993E-2</v>
      </c>
      <c r="EI86" s="27">
        <f>EI31+'COGS + SG&amp;A'!EI200</f>
        <v>-0.16402618000000002</v>
      </c>
    </row>
    <row r="87" spans="1:139" ht="15" thickBot="1" x14ac:dyDescent="0.35">
      <c r="A87" s="2" t="s">
        <v>454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28">
        <f>BJ32+'COGS + SG&amp;A'!BJ201</f>
        <v>13.27160041</v>
      </c>
      <c r="BK87" s="28">
        <f>BK32+'COGS + SG&amp;A'!BK201</f>
        <v>19.797600410000001</v>
      </c>
      <c r="BL87" s="28">
        <f>BL32+'COGS + SG&amp;A'!BL201</f>
        <v>15.820600410000003</v>
      </c>
      <c r="BM87" s="28">
        <f>BM32+'COGS + SG&amp;A'!BM201</f>
        <v>16.428600410000001</v>
      </c>
      <c r="BN87" s="28">
        <f t="shared" ref="BN87:BN97" si="43">SUM(BJ87:BM87)</f>
        <v>65.318401640000005</v>
      </c>
      <c r="BO87" s="28">
        <f>BO32+'COGS + SG&amp;A'!BO201</f>
        <v>19.62241053</v>
      </c>
      <c r="BP87" s="28">
        <f>BP32+'COGS + SG&amp;A'!BP201</f>
        <v>23.65917799</v>
      </c>
      <c r="BQ87" s="28">
        <f>BQ32+'COGS + SG&amp;A'!BQ201</f>
        <v>20.607705849999995</v>
      </c>
      <c r="BR87" s="28">
        <f>BR32+'COGS + SG&amp;A'!BR201</f>
        <v>21.89523701000001</v>
      </c>
      <c r="BS87" s="28">
        <f t="shared" ref="BS87:BS97" si="44">SUM(BO87:BR87)</f>
        <v>85.784531380000004</v>
      </c>
      <c r="BT87" s="28">
        <f>BT32+'COGS + SG&amp;A'!BT201</f>
        <v>20.114100529999998</v>
      </c>
      <c r="BU87" s="28">
        <f>BU32+'COGS + SG&amp;A'!BU201</f>
        <v>26.260581929999997</v>
      </c>
      <c r="BV87" s="28">
        <f>BV32+'COGS + SG&amp;A'!BV201</f>
        <v>23.885536829999999</v>
      </c>
      <c r="BW87" s="28">
        <f>BW32+'COGS + SG&amp;A'!BW201</f>
        <v>25.678536830000002</v>
      </c>
      <c r="BX87" s="28">
        <f t="shared" ref="BX87:BX97" si="45">SUM(BT87:BW87)</f>
        <v>95.938756119999994</v>
      </c>
      <c r="BY87" s="28">
        <f>BY32+'COGS + SG&amp;A'!BY201</f>
        <v>26.189536830000002</v>
      </c>
      <c r="BZ87" s="28">
        <f>BZ32+'COGS + SG&amp;A'!BZ201</f>
        <v>37.775127940000004</v>
      </c>
      <c r="CA87" s="28">
        <f>CA32+'COGS + SG&amp;A'!CA201</f>
        <v>32.394824979999996</v>
      </c>
      <c r="CB87" s="28">
        <f>CB32+'COGS + SG&amp;A'!CB201</f>
        <v>24.742074469999991</v>
      </c>
      <c r="CC87" s="28">
        <f t="shared" ref="CC87:CC97" si="46">SUM(BY87:CB87)</f>
        <v>121.10156421999999</v>
      </c>
      <c r="CD87" s="28">
        <f>CD32+'COGS + SG&amp;A'!CD201</f>
        <v>27.068586379999999</v>
      </c>
      <c r="CE87" s="28">
        <f>CE32+'COGS + SG&amp;A'!CE201</f>
        <v>34.248070400000003</v>
      </c>
      <c r="CF87" s="28">
        <f>CF32+'COGS + SG&amp;A'!CF201</f>
        <v>28.18158639</v>
      </c>
      <c r="CG87" s="28">
        <f>CG32+'COGS + SG&amp;A'!CG201</f>
        <v>24.292130310000001</v>
      </c>
      <c r="CH87" s="28">
        <f t="shared" ref="CH87:CH97" si="47">SUM(CD87:CG87)</f>
        <v>113.79037348</v>
      </c>
      <c r="CI87" s="28">
        <f>CI32+'COGS + SG&amp;A'!CI201</f>
        <v>30.371021510000002</v>
      </c>
      <c r="CJ87" s="28">
        <f>CJ32+'COGS + SG&amp;A'!CJ201</f>
        <v>36.760021509999994</v>
      </c>
      <c r="CK87" s="28">
        <f>CK32+'COGS + SG&amp;A'!CK201</f>
        <v>30.575021510000003</v>
      </c>
      <c r="CL87" s="28">
        <f>CL32+'COGS + SG&amp;A'!CL201</f>
        <v>20.910822469999999</v>
      </c>
      <c r="CM87" s="28">
        <f t="shared" ref="CM87:CM108" si="48">SUM(CI87:CL87)</f>
        <v>118.61688699999999</v>
      </c>
      <c r="CN87" s="28">
        <f>CN32+'COGS + SG&amp;A'!CN201</f>
        <v>38.162575860000004</v>
      </c>
      <c r="CO87" s="28">
        <f>CO32+'COGS + SG&amp;A'!CO201</f>
        <v>52.281575860000004</v>
      </c>
      <c r="CP87" s="28">
        <f>CP32+'COGS + SG&amp;A'!CP201</f>
        <v>41.056575859999995</v>
      </c>
      <c r="CQ87" s="28">
        <f>CQ32+'COGS + SG&amp;A'!CQ201</f>
        <v>36.096272420000005</v>
      </c>
      <c r="CR87" s="28">
        <f t="shared" ref="CR87:CR97" si="49">SUM(CN87:CQ87)</f>
        <v>167.59699999999998</v>
      </c>
      <c r="CS87" s="28">
        <f>CS32+'COGS + SG&amp;A'!CS201</f>
        <v>45.69799897</v>
      </c>
      <c r="CT87" s="28">
        <f>CT32+'COGS + SG&amp;A'!CT201</f>
        <v>55.28630089</v>
      </c>
      <c r="CU87" s="28">
        <f>CU32+'COGS + SG&amp;A'!CU201</f>
        <v>49.477938909999999</v>
      </c>
      <c r="CV87" s="28">
        <f>CV32+'COGS + SG&amp;A'!CV201</f>
        <v>41.767037500000001</v>
      </c>
      <c r="CW87" s="28">
        <f t="shared" ref="CW87:CW97" si="50">SUM(CS87:CV87)</f>
        <v>192.22927627000001</v>
      </c>
      <c r="CX87" s="28">
        <f>CX32+'COGS + SG&amp;A'!CX201</f>
        <v>48.860000000000007</v>
      </c>
      <c r="CY87" s="28">
        <f>CY32+'COGS + SG&amp;A'!CY201</f>
        <v>53.797000000000004</v>
      </c>
      <c r="CZ87" s="28">
        <f>CZ32+'COGS + SG&amp;A'!CZ201</f>
        <v>59.11</v>
      </c>
      <c r="DA87" s="28">
        <f>DA32+'COGS + SG&amp;A'!DA201</f>
        <v>52.253999999999998</v>
      </c>
      <c r="DB87" s="28">
        <f t="shared" ref="DB87:DB108" si="51">SUM(CX87:DA87)</f>
        <v>214.02099999999999</v>
      </c>
      <c r="DC87" s="28">
        <f>DC32+'COGS + SG&amp;A'!DC201</f>
        <v>50.713999999999999</v>
      </c>
      <c r="DD87" s="28">
        <f>DD32+'COGS + SG&amp;A'!DD201</f>
        <v>62.976999999999997</v>
      </c>
      <c r="DE87" s="28">
        <f>DE32+'COGS + SG&amp;A'!DE201</f>
        <v>63.336999999999996</v>
      </c>
      <c r="DF87" s="28">
        <f>DF32+'COGS + SG&amp;A'!DF201</f>
        <v>60.439</v>
      </c>
      <c r="DG87" s="28">
        <f t="shared" ref="DG87:DG108" si="52">SUM(DC87:DF87)</f>
        <v>237.46699999999998</v>
      </c>
      <c r="DH87" s="28">
        <f>DH32+'COGS + SG&amp;A'!DH201</f>
        <v>51.521999999999998</v>
      </c>
      <c r="DI87" s="28">
        <f>DI32+'COGS + SG&amp;A'!DI201</f>
        <v>64.216999999999999</v>
      </c>
      <c r="DJ87" s="28">
        <f>DJ32+'COGS + SG&amp;A'!DJ201</f>
        <v>52.722000000000001</v>
      </c>
      <c r="DK87" s="28">
        <f>DK32+'COGS + SG&amp;A'!DK201</f>
        <v>46.454000000000001</v>
      </c>
      <c r="DL87" s="28">
        <f t="shared" ref="DL87:DL108" si="53">SUM(DH87:DK87)</f>
        <v>214.91500000000002</v>
      </c>
      <c r="DM87" s="28">
        <f>DM32+'COGS + SG&amp;A'!DM201</f>
        <v>46.948999999999998</v>
      </c>
      <c r="DN87" s="28">
        <f>DN32+'COGS + SG&amp;A'!DN201</f>
        <v>70.190000000000012</v>
      </c>
      <c r="DO87" s="28">
        <f>DO32+'COGS + SG&amp;A'!DO201</f>
        <v>66.254000000000005</v>
      </c>
      <c r="DP87" s="28">
        <f>DP32+'COGS + SG&amp;A'!DP201</f>
        <v>59.896000000000001</v>
      </c>
      <c r="DQ87" s="28">
        <f t="shared" ref="DQ87:DQ108" si="54">SUM(DM87:DP87)</f>
        <v>243.28900000000004</v>
      </c>
      <c r="DR87" s="28">
        <f>DR32+'COGS + SG&amp;A'!DR201</f>
        <v>52.966999999999999</v>
      </c>
      <c r="DS87" s="28">
        <f>DS32+'COGS + SG&amp;A'!DS201</f>
        <v>49.841000000000001</v>
      </c>
      <c r="DT87" s="28">
        <f>DT32+'COGS + SG&amp;A'!DT201</f>
        <v>55.576999999999998</v>
      </c>
      <c r="DU87" s="28">
        <v>136.39000000000001</v>
      </c>
      <c r="DV87" s="28">
        <f t="shared" ref="DV87:DV108" si="55">SUM(DR87:DU87)</f>
        <v>294.77499999999998</v>
      </c>
      <c r="DW87" s="28">
        <f>DW32+'COGS + SG&amp;A'!DW201</f>
        <v>89.930999999999997</v>
      </c>
      <c r="DX87" s="28">
        <f>DX32+'COGS + SG&amp;A'!DX201</f>
        <v>94.244000000000014</v>
      </c>
      <c r="DY87" s="28">
        <f>DY32+'COGS + SG&amp;A'!DY201</f>
        <v>108.29169406000001</v>
      </c>
      <c r="DZ87" s="28">
        <f>DZ32+'COGS + SG&amp;A'!DZ201</f>
        <v>100.53547005000003</v>
      </c>
      <c r="EA87" s="28">
        <f t="shared" ref="EA87:EA108" si="56">SUM(DW87:DZ87)</f>
        <v>393.00216411000002</v>
      </c>
      <c r="EB87" s="28">
        <f>EB32+'COGS + SG&amp;A'!EB201</f>
        <v>102.05712874999999</v>
      </c>
      <c r="EC87" s="28">
        <f>EC32+'COGS + SG&amp;A'!EC201</f>
        <v>106.05824274</v>
      </c>
      <c r="ED87" s="28">
        <f>ED32+'COGS + SG&amp;A'!ED201</f>
        <v>123.316</v>
      </c>
      <c r="EE87" s="28">
        <f>EE32+'COGS + SG&amp;A'!EE201</f>
        <v>126.36876716000008</v>
      </c>
      <c r="EF87" s="28">
        <f t="shared" ref="EF87:EF108" si="57">SUM(EB87:EE87)</f>
        <v>457.80013865000001</v>
      </c>
      <c r="EG87" s="28">
        <f>EG32+'COGS + SG&amp;A'!EG201</f>
        <v>127.60107053</v>
      </c>
      <c r="EH87" s="28">
        <f>EH32+'COGS + SG&amp;A'!EH201</f>
        <v>118.69889151</v>
      </c>
      <c r="EI87" s="28">
        <f>EI32+'COGS + SG&amp;A'!EI201</f>
        <v>136.44148251999999</v>
      </c>
    </row>
    <row r="88" spans="1:139" ht="15" thickTop="1" x14ac:dyDescent="0.3">
      <c r="A88" s="1" t="s">
        <v>442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27">
        <f>BJ33+'COGS + SG&amp;A'!BJ202</f>
        <v>117.6906594</v>
      </c>
      <c r="BK88" s="27">
        <f>BK33+'COGS + SG&amp;A'!BK202</f>
        <v>109.19193687000001</v>
      </c>
      <c r="BL88" s="27">
        <f>BL33+'COGS + SG&amp;A'!BL202</f>
        <v>122.74746103999999</v>
      </c>
      <c r="BM88" s="27">
        <f>BM33+'COGS + SG&amp;A'!BM202</f>
        <v>133.27645467000002</v>
      </c>
      <c r="BN88" s="27">
        <f t="shared" si="43"/>
        <v>482.90651198</v>
      </c>
      <c r="BO88" s="27">
        <f>BO33+'COGS + SG&amp;A'!BO202</f>
        <v>126.73348411000001</v>
      </c>
      <c r="BP88" s="27">
        <f>BP33+'COGS + SG&amp;A'!BP202</f>
        <v>117.78724907000002</v>
      </c>
      <c r="BQ88" s="27">
        <f>BQ33+'COGS + SG&amp;A'!BQ202</f>
        <v>132.81867711999999</v>
      </c>
      <c r="BR88" s="27">
        <f>BR33+'COGS + SG&amp;A'!BR202</f>
        <v>146.44759446999998</v>
      </c>
      <c r="BS88" s="27">
        <f t="shared" si="44"/>
        <v>523.78700477000007</v>
      </c>
      <c r="BT88" s="27">
        <f>BT33+'COGS + SG&amp;A'!BT202</f>
        <v>142.36993988</v>
      </c>
      <c r="BU88" s="27">
        <f>BU33+'COGS + SG&amp;A'!BU202</f>
        <v>117.28380859000002</v>
      </c>
      <c r="BV88" s="27">
        <f>BV33+'COGS + SG&amp;A'!BV202</f>
        <v>148.41999582</v>
      </c>
      <c r="BW88" s="27">
        <f>BW33+'COGS + SG&amp;A'!BW202</f>
        <v>153.84954538</v>
      </c>
      <c r="BX88" s="27">
        <f t="shared" si="45"/>
        <v>561.92328967000003</v>
      </c>
      <c r="BY88" s="27">
        <f>BY33+'COGS + SG&amp;A'!BY202</f>
        <v>148.092806</v>
      </c>
      <c r="BZ88" s="27">
        <f>BZ33+'COGS + SG&amp;A'!BZ202</f>
        <v>135.55559771</v>
      </c>
      <c r="CA88" s="27">
        <f>CA33+'COGS + SG&amp;A'!CA202</f>
        <v>165.52690941999998</v>
      </c>
      <c r="CB88" s="27">
        <f>CB33+'COGS + SG&amp;A'!CB202</f>
        <v>164.25345285000006</v>
      </c>
      <c r="CC88" s="27">
        <f t="shared" si="46"/>
        <v>613.42876598000009</v>
      </c>
      <c r="CD88" s="27">
        <f>CD33+'COGS + SG&amp;A'!CD202</f>
        <v>167.06530853999999</v>
      </c>
      <c r="CE88" s="27">
        <f>CE33+'COGS + SG&amp;A'!CE202</f>
        <v>137.32952699000001</v>
      </c>
      <c r="CF88" s="27">
        <f>CF33+'COGS + SG&amp;A'!CF202</f>
        <v>159.92060658</v>
      </c>
      <c r="CG88" s="27">
        <f>CG33+'COGS + SG&amp;A'!CG202</f>
        <v>174.60520084000001</v>
      </c>
      <c r="CH88" s="27">
        <f t="shared" si="47"/>
        <v>638.92064295</v>
      </c>
      <c r="CI88" s="27">
        <f>CI33+'COGS + SG&amp;A'!CI202</f>
        <v>166.69568244000001</v>
      </c>
      <c r="CJ88" s="27">
        <f>CJ33+'COGS + SG&amp;A'!CJ202</f>
        <v>150.12916048</v>
      </c>
      <c r="CK88" s="27">
        <f>CK33+'COGS + SG&amp;A'!CK202</f>
        <v>174.32181857</v>
      </c>
      <c r="CL88" s="27">
        <f>CL33+'COGS + SG&amp;A'!CL202</f>
        <v>185.08335233</v>
      </c>
      <c r="CM88" s="27">
        <f t="shared" si="48"/>
        <v>676.23001382000007</v>
      </c>
      <c r="CN88" s="27">
        <f>CN33+'COGS + SG&amp;A'!CN202</f>
        <v>175.59750765000001</v>
      </c>
      <c r="CO88" s="27">
        <f>CO33+'COGS + SG&amp;A'!CO202</f>
        <v>149.89786885000001</v>
      </c>
      <c r="CP88" s="27">
        <f>CP33+'COGS + SG&amp;A'!CP202</f>
        <v>166.23396172</v>
      </c>
      <c r="CQ88" s="27">
        <f>CQ33+'COGS + SG&amp;A'!CQ202</f>
        <v>198.98966177999995</v>
      </c>
      <c r="CR88" s="27">
        <f t="shared" si="49"/>
        <v>690.71900000000005</v>
      </c>
      <c r="CS88" s="27">
        <f>CS33+'COGS + SG&amp;A'!CS202</f>
        <v>201.89097097000001</v>
      </c>
      <c r="CT88" s="27">
        <f>CT33+'COGS + SG&amp;A'!CT202</f>
        <v>177.3802115</v>
      </c>
      <c r="CU88" s="27">
        <f>CU33+'COGS + SG&amp;A'!CU202</f>
        <v>201.76026006999999</v>
      </c>
      <c r="CV88" s="27">
        <f>CV33+'COGS + SG&amp;A'!CV202</f>
        <v>208.25998137000002</v>
      </c>
      <c r="CW88" s="27">
        <f t="shared" si="50"/>
        <v>789.29142390999993</v>
      </c>
      <c r="CX88" s="27">
        <f>CX33+'COGS + SG&amp;A'!CX202</f>
        <v>212.334</v>
      </c>
      <c r="CY88" s="27">
        <f>CY33+'COGS + SG&amp;A'!CY202</f>
        <v>169.59800000000001</v>
      </c>
      <c r="CZ88" s="27">
        <f>CZ33+'COGS + SG&amp;A'!CZ202</f>
        <v>183.12</v>
      </c>
      <c r="DA88" s="27">
        <f>DA33+'COGS + SG&amp;A'!DA202</f>
        <v>204.036</v>
      </c>
      <c r="DB88" s="27">
        <f t="shared" si="51"/>
        <v>769.08799999999997</v>
      </c>
      <c r="DC88" s="27">
        <f>DC33+'COGS + SG&amp;A'!DC202</f>
        <v>199.45599999999999</v>
      </c>
      <c r="DD88" s="27">
        <f>DD33+'COGS + SG&amp;A'!DD202</f>
        <v>171.929</v>
      </c>
      <c r="DE88" s="27">
        <f>DE33+'COGS + SG&amp;A'!DE202</f>
        <v>191.29900000000001</v>
      </c>
      <c r="DF88" s="27">
        <f>DF33+'COGS + SG&amp;A'!DF202</f>
        <v>217.72399999999999</v>
      </c>
      <c r="DG88" s="27">
        <f t="shared" si="52"/>
        <v>780.4079999999999</v>
      </c>
      <c r="DH88" s="27">
        <f>DH33+'COGS + SG&amp;A'!DH202</f>
        <v>195.04</v>
      </c>
      <c r="DI88" s="27">
        <f>DI33+'COGS + SG&amp;A'!DI202</f>
        <v>146.26299999999998</v>
      </c>
      <c r="DJ88" s="27">
        <f>DJ33+'COGS + SG&amp;A'!DJ202</f>
        <v>197.38299999999998</v>
      </c>
      <c r="DK88" s="27">
        <f>DK33+'COGS + SG&amp;A'!DK202</f>
        <v>211.59899999999999</v>
      </c>
      <c r="DL88" s="27">
        <f t="shared" si="53"/>
        <v>750.28499999999985</v>
      </c>
      <c r="DM88" s="27">
        <f>DM33+'COGS + SG&amp;A'!DM202</f>
        <v>199.68199999999999</v>
      </c>
      <c r="DN88" s="27">
        <f>DN33+'COGS + SG&amp;A'!DN202</f>
        <v>184.291</v>
      </c>
      <c r="DO88" s="27">
        <f>DO33+'COGS + SG&amp;A'!DO202</f>
        <v>205.72</v>
      </c>
      <c r="DP88" s="27">
        <f>DP33+'COGS + SG&amp;A'!DP202</f>
        <v>218.38800000000001</v>
      </c>
      <c r="DQ88" s="27">
        <f t="shared" si="54"/>
        <v>808.08100000000002</v>
      </c>
      <c r="DR88" s="27">
        <f>DR33+'COGS + SG&amp;A'!DR202</f>
        <v>230.35499999999999</v>
      </c>
      <c r="DS88" s="27">
        <f>DS33+'COGS + SG&amp;A'!DS202</f>
        <v>198.09700000000001</v>
      </c>
      <c r="DT88" s="27">
        <f>DT33+'COGS + SG&amp;A'!DT202</f>
        <v>246.11199999999999</v>
      </c>
      <c r="DU88" s="27">
        <f>DU33+'COGS + SG&amp;A'!DU202</f>
        <v>269.15600000000001</v>
      </c>
      <c r="DV88" s="27">
        <f t="shared" si="55"/>
        <v>943.72</v>
      </c>
      <c r="DW88" s="27">
        <f>DW33+'COGS + SG&amp;A'!DW202</f>
        <v>271.065</v>
      </c>
      <c r="DX88" s="27">
        <f>DX33+'COGS + SG&amp;A'!DX202</f>
        <v>256.70799999999997</v>
      </c>
      <c r="DY88" s="27">
        <f>DY33+'COGS + SG&amp;A'!DY202</f>
        <v>288.93342189000015</v>
      </c>
      <c r="DZ88" s="27">
        <f>DZ33+'COGS + SG&amp;A'!DZ202</f>
        <v>316.89959519999957</v>
      </c>
      <c r="EA88" s="27">
        <f t="shared" si="56"/>
        <v>1133.6060170899996</v>
      </c>
      <c r="EB88" s="27">
        <f>EB33+'COGS + SG&amp;A'!EB202</f>
        <v>309.41792244999999</v>
      </c>
      <c r="EC88" s="27">
        <f>EC33+'COGS + SG&amp;A'!EC202</f>
        <v>290.93735899000001</v>
      </c>
      <c r="ED88" s="27">
        <f>ED33+'COGS + SG&amp;A'!ED202</f>
        <v>307.34099999999995</v>
      </c>
      <c r="EE88" s="27">
        <f>EE33+'COGS + SG&amp;A'!EE202</f>
        <v>309.8468539299999</v>
      </c>
      <c r="EF88" s="27">
        <f t="shared" si="57"/>
        <v>1217.5431353699998</v>
      </c>
      <c r="EG88" s="27">
        <f>EG33+'COGS + SG&amp;A'!EG202</f>
        <v>323.11810204</v>
      </c>
      <c r="EH88" s="27">
        <f>EH33+'COGS + SG&amp;A'!EH202</f>
        <v>297.13740653000002</v>
      </c>
      <c r="EI88" s="27">
        <f>EI33+'COGS + SG&amp;A'!EI202</f>
        <v>332.75625430000008</v>
      </c>
    </row>
    <row r="89" spans="1:139" ht="15" thickBot="1" x14ac:dyDescent="0.35">
      <c r="A89" s="2" t="s">
        <v>3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28">
        <f>BJ34+'COGS + SG&amp;A'!BJ203</f>
        <v>25.859185549999999</v>
      </c>
      <c r="BK89" s="28">
        <f>BK34+'COGS + SG&amp;A'!BK203</f>
        <v>21.558185549999997</v>
      </c>
      <c r="BL89" s="28">
        <f>BL34+'COGS + SG&amp;A'!BL203</f>
        <v>26.047185550000005</v>
      </c>
      <c r="BM89" s="28">
        <f>BM34+'COGS + SG&amp;A'!BM203</f>
        <v>25.161234389999994</v>
      </c>
      <c r="BN89" s="28">
        <f t="shared" si="43"/>
        <v>98.625791039999996</v>
      </c>
      <c r="BO89" s="28">
        <f>BO34+'COGS + SG&amp;A'!BO203</f>
        <v>30.083608779999999</v>
      </c>
      <c r="BP89" s="28">
        <f>BP34+'COGS + SG&amp;A'!BP203</f>
        <v>27.710061530000001</v>
      </c>
      <c r="BQ89" s="28">
        <f>BQ34+'COGS + SG&amp;A'!BQ203</f>
        <v>32.296991739999996</v>
      </c>
      <c r="BR89" s="28">
        <f>BR34+'COGS + SG&amp;A'!BR203</f>
        <v>31.02801942</v>
      </c>
      <c r="BS89" s="28">
        <f t="shared" si="44"/>
        <v>121.11868146999998</v>
      </c>
      <c r="BT89" s="28">
        <f>BT34+'COGS + SG&amp;A'!BT203</f>
        <v>33.667802350000002</v>
      </c>
      <c r="BU89" s="28">
        <f>BU34+'COGS + SG&amp;A'!BU203</f>
        <v>29.785802350000001</v>
      </c>
      <c r="BV89" s="28">
        <f>BV34+'COGS + SG&amp;A'!BV203</f>
        <v>33.070802379999996</v>
      </c>
      <c r="BW89" s="28">
        <f>BW34+'COGS + SG&amp;A'!BW203</f>
        <v>28.507227230000002</v>
      </c>
      <c r="BX89" s="28">
        <f t="shared" si="45"/>
        <v>125.03163431</v>
      </c>
      <c r="BY89" s="28">
        <f>BY34+'COGS + SG&amp;A'!BY203</f>
        <v>38.993200859999995</v>
      </c>
      <c r="BZ89" s="28">
        <f>BZ34+'COGS + SG&amp;A'!BZ203</f>
        <v>33.364963150000001</v>
      </c>
      <c r="CA89" s="28">
        <f>CA34+'COGS + SG&amp;A'!CA203</f>
        <v>34.934851790000003</v>
      </c>
      <c r="CB89" s="28">
        <f>CB34+'COGS + SG&amp;A'!CB203</f>
        <v>35.675592109999997</v>
      </c>
      <c r="CC89" s="28">
        <f t="shared" si="46"/>
        <v>142.96860791</v>
      </c>
      <c r="CD89" s="28">
        <f>CD34+'COGS + SG&amp;A'!CD203</f>
        <v>43.374919170000005</v>
      </c>
      <c r="CE89" s="28">
        <f>CE34+'COGS + SG&amp;A'!CE203</f>
        <v>39.227982029999993</v>
      </c>
      <c r="CF89" s="28">
        <f>CF34+'COGS + SG&amp;A'!CF203</f>
        <v>40.935785919999994</v>
      </c>
      <c r="CG89" s="28">
        <f>CG34+'COGS + SG&amp;A'!CG203</f>
        <v>40.133890820000012</v>
      </c>
      <c r="CH89" s="28">
        <f t="shared" si="47"/>
        <v>163.67257794</v>
      </c>
      <c r="CI89" s="28">
        <f>CI34+'COGS + SG&amp;A'!CI203</f>
        <v>43.795232540000001</v>
      </c>
      <c r="CJ89" s="28">
        <f>CJ34+'COGS + SG&amp;A'!CJ203</f>
        <v>38.518770279999998</v>
      </c>
      <c r="CK89" s="28">
        <f>CK34+'COGS + SG&amp;A'!CK203</f>
        <v>40.645258240000004</v>
      </c>
      <c r="CL89" s="28">
        <f>CL34+'COGS + SG&amp;A'!CL203</f>
        <v>41.649480940000004</v>
      </c>
      <c r="CM89" s="28">
        <f t="shared" si="48"/>
        <v>164.60874200000001</v>
      </c>
      <c r="CN89" s="28">
        <f>CN34+'COGS + SG&amp;A'!CN203</f>
        <v>52.368657519999999</v>
      </c>
      <c r="CO89" s="28">
        <f>CO34+'COGS + SG&amp;A'!CO203</f>
        <v>45.943510419999996</v>
      </c>
      <c r="CP89" s="28">
        <f>CP34+'COGS + SG&amp;A'!CP203</f>
        <v>47.898610690000019</v>
      </c>
      <c r="CQ89" s="28">
        <f>CQ34+'COGS + SG&amp;A'!CQ203</f>
        <v>56.164221369999993</v>
      </c>
      <c r="CR89" s="28">
        <f t="shared" si="49"/>
        <v>202.375</v>
      </c>
      <c r="CS89" s="28">
        <f>CS34+'COGS + SG&amp;A'!CS203</f>
        <v>57.794674849999993</v>
      </c>
      <c r="CT89" s="28">
        <f>CT34+'COGS + SG&amp;A'!CT203</f>
        <v>53.224173379999996</v>
      </c>
      <c r="CU89" s="28">
        <f>CU34+'COGS + SG&amp;A'!CU203</f>
        <v>56.799276280000001</v>
      </c>
      <c r="CV89" s="28">
        <f>CV34+'COGS + SG&amp;A'!CV203</f>
        <v>53.158940509999994</v>
      </c>
      <c r="CW89" s="28">
        <f t="shared" si="50"/>
        <v>220.97706502</v>
      </c>
      <c r="CX89" s="28">
        <f>CX34+'COGS + SG&amp;A'!CX203</f>
        <v>59.959000000000003</v>
      </c>
      <c r="CY89" s="28">
        <f>CY34+'COGS + SG&amp;A'!CY203</f>
        <v>49.816000000000003</v>
      </c>
      <c r="CZ89" s="28">
        <f>CZ34+'COGS + SG&amp;A'!CZ203</f>
        <v>55.314</v>
      </c>
      <c r="DA89" s="28">
        <f>DA34+'COGS + SG&amp;A'!DA203</f>
        <v>56.155000000000001</v>
      </c>
      <c r="DB89" s="28">
        <f t="shared" si="51"/>
        <v>221.244</v>
      </c>
      <c r="DC89" s="28">
        <f>DC34+'COGS + SG&amp;A'!DC203</f>
        <v>63.183</v>
      </c>
      <c r="DD89" s="28">
        <f>DD34+'COGS + SG&amp;A'!DD203</f>
        <v>57.365000000000002</v>
      </c>
      <c r="DE89" s="28">
        <v>60.377999999999986</v>
      </c>
      <c r="DF89" s="28">
        <f>DF34+'COGS + SG&amp;A'!DF203</f>
        <v>64.921999999999997</v>
      </c>
      <c r="DG89" s="28">
        <f t="shared" si="52"/>
        <v>245.84799999999998</v>
      </c>
      <c r="DH89" s="28">
        <f>DH34+'COGS + SG&amp;A'!DH203</f>
        <v>69.203000000000003</v>
      </c>
      <c r="DI89" s="28">
        <f>DI34+'COGS + SG&amp;A'!DI203</f>
        <v>45.469000000000001</v>
      </c>
      <c r="DJ89" s="28">
        <f>DJ34+'COGS + SG&amp;A'!DJ203</f>
        <v>54.968999999999994</v>
      </c>
      <c r="DK89" s="28">
        <f>DK34+'COGS + SG&amp;A'!DK203</f>
        <v>57.937000000000005</v>
      </c>
      <c r="DL89" s="28">
        <f t="shared" si="53"/>
        <v>227.578</v>
      </c>
      <c r="DM89" s="28">
        <f>DM34+'COGS + SG&amp;A'!DM203</f>
        <v>59.622999999999998</v>
      </c>
      <c r="DN89" s="28">
        <f>DN34+'COGS + SG&amp;A'!DN203</f>
        <v>63.686</v>
      </c>
      <c r="DO89" s="28">
        <f>DO34+'COGS + SG&amp;A'!DO203</f>
        <v>69.683000000000007</v>
      </c>
      <c r="DP89" s="28">
        <f>DP34+'COGS + SG&amp;A'!DP203</f>
        <v>42.487000000000002</v>
      </c>
      <c r="DQ89" s="28">
        <f t="shared" si="54"/>
        <v>235.47900000000001</v>
      </c>
      <c r="DR89" s="28">
        <f>DR34+'COGS + SG&amp;A'!DR203</f>
        <v>-2.0619999999999998</v>
      </c>
      <c r="DS89" s="28">
        <f>DS34+'COGS + SG&amp;A'!DS203</f>
        <v>-2.8460000000000001</v>
      </c>
      <c r="DT89" s="28">
        <f>DT34+'COGS + SG&amp;A'!DT203</f>
        <v>-2.6059999999999999</v>
      </c>
      <c r="DU89" s="28">
        <f>DU34+'COGS + SG&amp;A'!DU203</f>
        <v>-0.189</v>
      </c>
      <c r="DV89" s="28">
        <f t="shared" si="55"/>
        <v>-7.7029999999999994</v>
      </c>
      <c r="DW89" s="28">
        <f>DW34+'COGS + SG&amp;A'!DW203</f>
        <v>-7.5999999999999998E-2</v>
      </c>
      <c r="DX89" s="28">
        <f>DX34+'COGS + SG&amp;A'!DX203</f>
        <v>-3.54</v>
      </c>
      <c r="DY89" s="28">
        <f>DY34+'COGS + SG&amp;A'!DY203</f>
        <v>-0.51707273999999981</v>
      </c>
      <c r="DZ89" s="28">
        <f>DZ34+'COGS + SG&amp;A'!DZ203</f>
        <v>-10.802326280000001</v>
      </c>
      <c r="EA89" s="28">
        <f t="shared" si="56"/>
        <v>-14.935399020000002</v>
      </c>
      <c r="EB89" s="28">
        <f>EB34+'COGS + SG&amp;A'!EB203</f>
        <v>0.29716281999999994</v>
      </c>
      <c r="EC89" s="28">
        <f>EC34+'COGS + SG&amp;A'!EC203</f>
        <v>-0.18801534999999997</v>
      </c>
      <c r="ED89" s="28">
        <f>ED34+'COGS + SG&amp;A'!ED203</f>
        <v>-0.316</v>
      </c>
      <c r="EE89" s="28">
        <f>EE34+'COGS + SG&amp;A'!EE203</f>
        <v>-0.26733107</v>
      </c>
      <c r="EF89" s="28">
        <f t="shared" si="57"/>
        <v>-0.47418360000000004</v>
      </c>
      <c r="EG89" s="28">
        <f>EG34+'COGS + SG&amp;A'!EG203</f>
        <v>-0.43767731999999998</v>
      </c>
      <c r="EH89" s="28">
        <f>EH34+'COGS + SG&amp;A'!EH203</f>
        <v>-0.14942153999999999</v>
      </c>
      <c r="EI89" s="28">
        <f>EI34+'COGS + SG&amp;A'!EI203</f>
        <v>-1.0611254399999999</v>
      </c>
    </row>
    <row r="90" spans="1:139" ht="15" thickTop="1" x14ac:dyDescent="0.3">
      <c r="A90" s="1" t="s">
        <v>443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27">
        <f>BJ35+'COGS + SG&amp;A'!BJ204</f>
        <v>19.486006680000003</v>
      </c>
      <c r="BK90" s="27">
        <f>BK35+'COGS + SG&amp;A'!BK204</f>
        <v>23.479006679999998</v>
      </c>
      <c r="BL90" s="27">
        <f>BL35+'COGS + SG&amp;A'!BL204</f>
        <v>25.578006680000001</v>
      </c>
      <c r="BM90" s="27">
        <f>BM35+'COGS + SG&amp;A'!BM204</f>
        <v>26.566006680000001</v>
      </c>
      <c r="BN90" s="27">
        <f t="shared" si="43"/>
        <v>95.109026720000003</v>
      </c>
      <c r="BO90" s="27">
        <f>BO35+'COGS + SG&amp;A'!BO204</f>
        <v>28.533661170000002</v>
      </c>
      <c r="BP90" s="27">
        <f>BP35+'COGS + SG&amp;A'!BP204</f>
        <v>28.154661169999997</v>
      </c>
      <c r="BQ90" s="27">
        <f>BQ35+'COGS + SG&amp;A'!BQ204</f>
        <v>31.91385948000001</v>
      </c>
      <c r="BR90" s="27">
        <f>BR35+'COGS + SG&amp;A'!BR204</f>
        <v>32.131727289999986</v>
      </c>
      <c r="BS90" s="27">
        <f t="shared" si="44"/>
        <v>120.73390911</v>
      </c>
      <c r="BT90" s="27">
        <f>BT35+'COGS + SG&amp;A'!BT204</f>
        <v>31.63051802</v>
      </c>
      <c r="BU90" s="27">
        <f>BU35+'COGS + SG&amp;A'!BU204</f>
        <v>30.078518020000001</v>
      </c>
      <c r="BV90" s="27">
        <f>BV35+'COGS + SG&amp;A'!BV204</f>
        <v>38.692518020000009</v>
      </c>
      <c r="BW90" s="27">
        <f>BW35+'COGS + SG&amp;A'!BW204</f>
        <v>36.533741049999989</v>
      </c>
      <c r="BX90" s="27">
        <f t="shared" si="45"/>
        <v>136.93529511</v>
      </c>
      <c r="BY90" s="27">
        <f>BY35+'COGS + SG&amp;A'!BY204</f>
        <v>35.105518019999998</v>
      </c>
      <c r="BZ90" s="27">
        <f>BZ35+'COGS + SG&amp;A'!BZ204</f>
        <v>34.829451730000002</v>
      </c>
      <c r="CA90" s="27">
        <f>CA35+'COGS + SG&amp;A'!CA204</f>
        <v>40.580984859999994</v>
      </c>
      <c r="CB90" s="27">
        <f>CB35+'COGS + SG&amp;A'!CB204</f>
        <v>38.772984860000015</v>
      </c>
      <c r="CC90" s="27">
        <f t="shared" si="46"/>
        <v>149.28893947</v>
      </c>
      <c r="CD90" s="27">
        <f>CD35+'COGS + SG&amp;A'!CD204</f>
        <v>38.09298604</v>
      </c>
      <c r="CE90" s="27">
        <f>CE35+'COGS + SG&amp;A'!CE204</f>
        <v>26.276625759999998</v>
      </c>
      <c r="CF90" s="27">
        <f>CF35+'COGS + SG&amp;A'!CF204</f>
        <v>37.929305899999996</v>
      </c>
      <c r="CG90" s="27">
        <f>CG35+'COGS + SG&amp;A'!CG204</f>
        <v>36.948620159999997</v>
      </c>
      <c r="CH90" s="27">
        <f t="shared" si="47"/>
        <v>139.24753785999999</v>
      </c>
      <c r="CI90" s="27">
        <f>CI35+'COGS + SG&amp;A'!CI204</f>
        <v>38.550190239999999</v>
      </c>
      <c r="CJ90" s="27">
        <f>CJ35+'COGS + SG&amp;A'!CJ204</f>
        <v>33.648299430000002</v>
      </c>
      <c r="CK90" s="27">
        <f>CK35+'COGS + SG&amp;A'!CK204</f>
        <v>38.212391409999995</v>
      </c>
      <c r="CL90" s="27">
        <f>CL35+'COGS + SG&amp;A'!CL204</f>
        <v>39.773430519999998</v>
      </c>
      <c r="CM90" s="27">
        <f t="shared" si="48"/>
        <v>150.1843116</v>
      </c>
      <c r="CN90" s="27">
        <f>CN35+'COGS + SG&amp;A'!CN204</f>
        <v>39.054497480000002</v>
      </c>
      <c r="CO90" s="27">
        <f>CO35+'COGS + SG&amp;A'!CO204</f>
        <v>35.581497480000003</v>
      </c>
      <c r="CP90" s="27">
        <f>CP35+'COGS + SG&amp;A'!CP204</f>
        <v>41.905497480000001</v>
      </c>
      <c r="CQ90" s="27">
        <f>CQ35+'COGS + SG&amp;A'!CQ204</f>
        <v>48.479507560000009</v>
      </c>
      <c r="CR90" s="27">
        <f t="shared" si="49"/>
        <v>165.02100000000002</v>
      </c>
      <c r="CS90" s="27">
        <f>CS35+'COGS + SG&amp;A'!CS204</f>
        <v>43.36807975</v>
      </c>
      <c r="CT90" s="27">
        <f>CT35+'COGS + SG&amp;A'!CT204</f>
        <v>41.15407974</v>
      </c>
      <c r="CU90" s="27">
        <f>CU35+'COGS + SG&amp;A'!CU204</f>
        <v>47.482089529999996</v>
      </c>
      <c r="CV90" s="27">
        <f>CV35+'COGS + SG&amp;A'!CV204</f>
        <v>48.656310679999997</v>
      </c>
      <c r="CW90" s="27">
        <f t="shared" si="50"/>
        <v>180.66055969999999</v>
      </c>
      <c r="CX90" s="27">
        <f>CX35+'COGS + SG&amp;A'!CX204</f>
        <v>49.171999999999997</v>
      </c>
      <c r="CY90" s="27">
        <f>CY35+'COGS + SG&amp;A'!CY204</f>
        <v>42.808</v>
      </c>
      <c r="CZ90" s="27">
        <f>CZ35+'COGS + SG&amp;A'!CZ204</f>
        <v>52.018000000000001</v>
      </c>
      <c r="DA90" s="27">
        <f>DA35+'COGS + SG&amp;A'!DA204</f>
        <v>55.100999999999999</v>
      </c>
      <c r="DB90" s="27">
        <f t="shared" si="51"/>
        <v>199.09899999999999</v>
      </c>
      <c r="DC90" s="27">
        <f>DC35+'COGS + SG&amp;A'!DC204</f>
        <v>55.195</v>
      </c>
      <c r="DD90" s="27">
        <f>DD35+'COGS + SG&amp;A'!DD204</f>
        <v>51.628999999999998</v>
      </c>
      <c r="DE90" s="27">
        <f>DE35+'COGS + SG&amp;A'!DE204</f>
        <v>54.075000000000003</v>
      </c>
      <c r="DF90" s="27">
        <f>DF35+'COGS + SG&amp;A'!DF204</f>
        <v>57.372</v>
      </c>
      <c r="DG90" s="27">
        <f t="shared" si="52"/>
        <v>218.27100000000002</v>
      </c>
      <c r="DH90" s="27">
        <f>DH35+'COGS + SG&amp;A'!DH204</f>
        <v>48.398000000000003</v>
      </c>
      <c r="DI90" s="27">
        <f>DI35+'COGS + SG&amp;A'!DI204</f>
        <v>23.734999999999999</v>
      </c>
      <c r="DJ90" s="27">
        <f>DJ35+'COGS + SG&amp;A'!DJ204</f>
        <v>45.665000000000006</v>
      </c>
      <c r="DK90" s="27">
        <f>DK35+'COGS + SG&amp;A'!DK204</f>
        <v>55.028999999999996</v>
      </c>
      <c r="DL90" s="27">
        <f t="shared" si="53"/>
        <v>172.827</v>
      </c>
      <c r="DM90" s="27">
        <f>DM35+'COGS + SG&amp;A'!DM204</f>
        <v>47.082999999999998</v>
      </c>
      <c r="DN90" s="27">
        <f>DN35+'COGS + SG&amp;A'!DN204</f>
        <v>39.856000000000002</v>
      </c>
      <c r="DO90" s="27">
        <f>DO35+'COGS + SG&amp;A'!DO204</f>
        <v>55.492999999999995</v>
      </c>
      <c r="DP90" s="27">
        <f>DP35+'COGS + SG&amp;A'!DP204</f>
        <v>60.543000000000006</v>
      </c>
      <c r="DQ90" s="27">
        <f t="shared" si="54"/>
        <v>202.97499999999999</v>
      </c>
      <c r="DR90" s="27">
        <f>DR35+'COGS + SG&amp;A'!DR204</f>
        <v>53.841999999999999</v>
      </c>
      <c r="DS90" s="27">
        <f>DS35+'COGS + SG&amp;A'!DS204</f>
        <v>52.392000000000003</v>
      </c>
      <c r="DT90" s="27">
        <f>DT35+'COGS + SG&amp;A'!DT204</f>
        <v>67.756999999999991</v>
      </c>
      <c r="DU90" s="27">
        <f>DU35+'COGS + SG&amp;A'!DU204</f>
        <v>69.881</v>
      </c>
      <c r="DV90" s="27">
        <f t="shared" si="55"/>
        <v>243.87199999999999</v>
      </c>
      <c r="DW90" s="27">
        <f>DW35+'COGS + SG&amp;A'!DW204</f>
        <v>66.643000000000001</v>
      </c>
      <c r="DX90" s="27">
        <f>DX35+'COGS + SG&amp;A'!DX204</f>
        <v>64.718000000000018</v>
      </c>
      <c r="DY90" s="27">
        <f>DY35+'COGS + SG&amp;A'!DY204</f>
        <v>78.036395170000006</v>
      </c>
      <c r="DZ90" s="27">
        <f>DZ35+'COGS + SG&amp;A'!DZ204</f>
        <v>100.30589116999998</v>
      </c>
      <c r="EA90" s="27">
        <f t="shared" si="56"/>
        <v>309.70328634000003</v>
      </c>
      <c r="EB90" s="27">
        <f>EB35+'COGS + SG&amp;A'!EB204</f>
        <v>85.18682253999998</v>
      </c>
      <c r="EC90" s="27">
        <f>EC35+'COGS + SG&amp;A'!EC204</f>
        <v>89.07464646999999</v>
      </c>
      <c r="ED90" s="27">
        <f>ED35+'COGS + SG&amp;A'!ED204</f>
        <v>97.828000000000003</v>
      </c>
      <c r="EE90" s="27">
        <f>EE35+'COGS + SG&amp;A'!EE204</f>
        <v>104.39612218999999</v>
      </c>
      <c r="EF90" s="27">
        <f t="shared" si="57"/>
        <v>376.48559119999999</v>
      </c>
      <c r="EG90" s="27">
        <f>EG35+'COGS + SG&amp;A'!EG204</f>
        <v>102.16224407999999</v>
      </c>
      <c r="EH90" s="27">
        <f>EH35+'COGS + SG&amp;A'!EH204</f>
        <v>93.546521069999997</v>
      </c>
      <c r="EI90" s="27">
        <f>EI35+'COGS + SG&amp;A'!EI204</f>
        <v>108.53176373000004</v>
      </c>
    </row>
    <row r="91" spans="1:139" ht="15" thickBot="1" x14ac:dyDescent="0.35">
      <c r="A91" s="2" t="s">
        <v>481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28">
        <f>BJ36+'COGS + SG&amp;A'!BJ205</f>
        <v>0</v>
      </c>
      <c r="BK91" s="28">
        <f>BK36+'COGS + SG&amp;A'!BK205</f>
        <v>0</v>
      </c>
      <c r="BL91" s="28">
        <f>BL36+'COGS + SG&amp;A'!BL205</f>
        <v>0</v>
      </c>
      <c r="BM91" s="28">
        <f>BM36+'COGS + SG&amp;A'!BM205</f>
        <v>0</v>
      </c>
      <c r="BN91" s="28">
        <f t="shared" si="43"/>
        <v>0</v>
      </c>
      <c r="BO91" s="28">
        <f>BO36+'COGS + SG&amp;A'!BO205</f>
        <v>0</v>
      </c>
      <c r="BP91" s="28">
        <f>BP36+'COGS + SG&amp;A'!BP205</f>
        <v>0</v>
      </c>
      <c r="BQ91" s="28">
        <f>BQ36+'COGS + SG&amp;A'!BQ205</f>
        <v>0</v>
      </c>
      <c r="BR91" s="28">
        <f>BR36+'COGS + SG&amp;A'!BR205</f>
        <v>0</v>
      </c>
      <c r="BS91" s="28">
        <f t="shared" si="44"/>
        <v>0</v>
      </c>
      <c r="BT91" s="28">
        <f>BT36+'COGS + SG&amp;A'!BT205</f>
        <v>0</v>
      </c>
      <c r="BU91" s="28">
        <f>BU36+'COGS + SG&amp;A'!BU205</f>
        <v>-0.40400000000000003</v>
      </c>
      <c r="BV91" s="28">
        <f>BV36+'COGS + SG&amp;A'!BV205</f>
        <v>-1.577</v>
      </c>
      <c r="BW91" s="28">
        <f>BW36+'COGS + SG&amp;A'!BW205</f>
        <v>-1.9260000000000002</v>
      </c>
      <c r="BX91" s="28">
        <f t="shared" si="45"/>
        <v>-3.907</v>
      </c>
      <c r="BY91" s="28">
        <f>BY36+'COGS + SG&amp;A'!BY205</f>
        <v>-3.294</v>
      </c>
      <c r="BZ91" s="28">
        <f>BZ36+'COGS + SG&amp;A'!BZ205</f>
        <v>-4.3970000000000002</v>
      </c>
      <c r="CA91" s="28">
        <f>CA36+'COGS + SG&amp;A'!CA205</f>
        <v>-8.238999999999999</v>
      </c>
      <c r="CB91" s="28">
        <f>CB36+'COGS + SG&amp;A'!CB205</f>
        <v>-16.734000000000002</v>
      </c>
      <c r="CC91" s="28">
        <f t="shared" si="46"/>
        <v>-32.664000000000001</v>
      </c>
      <c r="CD91" s="28">
        <f>CD36+'COGS + SG&amp;A'!CD205</f>
        <v>-16.46</v>
      </c>
      <c r="CE91" s="28">
        <f>CE36+'COGS + SG&amp;A'!CE205</f>
        <v>-3.428377809999998</v>
      </c>
      <c r="CF91" s="28">
        <f>CF36+'COGS + SG&amp;A'!CF205</f>
        <v>17.1289333</v>
      </c>
      <c r="CG91" s="28">
        <f>CG36+'COGS + SG&amp;A'!CG205</f>
        <v>19.416499730000002</v>
      </c>
      <c r="CH91" s="28">
        <f t="shared" si="47"/>
        <v>16.657055220000004</v>
      </c>
      <c r="CI91" s="28">
        <f>CI36+'COGS + SG&amp;A'!CI205</f>
        <v>16.891535600000001</v>
      </c>
      <c r="CJ91" s="28">
        <f>CJ36+'COGS + SG&amp;A'!CJ205</f>
        <v>13.317535600000001</v>
      </c>
      <c r="CK91" s="28">
        <f>CK36+'COGS + SG&amp;A'!CK205</f>
        <v>19.462535599999995</v>
      </c>
      <c r="CL91" s="28">
        <f>CL36+'COGS + SG&amp;A'!CL205</f>
        <v>23.174070560000001</v>
      </c>
      <c r="CM91" s="28">
        <f t="shared" si="48"/>
        <v>72.845677359999996</v>
      </c>
      <c r="CN91" s="28">
        <f>CN36+'COGS + SG&amp;A'!CN205</f>
        <v>18.081565400000002</v>
      </c>
      <c r="CO91" s="28">
        <f>CO36+'COGS + SG&amp;A'!CO205</f>
        <v>15.959565399999999</v>
      </c>
      <c r="CP91" s="28">
        <f>CP36+'COGS + SG&amp;A'!CP205</f>
        <v>19.099565400000003</v>
      </c>
      <c r="CQ91" s="28">
        <f>CQ36+'COGS + SG&amp;A'!CQ205</f>
        <v>19.360303799999997</v>
      </c>
      <c r="CR91" s="28">
        <f t="shared" si="49"/>
        <v>72.501000000000005</v>
      </c>
      <c r="CS91" s="28">
        <f>CS36+'COGS + SG&amp;A'!CS205</f>
        <v>19.371848780000001</v>
      </c>
      <c r="CT91" s="28">
        <f>CT36+'COGS + SG&amp;A'!CT205</f>
        <v>20.072848780000001</v>
      </c>
      <c r="CU91" s="28">
        <f>CU36+'COGS + SG&amp;A'!CU205</f>
        <v>24.02584878</v>
      </c>
      <c r="CV91" s="28">
        <f>CV36+'COGS + SG&amp;A'!CV205</f>
        <v>26.751430579999997</v>
      </c>
      <c r="CW91" s="28">
        <f t="shared" si="50"/>
        <v>90.221976920000003</v>
      </c>
      <c r="CX91" s="28">
        <f>CX36+'COGS + SG&amp;A'!CX205</f>
        <v>25.85</v>
      </c>
      <c r="CY91" s="28">
        <f>CY36+'COGS + SG&amp;A'!CY205</f>
        <v>19.585999999999999</v>
      </c>
      <c r="CZ91" s="28">
        <f>CZ36+'COGS + SG&amp;A'!CZ205</f>
        <v>25.838999999999999</v>
      </c>
      <c r="DA91" s="28">
        <f>DA36+'COGS + SG&amp;A'!DA205</f>
        <v>23.285</v>
      </c>
      <c r="DB91" s="28">
        <f t="shared" si="51"/>
        <v>94.56</v>
      </c>
      <c r="DC91" s="28">
        <f>DC36+'COGS + SG&amp;A'!DC205</f>
        <v>25.158999999999999</v>
      </c>
      <c r="DD91" s="28">
        <f>DD36+'COGS + SG&amp;A'!DD205</f>
        <v>21.01</v>
      </c>
      <c r="DE91" s="28">
        <f>DE36+'COGS + SG&amp;A'!DE205</f>
        <v>20.385000000000002</v>
      </c>
      <c r="DF91" s="28">
        <f>DF36+'COGS + SG&amp;A'!DF205</f>
        <v>15.864000000000001</v>
      </c>
      <c r="DG91" s="28">
        <f t="shared" si="52"/>
        <v>82.418000000000006</v>
      </c>
      <c r="DH91" s="28">
        <f>DH36+'COGS + SG&amp;A'!DH205</f>
        <v>19.093</v>
      </c>
      <c r="DI91" s="28">
        <f>DI36+'COGS + SG&amp;A'!DI205</f>
        <v>14.9</v>
      </c>
      <c r="DJ91" s="28">
        <f>DJ36+'COGS + SG&amp;A'!DJ205</f>
        <v>24.378</v>
      </c>
      <c r="DK91" s="28">
        <v>43.975000000000016</v>
      </c>
      <c r="DL91" s="28">
        <f t="shared" si="53"/>
        <v>102.34600000000002</v>
      </c>
      <c r="DM91" s="28">
        <f>DM36+'COGS + SG&amp;A'!DM205</f>
        <v>24.774000000000001</v>
      </c>
      <c r="DN91" s="28">
        <f>DN36+'COGS + SG&amp;A'!DN205</f>
        <v>14.108000000000001</v>
      </c>
      <c r="DO91" s="28">
        <f>DO36+'COGS + SG&amp;A'!DO205</f>
        <v>11.468</v>
      </c>
      <c r="DP91" s="28">
        <f>DP36+'COGS + SG&amp;A'!DP205</f>
        <v>14.179</v>
      </c>
      <c r="DQ91" s="28">
        <f t="shared" si="54"/>
        <v>64.529000000000011</v>
      </c>
      <c r="DR91" s="28">
        <f>DR36+'COGS + SG&amp;A'!DR205</f>
        <v>17.743000000000002</v>
      </c>
      <c r="DS91" s="28">
        <f>DS36+'COGS + SG&amp;A'!DS205</f>
        <v>19.670999999999999</v>
      </c>
      <c r="DT91" s="28">
        <f>DT36+'COGS + SG&amp;A'!DT205</f>
        <v>25.381999999999998</v>
      </c>
      <c r="DU91" s="28">
        <f>DU36+'COGS + SG&amp;A'!DU205</f>
        <v>22.290999999999997</v>
      </c>
      <c r="DV91" s="28">
        <f t="shared" si="55"/>
        <v>85.086999999999989</v>
      </c>
      <c r="DW91" s="28">
        <f>DW36+'COGS + SG&amp;A'!DW205</f>
        <v>15.105</v>
      </c>
      <c r="DX91" s="28">
        <f>DX36+'COGS + SG&amp;A'!DX205</f>
        <v>25.467999999999996</v>
      </c>
      <c r="DY91" s="28">
        <f>DY36+'COGS + SG&amp;A'!DY205</f>
        <v>23.56743374000003</v>
      </c>
      <c r="DZ91" s="28">
        <v>28.762649669999973</v>
      </c>
      <c r="EA91" s="28">
        <f t="shared" si="56"/>
        <v>92.903083409999994</v>
      </c>
      <c r="EB91" s="28">
        <f>EB36+'COGS + SG&amp;A'!EB205</f>
        <v>25.569851299999989</v>
      </c>
      <c r="EC91" s="28">
        <f>EC36+'COGS + SG&amp;A'!EC205</f>
        <v>20.503721640000009</v>
      </c>
      <c r="ED91" s="28">
        <f>ED36+'COGS + SG&amp;A'!ED205</f>
        <v>27.64</v>
      </c>
      <c r="EE91" s="28">
        <f>EE36+'COGS + SG&amp;A'!EE205+41.512</f>
        <v>27.245984630000024</v>
      </c>
      <c r="EF91" s="28">
        <f t="shared" si="57"/>
        <v>100.95955757000003</v>
      </c>
      <c r="EG91" s="28">
        <f>EG36+'COGS + SG&amp;A'!EG205</f>
        <v>29.255172000000002</v>
      </c>
      <c r="EH91" s="28">
        <f>EH36+'COGS + SG&amp;A'!EH205</f>
        <v>25.72318555</v>
      </c>
      <c r="EI91" s="28">
        <v>25.373467089999991</v>
      </c>
    </row>
    <row r="92" spans="1:139" ht="15" thickTop="1" x14ac:dyDescent="0.3">
      <c r="A92" s="1" t="s">
        <v>445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27">
        <f>BJ37+'COGS + SG&amp;A'!BJ206</f>
        <v>0</v>
      </c>
      <c r="BK92" s="27">
        <f>BK37+'COGS + SG&amp;A'!BK206</f>
        <v>0</v>
      </c>
      <c r="BL92" s="27">
        <f>BL37+'COGS + SG&amp;A'!BL206</f>
        <v>0</v>
      </c>
      <c r="BM92" s="27">
        <f>BM37+'COGS + SG&amp;A'!BM206</f>
        <v>0</v>
      </c>
      <c r="BN92" s="27">
        <f t="shared" si="43"/>
        <v>0</v>
      </c>
      <c r="BO92" s="27">
        <f>BO37+'COGS + SG&amp;A'!BO206</f>
        <v>0</v>
      </c>
      <c r="BP92" s="27">
        <f>BP37+'COGS + SG&amp;A'!BP206</f>
        <v>0</v>
      </c>
      <c r="BQ92" s="27">
        <f>BQ37+'COGS + SG&amp;A'!BQ206</f>
        <v>0</v>
      </c>
      <c r="BR92" s="27">
        <f>BR37+'COGS + SG&amp;A'!BR206</f>
        <v>0</v>
      </c>
      <c r="BS92" s="27">
        <f t="shared" si="44"/>
        <v>0</v>
      </c>
      <c r="BT92" s="27">
        <f>BT37+'COGS + SG&amp;A'!BT206</f>
        <v>0</v>
      </c>
      <c r="BU92" s="27">
        <f>BU37+'COGS + SG&amp;A'!BU206</f>
        <v>0</v>
      </c>
      <c r="BV92" s="27">
        <f>BV37+'COGS + SG&amp;A'!BV206</f>
        <v>0</v>
      </c>
      <c r="BW92" s="27">
        <f>BW37+'COGS + SG&amp;A'!BW206</f>
        <v>0</v>
      </c>
      <c r="BX92" s="27">
        <f t="shared" si="45"/>
        <v>0</v>
      </c>
      <c r="BY92" s="27">
        <f>BY37+'COGS + SG&amp;A'!BY206</f>
        <v>0</v>
      </c>
      <c r="BZ92" s="27">
        <f>BZ37+'COGS + SG&amp;A'!BZ206</f>
        <v>0</v>
      </c>
      <c r="CA92" s="27">
        <f>CA37+'COGS + SG&amp;A'!CA206</f>
        <v>0</v>
      </c>
      <c r="CB92" s="27">
        <f>CB37+'COGS + SG&amp;A'!CB206</f>
        <v>0</v>
      </c>
      <c r="CC92" s="27">
        <f t="shared" si="46"/>
        <v>0</v>
      </c>
      <c r="CD92" s="27">
        <f>CD37+'COGS + SG&amp;A'!CD206</f>
        <v>0</v>
      </c>
      <c r="CE92" s="27">
        <f>CE37+'COGS + SG&amp;A'!CE206</f>
        <v>0</v>
      </c>
      <c r="CF92" s="27">
        <f>CF37+'COGS + SG&amp;A'!CF206</f>
        <v>0</v>
      </c>
      <c r="CG92" s="27">
        <f>CG37+'COGS + SG&amp;A'!CG206</f>
        <v>0</v>
      </c>
      <c r="CH92" s="27">
        <f t="shared" si="47"/>
        <v>0</v>
      </c>
      <c r="CI92" s="27">
        <f>CI37+'COGS + SG&amp;A'!CI206</f>
        <v>0</v>
      </c>
      <c r="CJ92" s="27">
        <f>CJ37+'COGS + SG&amp;A'!CJ206</f>
        <v>3.7029999999999998</v>
      </c>
      <c r="CK92" s="27">
        <f>CK37+'COGS + SG&amp;A'!CK206</f>
        <v>12.885999999999999</v>
      </c>
      <c r="CL92" s="27">
        <f>CL37+'COGS + SG&amp;A'!CL206</f>
        <v>13.433</v>
      </c>
      <c r="CM92" s="27">
        <f t="shared" si="48"/>
        <v>30.021999999999998</v>
      </c>
      <c r="CN92" s="27">
        <f>CN37+'COGS + SG&amp;A'!CN206</f>
        <v>13.202999999999999</v>
      </c>
      <c r="CO92" s="27">
        <f>CO37+'COGS + SG&amp;A'!CO206</f>
        <v>13.895</v>
      </c>
      <c r="CP92" s="27">
        <f>CP37+'COGS + SG&amp;A'!CP206</f>
        <v>16.755000000000003</v>
      </c>
      <c r="CQ92" s="27">
        <f>CQ37+'COGS + SG&amp;A'!CQ206</f>
        <v>17.473000000000003</v>
      </c>
      <c r="CR92" s="27">
        <f t="shared" si="49"/>
        <v>61.326000000000008</v>
      </c>
      <c r="CS92" s="27">
        <f>CS37+'COGS + SG&amp;A'!CS206</f>
        <v>18.635988349999998</v>
      </c>
      <c r="CT92" s="27">
        <f>CT37+'COGS + SG&amp;A'!CT206</f>
        <v>17.558557109999999</v>
      </c>
      <c r="CU92" s="27">
        <f>CU37+'COGS + SG&amp;A'!CU206</f>
        <v>21.00698835</v>
      </c>
      <c r="CV92" s="27">
        <f>CV37+'COGS + SG&amp;A'!CV206</f>
        <v>18.58483639</v>
      </c>
      <c r="CW92" s="27">
        <f t="shared" si="50"/>
        <v>75.786370199999993</v>
      </c>
      <c r="CX92" s="27">
        <f>CX37+'COGS + SG&amp;A'!CX206</f>
        <v>21.088000000000001</v>
      </c>
      <c r="CY92" s="27">
        <f>CY37+'COGS + SG&amp;A'!CY206</f>
        <v>19.446999999999999</v>
      </c>
      <c r="CZ92" s="27">
        <f>CZ37+'COGS + SG&amp;A'!CZ206</f>
        <v>20.85</v>
      </c>
      <c r="DA92" s="27">
        <f>DA37+'COGS + SG&amp;A'!DA206</f>
        <v>21.393000000000001</v>
      </c>
      <c r="DB92" s="27">
        <f t="shared" si="51"/>
        <v>82.777999999999992</v>
      </c>
      <c r="DC92" s="27">
        <f>DC37+'COGS + SG&amp;A'!DC206</f>
        <v>20.038</v>
      </c>
      <c r="DD92" s="27">
        <f>DD37+'COGS + SG&amp;A'!DD206</f>
        <v>20.053000000000001</v>
      </c>
      <c r="DE92" s="27">
        <f>DE37+'COGS + SG&amp;A'!DE206</f>
        <v>20.596</v>
      </c>
      <c r="DF92" s="27">
        <f>DF37+'COGS + SG&amp;A'!DF206</f>
        <v>19.916</v>
      </c>
      <c r="DG92" s="27">
        <f t="shared" si="52"/>
        <v>80.602999999999994</v>
      </c>
      <c r="DH92" s="27">
        <f>DH37+'COGS + SG&amp;A'!DH206</f>
        <v>16.942</v>
      </c>
      <c r="DI92" s="27">
        <f>DI37+'COGS + SG&amp;A'!DI206</f>
        <v>9.3960000000000008</v>
      </c>
      <c r="DJ92" s="27">
        <f>DJ37+'COGS + SG&amp;A'!DJ206</f>
        <v>15.81</v>
      </c>
      <c r="DK92" s="27">
        <f>DK37+'COGS + SG&amp;A'!DK206</f>
        <v>19.315000000000001</v>
      </c>
      <c r="DL92" s="27">
        <f t="shared" si="53"/>
        <v>61.463000000000008</v>
      </c>
      <c r="DM92" s="27">
        <f>DM37+'COGS + SG&amp;A'!DM206</f>
        <v>18.588000000000001</v>
      </c>
      <c r="DN92" s="27">
        <f>DN37+'COGS + SG&amp;A'!DN206</f>
        <v>17.306999999999999</v>
      </c>
      <c r="DO92" s="27">
        <f>DO37+'COGS + SG&amp;A'!DO206</f>
        <v>23.035</v>
      </c>
      <c r="DP92" s="27">
        <f>DP37+'COGS + SG&amp;A'!DP206</f>
        <v>22.063000000000002</v>
      </c>
      <c r="DQ92" s="27">
        <f t="shared" si="54"/>
        <v>80.992999999999995</v>
      </c>
      <c r="DR92" s="27">
        <f>DR37+'COGS + SG&amp;A'!DR206</f>
        <v>20.399000000000001</v>
      </c>
      <c r="DS92" s="27">
        <f>DS37+'COGS + SG&amp;A'!DS206</f>
        <v>21.263999999999999</v>
      </c>
      <c r="DT92" s="27">
        <f>DT37+'COGS + SG&amp;A'!DT206</f>
        <v>29.178000000000001</v>
      </c>
      <c r="DU92" s="27">
        <f>DU37+'COGS + SG&amp;A'!DU206</f>
        <v>28.595999999999997</v>
      </c>
      <c r="DV92" s="27">
        <f t="shared" si="55"/>
        <v>99.436999999999983</v>
      </c>
      <c r="DW92" s="27">
        <f>DW37+'COGS + SG&amp;A'!DW206</f>
        <v>27.198</v>
      </c>
      <c r="DX92" s="27">
        <f>DX37+'COGS + SG&amp;A'!DX206</f>
        <v>27.439000000000007</v>
      </c>
      <c r="DY92" s="27">
        <f>DY37+'COGS + SG&amp;A'!DY206</f>
        <v>29.489686379999991</v>
      </c>
      <c r="DZ92" s="27">
        <f>DZ37+'COGS + SG&amp;A'!DZ206</f>
        <v>30.946567370000032</v>
      </c>
      <c r="EA92" s="27">
        <f t="shared" si="56"/>
        <v>115.07325375000002</v>
      </c>
      <c r="EB92" s="27">
        <f>EB37+'COGS + SG&amp;A'!EB206</f>
        <v>25.673756730000001</v>
      </c>
      <c r="EC92" s="27">
        <f>EC37+'COGS + SG&amp;A'!EC206</f>
        <v>29.385885469999998</v>
      </c>
      <c r="ED92" s="27">
        <f>ED37+'COGS + SG&amp;A'!ED206</f>
        <v>29.806999999999999</v>
      </c>
      <c r="EE92" s="27">
        <f>EE37+'COGS + SG&amp;A'!EE206</f>
        <v>28.541527600000023</v>
      </c>
      <c r="EF92" s="27">
        <f t="shared" si="57"/>
        <v>113.40816980000002</v>
      </c>
      <c r="EG92" s="27">
        <f>EG37+'COGS + SG&amp;A'!EG206</f>
        <v>28.835391359999999</v>
      </c>
      <c r="EH92" s="27">
        <f>EH37+'COGS + SG&amp;A'!EH206</f>
        <v>27.132147870000001</v>
      </c>
      <c r="EI92" s="27">
        <f>EI37+'COGS + SG&amp;A'!EI206</f>
        <v>30.150632430000002</v>
      </c>
    </row>
    <row r="93" spans="1:139" ht="15" thickBot="1" x14ac:dyDescent="0.35">
      <c r="A93" s="2" t="s">
        <v>444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28">
        <f>BJ38+'COGS + SG&amp;A'!BJ207</f>
        <v>0</v>
      </c>
      <c r="BK93" s="28">
        <f>BK38+'COGS + SG&amp;A'!BK207</f>
        <v>0</v>
      </c>
      <c r="BL93" s="28">
        <f>BL38+'COGS + SG&amp;A'!BL207</f>
        <v>0</v>
      </c>
      <c r="BM93" s="28">
        <f>BM38+'COGS + SG&amp;A'!BM207</f>
        <v>0</v>
      </c>
      <c r="BN93" s="28">
        <f t="shared" si="43"/>
        <v>0</v>
      </c>
      <c r="BO93" s="28">
        <f>BO38+'COGS + SG&amp;A'!BO207</f>
        <v>0</v>
      </c>
      <c r="BP93" s="28">
        <f>BP38+'COGS + SG&amp;A'!BP207</f>
        <v>0</v>
      </c>
      <c r="BQ93" s="28">
        <f>BQ38+'COGS + SG&amp;A'!BQ207</f>
        <v>0</v>
      </c>
      <c r="BR93" s="28">
        <f>BR38+'COGS + SG&amp;A'!BR207</f>
        <v>0</v>
      </c>
      <c r="BS93" s="28">
        <f t="shared" si="44"/>
        <v>0</v>
      </c>
      <c r="BT93" s="28">
        <f>BT38+'COGS + SG&amp;A'!BT207</f>
        <v>0</v>
      </c>
      <c r="BU93" s="28">
        <f>BU38+'COGS + SG&amp;A'!BU207</f>
        <v>0</v>
      </c>
      <c r="BV93" s="28">
        <f>BV38+'COGS + SG&amp;A'!BV207</f>
        <v>0</v>
      </c>
      <c r="BW93" s="28">
        <f>BW38+'COGS + SG&amp;A'!BW207</f>
        <v>0</v>
      </c>
      <c r="BX93" s="28">
        <f t="shared" si="45"/>
        <v>0</v>
      </c>
      <c r="BY93" s="28">
        <f>BY38+'COGS + SG&amp;A'!BY207</f>
        <v>0</v>
      </c>
      <c r="BZ93" s="28">
        <f>BZ38+'COGS + SG&amp;A'!BZ207</f>
        <v>0</v>
      </c>
      <c r="CA93" s="28">
        <f>CA38+'COGS + SG&amp;A'!CA207</f>
        <v>0</v>
      </c>
      <c r="CB93" s="28">
        <f>CB38+'COGS + SG&amp;A'!CB207</f>
        <v>0</v>
      </c>
      <c r="CC93" s="28">
        <f t="shared" si="46"/>
        <v>0</v>
      </c>
      <c r="CD93" s="28">
        <f>CD38+'COGS + SG&amp;A'!CD207</f>
        <v>0</v>
      </c>
      <c r="CE93" s="28">
        <f>CE38+'COGS + SG&amp;A'!CE207</f>
        <v>0</v>
      </c>
      <c r="CF93" s="28">
        <f>CF38+'COGS + SG&amp;A'!CF207</f>
        <v>0</v>
      </c>
      <c r="CG93" s="28">
        <f>CG38+'COGS + SG&amp;A'!CG207</f>
        <v>0</v>
      </c>
      <c r="CH93" s="28">
        <f t="shared" si="47"/>
        <v>0</v>
      </c>
      <c r="CI93" s="28">
        <f>CI38+'COGS + SG&amp;A'!CI207</f>
        <v>0</v>
      </c>
      <c r="CJ93" s="28">
        <f>CJ38+'COGS + SG&amp;A'!CJ207</f>
        <v>0</v>
      </c>
      <c r="CK93" s="28">
        <f>CK38+'COGS + SG&amp;A'!CK207</f>
        <v>0</v>
      </c>
      <c r="CL93" s="28">
        <f>CL38+'COGS + SG&amp;A'!CL207</f>
        <v>0</v>
      </c>
      <c r="CM93" s="28">
        <f t="shared" si="48"/>
        <v>0</v>
      </c>
      <c r="CN93" s="28">
        <f>CN38+'COGS + SG&amp;A'!CN207</f>
        <v>0</v>
      </c>
      <c r="CO93" s="28">
        <f>CO38+'COGS + SG&amp;A'!CO207</f>
        <v>0</v>
      </c>
      <c r="CP93" s="28">
        <f>CP38+'COGS + SG&amp;A'!CP207</f>
        <v>0</v>
      </c>
      <c r="CQ93" s="28">
        <f>CQ38+'COGS + SG&amp;A'!CQ207</f>
        <v>0</v>
      </c>
      <c r="CR93" s="28">
        <f t="shared" si="49"/>
        <v>0</v>
      </c>
      <c r="CS93" s="28">
        <f>CS38+'COGS + SG&amp;A'!CS207</f>
        <v>0</v>
      </c>
      <c r="CT93" s="28">
        <f>CT38+'COGS + SG&amp;A'!CT207</f>
        <v>0</v>
      </c>
      <c r="CU93" s="28">
        <f>CU38+'COGS + SG&amp;A'!CU207</f>
        <v>0</v>
      </c>
      <c r="CV93" s="28">
        <f>CV38+'COGS + SG&amp;A'!CV207</f>
        <v>0</v>
      </c>
      <c r="CW93" s="28">
        <f t="shared" si="50"/>
        <v>0</v>
      </c>
      <c r="CX93" s="28">
        <f>CX38+'COGS + SG&amp;A'!CX207</f>
        <v>0</v>
      </c>
      <c r="CY93" s="28">
        <f>CY38+'COGS + SG&amp;A'!CY207</f>
        <v>0</v>
      </c>
      <c r="CZ93" s="28">
        <f>CZ38+'COGS + SG&amp;A'!CZ207</f>
        <v>0</v>
      </c>
      <c r="DA93" s="28">
        <f>DA38+'COGS + SG&amp;A'!DA207</f>
        <v>0</v>
      </c>
      <c r="DB93" s="28">
        <f t="shared" si="51"/>
        <v>0</v>
      </c>
      <c r="DC93" s="28">
        <f>DC38+'COGS + SG&amp;A'!DC207</f>
        <v>0</v>
      </c>
      <c r="DD93" s="28">
        <f>DD38+'COGS + SG&amp;A'!DD207</f>
        <v>8.5240000000000009</v>
      </c>
      <c r="DE93" s="28">
        <f>DE38+'COGS + SG&amp;A'!DE207</f>
        <v>30.366</v>
      </c>
      <c r="DF93" s="28">
        <f>DF38+'COGS + SG&amp;A'!DF207</f>
        <v>31.427999999999997</v>
      </c>
      <c r="DG93" s="28">
        <f t="shared" si="52"/>
        <v>70.317999999999998</v>
      </c>
      <c r="DH93" s="28">
        <f>DH38+'COGS + SG&amp;A'!DH207</f>
        <v>26.168999999999997</v>
      </c>
      <c r="DI93" s="28">
        <f>DI38+'COGS + SG&amp;A'!DI207</f>
        <v>27.390999999999998</v>
      </c>
      <c r="DJ93" s="28">
        <f>DJ38+'COGS + SG&amp;A'!DJ207</f>
        <v>35.907000000000004</v>
      </c>
      <c r="DK93" s="28">
        <f>DK38+'COGS + SG&amp;A'!DK207</f>
        <v>33.878999999999998</v>
      </c>
      <c r="DL93" s="28">
        <f t="shared" si="53"/>
        <v>123.346</v>
      </c>
      <c r="DM93" s="28">
        <f>DM38+'COGS + SG&amp;A'!DM207</f>
        <v>32.849000000000004</v>
      </c>
      <c r="DN93" s="28">
        <f>DN38+'COGS + SG&amp;A'!DN207</f>
        <v>29.831</v>
      </c>
      <c r="DO93" s="28">
        <f>DO38+'COGS + SG&amp;A'!DO207</f>
        <v>42.802999999999997</v>
      </c>
      <c r="DP93" s="28">
        <f>DP38+'COGS + SG&amp;A'!DP207</f>
        <v>41.408000000000001</v>
      </c>
      <c r="DQ93" s="28">
        <f t="shared" si="54"/>
        <v>146.89100000000002</v>
      </c>
      <c r="DR93" s="28">
        <f>DR38+'COGS + SG&amp;A'!DR207</f>
        <v>37.049999999999997</v>
      </c>
      <c r="DS93" s="28">
        <f>DS38+'COGS + SG&amp;A'!DS207</f>
        <v>43.643000000000001</v>
      </c>
      <c r="DT93" s="28">
        <f>DT38+'COGS + SG&amp;A'!DT207</f>
        <v>59.25</v>
      </c>
      <c r="DU93" s="28">
        <f>DU38+'COGS + SG&amp;A'!DU207</f>
        <v>54.548999999999999</v>
      </c>
      <c r="DV93" s="28">
        <f t="shared" si="55"/>
        <v>194.49199999999999</v>
      </c>
      <c r="DW93" s="28">
        <f>DW38+'COGS + SG&amp;A'!DW207</f>
        <v>55.103999999999999</v>
      </c>
      <c r="DX93" s="28">
        <f>DX38+'COGS + SG&amp;A'!DX207</f>
        <v>61.803000000000011</v>
      </c>
      <c r="DY93" s="28">
        <f>DY38+'COGS + SG&amp;A'!DY207</f>
        <v>63.952929879999978</v>
      </c>
      <c r="DZ93" s="28">
        <f>DZ38+'COGS + SG&amp;A'!DZ207</f>
        <v>60.163634990000126</v>
      </c>
      <c r="EA93" s="28">
        <f t="shared" si="56"/>
        <v>241.02356487000011</v>
      </c>
      <c r="EB93" s="28">
        <f>EB38+'COGS + SG&amp;A'!EB207</f>
        <v>56.628997449999993</v>
      </c>
      <c r="EC93" s="28">
        <f>EC38+'COGS + SG&amp;A'!EC207</f>
        <v>62.416148649999997</v>
      </c>
      <c r="ED93" s="28">
        <f>ED38+'COGS + SG&amp;A'!ED207</f>
        <v>67.628</v>
      </c>
      <c r="EE93" s="28">
        <f>EE38+'COGS + SG&amp;A'!EE207</f>
        <v>68.066423000000057</v>
      </c>
      <c r="EF93" s="28">
        <f t="shared" si="57"/>
        <v>254.73956910000004</v>
      </c>
      <c r="EG93" s="28">
        <f>EG38+'COGS + SG&amp;A'!EG207</f>
        <v>59.195752290000001</v>
      </c>
      <c r="EH93" s="28">
        <f>EH38+'COGS + SG&amp;A'!EH207</f>
        <v>64.162853159999997</v>
      </c>
      <c r="EI93" s="28">
        <f>EI38+'COGS + SG&amp;A'!EI207</f>
        <v>77.798417119999996</v>
      </c>
    </row>
    <row r="94" spans="1:139" ht="15" thickTop="1" x14ac:dyDescent="0.3">
      <c r="A94" s="1" t="s">
        <v>456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27">
        <f>BJ39+'COGS + SG&amp;A'!BJ208</f>
        <v>0</v>
      </c>
      <c r="BK94" s="27">
        <f>BK39+'COGS + SG&amp;A'!BK208</f>
        <v>0</v>
      </c>
      <c r="BL94" s="27">
        <f>BL39+'COGS + SG&amp;A'!BL208</f>
        <v>0</v>
      </c>
      <c r="BM94" s="27">
        <f>BM39+'COGS + SG&amp;A'!BM208</f>
        <v>0</v>
      </c>
      <c r="BN94" s="27">
        <f t="shared" si="43"/>
        <v>0</v>
      </c>
      <c r="BO94" s="27">
        <f>BO39+'COGS + SG&amp;A'!BO208</f>
        <v>0</v>
      </c>
      <c r="BP94" s="27">
        <f>BP39+'COGS + SG&amp;A'!BP208</f>
        <v>0</v>
      </c>
      <c r="BQ94" s="27">
        <f>BQ39+'COGS + SG&amp;A'!BQ208</f>
        <v>0</v>
      </c>
      <c r="BR94" s="27">
        <f>BR39+'COGS + SG&amp;A'!BR208</f>
        <v>0</v>
      </c>
      <c r="BS94" s="27">
        <f t="shared" si="44"/>
        <v>0</v>
      </c>
      <c r="BT94" s="27">
        <f>BT39+'COGS + SG&amp;A'!BT208</f>
        <v>0</v>
      </c>
      <c r="BU94" s="27">
        <f>BU39+'COGS + SG&amp;A'!BU208</f>
        <v>0</v>
      </c>
      <c r="BV94" s="27">
        <f>BV39+'COGS + SG&amp;A'!BV208</f>
        <v>0</v>
      </c>
      <c r="BW94" s="27">
        <f>BW39+'COGS + SG&amp;A'!BW208</f>
        <v>0</v>
      </c>
      <c r="BX94" s="27">
        <f t="shared" si="45"/>
        <v>0</v>
      </c>
      <c r="BY94" s="27">
        <f>BY39+'COGS + SG&amp;A'!BY208</f>
        <v>0</v>
      </c>
      <c r="BZ94" s="27">
        <f>BZ39+'COGS + SG&amp;A'!BZ208</f>
        <v>0</v>
      </c>
      <c r="CA94" s="27">
        <f>CA39+'COGS + SG&amp;A'!CA208</f>
        <v>0</v>
      </c>
      <c r="CB94" s="27">
        <f>CB39+'COGS + SG&amp;A'!CB208</f>
        <v>0</v>
      </c>
      <c r="CC94" s="27">
        <f t="shared" si="46"/>
        <v>0</v>
      </c>
      <c r="CD94" s="27">
        <f>CD39+'COGS + SG&amp;A'!CD208</f>
        <v>0</v>
      </c>
      <c r="CE94" s="27">
        <f>CE39+'COGS + SG&amp;A'!CE208</f>
        <v>0</v>
      </c>
      <c r="CF94" s="27">
        <f>CF39+'COGS + SG&amp;A'!CF208</f>
        <v>0</v>
      </c>
      <c r="CG94" s="27">
        <f>CG39+'COGS + SG&amp;A'!CG208</f>
        <v>0</v>
      </c>
      <c r="CH94" s="27">
        <f t="shared" si="47"/>
        <v>0</v>
      </c>
      <c r="CI94" s="27">
        <f>CI39+'COGS + SG&amp;A'!CI208</f>
        <v>0</v>
      </c>
      <c r="CJ94" s="27">
        <f>CJ39+'COGS + SG&amp;A'!CJ208</f>
        <v>0</v>
      </c>
      <c r="CK94" s="27">
        <f>CK39+'COGS + SG&amp;A'!CK208</f>
        <v>0</v>
      </c>
      <c r="CL94" s="27">
        <f>CL39+'COGS + SG&amp;A'!CL208</f>
        <v>0</v>
      </c>
      <c r="CM94" s="27">
        <f t="shared" si="48"/>
        <v>0</v>
      </c>
      <c r="CN94" s="27">
        <f>CN39+'COGS + SG&amp;A'!CN208</f>
        <v>0</v>
      </c>
      <c r="CO94" s="27">
        <f>CO39+'COGS + SG&amp;A'!CO208</f>
        <v>0</v>
      </c>
      <c r="CP94" s="27">
        <f>CP39+'COGS + SG&amp;A'!CP208</f>
        <v>0</v>
      </c>
      <c r="CQ94" s="27">
        <f>CQ39+'COGS + SG&amp;A'!CQ208</f>
        <v>0</v>
      </c>
      <c r="CR94" s="27">
        <f t="shared" si="49"/>
        <v>0</v>
      </c>
      <c r="CS94" s="27">
        <f>CS39+'COGS + SG&amp;A'!CS208</f>
        <v>0</v>
      </c>
      <c r="CT94" s="27">
        <f>CT39+'COGS + SG&amp;A'!CT208</f>
        <v>0</v>
      </c>
      <c r="CU94" s="27">
        <f>CU39+'COGS + SG&amp;A'!CU208</f>
        <v>0</v>
      </c>
      <c r="CV94" s="27">
        <f>CV39+'COGS + SG&amp;A'!CV208</f>
        <v>0</v>
      </c>
      <c r="CW94" s="27">
        <f t="shared" si="50"/>
        <v>0</v>
      </c>
      <c r="CX94" s="27">
        <f>CX39+'COGS + SG&amp;A'!CX208</f>
        <v>0</v>
      </c>
      <c r="CY94" s="27">
        <f>CY39+'COGS + SG&amp;A'!CY208</f>
        <v>-0.45</v>
      </c>
      <c r="CZ94" s="27">
        <f>CZ39+'COGS + SG&amp;A'!CZ208</f>
        <v>-4.3899999999999997</v>
      </c>
      <c r="DA94" s="27">
        <f>DA39+'COGS + SG&amp;A'!DA208</f>
        <v>-6.4539999999999997</v>
      </c>
      <c r="DB94" s="27">
        <f t="shared" si="51"/>
        <v>-11.294</v>
      </c>
      <c r="DC94" s="27">
        <f>DC39+'COGS + SG&amp;A'!DC208</f>
        <v>-10.984</v>
      </c>
      <c r="DD94" s="27">
        <f>DD39+'COGS + SG&amp;A'!DD208</f>
        <v>39.802999999999997</v>
      </c>
      <c r="DE94" s="27">
        <f>DE39+'COGS + SG&amp;A'!DE208</f>
        <v>43.831000000000003</v>
      </c>
      <c r="DF94" s="27">
        <f>DF39+'COGS + SG&amp;A'!DF208</f>
        <v>46.875999999999998</v>
      </c>
      <c r="DG94" s="27">
        <f t="shared" si="52"/>
        <v>119.52600000000001</v>
      </c>
      <c r="DH94" s="27">
        <f>DH39+'COGS + SG&amp;A'!DH208</f>
        <v>41.47</v>
      </c>
      <c r="DI94" s="27">
        <f>DI39+'COGS + SG&amp;A'!DI208</f>
        <v>32.441000000000003</v>
      </c>
      <c r="DJ94" s="27">
        <f>DJ39+'COGS + SG&amp;A'!DJ208</f>
        <v>48.092999999999996</v>
      </c>
      <c r="DK94" s="27">
        <f>DK39+'COGS + SG&amp;A'!DK208</f>
        <v>52.962000000000003</v>
      </c>
      <c r="DL94" s="27">
        <f t="shared" si="53"/>
        <v>174.96600000000001</v>
      </c>
      <c r="DM94" s="27">
        <f>DM39+'COGS + SG&amp;A'!DM208</f>
        <v>45.966000000000001</v>
      </c>
      <c r="DN94" s="27">
        <f>DN39+'COGS + SG&amp;A'!DN208</f>
        <v>47.403999999999996</v>
      </c>
      <c r="DO94" s="27">
        <f>DO39+'COGS + SG&amp;A'!DO208</f>
        <v>55.330000000000005</v>
      </c>
      <c r="DP94" s="27">
        <f>DP39+'COGS + SG&amp;A'!DP208</f>
        <v>58.464000000000006</v>
      </c>
      <c r="DQ94" s="27">
        <f t="shared" si="54"/>
        <v>207.16400000000002</v>
      </c>
      <c r="DR94" s="27">
        <f>DR39+'COGS + SG&amp;A'!DR208</f>
        <v>53.331000000000003</v>
      </c>
      <c r="DS94" s="27">
        <f>DS39+'COGS + SG&amp;A'!DS208</f>
        <v>61.826999999999998</v>
      </c>
      <c r="DT94" s="27">
        <f>DT39+'COGS + SG&amp;A'!DT208</f>
        <v>64.75</v>
      </c>
      <c r="DU94" s="27">
        <f>DU39+'COGS + SG&amp;A'!DU208</f>
        <v>66.003</v>
      </c>
      <c r="DV94" s="27">
        <f t="shared" si="55"/>
        <v>245.911</v>
      </c>
      <c r="DW94" s="27">
        <f>DW39+'COGS + SG&amp;A'!DW208</f>
        <v>59.594000000000001</v>
      </c>
      <c r="DX94" s="27">
        <f>DX39+'COGS + SG&amp;A'!DX208</f>
        <v>63.895999999999994</v>
      </c>
      <c r="DY94" s="27">
        <f>DY39+'COGS + SG&amp;A'!DY208</f>
        <v>67.911760560000104</v>
      </c>
      <c r="DZ94" s="27">
        <f>DZ39+'COGS + SG&amp;A'!DZ208</f>
        <v>69.271494259999798</v>
      </c>
      <c r="EA94" s="27">
        <f t="shared" si="56"/>
        <v>260.6732548199999</v>
      </c>
      <c r="EB94" s="27">
        <f>EB39+'COGS + SG&amp;A'!EB208</f>
        <v>66.361423979999969</v>
      </c>
      <c r="EC94" s="27">
        <f>EC39+'COGS + SG&amp;A'!EC208</f>
        <v>71.543163910000018</v>
      </c>
      <c r="ED94" s="27">
        <f>ED39+'COGS + SG&amp;A'!ED208</f>
        <v>78.545000000000002</v>
      </c>
      <c r="EE94" s="27">
        <f>EE39+'COGS + SG&amp;A'!EE208</f>
        <v>79.07825289000003</v>
      </c>
      <c r="EF94" s="27">
        <f t="shared" si="57"/>
        <v>295.52784078000002</v>
      </c>
      <c r="EG94" s="27">
        <f>EG39+'COGS + SG&amp;A'!EG208</f>
        <v>79.804673330000014</v>
      </c>
      <c r="EH94" s="27">
        <f>EH39+'COGS + SG&amp;A'!EH208</f>
        <v>87.438167979999974</v>
      </c>
      <c r="EI94" s="27">
        <f>EI39+'COGS + SG&amp;A'!EI208</f>
        <v>90.681590119999996</v>
      </c>
    </row>
    <row r="95" spans="1:139" ht="15" thickBot="1" x14ac:dyDescent="0.35">
      <c r="A95" s="2" t="s">
        <v>446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28">
        <f>BJ40+'COGS + SG&amp;A'!BJ209</f>
        <v>0</v>
      </c>
      <c r="BK95" s="28">
        <f>BK40+'COGS + SG&amp;A'!BK209</f>
        <v>0</v>
      </c>
      <c r="BL95" s="28">
        <f>BL40+'COGS + SG&amp;A'!BL209</f>
        <v>0</v>
      </c>
      <c r="BM95" s="28">
        <f>BM40+'COGS + SG&amp;A'!BM209</f>
        <v>0</v>
      </c>
      <c r="BN95" s="28">
        <f t="shared" si="43"/>
        <v>0</v>
      </c>
      <c r="BO95" s="28">
        <f>BO40+'COGS + SG&amp;A'!BO209</f>
        <v>0</v>
      </c>
      <c r="BP95" s="28">
        <f>BP40+'COGS + SG&amp;A'!BP209</f>
        <v>0</v>
      </c>
      <c r="BQ95" s="28">
        <f>BQ40+'COGS + SG&amp;A'!BQ209</f>
        <v>0</v>
      </c>
      <c r="BR95" s="28">
        <f>BR40+'COGS + SG&amp;A'!BR209</f>
        <v>0</v>
      </c>
      <c r="BS95" s="28">
        <f t="shared" si="44"/>
        <v>0</v>
      </c>
      <c r="BT95" s="28">
        <f>BT40+'COGS + SG&amp;A'!BT209</f>
        <v>0</v>
      </c>
      <c r="BU95" s="28">
        <f>BU40+'COGS + SG&amp;A'!BU209</f>
        <v>0</v>
      </c>
      <c r="BV95" s="28">
        <f>BV40+'COGS + SG&amp;A'!BV209</f>
        <v>0</v>
      </c>
      <c r="BW95" s="28">
        <f>BW40+'COGS + SG&amp;A'!BW209</f>
        <v>0</v>
      </c>
      <c r="BX95" s="28">
        <f t="shared" si="45"/>
        <v>0</v>
      </c>
      <c r="BY95" s="28">
        <f>BY40+'COGS + SG&amp;A'!BY209</f>
        <v>0</v>
      </c>
      <c r="BZ95" s="28">
        <f>BZ40+'COGS + SG&amp;A'!BZ209</f>
        <v>0</v>
      </c>
      <c r="CA95" s="28">
        <f>CA40+'COGS + SG&amp;A'!CA209</f>
        <v>0</v>
      </c>
      <c r="CB95" s="28">
        <f>CB40+'COGS + SG&amp;A'!CB209</f>
        <v>0</v>
      </c>
      <c r="CC95" s="28">
        <f t="shared" si="46"/>
        <v>0</v>
      </c>
      <c r="CD95" s="28">
        <f>CD40+'COGS + SG&amp;A'!CD209</f>
        <v>0</v>
      </c>
      <c r="CE95" s="28">
        <f>CE40+'COGS + SG&amp;A'!CE209</f>
        <v>0</v>
      </c>
      <c r="CF95" s="28">
        <f>CF40+'COGS + SG&amp;A'!CF209</f>
        <v>0</v>
      </c>
      <c r="CG95" s="28">
        <f>CG40+'COGS + SG&amp;A'!CG209</f>
        <v>0</v>
      </c>
      <c r="CH95" s="28">
        <f t="shared" si="47"/>
        <v>0</v>
      </c>
      <c r="CI95" s="28">
        <f>CI40+'COGS + SG&amp;A'!CI209</f>
        <v>0</v>
      </c>
      <c r="CJ95" s="28">
        <f>CJ40+'COGS + SG&amp;A'!CJ209</f>
        <v>0</v>
      </c>
      <c r="CK95" s="28">
        <f>CK40+'COGS + SG&amp;A'!CK209</f>
        <v>0</v>
      </c>
      <c r="CL95" s="28">
        <f>CL40+'COGS + SG&amp;A'!CL209</f>
        <v>0</v>
      </c>
      <c r="CM95" s="28">
        <f t="shared" si="48"/>
        <v>0</v>
      </c>
      <c r="CN95" s="28">
        <f>CN40+'COGS + SG&amp;A'!CN209</f>
        <v>0</v>
      </c>
      <c r="CO95" s="28">
        <f>CO40+'COGS + SG&amp;A'!CO209</f>
        <v>0</v>
      </c>
      <c r="CP95" s="28">
        <f>CP40+'COGS + SG&amp;A'!CP209</f>
        <v>0</v>
      </c>
      <c r="CQ95" s="28">
        <f>CQ40+'COGS + SG&amp;A'!CQ209</f>
        <v>0</v>
      </c>
      <c r="CR95" s="28">
        <f t="shared" si="49"/>
        <v>0</v>
      </c>
      <c r="CS95" s="28">
        <f>CS40+'COGS + SG&amp;A'!CS209</f>
        <v>0</v>
      </c>
      <c r="CT95" s="28">
        <f>CT40+'COGS + SG&amp;A'!CT209</f>
        <v>0</v>
      </c>
      <c r="CU95" s="28">
        <f>CU40+'COGS + SG&amp;A'!CU209</f>
        <v>0</v>
      </c>
      <c r="CV95" s="28">
        <f>CV40+'COGS + SG&amp;A'!CV209</f>
        <v>0</v>
      </c>
      <c r="CW95" s="28">
        <f t="shared" si="50"/>
        <v>0</v>
      </c>
      <c r="CX95" s="28">
        <f>CX40+'COGS + SG&amp;A'!CX209</f>
        <v>0</v>
      </c>
      <c r="CY95" s="28">
        <f>CY40+'COGS + SG&amp;A'!CY209</f>
        <v>0</v>
      </c>
      <c r="CZ95" s="28">
        <f>CZ40+'COGS + SG&amp;A'!CZ209</f>
        <v>0</v>
      </c>
      <c r="DA95" s="28">
        <f>DA40+'COGS + SG&amp;A'!DA209</f>
        <v>0</v>
      </c>
      <c r="DB95" s="28">
        <f t="shared" si="51"/>
        <v>0</v>
      </c>
      <c r="DC95" s="28">
        <f>DC40+'COGS + SG&amp;A'!DC209</f>
        <v>0</v>
      </c>
      <c r="DD95" s="28">
        <f>DD40+'COGS + SG&amp;A'!DD209</f>
        <v>0</v>
      </c>
      <c r="DE95" s="28">
        <f>DE40+'COGS + SG&amp;A'!DE209</f>
        <v>0</v>
      </c>
      <c r="DF95" s="28">
        <f>DF40+'COGS + SG&amp;A'!DF209</f>
        <v>-1.4999999999999999E-2</v>
      </c>
      <c r="DG95" s="28">
        <f t="shared" si="52"/>
        <v>-1.4999999999999999E-2</v>
      </c>
      <c r="DH95" s="28">
        <f>DH40+'COGS + SG&amp;A'!DH209</f>
        <v>-3.4529999999999998</v>
      </c>
      <c r="DI95" s="28">
        <f>DI40+'COGS + SG&amp;A'!DI209</f>
        <v>-5.3529999999999998</v>
      </c>
      <c r="DJ95" s="28">
        <f>DJ40+'COGS + SG&amp;A'!DJ209</f>
        <v>-9.3019999999999996</v>
      </c>
      <c r="DK95" s="28">
        <f>DK40+'COGS + SG&amp;A'!DK209</f>
        <v>-8.4920000000000009</v>
      </c>
      <c r="DL95" s="28">
        <f t="shared" si="53"/>
        <v>-26.599999999999998</v>
      </c>
      <c r="DM95" s="28">
        <f>DM40+'COGS + SG&amp;A'!DM209</f>
        <v>13.83</v>
      </c>
      <c r="DN95" s="28">
        <f>DN40+'COGS + SG&amp;A'!DN209</f>
        <v>18.658000000000001</v>
      </c>
      <c r="DO95" s="28">
        <f>DO40+'COGS + SG&amp;A'!DO209</f>
        <v>34.819000000000003</v>
      </c>
      <c r="DP95" s="28">
        <f>DP40+'COGS + SG&amp;A'!DP209</f>
        <v>9.6760000000000002</v>
      </c>
      <c r="DQ95" s="28">
        <f t="shared" si="54"/>
        <v>76.983000000000004</v>
      </c>
      <c r="DR95" s="28">
        <f>DR40+'COGS + SG&amp;A'!DR209</f>
        <v>18.489999999999998</v>
      </c>
      <c r="DS95" s="28">
        <f>DS40+'COGS + SG&amp;A'!DS209</f>
        <v>22.143000000000001</v>
      </c>
      <c r="DT95" s="28">
        <f>DT40+'COGS + SG&amp;A'!DT209</f>
        <v>23.521999999999998</v>
      </c>
      <c r="DU95" s="28">
        <f>DU40+'COGS + SG&amp;A'!DU209</f>
        <v>21.591000000000001</v>
      </c>
      <c r="DV95" s="28">
        <f t="shared" si="55"/>
        <v>85.746000000000009</v>
      </c>
      <c r="DW95" s="28">
        <f>DW40+'COGS + SG&amp;A'!DW209</f>
        <v>22.866</v>
      </c>
      <c r="DX95" s="28">
        <f>DX40+'COGS + SG&amp;A'!DX209</f>
        <v>25.625000000000011</v>
      </c>
      <c r="DY95" s="28">
        <f>DY40+'COGS + SG&amp;A'!DY209</f>
        <v>29.414985850000026</v>
      </c>
      <c r="DZ95" s="28">
        <f>DZ40+'COGS + SG&amp;A'!DZ209</f>
        <v>28.66505818999995</v>
      </c>
      <c r="EA95" s="28">
        <f t="shared" si="56"/>
        <v>106.57104403999999</v>
      </c>
      <c r="EB95" s="28">
        <f>EB40+'COGS + SG&amp;A'!EB209</f>
        <v>26.492896800000004</v>
      </c>
      <c r="EC95" s="28">
        <f>EC40+'COGS + SG&amp;A'!EC209</f>
        <v>27.646456829999988</v>
      </c>
      <c r="ED95" s="28">
        <f>ED40+'COGS + SG&amp;A'!ED209</f>
        <v>30.533000000000001</v>
      </c>
      <c r="EE95" s="28">
        <f>EE40+'COGS + SG&amp;A'!EE209</f>
        <v>34.409639269999957</v>
      </c>
      <c r="EF95" s="28">
        <f t="shared" si="57"/>
        <v>119.08199289999995</v>
      </c>
      <c r="EG95" s="28">
        <f>EG40+'COGS + SG&amp;A'!EG209</f>
        <v>27.613959099999995</v>
      </c>
      <c r="EH95" s="28">
        <f>EH40+'COGS + SG&amp;A'!EH209</f>
        <v>30.673214899999998</v>
      </c>
      <c r="EI95" s="28">
        <f>EI40+'COGS + SG&amp;A'!EI209</f>
        <v>35.159282500000003</v>
      </c>
    </row>
    <row r="96" spans="1:139" ht="15" thickTop="1" x14ac:dyDescent="0.3">
      <c r="A96" s="1" t="s">
        <v>447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27">
        <f>BJ41+'COGS + SG&amp;A'!BJ210</f>
        <v>0</v>
      </c>
      <c r="BK96" s="27">
        <f>BK41+'COGS + SG&amp;A'!BK210</f>
        <v>0</v>
      </c>
      <c r="BL96" s="27">
        <f>BL41+'COGS + SG&amp;A'!BL210</f>
        <v>0</v>
      </c>
      <c r="BM96" s="27">
        <f>BM41+'COGS + SG&amp;A'!BM210</f>
        <v>0</v>
      </c>
      <c r="BN96" s="27">
        <f t="shared" si="43"/>
        <v>0</v>
      </c>
      <c r="BO96" s="27">
        <f>BO41+'COGS + SG&amp;A'!BO210</f>
        <v>0</v>
      </c>
      <c r="BP96" s="27">
        <f>BP41+'COGS + SG&amp;A'!BP210</f>
        <v>0</v>
      </c>
      <c r="BQ96" s="27">
        <f>BQ41+'COGS + SG&amp;A'!BQ210</f>
        <v>0</v>
      </c>
      <c r="BR96" s="27">
        <f>BR41+'COGS + SG&amp;A'!BR210</f>
        <v>0</v>
      </c>
      <c r="BS96" s="27">
        <f t="shared" si="44"/>
        <v>0</v>
      </c>
      <c r="BT96" s="27">
        <f>BT41+'COGS + SG&amp;A'!BT210</f>
        <v>0</v>
      </c>
      <c r="BU96" s="27">
        <f>BU41+'COGS + SG&amp;A'!BU210</f>
        <v>0</v>
      </c>
      <c r="BV96" s="27">
        <f>BV41+'COGS + SG&amp;A'!BV210</f>
        <v>0</v>
      </c>
      <c r="BW96" s="27">
        <f>BW41+'COGS + SG&amp;A'!BW210</f>
        <v>0</v>
      </c>
      <c r="BX96" s="27">
        <f t="shared" si="45"/>
        <v>0</v>
      </c>
      <c r="BY96" s="27">
        <f>BY41+'COGS + SG&amp;A'!BY210</f>
        <v>0</v>
      </c>
      <c r="BZ96" s="27">
        <f>BZ41+'COGS + SG&amp;A'!BZ210</f>
        <v>0</v>
      </c>
      <c r="CA96" s="27">
        <f>CA41+'COGS + SG&amp;A'!CA210</f>
        <v>0</v>
      </c>
      <c r="CB96" s="27">
        <f>CB41+'COGS + SG&amp;A'!CB210</f>
        <v>0</v>
      </c>
      <c r="CC96" s="27">
        <f t="shared" si="46"/>
        <v>0</v>
      </c>
      <c r="CD96" s="27">
        <f>CD41+'COGS + SG&amp;A'!CD210</f>
        <v>0</v>
      </c>
      <c r="CE96" s="27">
        <f>CE41+'COGS + SG&amp;A'!CE210</f>
        <v>0</v>
      </c>
      <c r="CF96" s="27">
        <f>CF41+'COGS + SG&amp;A'!CF210</f>
        <v>0</v>
      </c>
      <c r="CG96" s="27">
        <f>CG41+'COGS + SG&amp;A'!CG210</f>
        <v>0</v>
      </c>
      <c r="CH96" s="27">
        <f t="shared" si="47"/>
        <v>0</v>
      </c>
      <c r="CI96" s="27">
        <f>CI41+'COGS + SG&amp;A'!CI210</f>
        <v>0</v>
      </c>
      <c r="CJ96" s="27">
        <f>CJ41+'COGS + SG&amp;A'!CJ210</f>
        <v>0</v>
      </c>
      <c r="CK96" s="27">
        <f>CK41+'COGS + SG&amp;A'!CK210</f>
        <v>0</v>
      </c>
      <c r="CL96" s="27">
        <f>CL41+'COGS + SG&amp;A'!CL210</f>
        <v>0</v>
      </c>
      <c r="CM96" s="27">
        <f t="shared" si="48"/>
        <v>0</v>
      </c>
      <c r="CN96" s="27">
        <f>CN41+'COGS + SG&amp;A'!CN210</f>
        <v>0</v>
      </c>
      <c r="CO96" s="27">
        <f>CO41+'COGS + SG&amp;A'!CO210</f>
        <v>0</v>
      </c>
      <c r="CP96" s="27">
        <f>CP41+'COGS + SG&amp;A'!CP210</f>
        <v>0</v>
      </c>
      <c r="CQ96" s="27">
        <f>CQ41+'COGS + SG&amp;A'!CQ210</f>
        <v>0</v>
      </c>
      <c r="CR96" s="27">
        <f t="shared" si="49"/>
        <v>0</v>
      </c>
      <c r="CS96" s="27">
        <f>CS41+'COGS + SG&amp;A'!CS210</f>
        <v>0</v>
      </c>
      <c r="CT96" s="27">
        <f>CT41+'COGS + SG&amp;A'!CT210</f>
        <v>0</v>
      </c>
      <c r="CU96" s="27">
        <f>CU41+'COGS + SG&amp;A'!CU210</f>
        <v>0</v>
      </c>
      <c r="CV96" s="27">
        <f>CV41+'COGS + SG&amp;A'!CV210</f>
        <v>0</v>
      </c>
      <c r="CW96" s="27">
        <f t="shared" si="50"/>
        <v>0</v>
      </c>
      <c r="CX96" s="27">
        <f>CX41+'COGS + SG&amp;A'!CX210</f>
        <v>0</v>
      </c>
      <c r="CY96" s="27">
        <f>CY41+'COGS + SG&amp;A'!CY210</f>
        <v>0</v>
      </c>
      <c r="CZ96" s="27">
        <f>CZ41+'COGS + SG&amp;A'!CZ210</f>
        <v>0</v>
      </c>
      <c r="DA96" s="27">
        <f>DA41+'COGS + SG&amp;A'!DA210</f>
        <v>0</v>
      </c>
      <c r="DB96" s="27">
        <f t="shared" si="51"/>
        <v>0</v>
      </c>
      <c r="DC96" s="27">
        <f>DC41+'COGS + SG&amp;A'!DC210</f>
        <v>0</v>
      </c>
      <c r="DD96" s="27">
        <f>DD41+'COGS + SG&amp;A'!DD210</f>
        <v>0</v>
      </c>
      <c r="DE96" s="27">
        <f>DE41+'COGS + SG&amp;A'!DE210</f>
        <v>0</v>
      </c>
      <c r="DF96" s="27">
        <f>DF41+'COGS + SG&amp;A'!DF210</f>
        <v>0</v>
      </c>
      <c r="DG96" s="27">
        <f t="shared" si="52"/>
        <v>0</v>
      </c>
      <c r="DH96" s="27">
        <f>DH41+'COGS + SG&amp;A'!DH210</f>
        <v>0</v>
      </c>
      <c r="DI96" s="27">
        <f>DI41+'COGS + SG&amp;A'!DI210</f>
        <v>0</v>
      </c>
      <c r="DJ96" s="27">
        <f>DJ41+'COGS + SG&amp;A'!DJ210</f>
        <v>0</v>
      </c>
      <c r="DK96" s="27">
        <f>DK41+'COGS + SG&amp;A'!DK210</f>
        <v>0</v>
      </c>
      <c r="DL96" s="27">
        <f t="shared" si="53"/>
        <v>0</v>
      </c>
      <c r="DM96" s="27">
        <f>DM41+'COGS + SG&amp;A'!DM210</f>
        <v>0</v>
      </c>
      <c r="DN96" s="27">
        <f>DN41+'COGS + SG&amp;A'!DN210</f>
        <v>0</v>
      </c>
      <c r="DO96" s="27">
        <f>DO41+'COGS + SG&amp;A'!DO210</f>
        <v>-0.88</v>
      </c>
      <c r="DP96" s="27">
        <f>DP41+'COGS + SG&amp;A'!DP210</f>
        <v>-10.647</v>
      </c>
      <c r="DQ96" s="27">
        <f t="shared" si="54"/>
        <v>-11.527000000000001</v>
      </c>
      <c r="DR96" s="27">
        <f>DR41+'COGS + SG&amp;A'!DR210</f>
        <v>-11.201000000000001</v>
      </c>
      <c r="DS96" s="27">
        <f>DS41+'COGS + SG&amp;A'!DS210</f>
        <v>-21.116</v>
      </c>
      <c r="DT96" s="27">
        <f>DT41+'COGS + SG&amp;A'!DT210</f>
        <v>-25.027000000000001</v>
      </c>
      <c r="DU96" s="27">
        <f>DU41+'COGS + SG&amp;A'!DU210</f>
        <v>83.161000000000001</v>
      </c>
      <c r="DV96" s="27">
        <f t="shared" si="55"/>
        <v>25.817</v>
      </c>
      <c r="DW96" s="27">
        <f>DW41+'COGS + SG&amp;A'!DW210</f>
        <v>77.331999999999994</v>
      </c>
      <c r="DX96" s="27">
        <f>DX41+'COGS + SG&amp;A'!DX210</f>
        <v>80.919000000000025</v>
      </c>
      <c r="DY96" s="27">
        <f>DY41+'COGS + SG&amp;A'!DY210</f>
        <v>96.821063120000005</v>
      </c>
      <c r="DZ96" s="27">
        <f>DZ41+'COGS + SG&amp;A'!DZ210</f>
        <v>94.117762259999992</v>
      </c>
      <c r="EA96" s="27">
        <f t="shared" si="56"/>
        <v>349.18982538000006</v>
      </c>
      <c r="EB96" s="27">
        <f>EB41+'COGS + SG&amp;A'!EB210</f>
        <v>83.00574813999998</v>
      </c>
      <c r="EC96" s="27">
        <f>EC41+'COGS + SG&amp;A'!EC210</f>
        <v>91.378384660000052</v>
      </c>
      <c r="ED96" s="27">
        <f>ED41+'COGS + SG&amp;A'!ED210</f>
        <v>102.664</v>
      </c>
      <c r="EE96" s="27">
        <f>EE41+'COGS + SG&amp;A'!EE210</f>
        <v>101.36828579000014</v>
      </c>
      <c r="EF96" s="27">
        <f t="shared" si="57"/>
        <v>378.41641859000015</v>
      </c>
      <c r="EG96" s="27">
        <f>EG41+'COGS + SG&amp;A'!EG210</f>
        <v>90.974855480000002</v>
      </c>
      <c r="EH96" s="27">
        <f>EH41+'COGS + SG&amp;A'!EH210</f>
        <v>94.575748700000005</v>
      </c>
      <c r="EI96" s="27">
        <f>EI41+'COGS + SG&amp;A'!EI210</f>
        <v>107.50705329000002</v>
      </c>
    </row>
    <row r="97" spans="1:139" ht="15" thickBot="1" x14ac:dyDescent="0.35">
      <c r="A97" s="2" t="s">
        <v>448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28">
        <f>BJ42+'COGS + SG&amp;A'!BJ211</f>
        <v>0</v>
      </c>
      <c r="BK97" s="28">
        <f>BK42+'COGS + SG&amp;A'!BK211</f>
        <v>0</v>
      </c>
      <c r="BL97" s="28">
        <f>BL42+'COGS + SG&amp;A'!BL211</f>
        <v>0</v>
      </c>
      <c r="BM97" s="28">
        <f>BM42+'COGS + SG&amp;A'!BM211</f>
        <v>0</v>
      </c>
      <c r="BN97" s="28">
        <f t="shared" si="43"/>
        <v>0</v>
      </c>
      <c r="BO97" s="28">
        <f>BO42+'COGS + SG&amp;A'!BO211</f>
        <v>0</v>
      </c>
      <c r="BP97" s="28">
        <f>BP42+'COGS + SG&amp;A'!BP211</f>
        <v>0</v>
      </c>
      <c r="BQ97" s="28">
        <f>BQ42+'COGS + SG&amp;A'!BQ211</f>
        <v>0</v>
      </c>
      <c r="BR97" s="28">
        <f>BR42+'COGS + SG&amp;A'!BR211</f>
        <v>0</v>
      </c>
      <c r="BS97" s="28">
        <f t="shared" si="44"/>
        <v>0</v>
      </c>
      <c r="BT97" s="28">
        <f>BT42+'COGS + SG&amp;A'!BT211</f>
        <v>0</v>
      </c>
      <c r="BU97" s="28">
        <f>BU42+'COGS + SG&amp;A'!BU211</f>
        <v>0</v>
      </c>
      <c r="BV97" s="28">
        <f>BV42+'COGS + SG&amp;A'!BV211</f>
        <v>0</v>
      </c>
      <c r="BW97" s="28">
        <f>BW42+'COGS + SG&amp;A'!BW211</f>
        <v>0</v>
      </c>
      <c r="BX97" s="28">
        <f t="shared" si="45"/>
        <v>0</v>
      </c>
      <c r="BY97" s="28">
        <f>BY42+'COGS + SG&amp;A'!BY211</f>
        <v>0</v>
      </c>
      <c r="BZ97" s="28">
        <f>BZ42+'COGS + SG&amp;A'!BZ211</f>
        <v>0</v>
      </c>
      <c r="CA97" s="28">
        <f>CA42+'COGS + SG&amp;A'!CA211</f>
        <v>0</v>
      </c>
      <c r="CB97" s="28">
        <f>CB42+'COGS + SG&amp;A'!CB211</f>
        <v>0</v>
      </c>
      <c r="CC97" s="28">
        <f t="shared" si="46"/>
        <v>0</v>
      </c>
      <c r="CD97" s="28">
        <f>CD42+'COGS + SG&amp;A'!CD211</f>
        <v>0</v>
      </c>
      <c r="CE97" s="28">
        <f>CE42+'COGS + SG&amp;A'!CE211</f>
        <v>0</v>
      </c>
      <c r="CF97" s="28">
        <f>CF42+'COGS + SG&amp;A'!CF211</f>
        <v>0</v>
      </c>
      <c r="CG97" s="28">
        <f>CG42+'COGS + SG&amp;A'!CG211</f>
        <v>0</v>
      </c>
      <c r="CH97" s="28">
        <f t="shared" si="47"/>
        <v>0</v>
      </c>
      <c r="CI97" s="28">
        <f>CI42+'COGS + SG&amp;A'!CI211</f>
        <v>0</v>
      </c>
      <c r="CJ97" s="28">
        <f>CJ42+'COGS + SG&amp;A'!CJ211</f>
        <v>0</v>
      </c>
      <c r="CK97" s="28">
        <f>CK42+'COGS + SG&amp;A'!CK211</f>
        <v>0</v>
      </c>
      <c r="CL97" s="28">
        <f>CL42+'COGS + SG&amp;A'!CL211</f>
        <v>0</v>
      </c>
      <c r="CM97" s="28">
        <f t="shared" si="48"/>
        <v>0</v>
      </c>
      <c r="CN97" s="28">
        <f>CN42+'COGS + SG&amp;A'!CN211</f>
        <v>0</v>
      </c>
      <c r="CO97" s="28">
        <f>CO42+'COGS + SG&amp;A'!CO211</f>
        <v>0</v>
      </c>
      <c r="CP97" s="28">
        <f>CP42+'COGS + SG&amp;A'!CP211</f>
        <v>0</v>
      </c>
      <c r="CQ97" s="28">
        <f>CQ42+'COGS + SG&amp;A'!CQ211</f>
        <v>0</v>
      </c>
      <c r="CR97" s="28">
        <f t="shared" si="49"/>
        <v>0</v>
      </c>
      <c r="CS97" s="28">
        <f>CS42+'COGS + SG&amp;A'!CS211</f>
        <v>0</v>
      </c>
      <c r="CT97" s="28">
        <f>CT42+'COGS + SG&amp;A'!CT211</f>
        <v>0</v>
      </c>
      <c r="CU97" s="28">
        <f>CU42+'COGS + SG&amp;A'!CU211</f>
        <v>0</v>
      </c>
      <c r="CV97" s="28">
        <f>CV42+'COGS + SG&amp;A'!CV211</f>
        <v>0</v>
      </c>
      <c r="CW97" s="28">
        <f t="shared" si="50"/>
        <v>0</v>
      </c>
      <c r="CX97" s="28">
        <f>CX42+'COGS + SG&amp;A'!CX211</f>
        <v>0</v>
      </c>
      <c r="CY97" s="28">
        <f>CY42+'COGS + SG&amp;A'!CY211</f>
        <v>-3.7999999999999999E-2</v>
      </c>
      <c r="CZ97" s="28">
        <f>CZ42+'COGS + SG&amp;A'!CZ211</f>
        <v>-5.8999999999999997E-2</v>
      </c>
      <c r="DA97" s="28">
        <f>DA42+'COGS + SG&amp;A'!DA211</f>
        <v>-0.19900000000000001</v>
      </c>
      <c r="DB97" s="28">
        <f t="shared" si="51"/>
        <v>-0.29600000000000004</v>
      </c>
      <c r="DC97" s="28">
        <f>DC42+'COGS + SG&amp;A'!DC211</f>
        <v>-0.121</v>
      </c>
      <c r="DD97" s="28">
        <f>DD42+'COGS + SG&amp;A'!DD211</f>
        <v>-9.0999999999999998E-2</v>
      </c>
      <c r="DE97" s="28">
        <f>DE42+'COGS + SG&amp;A'!DE211</f>
        <v>-9.9000000000000005E-2</v>
      </c>
      <c r="DF97" s="28">
        <f>DF42+'COGS + SG&amp;A'!DF211</f>
        <v>-6.3E-2</v>
      </c>
      <c r="DG97" s="28">
        <f t="shared" si="52"/>
        <v>-0.374</v>
      </c>
      <c r="DH97" s="28">
        <f>DH42+'COGS + SG&amp;A'!DH211</f>
        <v>-8.7999999999999995E-2</v>
      </c>
      <c r="DI97" s="28">
        <f>DI42+'COGS + SG&amp;A'!DI211</f>
        <v>-4.2999999999999997E-2</v>
      </c>
      <c r="DJ97" s="28">
        <f>DJ42+'COGS + SG&amp;A'!DJ211</f>
        <v>-3.4000000000000002E-2</v>
      </c>
      <c r="DK97" s="28">
        <f>DK42+'COGS + SG&amp;A'!DK211</f>
        <v>-3.7999999999999999E-2</v>
      </c>
      <c r="DL97" s="28">
        <f t="shared" si="53"/>
        <v>-0.20300000000000001</v>
      </c>
      <c r="DM97" s="28">
        <f>DM42+'COGS + SG&amp;A'!DM211</f>
        <v>-0.04</v>
      </c>
      <c r="DN97" s="28">
        <f>DN42+'COGS + SG&amp;A'!DN211</f>
        <v>-7.0999999999999994E-2</v>
      </c>
      <c r="DO97" s="28">
        <f>DO42+'COGS + SG&amp;A'!DO211</f>
        <v>0</v>
      </c>
      <c r="DP97" s="28">
        <f>DP42+'COGS + SG&amp;A'!DP211</f>
        <v>-6.0000000000000001E-3</v>
      </c>
      <c r="DQ97" s="28">
        <f t="shared" si="54"/>
        <v>-0.11699999999999999</v>
      </c>
      <c r="DR97" s="28">
        <f>DR42+'COGS + SG&amp;A'!DR211</f>
        <v>-0.128</v>
      </c>
      <c r="DS97" s="28">
        <f>DS42+'COGS + SG&amp;A'!DS211</f>
        <v>-4.1000000000000002E-2</v>
      </c>
      <c r="DT97" s="28">
        <f>DT42+'COGS + SG&amp;A'!DT211</f>
        <v>3.0059999999999998</v>
      </c>
      <c r="DU97" s="28">
        <f>DU42+'COGS + SG&amp;A'!DU211</f>
        <v>34.575000000000003</v>
      </c>
      <c r="DV97" s="28">
        <f t="shared" si="55"/>
        <v>37.412000000000006</v>
      </c>
      <c r="DW97" s="28">
        <f>DW42+'COGS + SG&amp;A'!DW211</f>
        <v>54.408000000000001</v>
      </c>
      <c r="DX97" s="28">
        <f>DX42+'COGS + SG&amp;A'!DX211</f>
        <v>90.424999999999983</v>
      </c>
      <c r="DY97" s="28">
        <f>DY42+'COGS + SG&amp;A'!DY211</f>
        <v>97.530613120000126</v>
      </c>
      <c r="DZ97" s="28">
        <f>DZ42+'COGS + SG&amp;A'!DZ211</f>
        <v>140.00467937999974</v>
      </c>
      <c r="EA97" s="28">
        <f t="shared" si="56"/>
        <v>382.36829249999982</v>
      </c>
      <c r="EB97" s="28">
        <f>EB42+'COGS + SG&amp;A'!EB211</f>
        <v>152.71456688000009</v>
      </c>
      <c r="EC97" s="28">
        <f>EC42+'COGS + SG&amp;A'!EC211</f>
        <v>176.05838671000006</v>
      </c>
      <c r="ED97" s="28">
        <f>ED42+'COGS + SG&amp;A'!ED211</f>
        <v>174.97200000000001</v>
      </c>
      <c r="EE97" s="28">
        <f>EE42+'COGS + SG&amp;A'!EE211</f>
        <v>185.11130869000036</v>
      </c>
      <c r="EF97" s="28">
        <f t="shared" si="57"/>
        <v>688.85626228000046</v>
      </c>
      <c r="EG97" s="28">
        <f>EG42+'COGS + SG&amp;A'!EG211</f>
        <v>180.82713207</v>
      </c>
      <c r="EH97" s="28">
        <f>EH42+'COGS + SG&amp;A'!EH211</f>
        <v>177.23404228999999</v>
      </c>
      <c r="EI97" s="28">
        <f>EI42+'COGS + SG&amp;A'!EI211</f>
        <v>193.60392223000002</v>
      </c>
    </row>
    <row r="98" spans="1:139" ht="15" thickTop="1" x14ac:dyDescent="0.3">
      <c r="A98" s="1" t="s">
        <v>449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27">
        <f>BJ43+'COGS + SG&amp;A'!BJ212</f>
        <v>0</v>
      </c>
      <c r="BK98" s="27">
        <f>BK43+'COGS + SG&amp;A'!BK212</f>
        <v>0</v>
      </c>
      <c r="BL98" s="27">
        <f>BL43+'COGS + SG&amp;A'!BL212</f>
        <v>0</v>
      </c>
      <c r="BM98" s="27">
        <f>BM43+'COGS + SG&amp;A'!BM212</f>
        <v>0</v>
      </c>
      <c r="BN98" s="27">
        <f>SUM(BJ98:BM98)</f>
        <v>0</v>
      </c>
      <c r="BO98" s="27">
        <f>BO43+'COGS + SG&amp;A'!BO212</f>
        <v>0</v>
      </c>
      <c r="BP98" s="27">
        <f>BP43+'COGS + SG&amp;A'!BP212</f>
        <v>0</v>
      </c>
      <c r="BQ98" s="27">
        <f>BQ43+'COGS + SG&amp;A'!BQ212</f>
        <v>0</v>
      </c>
      <c r="BR98" s="27">
        <f>BR43+'COGS + SG&amp;A'!BR212</f>
        <v>0</v>
      </c>
      <c r="BS98" s="27">
        <f>SUM(BO98:BR98)</f>
        <v>0</v>
      </c>
      <c r="BT98" s="27">
        <f>BT43+'COGS + SG&amp;A'!BT212</f>
        <v>0</v>
      </c>
      <c r="BU98" s="27">
        <f>BU43+'COGS + SG&amp;A'!BU212</f>
        <v>0</v>
      </c>
      <c r="BV98" s="27">
        <f>BV43+'COGS + SG&amp;A'!BV212</f>
        <v>0</v>
      </c>
      <c r="BW98" s="27">
        <f>BW43+'COGS + SG&amp;A'!BW212</f>
        <v>0</v>
      </c>
      <c r="BX98" s="27">
        <f>SUM(BT98:BW98)</f>
        <v>0</v>
      </c>
      <c r="BY98" s="27">
        <f>BY43+'COGS + SG&amp;A'!BY212</f>
        <v>0</v>
      </c>
      <c r="BZ98" s="27">
        <f>BZ43+'COGS + SG&amp;A'!BZ212</f>
        <v>0</v>
      </c>
      <c r="CA98" s="27">
        <f>CA43+'COGS + SG&amp;A'!CA212</f>
        <v>0</v>
      </c>
      <c r="CB98" s="27">
        <f>CB43+'COGS + SG&amp;A'!CB212</f>
        <v>0</v>
      </c>
      <c r="CC98" s="27">
        <f>SUM(BY98:CB98)</f>
        <v>0</v>
      </c>
      <c r="CD98" s="27">
        <f>CD43+'COGS + SG&amp;A'!CD212</f>
        <v>0</v>
      </c>
      <c r="CE98" s="27">
        <f>CE43+'COGS + SG&amp;A'!CE212</f>
        <v>0</v>
      </c>
      <c r="CF98" s="27">
        <f>CF43+'COGS + SG&amp;A'!CF212</f>
        <v>0</v>
      </c>
      <c r="CG98" s="27">
        <f>CG43+'COGS + SG&amp;A'!CG212</f>
        <v>0</v>
      </c>
      <c r="CH98" s="27">
        <f>SUM(CD98:CG98)</f>
        <v>0</v>
      </c>
      <c r="CI98" s="27">
        <f>CI43+'COGS + SG&amp;A'!CI212</f>
        <v>0</v>
      </c>
      <c r="CJ98" s="27">
        <f>CJ43+'COGS + SG&amp;A'!CJ212</f>
        <v>0</v>
      </c>
      <c r="CK98" s="27">
        <f>CK43+'COGS + SG&amp;A'!CK212</f>
        <v>0</v>
      </c>
      <c r="CL98" s="27">
        <f>CL43+'COGS + SG&amp;A'!CL212</f>
        <v>0</v>
      </c>
      <c r="CM98" s="27">
        <f t="shared" si="48"/>
        <v>0</v>
      </c>
      <c r="CN98" s="27">
        <f>CN43+'COGS + SG&amp;A'!CN212</f>
        <v>0</v>
      </c>
      <c r="CO98" s="27">
        <f>CO43+'COGS + SG&amp;A'!CO212</f>
        <v>0</v>
      </c>
      <c r="CP98" s="27">
        <f>CP43+'COGS + SG&amp;A'!CP212</f>
        <v>0</v>
      </c>
      <c r="CQ98" s="27">
        <f>CQ43+'COGS + SG&amp;A'!CQ212</f>
        <v>0</v>
      </c>
      <c r="CR98" s="27">
        <f>SUM(CN98:CQ98)</f>
        <v>0</v>
      </c>
      <c r="CS98" s="27">
        <f>CS43+'COGS + SG&amp;A'!CS212</f>
        <v>0</v>
      </c>
      <c r="CT98" s="27">
        <f>CT43+'COGS + SG&amp;A'!CT212</f>
        <v>0</v>
      </c>
      <c r="CU98" s="27">
        <f>CU43+'COGS + SG&amp;A'!CU212</f>
        <v>0</v>
      </c>
      <c r="CV98" s="27">
        <f>CV43+'COGS + SG&amp;A'!CV212</f>
        <v>0</v>
      </c>
      <c r="CW98" s="27">
        <f>SUM(CS98:CV98)</f>
        <v>0</v>
      </c>
      <c r="CX98" s="27">
        <f>CX43+'COGS + SG&amp;A'!CX212</f>
        <v>0</v>
      </c>
      <c r="CY98" s="27">
        <f>CY43+'COGS + SG&amp;A'!CY212</f>
        <v>0</v>
      </c>
      <c r="CZ98" s="27">
        <f>CZ43+'COGS + SG&amp;A'!CZ212</f>
        <v>0</v>
      </c>
      <c r="DA98" s="27">
        <f>DA43+'COGS + SG&amp;A'!DA212</f>
        <v>0</v>
      </c>
      <c r="DB98" s="27">
        <f t="shared" si="51"/>
        <v>0</v>
      </c>
      <c r="DC98" s="27">
        <f>DC43+'COGS + SG&amp;A'!DC212</f>
        <v>0</v>
      </c>
      <c r="DD98" s="27">
        <f>DD43+'COGS + SG&amp;A'!DD212</f>
        <v>0</v>
      </c>
      <c r="DE98" s="27">
        <f>DE43+'COGS + SG&amp;A'!DE212</f>
        <v>0</v>
      </c>
      <c r="DF98" s="27">
        <f>DF43+'COGS + SG&amp;A'!DF212</f>
        <v>0</v>
      </c>
      <c r="DG98" s="27">
        <f t="shared" si="52"/>
        <v>0</v>
      </c>
      <c r="DH98" s="27">
        <f>DH43+'COGS + SG&amp;A'!DH212</f>
        <v>0</v>
      </c>
      <c r="DI98" s="27">
        <f>DI43+'COGS + SG&amp;A'!DI212</f>
        <v>0</v>
      </c>
      <c r="DJ98" s="27">
        <f>DJ43+'COGS + SG&amp;A'!DJ212</f>
        <v>0</v>
      </c>
      <c r="DK98" s="27">
        <f>DK43+'COGS + SG&amp;A'!DK212</f>
        <v>0</v>
      </c>
      <c r="DL98" s="27">
        <f t="shared" si="53"/>
        <v>0</v>
      </c>
      <c r="DM98" s="27">
        <f>DM43+'COGS + SG&amp;A'!DM212</f>
        <v>0</v>
      </c>
      <c r="DN98" s="27">
        <f>DN43+'COGS + SG&amp;A'!DN212</f>
        <v>0</v>
      </c>
      <c r="DO98" s="27">
        <f>DO43+'COGS + SG&amp;A'!DO212</f>
        <v>0</v>
      </c>
      <c r="DP98" s="27">
        <f>DP43+'COGS + SG&amp;A'!DP212</f>
        <v>0</v>
      </c>
      <c r="DQ98" s="27">
        <f t="shared" si="54"/>
        <v>0</v>
      </c>
      <c r="DR98" s="27">
        <f>DR43+'COGS + SG&amp;A'!DR212</f>
        <v>0</v>
      </c>
      <c r="DS98" s="27">
        <f>DS43+'COGS + SG&amp;A'!DS212</f>
        <v>0</v>
      </c>
      <c r="DT98" s="27">
        <f>DT43+'COGS + SG&amp;A'!DT212</f>
        <v>0</v>
      </c>
      <c r="DU98" s="27">
        <f>DU43+'COGS + SG&amp;A'!DU212</f>
        <v>0</v>
      </c>
      <c r="DV98" s="27">
        <f t="shared" si="55"/>
        <v>0</v>
      </c>
      <c r="DW98" s="27">
        <f>DW43+'COGS + SG&amp;A'!DW212</f>
        <v>0</v>
      </c>
      <c r="DX98" s="27">
        <f>DX43+'COGS + SG&amp;A'!DX212</f>
        <v>89.474999999999994</v>
      </c>
      <c r="DY98" s="27">
        <f>DY43+'COGS + SG&amp;A'!DY212</f>
        <v>137.04671874000007</v>
      </c>
      <c r="DZ98" s="27">
        <f>DZ43+'COGS + SG&amp;A'!DZ212</f>
        <v>131.23166235999989</v>
      </c>
      <c r="EA98" s="27">
        <f t="shared" si="56"/>
        <v>357.75338109999996</v>
      </c>
      <c r="EB98" s="27">
        <f>EB43+'COGS + SG&amp;A'!EB212</f>
        <v>120.09218093000004</v>
      </c>
      <c r="EC98" s="27">
        <f>EC43+'COGS + SG&amp;A'!EC212</f>
        <v>135.34819742999997</v>
      </c>
      <c r="ED98" s="27">
        <f>ED43+'COGS + SG&amp;A'!ED212</f>
        <v>158.00899999999999</v>
      </c>
      <c r="EE98" s="27">
        <f>EE43+'COGS + SG&amp;A'!EE212</f>
        <v>154.12494590000023</v>
      </c>
      <c r="EF98" s="27">
        <f t="shared" si="57"/>
        <v>567.57432426000014</v>
      </c>
      <c r="EG98" s="27">
        <f>EG43+'COGS + SG&amp;A'!EG212</f>
        <v>146.78559274</v>
      </c>
      <c r="EH98" s="27">
        <f>EH43+'COGS + SG&amp;A'!EH212</f>
        <v>172.23695802999998</v>
      </c>
      <c r="EI98" s="27">
        <f>EI43+'COGS + SG&amp;A'!EI212</f>
        <v>194.97555692</v>
      </c>
    </row>
    <row r="99" spans="1:139" ht="15" thickBot="1" x14ac:dyDescent="0.35">
      <c r="A99" s="2" t="s">
        <v>460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>
        <f>EE44+'COGS + SG&amp;A'!EE213</f>
        <v>0</v>
      </c>
      <c r="EF99" s="28">
        <f t="shared" ref="EF99" si="58">SUM(EB99:EE99)</f>
        <v>0</v>
      </c>
      <c r="EG99" s="28">
        <f>EG44+'COGS + SG&amp;A'!EG213</f>
        <v>2.5377909999999999</v>
      </c>
      <c r="EH99" s="28">
        <f>EH44+'COGS + SG&amp;A'!EH213</f>
        <v>118.47893282</v>
      </c>
      <c r="EI99" s="28">
        <f>EI44+'COGS + SG&amp;A'!EI213</f>
        <v>119.95030020000002</v>
      </c>
    </row>
    <row r="100" spans="1:139" ht="15" thickTop="1" x14ac:dyDescent="0.3">
      <c r="A100" s="1" t="s">
        <v>304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27">
        <f t="shared" ref="BJ100:CL100" si="59">BJ45</f>
        <v>0</v>
      </c>
      <c r="BK100" s="27">
        <f t="shared" si="59"/>
        <v>0</v>
      </c>
      <c r="BL100" s="27">
        <f t="shared" si="59"/>
        <v>0</v>
      </c>
      <c r="BM100" s="27">
        <f t="shared" si="59"/>
        <v>0</v>
      </c>
      <c r="BN100" s="27">
        <f t="shared" si="59"/>
        <v>0</v>
      </c>
      <c r="BO100" s="27">
        <f t="shared" si="59"/>
        <v>0</v>
      </c>
      <c r="BP100" s="27">
        <f t="shared" si="59"/>
        <v>0</v>
      </c>
      <c r="BQ100" s="27">
        <f t="shared" si="59"/>
        <v>0</v>
      </c>
      <c r="BR100" s="27">
        <f t="shared" si="59"/>
        <v>0</v>
      </c>
      <c r="BS100" s="27">
        <f t="shared" si="59"/>
        <v>0</v>
      </c>
      <c r="BT100" s="27">
        <f t="shared" si="59"/>
        <v>0</v>
      </c>
      <c r="BU100" s="27">
        <f t="shared" si="59"/>
        <v>12.507</v>
      </c>
      <c r="BV100" s="27">
        <f t="shared" si="59"/>
        <v>50.158999999999999</v>
      </c>
      <c r="BW100" s="27">
        <f t="shared" si="59"/>
        <v>51</v>
      </c>
      <c r="BX100" s="27">
        <f t="shared" si="59"/>
        <v>113.666</v>
      </c>
      <c r="BY100" s="27">
        <f t="shared" si="59"/>
        <v>38.335999999999999</v>
      </c>
      <c r="BZ100" s="27">
        <f t="shared" si="59"/>
        <v>51.582999999999998</v>
      </c>
      <c r="CA100" s="27">
        <f t="shared" si="59"/>
        <v>36.018000000000001</v>
      </c>
      <c r="CB100" s="27">
        <f t="shared" si="59"/>
        <v>31.677000000000007</v>
      </c>
      <c r="CC100" s="27">
        <f t="shared" si="59"/>
        <v>157.614</v>
      </c>
      <c r="CD100" s="27">
        <f t="shared" si="59"/>
        <v>33.572000000000003</v>
      </c>
      <c r="CE100" s="27">
        <f t="shared" si="59"/>
        <v>29.131</v>
      </c>
      <c r="CF100" s="27">
        <f t="shared" si="59"/>
        <v>25.42</v>
      </c>
      <c r="CG100" s="27">
        <f t="shared" si="59"/>
        <v>24.11399999999999</v>
      </c>
      <c r="CH100" s="27">
        <f t="shared" si="59"/>
        <v>112.23699999999999</v>
      </c>
      <c r="CI100" s="27">
        <f t="shared" si="59"/>
        <v>15.116</v>
      </c>
      <c r="CJ100" s="27">
        <f t="shared" si="59"/>
        <v>-3.0920000000000005</v>
      </c>
      <c r="CK100" s="27">
        <f t="shared" si="59"/>
        <v>-7.9949999999999992</v>
      </c>
      <c r="CL100" s="27">
        <f t="shared" si="59"/>
        <v>-7.6099999999999994</v>
      </c>
      <c r="CM100" s="27">
        <f t="shared" si="48"/>
        <v>-3.5809999999999995</v>
      </c>
      <c r="CN100" s="27">
        <f t="shared" ref="CN100:DA100" si="60">CN45</f>
        <v>-2.8769999999999998</v>
      </c>
      <c r="CO100" s="27">
        <f t="shared" si="60"/>
        <v>-12.071000000000002</v>
      </c>
      <c r="CP100" s="27">
        <f t="shared" si="60"/>
        <v>-7.5629999999999979</v>
      </c>
      <c r="CQ100" s="27">
        <f t="shared" si="60"/>
        <v>-8.679000000000002</v>
      </c>
      <c r="CR100" s="27">
        <f t="shared" si="60"/>
        <v>-31.19</v>
      </c>
      <c r="CS100" s="27">
        <f t="shared" si="60"/>
        <v>-1.7969999999999999</v>
      </c>
      <c r="CT100" s="27">
        <f t="shared" si="60"/>
        <v>-6.0220000000000002</v>
      </c>
      <c r="CU100" s="27">
        <f t="shared" si="60"/>
        <v>1.165</v>
      </c>
      <c r="CV100" s="27">
        <f t="shared" si="60"/>
        <v>-0.94</v>
      </c>
      <c r="CW100" s="27">
        <f t="shared" si="60"/>
        <v>-7.5939999999999994</v>
      </c>
      <c r="CX100" s="27">
        <f t="shared" si="60"/>
        <v>7.8369999999999997</v>
      </c>
      <c r="CY100" s="27">
        <f t="shared" si="60"/>
        <v>-1.9279999999999999</v>
      </c>
      <c r="CZ100" s="27">
        <f t="shared" si="60"/>
        <v>5.6630000000000003</v>
      </c>
      <c r="DA100" s="27">
        <f t="shared" si="60"/>
        <v>1.1619999999999999</v>
      </c>
      <c r="DB100" s="27">
        <f t="shared" si="51"/>
        <v>12.733999999999998</v>
      </c>
      <c r="DC100" s="27">
        <f t="shared" ref="DC100:DF101" si="61">DC45</f>
        <v>3.47</v>
      </c>
      <c r="DD100" s="27">
        <f t="shared" si="61"/>
        <v>5.84</v>
      </c>
      <c r="DE100" s="27">
        <f t="shared" si="61"/>
        <v>3.7759999999999998</v>
      </c>
      <c r="DF100" s="27">
        <f t="shared" si="61"/>
        <v>40.256999999999998</v>
      </c>
      <c r="DG100" s="27">
        <f t="shared" si="52"/>
        <v>53.342999999999996</v>
      </c>
      <c r="DH100" s="27">
        <f t="shared" ref="DH100:DJ106" si="62">DH45</f>
        <v>-2.2810000000000001</v>
      </c>
      <c r="DI100" s="27">
        <f t="shared" si="62"/>
        <v>5.8810000000000002</v>
      </c>
      <c r="DJ100" s="27">
        <f t="shared" si="62"/>
        <v>5.8070000000000004</v>
      </c>
      <c r="DK100" s="27">
        <v>6.6779999999999973</v>
      </c>
      <c r="DL100" s="27">
        <f t="shared" si="53"/>
        <v>16.084999999999997</v>
      </c>
      <c r="DM100" s="27">
        <f t="shared" ref="DM100:DP106" si="63">DM45</f>
        <v>11.885</v>
      </c>
      <c r="DN100" s="27">
        <f t="shared" si="63"/>
        <v>10.429</v>
      </c>
      <c r="DO100" s="27">
        <f t="shared" si="63"/>
        <v>11.664</v>
      </c>
      <c r="DP100" s="27">
        <f t="shared" si="63"/>
        <v>11.093</v>
      </c>
      <c r="DQ100" s="27">
        <f t="shared" si="54"/>
        <v>45.070999999999998</v>
      </c>
      <c r="DR100" s="27">
        <f t="shared" ref="DR100:DU105" si="64">DR45</f>
        <v>10.920999999999999</v>
      </c>
      <c r="DS100" s="27">
        <f t="shared" si="64"/>
        <v>9.6270000000000007</v>
      </c>
      <c r="DT100" s="27">
        <f t="shared" si="64"/>
        <v>20.515999999999998</v>
      </c>
      <c r="DU100" s="27">
        <f t="shared" si="64"/>
        <v>21.085000000000001</v>
      </c>
      <c r="DV100" s="27">
        <f t="shared" si="55"/>
        <v>62.149000000000001</v>
      </c>
      <c r="DW100" s="27">
        <f t="shared" ref="DW100:DZ105" si="65">DW45</f>
        <v>29.853000000000002</v>
      </c>
      <c r="DX100" s="27">
        <f t="shared" si="65"/>
        <v>16.326000000000001</v>
      </c>
      <c r="DY100" s="27">
        <f t="shared" si="65"/>
        <v>-5.4686279899999386</v>
      </c>
      <c r="DZ100" s="27">
        <f t="shared" si="65"/>
        <v>6.5670138199999633</v>
      </c>
      <c r="EA100" s="27">
        <f t="shared" si="56"/>
        <v>47.277385830000028</v>
      </c>
      <c r="EB100" s="27">
        <f t="shared" ref="EB100:EC108" si="66">EB45</f>
        <v>12.38096756</v>
      </c>
      <c r="EC100" s="27">
        <f t="shared" si="66"/>
        <v>24.084767249999999</v>
      </c>
      <c r="ED100" s="27">
        <f t="shared" ref="ED100:EE100" si="67">ED45</f>
        <v>13.207000000000001</v>
      </c>
      <c r="EE100" s="27">
        <f t="shared" si="67"/>
        <v>11.231227999999982</v>
      </c>
      <c r="EF100" s="27">
        <f t="shared" si="57"/>
        <v>60.903962809999982</v>
      </c>
      <c r="EG100" s="27">
        <f t="shared" ref="EG100" si="68">EG45</f>
        <v>25.723932229999999</v>
      </c>
      <c r="EH100" s="27">
        <f t="shared" ref="EH100:EI100" si="69">EH45</f>
        <v>21.265245999999998</v>
      </c>
      <c r="EI100" s="27">
        <f t="shared" si="69"/>
        <v>20.740581270000003</v>
      </c>
    </row>
    <row r="101" spans="1:139" ht="15" thickBot="1" x14ac:dyDescent="0.35">
      <c r="A101" s="2" t="s">
        <v>305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28">
        <f t="shared" ref="BJ101:CL101" si="70">BJ46</f>
        <v>0</v>
      </c>
      <c r="BK101" s="28">
        <f t="shared" si="70"/>
        <v>0</v>
      </c>
      <c r="BL101" s="28">
        <f t="shared" si="70"/>
        <v>0</v>
      </c>
      <c r="BM101" s="28">
        <f t="shared" si="70"/>
        <v>0</v>
      </c>
      <c r="BN101" s="28">
        <f t="shared" si="70"/>
        <v>0</v>
      </c>
      <c r="BO101" s="28">
        <f t="shared" si="70"/>
        <v>0</v>
      </c>
      <c r="BP101" s="28">
        <f t="shared" si="70"/>
        <v>0</v>
      </c>
      <c r="BQ101" s="28">
        <f t="shared" si="70"/>
        <v>0</v>
      </c>
      <c r="BR101" s="28">
        <f t="shared" si="70"/>
        <v>0</v>
      </c>
      <c r="BS101" s="28">
        <f t="shared" si="70"/>
        <v>0</v>
      </c>
      <c r="BT101" s="28">
        <f t="shared" si="70"/>
        <v>0</v>
      </c>
      <c r="BU101" s="28">
        <f t="shared" si="70"/>
        <v>0</v>
      </c>
      <c r="BV101" s="28">
        <f t="shared" si="70"/>
        <v>0</v>
      </c>
      <c r="BW101" s="28">
        <f t="shared" si="70"/>
        <v>0</v>
      </c>
      <c r="BX101" s="28">
        <f t="shared" si="70"/>
        <v>0</v>
      </c>
      <c r="BY101" s="28">
        <f t="shared" si="70"/>
        <v>0</v>
      </c>
      <c r="BZ101" s="28">
        <f t="shared" si="70"/>
        <v>0</v>
      </c>
      <c r="CA101" s="28">
        <f t="shared" si="70"/>
        <v>0</v>
      </c>
      <c r="CB101" s="28">
        <f t="shared" si="70"/>
        <v>0</v>
      </c>
      <c r="CC101" s="28">
        <f t="shared" si="70"/>
        <v>0</v>
      </c>
      <c r="CD101" s="28">
        <f t="shared" si="70"/>
        <v>0</v>
      </c>
      <c r="CE101" s="28">
        <f t="shared" si="70"/>
        <v>0</v>
      </c>
      <c r="CF101" s="28">
        <f t="shared" si="70"/>
        <v>0</v>
      </c>
      <c r="CG101" s="28">
        <f t="shared" si="70"/>
        <v>0</v>
      </c>
      <c r="CH101" s="28">
        <f t="shared" si="70"/>
        <v>0</v>
      </c>
      <c r="CI101" s="28">
        <f t="shared" si="70"/>
        <v>0</v>
      </c>
      <c r="CJ101" s="28">
        <f t="shared" si="70"/>
        <v>0</v>
      </c>
      <c r="CK101" s="28">
        <f t="shared" si="70"/>
        <v>0</v>
      </c>
      <c r="CL101" s="28">
        <f t="shared" si="70"/>
        <v>0</v>
      </c>
      <c r="CM101" s="28">
        <f t="shared" si="48"/>
        <v>0</v>
      </c>
      <c r="CN101" s="28">
        <f t="shared" ref="CN101:DA101" si="71">CN46</f>
        <v>0.80600000000000005</v>
      </c>
      <c r="CO101" s="28">
        <f t="shared" si="71"/>
        <v>-0.80600000000000005</v>
      </c>
      <c r="CP101" s="28">
        <f t="shared" si="71"/>
        <v>0</v>
      </c>
      <c r="CQ101" s="28">
        <f t="shared" si="71"/>
        <v>0</v>
      </c>
      <c r="CR101" s="28">
        <f t="shared" si="71"/>
        <v>0</v>
      </c>
      <c r="CS101" s="28">
        <f t="shared" si="71"/>
        <v>0</v>
      </c>
      <c r="CT101" s="28">
        <f t="shared" si="71"/>
        <v>0</v>
      </c>
      <c r="CU101" s="28">
        <f t="shared" si="71"/>
        <v>0</v>
      </c>
      <c r="CV101" s="28">
        <f t="shared" si="71"/>
        <v>0</v>
      </c>
      <c r="CW101" s="28">
        <f t="shared" si="71"/>
        <v>0</v>
      </c>
      <c r="CX101" s="28">
        <f t="shared" si="71"/>
        <v>0</v>
      </c>
      <c r="CY101" s="28">
        <f t="shared" si="71"/>
        <v>0</v>
      </c>
      <c r="CZ101" s="28">
        <f t="shared" si="71"/>
        <v>0</v>
      </c>
      <c r="DA101" s="28">
        <f t="shared" si="71"/>
        <v>0</v>
      </c>
      <c r="DB101" s="28">
        <f t="shared" si="51"/>
        <v>0</v>
      </c>
      <c r="DC101" s="28">
        <f t="shared" si="61"/>
        <v>0</v>
      </c>
      <c r="DD101" s="28">
        <f t="shared" si="61"/>
        <v>0</v>
      </c>
      <c r="DE101" s="28">
        <f t="shared" si="61"/>
        <v>1.820999999999998</v>
      </c>
      <c r="DF101" s="28">
        <f t="shared" si="61"/>
        <v>0.17</v>
      </c>
      <c r="DG101" s="28">
        <f t="shared" si="52"/>
        <v>1.9909999999999979</v>
      </c>
      <c r="DH101" s="28">
        <f t="shared" si="62"/>
        <v>3.0139999999999998</v>
      </c>
      <c r="DI101" s="28">
        <f t="shared" si="62"/>
        <v>5.7469999999999999</v>
      </c>
      <c r="DJ101" s="28">
        <f t="shared" si="62"/>
        <v>2.76</v>
      </c>
      <c r="DK101" s="28">
        <f t="shared" ref="DK101:DK106" si="72">DK46</f>
        <v>-0.58699999999999997</v>
      </c>
      <c r="DL101" s="28">
        <f t="shared" si="53"/>
        <v>10.933999999999999</v>
      </c>
      <c r="DM101" s="28">
        <f t="shared" si="63"/>
        <v>2.298</v>
      </c>
      <c r="DN101" s="28">
        <f t="shared" si="63"/>
        <v>5.5010000000000003</v>
      </c>
      <c r="DO101" s="28">
        <f t="shared" si="63"/>
        <v>-8.1000000000000003E-2</v>
      </c>
      <c r="DP101" s="28">
        <f t="shared" si="63"/>
        <v>-0.64600000000000002</v>
      </c>
      <c r="DQ101" s="28">
        <f t="shared" si="54"/>
        <v>7.0720000000000001</v>
      </c>
      <c r="DR101" s="28">
        <f t="shared" si="64"/>
        <v>2.7370000000000001</v>
      </c>
      <c r="DS101" s="28">
        <f t="shared" si="64"/>
        <v>3.484</v>
      </c>
      <c r="DT101" s="28">
        <f t="shared" si="64"/>
        <v>-6.9459999999999997</v>
      </c>
      <c r="DU101" s="28">
        <f t="shared" si="64"/>
        <v>2.3929999999999998</v>
      </c>
      <c r="DV101" s="28">
        <f t="shared" si="55"/>
        <v>1.6680000000000001</v>
      </c>
      <c r="DW101" s="28">
        <f t="shared" si="65"/>
        <v>5.766</v>
      </c>
      <c r="DX101" s="28">
        <f t="shared" si="65"/>
        <v>9.7409999999999997</v>
      </c>
      <c r="DY101" s="28">
        <f t="shared" si="65"/>
        <v>9.3175053299999959</v>
      </c>
      <c r="DZ101" s="28">
        <f t="shared" si="65"/>
        <v>7.5937736200000012</v>
      </c>
      <c r="EA101" s="28">
        <f t="shared" si="56"/>
        <v>32.418278949999994</v>
      </c>
      <c r="EB101" s="28">
        <f t="shared" si="66"/>
        <v>8.5343983500000036</v>
      </c>
      <c r="EC101" s="28">
        <f t="shared" si="66"/>
        <v>6.4727162099999971</v>
      </c>
      <c r="ED101" s="28">
        <f t="shared" ref="ED101" si="73">ED46</f>
        <v>6.0049999999999999</v>
      </c>
      <c r="EE101" s="28">
        <f>EE46+23.317</f>
        <v>-0.55341092000000458</v>
      </c>
      <c r="EF101" s="28">
        <f t="shared" si="57"/>
        <v>20.458703639999996</v>
      </c>
      <c r="EG101" s="28">
        <f t="shared" ref="EG101:EG103" si="74">EG46</f>
        <v>4.2304222300000003</v>
      </c>
      <c r="EH101" s="28">
        <f t="shared" ref="EH101:EI101" si="75">EH46</f>
        <v>9.45877327</v>
      </c>
      <c r="EI101" s="28">
        <f t="shared" si="75"/>
        <v>8.6303867399999987</v>
      </c>
    </row>
    <row r="102" spans="1:139" ht="15" thickTop="1" x14ac:dyDescent="0.3">
      <c r="A102" s="1" t="s">
        <v>306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27">
        <f t="shared" ref="BJ102:CL102" si="76">BJ47</f>
        <v>14.096</v>
      </c>
      <c r="BK102" s="27">
        <f t="shared" si="76"/>
        <v>13.771999999999998</v>
      </c>
      <c r="BL102" s="27">
        <f t="shared" si="76"/>
        <v>13.675000000000001</v>
      </c>
      <c r="BM102" s="27">
        <f t="shared" si="76"/>
        <v>12.227000000000004</v>
      </c>
      <c r="BN102" s="27">
        <f t="shared" si="76"/>
        <v>53.77</v>
      </c>
      <c r="BO102" s="27">
        <f t="shared" si="76"/>
        <v>14.976000000000001</v>
      </c>
      <c r="BP102" s="27">
        <f t="shared" si="76"/>
        <v>12.351000000000001</v>
      </c>
      <c r="BQ102" s="27">
        <f t="shared" si="76"/>
        <v>16.608000000000001</v>
      </c>
      <c r="BR102" s="27">
        <f t="shared" si="76"/>
        <v>12.729999999999997</v>
      </c>
      <c r="BS102" s="27">
        <f t="shared" si="76"/>
        <v>56.664999999999999</v>
      </c>
      <c r="BT102" s="27">
        <f t="shared" si="76"/>
        <v>14.61</v>
      </c>
      <c r="BU102" s="27">
        <f t="shared" si="76"/>
        <v>14.856999999999999</v>
      </c>
      <c r="BV102" s="27">
        <f t="shared" si="76"/>
        <v>12.009999999999998</v>
      </c>
      <c r="BW102" s="27">
        <f t="shared" si="76"/>
        <v>10.742000000000004</v>
      </c>
      <c r="BX102" s="27">
        <f t="shared" si="76"/>
        <v>52.219000000000001</v>
      </c>
      <c r="BY102" s="27">
        <f t="shared" si="76"/>
        <v>12.532</v>
      </c>
      <c r="BZ102" s="27">
        <f t="shared" si="76"/>
        <v>10.975999999999999</v>
      </c>
      <c r="CA102" s="27">
        <f t="shared" si="76"/>
        <v>10.254999999999999</v>
      </c>
      <c r="CB102" s="27">
        <f t="shared" si="76"/>
        <v>6.5459999999999994</v>
      </c>
      <c r="CC102" s="27">
        <f t="shared" si="76"/>
        <v>40.308999999999997</v>
      </c>
      <c r="CD102" s="27">
        <f t="shared" si="76"/>
        <v>17.585999999999999</v>
      </c>
      <c r="CE102" s="27">
        <f t="shared" si="76"/>
        <v>19.975000000000001</v>
      </c>
      <c r="CF102" s="27">
        <f t="shared" si="76"/>
        <v>13.878999999999998</v>
      </c>
      <c r="CG102" s="27">
        <f t="shared" si="76"/>
        <v>9.152000000000001</v>
      </c>
      <c r="CH102" s="27">
        <f t="shared" si="76"/>
        <v>60.591999999999999</v>
      </c>
      <c r="CI102" s="27">
        <f t="shared" si="76"/>
        <v>19.155999999999999</v>
      </c>
      <c r="CJ102" s="27">
        <f t="shared" si="76"/>
        <v>15.874000000000002</v>
      </c>
      <c r="CK102" s="27">
        <f t="shared" si="76"/>
        <v>20.025999999999996</v>
      </c>
      <c r="CL102" s="27">
        <f t="shared" si="76"/>
        <v>21.760000000000005</v>
      </c>
      <c r="CM102" s="27">
        <f t="shared" si="48"/>
        <v>76.816000000000003</v>
      </c>
      <c r="CN102" s="27">
        <f t="shared" ref="CN102:DA102" si="77">CN47</f>
        <v>21.113</v>
      </c>
      <c r="CO102" s="27">
        <f t="shared" si="77"/>
        <v>17.554000000000002</v>
      </c>
      <c r="CP102" s="27">
        <f t="shared" si="77"/>
        <v>16.128</v>
      </c>
      <c r="CQ102" s="27">
        <f t="shared" si="77"/>
        <v>-14.624000000000002</v>
      </c>
      <c r="CR102" s="27">
        <f t="shared" si="77"/>
        <v>40.170999999999999</v>
      </c>
      <c r="CS102" s="27">
        <f t="shared" si="77"/>
        <v>7.2670000000000003</v>
      </c>
      <c r="CT102" s="27">
        <f t="shared" si="77"/>
        <v>5.7969999999999997</v>
      </c>
      <c r="CU102" s="27">
        <f t="shared" si="77"/>
        <v>4.9589999999999996</v>
      </c>
      <c r="CV102" s="27">
        <f t="shared" si="77"/>
        <v>2.8610000000000002</v>
      </c>
      <c r="CW102" s="27">
        <f t="shared" si="77"/>
        <v>20.884</v>
      </c>
      <c r="CX102" s="27">
        <f t="shared" si="77"/>
        <v>10.99</v>
      </c>
      <c r="CY102" s="27">
        <f t="shared" si="77"/>
        <v>8.5679999999999996</v>
      </c>
      <c r="CZ102" s="27">
        <f t="shared" si="77"/>
        <v>5.0670000000000002</v>
      </c>
      <c r="DA102" s="27">
        <f t="shared" si="77"/>
        <v>-9.0180000000000007</v>
      </c>
      <c r="DB102" s="27">
        <f t="shared" si="51"/>
        <v>15.606999999999999</v>
      </c>
      <c r="DC102" s="27">
        <f t="shared" ref="DC102:DD108" si="78">DC47</f>
        <v>2.6789999999999998</v>
      </c>
      <c r="DD102" s="27">
        <f t="shared" si="78"/>
        <v>4.7789999999999999</v>
      </c>
      <c r="DE102" s="27">
        <v>2.7000000000000028</v>
      </c>
      <c r="DF102" s="27">
        <v>3.4770000000000003</v>
      </c>
      <c r="DG102" s="27">
        <f t="shared" si="52"/>
        <v>13.635000000000003</v>
      </c>
      <c r="DH102" s="27">
        <f t="shared" si="62"/>
        <v>11.047000000000001</v>
      </c>
      <c r="DI102" s="27">
        <f t="shared" si="62"/>
        <v>13.895</v>
      </c>
      <c r="DJ102" s="27">
        <f t="shared" si="62"/>
        <v>6.7160000000000002</v>
      </c>
      <c r="DK102" s="27">
        <f t="shared" si="72"/>
        <v>14.382</v>
      </c>
      <c r="DL102" s="27">
        <f t="shared" si="53"/>
        <v>46.04</v>
      </c>
      <c r="DM102" s="27">
        <f t="shared" si="63"/>
        <v>23.064</v>
      </c>
      <c r="DN102" s="27">
        <f t="shared" si="63"/>
        <v>23.754000000000001</v>
      </c>
      <c r="DO102" s="27">
        <f t="shared" si="63"/>
        <v>12.294</v>
      </c>
      <c r="DP102" s="27">
        <f t="shared" si="63"/>
        <v>0.75800000000000001</v>
      </c>
      <c r="DQ102" s="27">
        <f t="shared" si="54"/>
        <v>59.87</v>
      </c>
      <c r="DR102" s="27">
        <f t="shared" si="64"/>
        <v>8.3490000000000002</v>
      </c>
      <c r="DS102" s="27">
        <f t="shared" si="64"/>
        <v>18.748999999999999</v>
      </c>
      <c r="DT102" s="27">
        <f t="shared" si="64"/>
        <v>15.311999999999999</v>
      </c>
      <c r="DU102" s="27">
        <f t="shared" si="64"/>
        <v>16.448</v>
      </c>
      <c r="DV102" s="27">
        <f t="shared" si="55"/>
        <v>58.857999999999997</v>
      </c>
      <c r="DW102" s="27">
        <f t="shared" si="65"/>
        <v>44.581000000000003</v>
      </c>
      <c r="DX102" s="27">
        <f t="shared" si="65"/>
        <v>28.369</v>
      </c>
      <c r="DY102" s="27">
        <f t="shared" si="65"/>
        <v>24.394007439999925</v>
      </c>
      <c r="DZ102" s="27">
        <f t="shared" si="65"/>
        <v>20.542562340000107</v>
      </c>
      <c r="EA102" s="27">
        <f t="shared" si="56"/>
        <v>117.88656978000003</v>
      </c>
      <c r="EB102" s="27">
        <f t="shared" si="66"/>
        <v>31.148854830000019</v>
      </c>
      <c r="EC102" s="27">
        <f t="shared" si="66"/>
        <v>33.238340410000006</v>
      </c>
      <c r="ED102" s="27">
        <f>ED47</f>
        <v>20.649000000000001</v>
      </c>
      <c r="EE102" s="27">
        <f>EE47</f>
        <v>24.940358689999982</v>
      </c>
      <c r="EF102" s="27">
        <f t="shared" si="57"/>
        <v>109.97655393000001</v>
      </c>
      <c r="EG102" s="27">
        <f t="shared" si="74"/>
        <v>46.169422479999994</v>
      </c>
      <c r="EH102" s="27">
        <f t="shared" ref="EH102:EI102" si="79">EH47</f>
        <v>50.023393160000005</v>
      </c>
      <c r="EI102" s="27">
        <f t="shared" si="79"/>
        <v>45.744947559999986</v>
      </c>
    </row>
    <row r="103" spans="1:139" ht="15" thickBot="1" x14ac:dyDescent="0.35">
      <c r="A103" s="2" t="s">
        <v>323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28">
        <f t="shared" ref="BJ103:CL103" si="80">BJ48</f>
        <v>0</v>
      </c>
      <c r="BK103" s="28">
        <f t="shared" si="80"/>
        <v>0</v>
      </c>
      <c r="BL103" s="28">
        <f t="shared" si="80"/>
        <v>0</v>
      </c>
      <c r="BM103" s="28">
        <f t="shared" si="80"/>
        <v>0</v>
      </c>
      <c r="BN103" s="28">
        <f t="shared" si="80"/>
        <v>0</v>
      </c>
      <c r="BO103" s="28">
        <f t="shared" si="80"/>
        <v>0</v>
      </c>
      <c r="BP103" s="28">
        <f t="shared" si="80"/>
        <v>0</v>
      </c>
      <c r="BQ103" s="28">
        <f t="shared" si="80"/>
        <v>0</v>
      </c>
      <c r="BR103" s="28">
        <f t="shared" si="80"/>
        <v>0</v>
      </c>
      <c r="BS103" s="28">
        <f t="shared" si="80"/>
        <v>0</v>
      </c>
      <c r="BT103" s="28">
        <f t="shared" si="80"/>
        <v>0</v>
      </c>
      <c r="BU103" s="28">
        <f t="shared" si="80"/>
        <v>0</v>
      </c>
      <c r="BV103" s="28">
        <f t="shared" si="80"/>
        <v>0</v>
      </c>
      <c r="BW103" s="28">
        <f t="shared" si="80"/>
        <v>0</v>
      </c>
      <c r="BX103" s="28">
        <f t="shared" si="80"/>
        <v>0</v>
      </c>
      <c r="BY103" s="28">
        <f t="shared" si="80"/>
        <v>0</v>
      </c>
      <c r="BZ103" s="28">
        <f t="shared" si="80"/>
        <v>0</v>
      </c>
      <c r="CA103" s="28">
        <f t="shared" si="80"/>
        <v>0</v>
      </c>
      <c r="CB103" s="28">
        <f t="shared" si="80"/>
        <v>0</v>
      </c>
      <c r="CC103" s="28">
        <f t="shared" si="80"/>
        <v>0</v>
      </c>
      <c r="CD103" s="28">
        <f t="shared" si="80"/>
        <v>0</v>
      </c>
      <c r="CE103" s="28">
        <f t="shared" si="80"/>
        <v>0</v>
      </c>
      <c r="CF103" s="28">
        <f t="shared" si="80"/>
        <v>0</v>
      </c>
      <c r="CG103" s="28">
        <f t="shared" si="80"/>
        <v>0</v>
      </c>
      <c r="CH103" s="28">
        <f t="shared" si="80"/>
        <v>0</v>
      </c>
      <c r="CI103" s="28">
        <f t="shared" si="80"/>
        <v>0</v>
      </c>
      <c r="CJ103" s="28">
        <f t="shared" si="80"/>
        <v>0</v>
      </c>
      <c r="CK103" s="28">
        <f t="shared" si="80"/>
        <v>0</v>
      </c>
      <c r="CL103" s="28">
        <f t="shared" si="80"/>
        <v>0</v>
      </c>
      <c r="CM103" s="28">
        <f t="shared" si="48"/>
        <v>0</v>
      </c>
      <c r="CN103" s="28">
        <f t="shared" ref="CN103:DA103" si="81">CN48</f>
        <v>0</v>
      </c>
      <c r="CO103" s="28">
        <f t="shared" si="81"/>
        <v>0</v>
      </c>
      <c r="CP103" s="28">
        <f t="shared" si="81"/>
        <v>0</v>
      </c>
      <c r="CQ103" s="28">
        <f t="shared" si="81"/>
        <v>0</v>
      </c>
      <c r="CR103" s="28">
        <f t="shared" si="81"/>
        <v>0</v>
      </c>
      <c r="CS103" s="28">
        <f t="shared" si="81"/>
        <v>0</v>
      </c>
      <c r="CT103" s="28">
        <f t="shared" si="81"/>
        <v>0</v>
      </c>
      <c r="CU103" s="28">
        <f t="shared" si="81"/>
        <v>0</v>
      </c>
      <c r="CV103" s="28">
        <f t="shared" si="81"/>
        <v>0</v>
      </c>
      <c r="CW103" s="28">
        <f t="shared" si="81"/>
        <v>0</v>
      </c>
      <c r="CX103" s="28">
        <f t="shared" si="81"/>
        <v>0</v>
      </c>
      <c r="CY103" s="28">
        <f t="shared" si="81"/>
        <v>0</v>
      </c>
      <c r="CZ103" s="28">
        <f t="shared" si="81"/>
        <v>0</v>
      </c>
      <c r="DA103" s="28">
        <f t="shared" si="81"/>
        <v>0</v>
      </c>
      <c r="DB103" s="28">
        <f t="shared" si="51"/>
        <v>0</v>
      </c>
      <c r="DC103" s="28">
        <f t="shared" si="78"/>
        <v>0</v>
      </c>
      <c r="DD103" s="28">
        <f t="shared" si="78"/>
        <v>0</v>
      </c>
      <c r="DE103" s="28">
        <f t="shared" ref="DE103:DF106" si="82">DE48</f>
        <v>-1.0999999999999999E-2</v>
      </c>
      <c r="DF103" s="28">
        <f t="shared" si="82"/>
        <v>-1.7000000000000001E-2</v>
      </c>
      <c r="DG103" s="28">
        <f t="shared" si="52"/>
        <v>-2.8000000000000001E-2</v>
      </c>
      <c r="DH103" s="28">
        <f t="shared" si="62"/>
        <v>-7.0000000000000001E-3</v>
      </c>
      <c r="DI103" s="28">
        <f t="shared" si="62"/>
        <v>-1.6E-2</v>
      </c>
      <c r="DJ103" s="28">
        <f t="shared" si="62"/>
        <v>5.0000000000000001E-3</v>
      </c>
      <c r="DK103" s="28">
        <f t="shared" si="72"/>
        <v>0</v>
      </c>
      <c r="DL103" s="28">
        <f t="shared" si="53"/>
        <v>-1.7999999999999999E-2</v>
      </c>
      <c r="DM103" s="28">
        <f t="shared" si="63"/>
        <v>-1.4E-2</v>
      </c>
      <c r="DN103" s="28">
        <f t="shared" si="63"/>
        <v>-4.0000000000000001E-3</v>
      </c>
      <c r="DO103" s="28">
        <f t="shared" si="63"/>
        <v>-5.0000000000000001E-3</v>
      </c>
      <c r="DP103" s="28">
        <f t="shared" si="63"/>
        <v>4.2999999999999997E-2</v>
      </c>
      <c r="DQ103" s="28">
        <f t="shared" si="54"/>
        <v>1.9999999999999993E-2</v>
      </c>
      <c r="DR103" s="28">
        <f t="shared" si="64"/>
        <v>0</v>
      </c>
      <c r="DS103" s="28">
        <f t="shared" si="64"/>
        <v>-3.0000000000000001E-3</v>
      </c>
      <c r="DT103" s="28">
        <f t="shared" si="64"/>
        <v>-5.0000000000000001E-3</v>
      </c>
      <c r="DU103" s="28">
        <f t="shared" si="64"/>
        <v>0</v>
      </c>
      <c r="DV103" s="28">
        <f t="shared" si="55"/>
        <v>-8.0000000000000002E-3</v>
      </c>
      <c r="DW103" s="28">
        <f t="shared" si="65"/>
        <v>-7.0000000000000001E-3</v>
      </c>
      <c r="DX103" s="28">
        <f t="shared" si="65"/>
        <v>-2E-3</v>
      </c>
      <c r="DY103" s="28">
        <f t="shared" si="65"/>
        <v>-2.8200399999973162E-3</v>
      </c>
      <c r="DZ103" s="28">
        <f t="shared" si="65"/>
        <v>-5.6647499999999996E-3</v>
      </c>
      <c r="EA103" s="28">
        <f t="shared" si="56"/>
        <v>-1.7484789999997315E-2</v>
      </c>
      <c r="EB103" s="28">
        <f t="shared" si="66"/>
        <v>-1.3154500000000298E-2</v>
      </c>
      <c r="EC103" s="28">
        <f t="shared" si="66"/>
        <v>0</v>
      </c>
      <c r="ED103" s="28">
        <f>ED48</f>
        <v>-8.9999999999999993E-3</v>
      </c>
      <c r="EE103" s="28">
        <f>EE48</f>
        <v>-2.3282499999976135E-3</v>
      </c>
      <c r="EF103" s="28">
        <f t="shared" si="57"/>
        <v>-2.4482749999997912E-2</v>
      </c>
      <c r="EG103" s="28">
        <f t="shared" si="74"/>
        <v>-1.0723999999999999E-2</v>
      </c>
      <c r="EH103" s="28">
        <f t="shared" ref="EH103:EI103" si="83">EH48</f>
        <v>-8.9326300000000004E-3</v>
      </c>
      <c r="EI103" s="28">
        <f t="shared" si="83"/>
        <v>0</v>
      </c>
    </row>
    <row r="104" spans="1:139" ht="15" thickTop="1" x14ac:dyDescent="0.3">
      <c r="A104" s="1" t="s">
        <v>322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27">
        <f t="shared" ref="BJ104:CL104" si="84">BJ49</f>
        <v>0</v>
      </c>
      <c r="BK104" s="27">
        <f t="shared" si="84"/>
        <v>0</v>
      </c>
      <c r="BL104" s="27">
        <f t="shared" si="84"/>
        <v>0</v>
      </c>
      <c r="BM104" s="27">
        <f t="shared" si="84"/>
        <v>0</v>
      </c>
      <c r="BN104" s="27">
        <f t="shared" si="84"/>
        <v>0</v>
      </c>
      <c r="BO104" s="27">
        <f t="shared" si="84"/>
        <v>0</v>
      </c>
      <c r="BP104" s="27">
        <f t="shared" si="84"/>
        <v>0</v>
      </c>
      <c r="BQ104" s="27">
        <f t="shared" si="84"/>
        <v>0</v>
      </c>
      <c r="BR104" s="27">
        <f t="shared" si="84"/>
        <v>0</v>
      </c>
      <c r="BS104" s="27">
        <f t="shared" si="84"/>
        <v>0</v>
      </c>
      <c r="BT104" s="27">
        <f t="shared" si="84"/>
        <v>0</v>
      </c>
      <c r="BU104" s="27">
        <f t="shared" si="84"/>
        <v>0</v>
      </c>
      <c r="BV104" s="27">
        <f t="shared" si="84"/>
        <v>0</v>
      </c>
      <c r="BW104" s="27">
        <f t="shared" si="84"/>
        <v>0</v>
      </c>
      <c r="BX104" s="27">
        <f t="shared" si="84"/>
        <v>0</v>
      </c>
      <c r="BY104" s="27">
        <f t="shared" si="84"/>
        <v>0</v>
      </c>
      <c r="BZ104" s="27">
        <f t="shared" si="84"/>
        <v>0</v>
      </c>
      <c r="CA104" s="27">
        <f t="shared" si="84"/>
        <v>0</v>
      </c>
      <c r="CB104" s="27">
        <f t="shared" si="84"/>
        <v>0</v>
      </c>
      <c r="CC104" s="27">
        <f t="shared" si="84"/>
        <v>0</v>
      </c>
      <c r="CD104" s="27">
        <f t="shared" si="84"/>
        <v>0</v>
      </c>
      <c r="CE104" s="27">
        <f t="shared" si="84"/>
        <v>0</v>
      </c>
      <c r="CF104" s="27">
        <f t="shared" si="84"/>
        <v>0</v>
      </c>
      <c r="CG104" s="27">
        <f t="shared" si="84"/>
        <v>0</v>
      </c>
      <c r="CH104" s="27">
        <f t="shared" si="84"/>
        <v>0</v>
      </c>
      <c r="CI104" s="27">
        <f t="shared" si="84"/>
        <v>0</v>
      </c>
      <c r="CJ104" s="27">
        <f t="shared" si="84"/>
        <v>0</v>
      </c>
      <c r="CK104" s="27">
        <f t="shared" si="84"/>
        <v>0</v>
      </c>
      <c r="CL104" s="27">
        <f t="shared" si="84"/>
        <v>0</v>
      </c>
      <c r="CM104" s="27">
        <f t="shared" si="48"/>
        <v>0</v>
      </c>
      <c r="CN104" s="27">
        <f t="shared" ref="CN104:DA104" si="85">CN49</f>
        <v>0</v>
      </c>
      <c r="CO104" s="27">
        <f t="shared" si="85"/>
        <v>0</v>
      </c>
      <c r="CP104" s="27">
        <f t="shared" si="85"/>
        <v>0</v>
      </c>
      <c r="CQ104" s="27">
        <f t="shared" si="85"/>
        <v>0</v>
      </c>
      <c r="CR104" s="27">
        <f t="shared" si="85"/>
        <v>0</v>
      </c>
      <c r="CS104" s="27">
        <f t="shared" si="85"/>
        <v>0</v>
      </c>
      <c r="CT104" s="27">
        <f t="shared" si="85"/>
        <v>0</v>
      </c>
      <c r="CU104" s="27">
        <f t="shared" si="85"/>
        <v>0</v>
      </c>
      <c r="CV104" s="27">
        <f t="shared" si="85"/>
        <v>0</v>
      </c>
      <c r="CW104" s="27">
        <f t="shared" si="85"/>
        <v>0</v>
      </c>
      <c r="CX104" s="27">
        <f t="shared" si="85"/>
        <v>0</v>
      </c>
      <c r="CY104" s="27">
        <f t="shared" si="85"/>
        <v>0</v>
      </c>
      <c r="CZ104" s="27">
        <f t="shared" si="85"/>
        <v>0</v>
      </c>
      <c r="DA104" s="27">
        <f t="shared" si="85"/>
        <v>0</v>
      </c>
      <c r="DB104" s="27">
        <f t="shared" si="51"/>
        <v>0</v>
      </c>
      <c r="DC104" s="27">
        <f t="shared" si="78"/>
        <v>0</v>
      </c>
      <c r="DD104" s="27">
        <f t="shared" si="78"/>
        <v>0</v>
      </c>
      <c r="DE104" s="27">
        <f t="shared" si="82"/>
        <v>0</v>
      </c>
      <c r="DF104" s="27">
        <f t="shared" si="82"/>
        <v>0</v>
      </c>
      <c r="DG104" s="27">
        <f t="shared" si="52"/>
        <v>0</v>
      </c>
      <c r="DH104" s="27">
        <f t="shared" si="62"/>
        <v>0</v>
      </c>
      <c r="DI104" s="27">
        <f t="shared" si="62"/>
        <v>0</v>
      </c>
      <c r="DJ104" s="27">
        <f t="shared" si="62"/>
        <v>0</v>
      </c>
      <c r="DK104" s="27">
        <f t="shared" si="72"/>
        <v>0</v>
      </c>
      <c r="DL104" s="27">
        <f t="shared" si="53"/>
        <v>0</v>
      </c>
      <c r="DM104" s="27">
        <f t="shared" si="63"/>
        <v>0</v>
      </c>
      <c r="DN104" s="27">
        <f t="shared" si="63"/>
        <v>0</v>
      </c>
      <c r="DO104" s="27">
        <f t="shared" si="63"/>
        <v>-0.28399999999999997</v>
      </c>
      <c r="DP104" s="27">
        <f t="shared" si="63"/>
        <v>-0.61799999999999999</v>
      </c>
      <c r="DQ104" s="27">
        <f t="shared" si="54"/>
        <v>-0.90199999999999991</v>
      </c>
      <c r="DR104" s="27">
        <f t="shared" si="64"/>
        <v>-0.38700000000000001</v>
      </c>
      <c r="DS104" s="27">
        <f t="shared" si="64"/>
        <v>-0.23400000000000001</v>
      </c>
      <c r="DT104" s="27">
        <f t="shared" si="64"/>
        <v>-0.17299999999999999</v>
      </c>
      <c r="DU104" s="27">
        <f t="shared" si="64"/>
        <v>-0.187</v>
      </c>
      <c r="DV104" s="27">
        <f t="shared" si="55"/>
        <v>-0.98100000000000009</v>
      </c>
      <c r="DW104" s="27">
        <f t="shared" si="65"/>
        <v>-0.22</v>
      </c>
      <c r="DX104" s="27">
        <f t="shared" si="65"/>
        <v>-0.21199999999999999</v>
      </c>
      <c r="DY104" s="27">
        <f t="shared" si="65"/>
        <v>-0.19152460999999196</v>
      </c>
      <c r="DZ104" s="27">
        <f t="shared" si="65"/>
        <v>-0.1901693599999994</v>
      </c>
      <c r="EA104" s="27">
        <f t="shared" si="56"/>
        <v>-0.81369396999999133</v>
      </c>
      <c r="EB104" s="27">
        <f t="shared" si="66"/>
        <v>-0.23195169999999926</v>
      </c>
      <c r="EC104" s="27">
        <f t="shared" si="66"/>
        <v>-0.22861465000000222</v>
      </c>
      <c r="ED104" s="27">
        <f t="shared" ref="ED104:EE104" si="86">ED49</f>
        <v>-0.20799999999999999</v>
      </c>
      <c r="EE104" s="27">
        <f t="shared" si="86"/>
        <v>-0.2182098600000143</v>
      </c>
      <c r="EF104" s="27">
        <f t="shared" si="57"/>
        <v>-0.88677621000001572</v>
      </c>
      <c r="EG104" s="27">
        <f t="shared" ref="EG104" si="87">EG49</f>
        <v>-0.22522325000000001</v>
      </c>
      <c r="EH104" s="27">
        <f t="shared" ref="EH104:EI104" si="88">EH49</f>
        <v>-0.22239879999999998</v>
      </c>
      <c r="EI104" s="27">
        <f t="shared" si="88"/>
        <v>0.16684362</v>
      </c>
    </row>
    <row r="105" spans="1:139" ht="15" thickBot="1" x14ac:dyDescent="0.35">
      <c r="A105" s="2" t="s">
        <v>370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28">
        <f t="shared" ref="BJ105:CL105" si="89">BJ50</f>
        <v>1.36</v>
      </c>
      <c r="BK105" s="28">
        <f t="shared" si="89"/>
        <v>2.8179999999999996</v>
      </c>
      <c r="BL105" s="28">
        <f t="shared" si="89"/>
        <v>-1.8269999999999997</v>
      </c>
      <c r="BM105" s="28">
        <f t="shared" si="89"/>
        <v>-0.93700000000000006</v>
      </c>
      <c r="BN105" s="28">
        <f t="shared" si="89"/>
        <v>1.4139999999999999</v>
      </c>
      <c r="BO105" s="28">
        <f t="shared" si="89"/>
        <v>8.8989999999999991</v>
      </c>
      <c r="BP105" s="28">
        <f t="shared" si="89"/>
        <v>13.203000000000001</v>
      </c>
      <c r="BQ105" s="28">
        <f t="shared" si="89"/>
        <v>18.169</v>
      </c>
      <c r="BR105" s="28">
        <f t="shared" si="89"/>
        <v>15.698999999999998</v>
      </c>
      <c r="BS105" s="28">
        <f t="shared" si="89"/>
        <v>55.97</v>
      </c>
      <c r="BT105" s="28">
        <f t="shared" si="89"/>
        <v>0</v>
      </c>
      <c r="BU105" s="28">
        <f t="shared" si="89"/>
        <v>0</v>
      </c>
      <c r="BV105" s="28">
        <f t="shared" si="89"/>
        <v>0</v>
      </c>
      <c r="BW105" s="28">
        <f t="shared" si="89"/>
        <v>0</v>
      </c>
      <c r="BX105" s="28">
        <f t="shared" si="89"/>
        <v>0</v>
      </c>
      <c r="BY105" s="28">
        <f t="shared" si="89"/>
        <v>0</v>
      </c>
      <c r="BZ105" s="28">
        <f t="shared" si="89"/>
        <v>0</v>
      </c>
      <c r="CA105" s="28">
        <f t="shared" si="89"/>
        <v>0</v>
      </c>
      <c r="CB105" s="28">
        <f t="shared" si="89"/>
        <v>0</v>
      </c>
      <c r="CC105" s="28">
        <f t="shared" si="89"/>
        <v>0</v>
      </c>
      <c r="CD105" s="28">
        <f t="shared" si="89"/>
        <v>0</v>
      </c>
      <c r="CE105" s="28">
        <f t="shared" si="89"/>
        <v>0</v>
      </c>
      <c r="CF105" s="28">
        <f t="shared" si="89"/>
        <v>0</v>
      </c>
      <c r="CG105" s="28">
        <f t="shared" si="89"/>
        <v>0</v>
      </c>
      <c r="CH105" s="28">
        <f t="shared" si="89"/>
        <v>0</v>
      </c>
      <c r="CI105" s="28">
        <f t="shared" si="89"/>
        <v>0</v>
      </c>
      <c r="CJ105" s="28">
        <f t="shared" si="89"/>
        <v>0</v>
      </c>
      <c r="CK105" s="28">
        <f t="shared" si="89"/>
        <v>0</v>
      </c>
      <c r="CL105" s="28">
        <f t="shared" si="89"/>
        <v>0</v>
      </c>
      <c r="CM105" s="28">
        <f t="shared" si="48"/>
        <v>0</v>
      </c>
      <c r="CN105" s="28">
        <f>CN50</f>
        <v>1.96</v>
      </c>
      <c r="CO105" s="28">
        <v>0.80538944000001988</v>
      </c>
      <c r="CP105" s="28">
        <f t="shared" ref="CP105:DA105" si="90">CP50</f>
        <v>0</v>
      </c>
      <c r="CQ105" s="28">
        <f t="shared" si="90"/>
        <v>0</v>
      </c>
      <c r="CR105" s="28">
        <f t="shared" si="90"/>
        <v>0</v>
      </c>
      <c r="CS105" s="28">
        <f t="shared" si="90"/>
        <v>0</v>
      </c>
      <c r="CT105" s="28">
        <f t="shared" si="90"/>
        <v>0</v>
      </c>
      <c r="CU105" s="28">
        <f t="shared" si="90"/>
        <v>0</v>
      </c>
      <c r="CV105" s="28">
        <f t="shared" si="90"/>
        <v>0</v>
      </c>
      <c r="CW105" s="28">
        <f t="shared" si="90"/>
        <v>0</v>
      </c>
      <c r="CX105" s="28">
        <f t="shared" si="90"/>
        <v>0</v>
      </c>
      <c r="CY105" s="28">
        <f t="shared" si="90"/>
        <v>0</v>
      </c>
      <c r="CZ105" s="28">
        <f t="shared" si="90"/>
        <v>0</v>
      </c>
      <c r="DA105" s="28">
        <f t="shared" si="90"/>
        <v>0</v>
      </c>
      <c r="DB105" s="28">
        <f t="shared" si="51"/>
        <v>0</v>
      </c>
      <c r="DC105" s="28">
        <f t="shared" si="78"/>
        <v>0</v>
      </c>
      <c r="DD105" s="28">
        <f t="shared" si="78"/>
        <v>0</v>
      </c>
      <c r="DE105" s="28">
        <f t="shared" si="82"/>
        <v>0</v>
      </c>
      <c r="DF105" s="28">
        <f t="shared" si="82"/>
        <v>0</v>
      </c>
      <c r="DG105" s="28">
        <f t="shared" si="52"/>
        <v>0</v>
      </c>
      <c r="DH105" s="28">
        <f t="shared" si="62"/>
        <v>0</v>
      </c>
      <c r="DI105" s="28">
        <f t="shared" si="62"/>
        <v>0</v>
      </c>
      <c r="DJ105" s="28">
        <f t="shared" si="62"/>
        <v>0</v>
      </c>
      <c r="DK105" s="28">
        <f t="shared" si="72"/>
        <v>0</v>
      </c>
      <c r="DL105" s="28">
        <f t="shared" si="53"/>
        <v>0</v>
      </c>
      <c r="DM105" s="28">
        <f t="shared" si="63"/>
        <v>0</v>
      </c>
      <c r="DN105" s="28">
        <f t="shared" si="63"/>
        <v>0</v>
      </c>
      <c r="DO105" s="28">
        <f t="shared" si="63"/>
        <v>0</v>
      </c>
      <c r="DP105" s="28">
        <f t="shared" si="63"/>
        <v>0</v>
      </c>
      <c r="DQ105" s="28">
        <f t="shared" si="54"/>
        <v>0</v>
      </c>
      <c r="DR105" s="28">
        <f t="shared" si="64"/>
        <v>0</v>
      </c>
      <c r="DS105" s="28">
        <f t="shared" si="64"/>
        <v>0</v>
      </c>
      <c r="DT105" s="28">
        <f t="shared" si="64"/>
        <v>0</v>
      </c>
      <c r="DU105" s="28">
        <f t="shared" si="64"/>
        <v>0</v>
      </c>
      <c r="DV105" s="28">
        <f t="shared" si="55"/>
        <v>0</v>
      </c>
      <c r="DW105" s="28">
        <f t="shared" si="65"/>
        <v>0</v>
      </c>
      <c r="DX105" s="28">
        <f t="shared" si="65"/>
        <v>0</v>
      </c>
      <c r="DY105" s="28">
        <f t="shared" si="65"/>
        <v>0</v>
      </c>
      <c r="DZ105" s="28">
        <f t="shared" si="65"/>
        <v>0</v>
      </c>
      <c r="EA105" s="28">
        <f t="shared" si="56"/>
        <v>0</v>
      </c>
      <c r="EB105" s="28">
        <f t="shared" si="66"/>
        <v>0</v>
      </c>
      <c r="EC105" s="28">
        <f t="shared" si="66"/>
        <v>0</v>
      </c>
      <c r="ED105" s="28">
        <f t="shared" ref="ED105" si="91">ED50</f>
        <v>0</v>
      </c>
      <c r="EE105" s="28">
        <f>EE50</f>
        <v>0</v>
      </c>
      <c r="EF105" s="28">
        <f t="shared" si="57"/>
        <v>0</v>
      </c>
      <c r="EG105" s="28">
        <f t="shared" ref="EG105" si="92">EG50</f>
        <v>0</v>
      </c>
      <c r="EH105" s="28">
        <f t="shared" ref="EH105:EI105" si="93">EH50</f>
        <v>0</v>
      </c>
      <c r="EI105" s="28">
        <f t="shared" si="93"/>
        <v>0</v>
      </c>
    </row>
    <row r="106" spans="1:139" ht="15" thickTop="1" x14ac:dyDescent="0.3">
      <c r="A106" s="1" t="s">
        <v>338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27">
        <f t="shared" ref="BJ106:CL106" si="94">BJ51</f>
        <v>6.8719999999999999</v>
      </c>
      <c r="BK106" s="27">
        <f t="shared" si="94"/>
        <v>5.0240000000000009</v>
      </c>
      <c r="BL106" s="27">
        <f t="shared" si="94"/>
        <v>5.6819999999999986</v>
      </c>
      <c r="BM106" s="27">
        <f t="shared" si="94"/>
        <v>2.093</v>
      </c>
      <c r="BN106" s="27">
        <f t="shared" si="94"/>
        <v>19.670999999999999</v>
      </c>
      <c r="BO106" s="27">
        <f t="shared" si="94"/>
        <v>5.8179999999999996</v>
      </c>
      <c r="BP106" s="27">
        <f t="shared" si="94"/>
        <v>6.1440000000000001</v>
      </c>
      <c r="BQ106" s="27">
        <f t="shared" si="94"/>
        <v>6.3829999999999991</v>
      </c>
      <c r="BR106" s="27">
        <f t="shared" si="94"/>
        <v>6.2610000000000028</v>
      </c>
      <c r="BS106" s="27">
        <f t="shared" si="94"/>
        <v>24.606000000000002</v>
      </c>
      <c r="BT106" s="27">
        <f t="shared" si="94"/>
        <v>0</v>
      </c>
      <c r="BU106" s="27">
        <f t="shared" si="94"/>
        <v>0</v>
      </c>
      <c r="BV106" s="27">
        <f t="shared" si="94"/>
        <v>0</v>
      </c>
      <c r="BW106" s="27">
        <f t="shared" si="94"/>
        <v>0</v>
      </c>
      <c r="BX106" s="27">
        <f t="shared" si="94"/>
        <v>0</v>
      </c>
      <c r="BY106" s="27">
        <f t="shared" si="94"/>
        <v>0</v>
      </c>
      <c r="BZ106" s="27">
        <f t="shared" si="94"/>
        <v>0</v>
      </c>
      <c r="CA106" s="27">
        <f t="shared" si="94"/>
        <v>0</v>
      </c>
      <c r="CB106" s="27">
        <f t="shared" si="94"/>
        <v>0</v>
      </c>
      <c r="CC106" s="27">
        <f t="shared" si="94"/>
        <v>0</v>
      </c>
      <c r="CD106" s="27">
        <f t="shared" si="94"/>
        <v>0</v>
      </c>
      <c r="CE106" s="27">
        <f t="shared" si="94"/>
        <v>0</v>
      </c>
      <c r="CF106" s="27">
        <f t="shared" si="94"/>
        <v>0</v>
      </c>
      <c r="CG106" s="27">
        <f t="shared" si="94"/>
        <v>0</v>
      </c>
      <c r="CH106" s="27">
        <f t="shared" si="94"/>
        <v>0</v>
      </c>
      <c r="CI106" s="27">
        <f t="shared" si="94"/>
        <v>0</v>
      </c>
      <c r="CJ106" s="27">
        <f t="shared" si="94"/>
        <v>0</v>
      </c>
      <c r="CK106" s="27">
        <f t="shared" si="94"/>
        <v>-0.47199999999999998</v>
      </c>
      <c r="CL106" s="27">
        <f t="shared" si="94"/>
        <v>-0.32800000000000007</v>
      </c>
      <c r="CM106" s="27">
        <f t="shared" si="48"/>
        <v>-0.8</v>
      </c>
      <c r="CN106" s="27">
        <f>CN51</f>
        <v>-0.46400000000000002</v>
      </c>
      <c r="CO106" s="27">
        <f>CO51</f>
        <v>-0.35299999999999992</v>
      </c>
      <c r="CP106" s="27">
        <f t="shared" ref="CP106:DA106" si="95">CP51</f>
        <v>-0.41400000000000009</v>
      </c>
      <c r="CQ106" s="27">
        <f t="shared" si="95"/>
        <v>-0.29399999999999982</v>
      </c>
      <c r="CR106" s="27">
        <f t="shared" si="95"/>
        <v>-1.5249999999999999</v>
      </c>
      <c r="CS106" s="27">
        <f t="shared" si="95"/>
        <v>-0.36699999999999999</v>
      </c>
      <c r="CT106" s="27">
        <f t="shared" si="95"/>
        <v>-0.34200000000000003</v>
      </c>
      <c r="CU106" s="27">
        <f t="shared" si="95"/>
        <v>-0.503</v>
      </c>
      <c r="CV106" s="27">
        <f t="shared" si="95"/>
        <v>-0.58899999999999997</v>
      </c>
      <c r="CW106" s="27">
        <f t="shared" si="95"/>
        <v>-1.8010000000000002</v>
      </c>
      <c r="CX106" s="27">
        <f t="shared" si="95"/>
        <v>-0.41399999999999998</v>
      </c>
      <c r="CY106" s="27">
        <f t="shared" si="95"/>
        <v>-0.74099999999999999</v>
      </c>
      <c r="CZ106" s="27">
        <f t="shared" si="95"/>
        <v>-0.44500000000000001</v>
      </c>
      <c r="DA106" s="27">
        <f t="shared" si="95"/>
        <v>-0.40300000000000002</v>
      </c>
      <c r="DB106" s="27">
        <f t="shared" si="51"/>
        <v>-2.0030000000000001</v>
      </c>
      <c r="DC106" s="27">
        <f t="shared" si="78"/>
        <v>-0.33</v>
      </c>
      <c r="DD106" s="27">
        <f t="shared" si="78"/>
        <v>-0.56399999999999995</v>
      </c>
      <c r="DE106" s="27">
        <f t="shared" si="82"/>
        <v>-0.505</v>
      </c>
      <c r="DF106" s="27">
        <f t="shared" si="82"/>
        <v>-0.56399999999999995</v>
      </c>
      <c r="DG106" s="27">
        <f t="shared" si="52"/>
        <v>-1.9630000000000001</v>
      </c>
      <c r="DH106" s="27">
        <f t="shared" si="62"/>
        <v>-0.47799999999999998</v>
      </c>
      <c r="DI106" s="27">
        <f t="shared" si="62"/>
        <v>-0.35599999999999998</v>
      </c>
      <c r="DJ106" s="27">
        <f t="shared" si="62"/>
        <v>-0.54100000000000004</v>
      </c>
      <c r="DK106" s="27">
        <f t="shared" si="72"/>
        <v>1.232</v>
      </c>
      <c r="DL106" s="27">
        <f t="shared" si="53"/>
        <v>-0.14300000000000002</v>
      </c>
      <c r="DM106" s="27">
        <f t="shared" si="63"/>
        <v>-0.313</v>
      </c>
      <c r="DN106" s="27">
        <f t="shared" si="63"/>
        <v>-0.754</v>
      </c>
      <c r="DO106" s="27">
        <f t="shared" si="63"/>
        <v>-0.69599999999999995</v>
      </c>
      <c r="DP106" s="27">
        <f t="shared" si="63"/>
        <v>-0.88</v>
      </c>
      <c r="DQ106" s="27">
        <f t="shared" si="54"/>
        <v>-2.6429999999999998</v>
      </c>
      <c r="DR106" s="27">
        <f t="shared" ref="DR106:DT108" si="96">DR51</f>
        <v>-0.36399999999999999</v>
      </c>
      <c r="DS106" s="27">
        <f t="shared" si="96"/>
        <v>-0.376</v>
      </c>
      <c r="DT106" s="27">
        <f t="shared" si="96"/>
        <v>-0.79800000000000004</v>
      </c>
      <c r="DU106" s="27">
        <v>-0.46199999999999619</v>
      </c>
      <c r="DV106" s="27">
        <f t="shared" si="55"/>
        <v>-1.9999999999999962</v>
      </c>
      <c r="DW106" s="27">
        <f t="shared" ref="DW106:DY108" si="97">DW51</f>
        <v>-0.42799999999999999</v>
      </c>
      <c r="DX106" s="27">
        <f t="shared" si="97"/>
        <v>-0.17100000000000001</v>
      </c>
      <c r="DY106" s="27">
        <f t="shared" si="97"/>
        <v>-0.86394769999999999</v>
      </c>
      <c r="DZ106" s="27">
        <v>-0.444104099999997</v>
      </c>
      <c r="EA106" s="27">
        <f t="shared" si="56"/>
        <v>-1.907051799999997</v>
      </c>
      <c r="EB106" s="27">
        <f t="shared" si="66"/>
        <v>-6.9144730000000015E-2</v>
      </c>
      <c r="EC106" s="27">
        <f t="shared" si="66"/>
        <v>-6.9137690000000002E-2</v>
      </c>
      <c r="ED106" s="27">
        <f t="shared" ref="ED106:EE106" si="98">ED51</f>
        <v>1.006</v>
      </c>
      <c r="EE106" s="27">
        <f t="shared" si="98"/>
        <v>-1.0655999999999444E-3</v>
      </c>
      <c r="EF106" s="27">
        <f t="shared" si="57"/>
        <v>0.8666519800000001</v>
      </c>
      <c r="EG106" s="27">
        <f t="shared" ref="EG106" si="99">EG51</f>
        <v>0.26051389000000003</v>
      </c>
      <c r="EH106" s="27">
        <f t="shared" ref="EH106:EI106" si="100">EH51</f>
        <v>0.90025524000000012</v>
      </c>
      <c r="EI106" s="27">
        <f t="shared" si="100"/>
        <v>-0.67813074000000018</v>
      </c>
    </row>
    <row r="107" spans="1:139" ht="15" thickBot="1" x14ac:dyDescent="0.35">
      <c r="A107" s="2" t="s">
        <v>331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28">
        <f t="shared" ref="BJ107:CC107" si="101">BJ52</f>
        <v>-10.569000000000001</v>
      </c>
      <c r="BK107" s="28">
        <f t="shared" si="101"/>
        <v>-8.0980000000000008</v>
      </c>
      <c r="BL107" s="28">
        <f t="shared" si="101"/>
        <v>-9.4700000000000006</v>
      </c>
      <c r="BM107" s="28">
        <f t="shared" si="101"/>
        <v>-9.0649999999999977</v>
      </c>
      <c r="BN107" s="28">
        <f t="shared" si="101"/>
        <v>-37.201999999999998</v>
      </c>
      <c r="BO107" s="28">
        <f t="shared" si="101"/>
        <v>-8.3810000000000002</v>
      </c>
      <c r="BP107" s="28">
        <f t="shared" si="101"/>
        <v>-9.6320000000000014</v>
      </c>
      <c r="BQ107" s="28">
        <f t="shared" si="101"/>
        <v>-9.8979999999999997</v>
      </c>
      <c r="BR107" s="28">
        <f t="shared" si="101"/>
        <v>-12.432000000000002</v>
      </c>
      <c r="BS107" s="28">
        <f t="shared" si="101"/>
        <v>-40.343000000000004</v>
      </c>
      <c r="BT107" s="28">
        <f t="shared" si="101"/>
        <v>-14.622999999999999</v>
      </c>
      <c r="BU107" s="28">
        <f t="shared" si="101"/>
        <v>-13.480000000000002</v>
      </c>
      <c r="BV107" s="28">
        <f t="shared" si="101"/>
        <v>-14.353999999999997</v>
      </c>
      <c r="BW107" s="28">
        <f t="shared" si="101"/>
        <v>-16.234999999999999</v>
      </c>
      <c r="BX107" s="28">
        <f t="shared" si="101"/>
        <v>-58.692</v>
      </c>
      <c r="BY107" s="28">
        <f t="shared" si="101"/>
        <v>-14.497999999999999</v>
      </c>
      <c r="BZ107" s="28">
        <f t="shared" si="101"/>
        <v>-18.872</v>
      </c>
      <c r="CA107" s="28">
        <f t="shared" si="101"/>
        <v>-19.263000000000005</v>
      </c>
      <c r="CB107" s="28">
        <f t="shared" si="101"/>
        <v>9.8680000000000021</v>
      </c>
      <c r="CC107" s="28">
        <f t="shared" si="101"/>
        <v>-42.765000000000001</v>
      </c>
      <c r="CD107" s="28">
        <v>-20.572999999999979</v>
      </c>
      <c r="CE107" s="28">
        <f t="shared" ref="CE107:CK108" si="102">CE52</f>
        <v>-16.156000000000006</v>
      </c>
      <c r="CF107" s="28">
        <f t="shared" si="102"/>
        <v>-28.906000000000006</v>
      </c>
      <c r="CG107" s="28">
        <f t="shared" si="102"/>
        <v>-33.885999999999996</v>
      </c>
      <c r="CH107" s="28">
        <f t="shared" si="102"/>
        <v>169.715</v>
      </c>
      <c r="CI107" s="28">
        <f t="shared" si="102"/>
        <v>-18.114000000000001</v>
      </c>
      <c r="CJ107" s="28">
        <f t="shared" si="102"/>
        <v>-9.8919999999999995</v>
      </c>
      <c r="CK107" s="28">
        <f t="shared" si="102"/>
        <v>-6.6319999999999979</v>
      </c>
      <c r="CL107" s="28">
        <v>-12.975000000000005</v>
      </c>
      <c r="CM107" s="28">
        <f t="shared" si="48"/>
        <v>-47.613</v>
      </c>
      <c r="CN107" s="28">
        <f>CN52</f>
        <v>-6.8890000000000002</v>
      </c>
      <c r="CO107" s="28">
        <v>-7.6829999999999927</v>
      </c>
      <c r="CP107" s="28">
        <f t="shared" ref="CP107:DA107" si="103">CP52</f>
        <v>-4.1119999999999761</v>
      </c>
      <c r="CQ107" s="28">
        <f t="shared" si="103"/>
        <v>-5.3830000000000382</v>
      </c>
      <c r="CR107" s="28">
        <f t="shared" si="103"/>
        <v>-325.06400000000002</v>
      </c>
      <c r="CS107" s="28">
        <f t="shared" si="103"/>
        <v>-8.9190000000000005</v>
      </c>
      <c r="CT107" s="28">
        <f t="shared" si="103"/>
        <v>-2.5270000000000001</v>
      </c>
      <c r="CU107" s="28">
        <f t="shared" si="103"/>
        <v>-8.4550000000000001</v>
      </c>
      <c r="CV107" s="28">
        <f t="shared" si="103"/>
        <v>-6.9569999999999999</v>
      </c>
      <c r="CW107" s="28">
        <f t="shared" si="103"/>
        <v>-26.858000000000004</v>
      </c>
      <c r="CX107" s="28">
        <f t="shared" si="103"/>
        <v>-8.0660000000000007</v>
      </c>
      <c r="CY107" s="28">
        <f t="shared" si="103"/>
        <v>-4.6049999999999995</v>
      </c>
      <c r="CZ107" s="28">
        <f t="shared" si="103"/>
        <v>-9.0860000000000003</v>
      </c>
      <c r="DA107" s="28">
        <f t="shared" si="103"/>
        <v>-15.877000000000001</v>
      </c>
      <c r="DB107" s="28">
        <f t="shared" si="51"/>
        <v>-37.634</v>
      </c>
      <c r="DC107" s="28">
        <f t="shared" si="78"/>
        <v>-14.19</v>
      </c>
      <c r="DD107" s="28">
        <f t="shared" si="78"/>
        <v>-16.55</v>
      </c>
      <c r="DE107" s="28">
        <v>-25.608000000000004</v>
      </c>
      <c r="DF107" s="28">
        <v>-19.610999999999997</v>
      </c>
      <c r="DG107" s="28">
        <f t="shared" si="52"/>
        <v>-75.959000000000003</v>
      </c>
      <c r="DH107" s="28">
        <f>DH52</f>
        <v>-10.169</v>
      </c>
      <c r="DI107" s="28">
        <v>-7.5770000000000053</v>
      </c>
      <c r="DJ107" s="28">
        <v>-6.4610000000000012</v>
      </c>
      <c r="DK107" s="28">
        <v>-4.4940000000000193</v>
      </c>
      <c r="DL107" s="28">
        <f t="shared" si="53"/>
        <v>-28.701000000000029</v>
      </c>
      <c r="DM107" s="28">
        <f>DM52</f>
        <v>-6.2919999999999998</v>
      </c>
      <c r="DN107" s="28">
        <f>DN52</f>
        <v>-6.8440000000000003</v>
      </c>
      <c r="DO107" s="28">
        <v>-4.509999999999998</v>
      </c>
      <c r="DP107" s="28">
        <v>-7.6210000000000022</v>
      </c>
      <c r="DQ107" s="28">
        <v>-25.266999999999999</v>
      </c>
      <c r="DR107" s="28">
        <v>-7.0789999999999997</v>
      </c>
      <c r="DS107" s="28">
        <f t="shared" si="96"/>
        <v>-5.0590000000000002</v>
      </c>
      <c r="DT107" s="28">
        <f t="shared" si="96"/>
        <v>-8.7040000000000006</v>
      </c>
      <c r="DU107" s="28">
        <v>-9.1240000000000023</v>
      </c>
      <c r="DV107" s="28">
        <f t="shared" si="55"/>
        <v>-29.966000000000001</v>
      </c>
      <c r="DW107" s="28">
        <f t="shared" si="97"/>
        <v>-9.2859999999999996</v>
      </c>
      <c r="DX107" s="28">
        <f t="shared" si="97"/>
        <v>-8.7720000000000002</v>
      </c>
      <c r="DY107" s="28">
        <f t="shared" si="97"/>
        <v>-8.3672070800000053</v>
      </c>
      <c r="DZ107" s="28">
        <f>DZ52</f>
        <v>-12.627222950000062</v>
      </c>
      <c r="EA107" s="28">
        <f t="shared" si="56"/>
        <v>-39.052430030000068</v>
      </c>
      <c r="EB107" s="28">
        <f t="shared" si="66"/>
        <v>-10.617302359999998</v>
      </c>
      <c r="EC107" s="28">
        <f t="shared" si="66"/>
        <v>-10.350806640000021</v>
      </c>
      <c r="ED107" s="28">
        <f t="shared" ref="ED107:EE107" si="104">ED52</f>
        <v>-12.56</v>
      </c>
      <c r="EE107" s="28">
        <f t="shared" si="104"/>
        <v>-4.4398003899999257</v>
      </c>
      <c r="EF107" s="28">
        <f t="shared" si="57"/>
        <v>-37.967909389999946</v>
      </c>
      <c r="EG107" s="28">
        <f t="shared" ref="EG107" si="105">EG52</f>
        <v>-10.94685022</v>
      </c>
      <c r="EH107" s="28">
        <f t="shared" ref="EH107:EI107" si="106">EH52</f>
        <v>-11.144336470000001</v>
      </c>
      <c r="EI107" s="28">
        <f t="shared" si="106"/>
        <v>-11.420569949999996</v>
      </c>
    </row>
    <row r="108" spans="1:139" ht="15" thickTop="1" x14ac:dyDescent="0.3">
      <c r="A108" s="1" t="s">
        <v>308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27">
        <f t="shared" ref="BJ108:CC108" si="107">BJ53</f>
        <v>9.4E-2</v>
      </c>
      <c r="BK108" s="27">
        <f t="shared" si="107"/>
        <v>-0.46899999999999997</v>
      </c>
      <c r="BL108" s="27">
        <f t="shared" si="107"/>
        <v>0.46299999999999997</v>
      </c>
      <c r="BM108" s="27">
        <f t="shared" si="107"/>
        <v>0.28400000000000003</v>
      </c>
      <c r="BN108" s="27">
        <f t="shared" si="107"/>
        <v>0.372</v>
      </c>
      <c r="BO108" s="27">
        <f t="shared" si="107"/>
        <v>-1.78</v>
      </c>
      <c r="BP108" s="27">
        <f t="shared" si="107"/>
        <v>-2.6399999999999997</v>
      </c>
      <c r="BQ108" s="27">
        <f t="shared" si="107"/>
        <v>-3.6340000000000003</v>
      </c>
      <c r="BR108" s="27">
        <f t="shared" si="107"/>
        <v>-3.1400000000000006</v>
      </c>
      <c r="BS108" s="27">
        <f t="shared" si="107"/>
        <v>-11.194000000000001</v>
      </c>
      <c r="BT108" s="27">
        <f t="shared" si="107"/>
        <v>-0.1</v>
      </c>
      <c r="BU108" s="27">
        <f t="shared" si="107"/>
        <v>-0.33900000000000002</v>
      </c>
      <c r="BV108" s="27">
        <f t="shared" si="107"/>
        <v>-9.7000000000000003E-2</v>
      </c>
      <c r="BW108" s="27">
        <f t="shared" si="107"/>
        <v>-2.8879999999999999</v>
      </c>
      <c r="BX108" s="27">
        <f t="shared" si="107"/>
        <v>-3.4239999999999999</v>
      </c>
      <c r="BY108" s="27">
        <f t="shared" si="107"/>
        <v>-0.185</v>
      </c>
      <c r="BZ108" s="27">
        <f t="shared" si="107"/>
        <v>-6.2E-2</v>
      </c>
      <c r="CA108" s="27">
        <f t="shared" si="107"/>
        <v>0.11700000000000001</v>
      </c>
      <c r="CB108" s="27">
        <f t="shared" si="107"/>
        <v>-1.5469999999999999</v>
      </c>
      <c r="CC108" s="27">
        <f t="shared" si="107"/>
        <v>-1.677</v>
      </c>
      <c r="CD108" s="27">
        <f>CD53</f>
        <v>0</v>
      </c>
      <c r="CE108" s="27">
        <f t="shared" si="102"/>
        <v>0</v>
      </c>
      <c r="CF108" s="27">
        <f t="shared" si="102"/>
        <v>0</v>
      </c>
      <c r="CG108" s="27">
        <f t="shared" si="102"/>
        <v>0</v>
      </c>
      <c r="CH108" s="27">
        <f t="shared" si="102"/>
        <v>0</v>
      </c>
      <c r="CI108" s="27">
        <f t="shared" si="102"/>
        <v>0</v>
      </c>
      <c r="CJ108" s="27">
        <f t="shared" si="102"/>
        <v>0</v>
      </c>
      <c r="CK108" s="27">
        <f t="shared" si="102"/>
        <v>0</v>
      </c>
      <c r="CL108" s="27">
        <f>CL53</f>
        <v>0</v>
      </c>
      <c r="CM108" s="27">
        <f t="shared" si="48"/>
        <v>0</v>
      </c>
      <c r="CN108" s="27">
        <f>CN53</f>
        <v>0</v>
      </c>
      <c r="CO108" s="27">
        <f>CO53</f>
        <v>0</v>
      </c>
      <c r="CP108" s="27">
        <f t="shared" ref="CP108:DA108" si="108">CP53</f>
        <v>0</v>
      </c>
      <c r="CQ108" s="27">
        <f t="shared" si="108"/>
        <v>0</v>
      </c>
      <c r="CR108" s="27">
        <f t="shared" si="108"/>
        <v>0</v>
      </c>
      <c r="CS108" s="27">
        <f t="shared" si="108"/>
        <v>0</v>
      </c>
      <c r="CT108" s="27">
        <f t="shared" si="108"/>
        <v>0</v>
      </c>
      <c r="CU108" s="27">
        <f t="shared" si="108"/>
        <v>0</v>
      </c>
      <c r="CV108" s="27">
        <f t="shared" si="108"/>
        <v>0</v>
      </c>
      <c r="CW108" s="27">
        <f t="shared" si="108"/>
        <v>0</v>
      </c>
      <c r="CX108" s="27">
        <f t="shared" si="108"/>
        <v>0</v>
      </c>
      <c r="CY108" s="27">
        <f t="shared" si="108"/>
        <v>0</v>
      </c>
      <c r="CZ108" s="27">
        <f t="shared" si="108"/>
        <v>0</v>
      </c>
      <c r="DA108" s="27">
        <f t="shared" si="108"/>
        <v>0</v>
      </c>
      <c r="DB108" s="27">
        <f t="shared" si="51"/>
        <v>0</v>
      </c>
      <c r="DC108" s="27">
        <f t="shared" si="78"/>
        <v>-1.8</v>
      </c>
      <c r="DD108" s="27">
        <f t="shared" si="78"/>
        <v>0</v>
      </c>
      <c r="DE108" s="27">
        <f>DE53</f>
        <v>-1.2550000000000026</v>
      </c>
      <c r="DF108" s="27">
        <f>DF53</f>
        <v>-2.0310000000000001</v>
      </c>
      <c r="DG108" s="27">
        <f t="shared" si="52"/>
        <v>-5.0860000000000021</v>
      </c>
      <c r="DH108" s="27">
        <f>DH53</f>
        <v>-2.41</v>
      </c>
      <c r="DI108" s="27">
        <f>DI53</f>
        <v>-1.3109999999999999</v>
      </c>
      <c r="DJ108" s="27">
        <f>DJ53</f>
        <v>-2.722</v>
      </c>
      <c r="DK108" s="27">
        <f>DK53</f>
        <v>-27.428999999999998</v>
      </c>
      <c r="DL108" s="27">
        <f t="shared" si="53"/>
        <v>-33.872</v>
      </c>
      <c r="DM108" s="27">
        <f>DM53</f>
        <v>-3.5489999999999999</v>
      </c>
      <c r="DN108" s="27">
        <f>DN53</f>
        <v>-3.5489999999999999</v>
      </c>
      <c r="DO108" s="27">
        <f>DO53</f>
        <v>-3.9009999999999998</v>
      </c>
      <c r="DP108" s="27">
        <f>DP53</f>
        <v>-4.9610000000000003</v>
      </c>
      <c r="DQ108" s="27">
        <f t="shared" si="54"/>
        <v>-15.959999999999999</v>
      </c>
      <c r="DR108" s="27">
        <f t="shared" si="96"/>
        <v>-4.2080000000000002</v>
      </c>
      <c r="DS108" s="27">
        <f t="shared" si="96"/>
        <v>-4.2249999999999996</v>
      </c>
      <c r="DT108" s="27">
        <f t="shared" si="96"/>
        <v>-4.2320000000000002</v>
      </c>
      <c r="DU108" s="27">
        <f>DU53</f>
        <v>-6.5419999999999998</v>
      </c>
      <c r="DV108" s="27">
        <f t="shared" si="55"/>
        <v>-19.207000000000001</v>
      </c>
      <c r="DW108" s="27">
        <f t="shared" si="97"/>
        <v>-4.1580000000000004</v>
      </c>
      <c r="DX108" s="27">
        <f t="shared" si="97"/>
        <v>-4.085</v>
      </c>
      <c r="DY108" s="27">
        <f t="shared" si="97"/>
        <v>-4.546051109999933</v>
      </c>
      <c r="DZ108" s="27">
        <f>DZ53</f>
        <v>-4.47016247999996</v>
      </c>
      <c r="EA108" s="27">
        <f t="shared" si="56"/>
        <v>-17.259213589999895</v>
      </c>
      <c r="EB108" s="27">
        <f t="shared" si="66"/>
        <v>-5.7048793300000469</v>
      </c>
      <c r="EC108" s="27">
        <f t="shared" si="66"/>
        <v>-6.8431303799999261</v>
      </c>
      <c r="ED108" s="27">
        <f t="shared" ref="ED108:EE108" si="109">ED53</f>
        <v>-5.7939999999999996</v>
      </c>
      <c r="EE108" s="27">
        <f t="shared" si="109"/>
        <v>-6.6849365599999206</v>
      </c>
      <c r="EF108" s="27">
        <f t="shared" si="57"/>
        <v>-25.026946269999897</v>
      </c>
      <c r="EG108" s="27">
        <f t="shared" ref="EG108" si="110">EG53</f>
        <v>-8.3914916999999996</v>
      </c>
      <c r="EH108" s="27">
        <f t="shared" ref="EH108:EI108" si="111">EH53</f>
        <v>-13.913261650000003</v>
      </c>
      <c r="EI108" s="27">
        <f t="shared" si="111"/>
        <v>-10.703099879999998</v>
      </c>
    </row>
    <row r="109" spans="1:139" x14ac:dyDescent="0.3">
      <c r="A109" s="5" t="s">
        <v>311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>
        <f t="shared" ref="BJ109:CO109" si="112">SUM(BJ86:BJ108)</f>
        <v>211.07177251000005</v>
      </c>
      <c r="BK109" s="29">
        <f t="shared" si="112"/>
        <v>206.41904998000001</v>
      </c>
      <c r="BL109" s="29">
        <f t="shared" si="112"/>
        <v>219.29757414999997</v>
      </c>
      <c r="BM109" s="29">
        <f t="shared" si="112"/>
        <v>223.79461662</v>
      </c>
      <c r="BN109" s="29">
        <f t="shared" si="112"/>
        <v>860.58301325999992</v>
      </c>
      <c r="BO109" s="29">
        <f t="shared" si="112"/>
        <v>249.12809468</v>
      </c>
      <c r="BP109" s="29">
        <f t="shared" si="112"/>
        <v>244.33807984999999</v>
      </c>
      <c r="BQ109" s="29">
        <f t="shared" si="112"/>
        <v>270.62816427999991</v>
      </c>
      <c r="BR109" s="29">
        <f t="shared" si="112"/>
        <v>273.52050828</v>
      </c>
      <c r="BS109" s="29">
        <f t="shared" si="112"/>
        <v>1037.61484709</v>
      </c>
      <c r="BT109" s="29">
        <f t="shared" si="112"/>
        <v>262.20301806999998</v>
      </c>
      <c r="BU109" s="29">
        <f t="shared" si="112"/>
        <v>243.90436818000003</v>
      </c>
      <c r="BV109" s="29">
        <f t="shared" si="112"/>
        <v>322.90117448000001</v>
      </c>
      <c r="BW109" s="29">
        <f t="shared" si="112"/>
        <v>312.46968122000004</v>
      </c>
      <c r="BX109" s="29">
        <f t="shared" si="112"/>
        <v>1141.4782419500002</v>
      </c>
      <c r="BY109" s="29">
        <f t="shared" si="112"/>
        <v>312.82422938000002</v>
      </c>
      <c r="BZ109" s="29">
        <f t="shared" si="112"/>
        <v>312.42787630000004</v>
      </c>
      <c r="CA109" s="29">
        <f t="shared" si="112"/>
        <v>325.65785624999995</v>
      </c>
      <c r="CB109" s="29">
        <f t="shared" si="112"/>
        <v>319.51394002000006</v>
      </c>
      <c r="CC109" s="29">
        <f t="shared" si="112"/>
        <v>1270.4239019500001</v>
      </c>
      <c r="CD109" s="29">
        <f t="shared" si="112"/>
        <v>330.11835289000004</v>
      </c>
      <c r="CE109" s="29">
        <f t="shared" si="112"/>
        <v>299.60809921000003</v>
      </c>
      <c r="CF109" s="29">
        <f t="shared" si="112"/>
        <v>325.60463039000001</v>
      </c>
      <c r="CG109" s="29">
        <f t="shared" si="112"/>
        <v>327.49922607000008</v>
      </c>
      <c r="CH109" s="29">
        <f t="shared" si="112"/>
        <v>1552.0663085600002</v>
      </c>
      <c r="CI109" s="29">
        <f t="shared" si="112"/>
        <v>352.54061219000005</v>
      </c>
      <c r="CJ109" s="29">
        <f t="shared" si="112"/>
        <v>315.25273715999998</v>
      </c>
      <c r="CK109" s="29">
        <f t="shared" si="112"/>
        <v>359.06097519000008</v>
      </c>
      <c r="CL109" s="29">
        <f t="shared" si="112"/>
        <v>362.35663777999997</v>
      </c>
      <c r="CM109" s="29">
        <f t="shared" si="112"/>
        <v>1389.2109623200004</v>
      </c>
      <c r="CN109" s="29">
        <f t="shared" si="112"/>
        <v>402.74675786999995</v>
      </c>
      <c r="CO109" s="29">
        <f t="shared" si="112"/>
        <v>353.92336140999993</v>
      </c>
      <c r="CP109" s="29">
        <f t="shared" ref="CP109:DU109" si="113">SUM(CP86:CP108)</f>
        <v>376.5181651100001</v>
      </c>
      <c r="CQ109" s="29">
        <f t="shared" si="113"/>
        <v>389.75010504999989</v>
      </c>
      <c r="CR109" s="29">
        <f t="shared" si="113"/>
        <v>1219.1759999999999</v>
      </c>
      <c r="CS109" s="29">
        <f t="shared" si="113"/>
        <v>442.70147212999996</v>
      </c>
      <c r="CT109" s="29">
        <f t="shared" si="113"/>
        <v>411.97108186000008</v>
      </c>
      <c r="CU109" s="29">
        <f t="shared" si="113"/>
        <v>456.49631238000006</v>
      </c>
      <c r="CV109" s="29">
        <f t="shared" si="113"/>
        <v>437.59224617000001</v>
      </c>
      <c r="CW109" s="29">
        <f t="shared" si="113"/>
        <v>1748.7611125400001</v>
      </c>
      <c r="CX109" s="29">
        <f t="shared" si="113"/>
        <v>490.14800000000014</v>
      </c>
      <c r="CY109" s="29">
        <f t="shared" si="113"/>
        <v>401.26600000000002</v>
      </c>
      <c r="CZ109" s="29">
        <f t="shared" si="113"/>
        <v>442.23000000000008</v>
      </c>
      <c r="DA109" s="29">
        <f t="shared" si="113"/>
        <v>427.20499999999998</v>
      </c>
      <c r="DB109" s="29">
        <f t="shared" si="113"/>
        <v>1760.8489999999997</v>
      </c>
      <c r="DC109" s="29">
        <f t="shared" si="113"/>
        <v>448.21200000000005</v>
      </c>
      <c r="DD109" s="29">
        <f t="shared" si="113"/>
        <v>474.43099999999993</v>
      </c>
      <c r="DE109" s="29">
        <f t="shared" si="113"/>
        <v>515.36199999999997</v>
      </c>
      <c r="DF109" s="29">
        <f t="shared" si="113"/>
        <v>592.07399999999996</v>
      </c>
      <c r="DG109" s="29">
        <f t="shared" si="113"/>
        <v>2030.0789999999997</v>
      </c>
      <c r="DH109" s="29">
        <f t="shared" si="113"/>
        <v>530.40700000000027</v>
      </c>
      <c r="DI109" s="29">
        <f t="shared" si="113"/>
        <v>430.392</v>
      </c>
      <c r="DJ109" s="29">
        <f t="shared" si="113"/>
        <v>527.67099999999994</v>
      </c>
      <c r="DK109" s="29">
        <f t="shared" si="113"/>
        <v>550.05399999999997</v>
      </c>
      <c r="DL109" s="29">
        <f t="shared" si="113"/>
        <v>2038.5240000000001</v>
      </c>
      <c r="DM109" s="29">
        <f t="shared" si="113"/>
        <v>575.38300000000004</v>
      </c>
      <c r="DN109" s="29">
        <f t="shared" si="113"/>
        <v>570.51899999999989</v>
      </c>
      <c r="DO109" s="29">
        <f t="shared" si="113"/>
        <v>636.39300000000003</v>
      </c>
      <c r="DP109" s="29">
        <f t="shared" si="113"/>
        <v>544.70600000000002</v>
      </c>
      <c r="DQ109" s="29">
        <f t="shared" si="113"/>
        <v>2327.0010000000002</v>
      </c>
      <c r="DR109" s="29">
        <f t="shared" si="113"/>
        <v>475.83600000000001</v>
      </c>
      <c r="DS109" s="29">
        <f t="shared" si="113"/>
        <v>463.07600000000014</v>
      </c>
      <c r="DT109" s="29">
        <f t="shared" si="113"/>
        <v>556.96199999999999</v>
      </c>
      <c r="DU109" s="29">
        <f t="shared" si="113"/>
        <v>809.18700000000001</v>
      </c>
      <c r="DV109" s="29">
        <f t="shared" ref="DV109:ED109" si="114">SUM(DV86:DV108)</f>
        <v>2305.0610000000001</v>
      </c>
      <c r="DW109" s="29">
        <f t="shared" si="114"/>
        <v>804.58400000000006</v>
      </c>
      <c r="DX109" s="29">
        <f t="shared" si="114"/>
        <v>918.22499999999991</v>
      </c>
      <c r="DY109" s="29">
        <f t="shared" si="114"/>
        <v>1034.4064398300004</v>
      </c>
      <c r="DZ109" s="29">
        <f t="shared" si="114"/>
        <v>1106.0724175699993</v>
      </c>
      <c r="EA109" s="29">
        <f t="shared" si="114"/>
        <v>3863.2878574000001</v>
      </c>
      <c r="EB109" s="29">
        <f t="shared" si="114"/>
        <v>1088.7498764000002</v>
      </c>
      <c r="EC109" s="29">
        <f t="shared" si="114"/>
        <v>1145.9124239900002</v>
      </c>
      <c r="ED109" s="29">
        <f t="shared" si="114"/>
        <v>1220.3300000000004</v>
      </c>
      <c r="EE109" s="29">
        <f t="shared" ref="EE109:EF109" si="115">SUM(EE86:EE108)</f>
        <v>1242.3229842100011</v>
      </c>
      <c r="EF109" s="29">
        <f t="shared" si="115"/>
        <v>4697.3152846000003</v>
      </c>
      <c r="EG109" s="29">
        <f t="shared" ref="EG109" si="116">SUM(EG86:EG108)</f>
        <v>1254.9238124800002</v>
      </c>
      <c r="EH109" s="29">
        <f t="shared" ref="EH109:EI109" si="117">SUM(EH86:EH108)</f>
        <v>1363.2293062799997</v>
      </c>
      <c r="EI109" s="29">
        <f t="shared" si="117"/>
        <v>1504.1855294499999</v>
      </c>
    </row>
    <row r="110" spans="1:139" x14ac:dyDescent="0.3">
      <c r="A110" s="20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</row>
    <row r="111" spans="1:139" x14ac:dyDescent="0.3">
      <c r="A111" s="20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42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47"/>
      <c r="DH111" s="21"/>
      <c r="DI111" s="21"/>
      <c r="DJ111" s="21"/>
      <c r="DK111" s="47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</row>
    <row r="112" spans="1:139" x14ac:dyDescent="0.3">
      <c r="A112" s="3" t="s">
        <v>352</v>
      </c>
      <c r="B112" s="6" t="s">
        <v>4</v>
      </c>
      <c r="C112" s="6" t="s">
        <v>5</v>
      </c>
      <c r="D112" s="6" t="s">
        <v>6</v>
      </c>
      <c r="E112" s="6" t="s">
        <v>7</v>
      </c>
      <c r="F112" s="6">
        <v>2018</v>
      </c>
      <c r="G112" s="6" t="s">
        <v>8</v>
      </c>
      <c r="H112" s="6" t="s">
        <v>9</v>
      </c>
      <c r="I112" s="6" t="s">
        <v>10</v>
      </c>
      <c r="J112" s="6" t="s">
        <v>11</v>
      </c>
      <c r="K112" s="6">
        <v>2019</v>
      </c>
      <c r="L112" s="6" t="s">
        <v>12</v>
      </c>
      <c r="M112" s="6" t="s">
        <v>13</v>
      </c>
      <c r="N112" s="6" t="s">
        <v>14</v>
      </c>
      <c r="O112" s="6" t="s">
        <v>15</v>
      </c>
      <c r="P112" s="6">
        <v>2000</v>
      </c>
      <c r="Q112" s="6" t="s">
        <v>16</v>
      </c>
      <c r="R112" s="6" t="s">
        <v>17</v>
      </c>
      <c r="S112" s="6" t="s">
        <v>18</v>
      </c>
      <c r="T112" s="6" t="s">
        <v>19</v>
      </c>
      <c r="U112" s="6">
        <v>2001</v>
      </c>
      <c r="V112" s="6" t="s">
        <v>20</v>
      </c>
      <c r="W112" s="6" t="s">
        <v>21</v>
      </c>
      <c r="X112" s="6" t="s">
        <v>22</v>
      </c>
      <c r="Y112" s="6" t="s">
        <v>23</v>
      </c>
      <c r="Z112" s="6">
        <v>2002</v>
      </c>
      <c r="AA112" s="6" t="s">
        <v>24</v>
      </c>
      <c r="AB112" s="6" t="s">
        <v>25</v>
      </c>
      <c r="AC112" s="6" t="s">
        <v>26</v>
      </c>
      <c r="AD112" s="6" t="s">
        <v>27</v>
      </c>
      <c r="AE112" s="6">
        <v>2003</v>
      </c>
      <c r="AF112" s="6" t="s">
        <v>28</v>
      </c>
      <c r="AG112" s="6" t="s">
        <v>29</v>
      </c>
      <c r="AH112" s="6" t="s">
        <v>30</v>
      </c>
      <c r="AI112" s="6" t="s">
        <v>31</v>
      </c>
      <c r="AJ112" s="6">
        <v>2004</v>
      </c>
      <c r="AK112" s="6" t="s">
        <v>32</v>
      </c>
      <c r="AL112" s="6" t="s">
        <v>33</v>
      </c>
      <c r="AM112" s="6" t="s">
        <v>34</v>
      </c>
      <c r="AN112" s="6" t="s">
        <v>35</v>
      </c>
      <c r="AO112" s="6">
        <v>2005</v>
      </c>
      <c r="AP112" s="6" t="s">
        <v>36</v>
      </c>
      <c r="AQ112" s="6" t="s">
        <v>37</v>
      </c>
      <c r="AR112" s="6" t="s">
        <v>38</v>
      </c>
      <c r="AS112" s="6" t="s">
        <v>39</v>
      </c>
      <c r="AT112" s="6">
        <v>2006</v>
      </c>
      <c r="AU112" s="6" t="s">
        <v>40</v>
      </c>
      <c r="AV112" s="6" t="s">
        <v>41</v>
      </c>
      <c r="AW112" s="6" t="s">
        <v>42</v>
      </c>
      <c r="AX112" s="6" t="s">
        <v>43</v>
      </c>
      <c r="AY112" s="6">
        <v>2007</v>
      </c>
      <c r="AZ112" s="6" t="s">
        <v>44</v>
      </c>
      <c r="BA112" s="6" t="s">
        <v>45</v>
      </c>
      <c r="BB112" s="6" t="s">
        <v>46</v>
      </c>
      <c r="BC112" s="6" t="s">
        <v>47</v>
      </c>
      <c r="BD112" s="6">
        <v>2008</v>
      </c>
      <c r="BE112" s="6" t="s">
        <v>48</v>
      </c>
      <c r="BF112" s="6" t="s">
        <v>49</v>
      </c>
      <c r="BG112" s="6" t="s">
        <v>50</v>
      </c>
      <c r="BH112" s="6" t="s">
        <v>51</v>
      </c>
      <c r="BI112" s="6">
        <v>2009</v>
      </c>
      <c r="BJ112" s="6" t="s">
        <v>52</v>
      </c>
      <c r="BK112" s="6" t="s">
        <v>53</v>
      </c>
      <c r="BL112" s="6" t="s">
        <v>54</v>
      </c>
      <c r="BM112" s="6" t="s">
        <v>55</v>
      </c>
      <c r="BN112" s="6">
        <v>2010</v>
      </c>
      <c r="BO112" s="6" t="s">
        <v>56</v>
      </c>
      <c r="BP112" s="6" t="s">
        <v>57</v>
      </c>
      <c r="BQ112" s="6" t="s">
        <v>58</v>
      </c>
      <c r="BR112" s="6" t="s">
        <v>59</v>
      </c>
      <c r="BS112" s="6">
        <v>2011</v>
      </c>
      <c r="BT112" s="6" t="s">
        <v>60</v>
      </c>
      <c r="BU112" s="6" t="s">
        <v>61</v>
      </c>
      <c r="BV112" s="6" t="s">
        <v>62</v>
      </c>
      <c r="BW112" s="6" t="s">
        <v>63</v>
      </c>
      <c r="BX112" s="6">
        <v>2012</v>
      </c>
      <c r="BY112" s="6" t="s">
        <v>64</v>
      </c>
      <c r="BZ112" s="6" t="s">
        <v>65</v>
      </c>
      <c r="CA112" s="6" t="s">
        <v>66</v>
      </c>
      <c r="CB112" s="6" t="s">
        <v>67</v>
      </c>
      <c r="CC112" s="6">
        <v>2013</v>
      </c>
      <c r="CD112" s="6" t="s">
        <v>68</v>
      </c>
      <c r="CE112" s="6" t="s">
        <v>69</v>
      </c>
      <c r="CF112" s="6" t="s">
        <v>70</v>
      </c>
      <c r="CG112" s="6" t="s">
        <v>71</v>
      </c>
      <c r="CH112" s="6">
        <v>2014</v>
      </c>
      <c r="CI112" s="6" t="s">
        <v>72</v>
      </c>
      <c r="CJ112" s="6" t="s">
        <v>73</v>
      </c>
      <c r="CK112" s="6" t="s">
        <v>74</v>
      </c>
      <c r="CL112" s="6" t="s">
        <v>75</v>
      </c>
      <c r="CM112" s="6">
        <v>2015</v>
      </c>
      <c r="CN112" s="6" t="s">
        <v>76</v>
      </c>
      <c r="CO112" s="6" t="s">
        <v>77</v>
      </c>
      <c r="CP112" s="6" t="s">
        <v>78</v>
      </c>
      <c r="CQ112" s="6" t="s">
        <v>79</v>
      </c>
      <c r="CR112" s="6">
        <v>2016</v>
      </c>
      <c r="CS112" s="6" t="s">
        <v>80</v>
      </c>
      <c r="CT112" s="6" t="s">
        <v>81</v>
      </c>
      <c r="CU112" s="6" t="s">
        <v>82</v>
      </c>
      <c r="CV112" s="6" t="s">
        <v>83</v>
      </c>
      <c r="CW112" s="6">
        <v>2017</v>
      </c>
      <c r="CX112" s="6" t="s">
        <v>84</v>
      </c>
      <c r="CY112" s="6" t="s">
        <v>85</v>
      </c>
      <c r="CZ112" s="6" t="s">
        <v>86</v>
      </c>
      <c r="DA112" s="6" t="s">
        <v>87</v>
      </c>
      <c r="DB112" s="6">
        <v>2018</v>
      </c>
      <c r="DC112" s="6" t="s">
        <v>88</v>
      </c>
      <c r="DD112" s="6" t="s">
        <v>89</v>
      </c>
      <c r="DE112" s="6" t="s">
        <v>90</v>
      </c>
      <c r="DF112" s="6" t="s">
        <v>91</v>
      </c>
      <c r="DG112" s="6">
        <v>2019</v>
      </c>
      <c r="DH112" s="6" t="s">
        <v>92</v>
      </c>
      <c r="DI112" s="6" t="s">
        <v>93</v>
      </c>
      <c r="DJ112" s="6" t="s">
        <v>94</v>
      </c>
      <c r="DK112" s="6" t="s">
        <v>95</v>
      </c>
      <c r="DL112" s="6">
        <v>2020</v>
      </c>
      <c r="DM112" s="6" t="s">
        <v>96</v>
      </c>
      <c r="DN112" s="6" t="s">
        <v>97</v>
      </c>
      <c r="DO112" s="6" t="s">
        <v>98</v>
      </c>
      <c r="DP112" s="6" t="s">
        <v>99</v>
      </c>
      <c r="DQ112" s="6">
        <v>2021</v>
      </c>
      <c r="DR112" s="6" t="s">
        <v>100</v>
      </c>
      <c r="DS112" s="6" t="s">
        <v>101</v>
      </c>
      <c r="DT112" s="6" t="s">
        <v>200</v>
      </c>
      <c r="DU112" s="6" t="s">
        <v>380</v>
      </c>
      <c r="DV112" s="6">
        <v>2022</v>
      </c>
      <c r="DW112" s="6" t="s">
        <v>379</v>
      </c>
      <c r="DX112" s="6" t="s">
        <v>402</v>
      </c>
      <c r="DY112" s="6" t="s">
        <v>414</v>
      </c>
      <c r="DZ112" s="6" t="s">
        <v>419</v>
      </c>
      <c r="EA112" s="6">
        <v>2023</v>
      </c>
      <c r="EB112" s="6" t="s">
        <v>424</v>
      </c>
      <c r="EC112" s="6" t="s">
        <v>429</v>
      </c>
      <c r="ED112" s="6" t="str">
        <f>$ED$1</f>
        <v>3T24</v>
      </c>
      <c r="EE112" s="6" t="str">
        <f>$EE$1</f>
        <v>4T24</v>
      </c>
      <c r="EF112" s="6">
        <f>$EF$1</f>
        <v>2024</v>
      </c>
      <c r="EG112" s="6" t="str">
        <f>EG$1</f>
        <v>1T25</v>
      </c>
      <c r="EH112" s="6" t="str">
        <f>EH$1</f>
        <v>2T25</v>
      </c>
      <c r="EI112" s="6" t="str">
        <f>EI$1</f>
        <v>3T25</v>
      </c>
    </row>
    <row r="113" spans="1:139" ht="15" thickBot="1" x14ac:dyDescent="0.35">
      <c r="A113" s="4" t="s">
        <v>351</v>
      </c>
      <c r="B113" s="7" t="s">
        <v>102</v>
      </c>
      <c r="C113" s="7" t="s">
        <v>103</v>
      </c>
      <c r="D113" s="7" t="s">
        <v>104</v>
      </c>
      <c r="E113" s="7" t="s">
        <v>105</v>
      </c>
      <c r="F113" s="7">
        <v>2018</v>
      </c>
      <c r="G113" s="7" t="s">
        <v>106</v>
      </c>
      <c r="H113" s="7" t="s">
        <v>107</v>
      </c>
      <c r="I113" s="7" t="s">
        <v>108</v>
      </c>
      <c r="J113" s="7" t="s">
        <v>109</v>
      </c>
      <c r="K113" s="7">
        <v>2019</v>
      </c>
      <c r="L113" s="7" t="s">
        <v>110</v>
      </c>
      <c r="M113" s="7" t="s">
        <v>111</v>
      </c>
      <c r="N113" s="7" t="s">
        <v>112</v>
      </c>
      <c r="O113" s="7" t="s">
        <v>113</v>
      </c>
      <c r="P113" s="7">
        <v>2000</v>
      </c>
      <c r="Q113" s="7" t="s">
        <v>114</v>
      </c>
      <c r="R113" s="7" t="s">
        <v>115</v>
      </c>
      <c r="S113" s="7" t="s">
        <v>116</v>
      </c>
      <c r="T113" s="7" t="s">
        <v>117</v>
      </c>
      <c r="U113" s="7">
        <v>2001</v>
      </c>
      <c r="V113" s="7" t="s">
        <v>118</v>
      </c>
      <c r="W113" s="7" t="s">
        <v>119</v>
      </c>
      <c r="X113" s="7" t="s">
        <v>120</v>
      </c>
      <c r="Y113" s="7" t="s">
        <v>121</v>
      </c>
      <c r="Z113" s="7">
        <v>2002</v>
      </c>
      <c r="AA113" s="7" t="s">
        <v>122</v>
      </c>
      <c r="AB113" s="7" t="s">
        <v>123</v>
      </c>
      <c r="AC113" s="7" t="s">
        <v>124</v>
      </c>
      <c r="AD113" s="7" t="s">
        <v>125</v>
      </c>
      <c r="AE113" s="7">
        <v>2003</v>
      </c>
      <c r="AF113" s="7" t="s">
        <v>126</v>
      </c>
      <c r="AG113" s="7" t="s">
        <v>127</v>
      </c>
      <c r="AH113" s="7" t="s">
        <v>128</v>
      </c>
      <c r="AI113" s="7" t="s">
        <v>129</v>
      </c>
      <c r="AJ113" s="7">
        <v>2004</v>
      </c>
      <c r="AK113" s="7" t="s">
        <v>130</v>
      </c>
      <c r="AL113" s="7" t="s">
        <v>131</v>
      </c>
      <c r="AM113" s="7" t="s">
        <v>132</v>
      </c>
      <c r="AN113" s="7" t="s">
        <v>133</v>
      </c>
      <c r="AO113" s="7">
        <v>2005</v>
      </c>
      <c r="AP113" s="7" t="s">
        <v>134</v>
      </c>
      <c r="AQ113" s="7" t="s">
        <v>135</v>
      </c>
      <c r="AR113" s="7" t="s">
        <v>136</v>
      </c>
      <c r="AS113" s="7" t="s">
        <v>137</v>
      </c>
      <c r="AT113" s="7">
        <v>2006</v>
      </c>
      <c r="AU113" s="7" t="s">
        <v>138</v>
      </c>
      <c r="AV113" s="7" t="s">
        <v>139</v>
      </c>
      <c r="AW113" s="7" t="s">
        <v>140</v>
      </c>
      <c r="AX113" s="7" t="s">
        <v>141</v>
      </c>
      <c r="AY113" s="7">
        <v>2007</v>
      </c>
      <c r="AZ113" s="7" t="s">
        <v>142</v>
      </c>
      <c r="BA113" s="7" t="s">
        <v>143</v>
      </c>
      <c r="BB113" s="7" t="s">
        <v>144</v>
      </c>
      <c r="BC113" s="7" t="s">
        <v>145</v>
      </c>
      <c r="BD113" s="7">
        <v>2008</v>
      </c>
      <c r="BE113" s="7" t="s">
        <v>146</v>
      </c>
      <c r="BF113" s="7" t="s">
        <v>147</v>
      </c>
      <c r="BG113" s="7" t="s">
        <v>148</v>
      </c>
      <c r="BH113" s="7" t="s">
        <v>149</v>
      </c>
      <c r="BI113" s="7">
        <v>2009</v>
      </c>
      <c r="BJ113" s="7" t="s">
        <v>150</v>
      </c>
      <c r="BK113" s="7" t="s">
        <v>151</v>
      </c>
      <c r="BL113" s="7" t="s">
        <v>152</v>
      </c>
      <c r="BM113" s="7" t="s">
        <v>153</v>
      </c>
      <c r="BN113" s="7">
        <v>2010</v>
      </c>
      <c r="BO113" s="7" t="s">
        <v>154</v>
      </c>
      <c r="BP113" s="7" t="s">
        <v>155</v>
      </c>
      <c r="BQ113" s="7" t="s">
        <v>156</v>
      </c>
      <c r="BR113" s="7" t="s">
        <v>157</v>
      </c>
      <c r="BS113" s="7">
        <v>2011</v>
      </c>
      <c r="BT113" s="7" t="s">
        <v>158</v>
      </c>
      <c r="BU113" s="7" t="s">
        <v>159</v>
      </c>
      <c r="BV113" s="7" t="s">
        <v>160</v>
      </c>
      <c r="BW113" s="7" t="s">
        <v>161</v>
      </c>
      <c r="BX113" s="7">
        <v>2012</v>
      </c>
      <c r="BY113" s="7" t="s">
        <v>162</v>
      </c>
      <c r="BZ113" s="7" t="s">
        <v>163</v>
      </c>
      <c r="CA113" s="7" t="s">
        <v>164</v>
      </c>
      <c r="CB113" s="7" t="s">
        <v>165</v>
      </c>
      <c r="CC113" s="7">
        <v>2013</v>
      </c>
      <c r="CD113" s="7" t="s">
        <v>166</v>
      </c>
      <c r="CE113" s="7" t="s">
        <v>167</v>
      </c>
      <c r="CF113" s="7" t="s">
        <v>168</v>
      </c>
      <c r="CG113" s="7" t="s">
        <v>169</v>
      </c>
      <c r="CH113" s="7">
        <v>2014</v>
      </c>
      <c r="CI113" s="7" t="s">
        <v>170</v>
      </c>
      <c r="CJ113" s="7" t="s">
        <v>171</v>
      </c>
      <c r="CK113" s="7" t="s">
        <v>172</v>
      </c>
      <c r="CL113" s="7" t="s">
        <v>173</v>
      </c>
      <c r="CM113" s="7">
        <v>2015</v>
      </c>
      <c r="CN113" s="7" t="s">
        <v>174</v>
      </c>
      <c r="CO113" s="7" t="s">
        <v>175</v>
      </c>
      <c r="CP113" s="7" t="s">
        <v>176</v>
      </c>
      <c r="CQ113" s="7" t="s">
        <v>177</v>
      </c>
      <c r="CR113" s="7">
        <v>2016</v>
      </c>
      <c r="CS113" s="7" t="s">
        <v>178</v>
      </c>
      <c r="CT113" s="7" t="s">
        <v>179</v>
      </c>
      <c r="CU113" s="7" t="s">
        <v>180</v>
      </c>
      <c r="CV113" s="7" t="s">
        <v>181</v>
      </c>
      <c r="CW113" s="7">
        <v>2017</v>
      </c>
      <c r="CX113" s="7" t="s">
        <v>182</v>
      </c>
      <c r="CY113" s="7" t="s">
        <v>183</v>
      </c>
      <c r="CZ113" s="7" t="s">
        <v>184</v>
      </c>
      <c r="DA113" s="7" t="s">
        <v>185</v>
      </c>
      <c r="DB113" s="7">
        <v>2018</v>
      </c>
      <c r="DC113" s="7" t="s">
        <v>186</v>
      </c>
      <c r="DD113" s="7" t="s">
        <v>187</v>
      </c>
      <c r="DE113" s="7" t="s">
        <v>188</v>
      </c>
      <c r="DF113" s="7" t="s">
        <v>189</v>
      </c>
      <c r="DG113" s="7">
        <v>2019</v>
      </c>
      <c r="DH113" s="7" t="s">
        <v>190</v>
      </c>
      <c r="DI113" s="7" t="s">
        <v>191</v>
      </c>
      <c r="DJ113" s="7" t="s">
        <v>192</v>
      </c>
      <c r="DK113" s="7" t="s">
        <v>193</v>
      </c>
      <c r="DL113" s="7">
        <v>2020</v>
      </c>
      <c r="DM113" s="7" t="s">
        <v>194</v>
      </c>
      <c r="DN113" s="7" t="s">
        <v>195</v>
      </c>
      <c r="DO113" s="7" t="s">
        <v>196</v>
      </c>
      <c r="DP113" s="7" t="s">
        <v>197</v>
      </c>
      <c r="DQ113" s="7">
        <v>2021</v>
      </c>
      <c r="DR113" s="7" t="s">
        <v>198</v>
      </c>
      <c r="DS113" s="7" t="s">
        <v>199</v>
      </c>
      <c r="DT113" s="7" t="s">
        <v>201</v>
      </c>
      <c r="DU113" s="7" t="s">
        <v>381</v>
      </c>
      <c r="DV113" s="7">
        <v>2022</v>
      </c>
      <c r="DW113" s="7" t="s">
        <v>382</v>
      </c>
      <c r="DX113" s="7" t="s">
        <v>403</v>
      </c>
      <c r="DY113" s="7" t="s">
        <v>415</v>
      </c>
      <c r="DZ113" s="7" t="s">
        <v>420</v>
      </c>
      <c r="EA113" s="7">
        <v>2023</v>
      </c>
      <c r="EB113" s="7" t="s">
        <v>425</v>
      </c>
      <c r="EC113" s="7" t="s">
        <v>430</v>
      </c>
      <c r="ED113" s="7" t="str">
        <f>$ED$2</f>
        <v>3Q24</v>
      </c>
      <c r="EE113" s="7" t="str">
        <f>$EE$2</f>
        <v>4Q24</v>
      </c>
      <c r="EF113" s="7">
        <f>$EF$2</f>
        <v>2024</v>
      </c>
      <c r="EG113" s="7" t="str">
        <f>EG$2</f>
        <v>1Q25</v>
      </c>
      <c r="EH113" s="7" t="str">
        <f>EH$2</f>
        <v>2Q25</v>
      </c>
      <c r="EI113" s="7" t="str">
        <f>EI$2</f>
        <v>3Q25</v>
      </c>
    </row>
    <row r="114" spans="1:139" ht="15" thickTop="1" x14ac:dyDescent="0.3">
      <c r="A114" s="1" t="s">
        <v>2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52">
        <f>BJ86/Revenues!BJ147</f>
        <v>0.64312478512280691</v>
      </c>
      <c r="BK114" s="52">
        <f>BK86/Revenues!BK147</f>
        <v>0.62137775316976351</v>
      </c>
      <c r="BL114" s="52">
        <f>BL86/Revenues!BL147</f>
        <v>0.58399890309455937</v>
      </c>
      <c r="BM114" s="52">
        <f>BM86/Revenues!BM147</f>
        <v>0.52858096636904783</v>
      </c>
      <c r="BN114" s="52">
        <f>BN86/Revenues!BN147</f>
        <v>0.59438260973451329</v>
      </c>
      <c r="BO114" s="52">
        <f>BO86/Revenues!BO147</f>
        <v>0.62722882279782</v>
      </c>
      <c r="BP114" s="52">
        <f>BP86/Revenues!BP147</f>
        <v>0.71450387148254324</v>
      </c>
      <c r="BQ114" s="52">
        <f>BQ86/Revenues!BQ147</f>
        <v>0.65260803337204287</v>
      </c>
      <c r="BR114" s="52">
        <f>BR86/Revenues!BR147</f>
        <v>0.58721062388150314</v>
      </c>
      <c r="BS114" s="52">
        <f>BS86/Revenues!BS147</f>
        <v>0.64518800502114126</v>
      </c>
      <c r="BT114" s="52">
        <f>BT86/Revenues!BT147</f>
        <v>0.71945119354166664</v>
      </c>
      <c r="BU114" s="52">
        <f>BU86/Revenues!BU147</f>
        <v>0.6610414701460362</v>
      </c>
      <c r="BV114" s="52">
        <f>BV86/Revenues!BV147</f>
        <v>0.69018447868505461</v>
      </c>
      <c r="BW114" s="52">
        <f>BW86/Revenues!BW147</f>
        <v>0.63272370022362801</v>
      </c>
      <c r="BX114" s="52">
        <f>BX86/Revenues!BX147</f>
        <v>0.67754440154396334</v>
      </c>
      <c r="BY114" s="52">
        <f>BY86/Revenues!BY147</f>
        <v>0.65870913716075163</v>
      </c>
      <c r="BZ114" s="52">
        <f>BZ86/Revenues!BZ147</f>
        <v>0.68858121239130443</v>
      </c>
      <c r="CA114" s="52">
        <f>CA86/Revenues!CA147</f>
        <v>0.67611126166328606</v>
      </c>
      <c r="CB114" s="52">
        <f>CB86/Revenues!CB147</f>
        <v>0.5482220402922755</v>
      </c>
      <c r="CC114" s="52">
        <f>CC86/Revenues!CC147</f>
        <v>0.6426950516483515</v>
      </c>
      <c r="CD114" s="52">
        <f>CD86/Revenues!CD147</f>
        <v>0.70862373263157896</v>
      </c>
      <c r="CE114" s="52">
        <f>CE86/Revenues!CE147</f>
        <v>0.66519290767988926</v>
      </c>
      <c r="CF114" s="52">
        <f>CF86/Revenues!CF147</f>
        <v>0.63761090778688512</v>
      </c>
      <c r="CG114" s="52">
        <f>CG86/Revenues!CG147</f>
        <v>0.65055435805169026</v>
      </c>
      <c r="CH114" s="52">
        <f>CH86/Revenues!CH147</f>
        <v>0.66710445664651485</v>
      </c>
      <c r="CI114" s="52">
        <f>CI86/Revenues!CI147</f>
        <v>0.71314857402135234</v>
      </c>
      <c r="CJ114" s="52">
        <f>CJ86/Revenues!CJ147</f>
        <v>0.68853794800759005</v>
      </c>
      <c r="CK114" s="52">
        <f>CK86/Revenues!CK147</f>
        <v>0.7133841413400458</v>
      </c>
      <c r="CL114" s="52">
        <f>CL86/Revenues!CL147</f>
        <v>0.70291074368275175</v>
      </c>
      <c r="CM114" s="52">
        <f>CM86/Revenues!CM147</f>
        <v>0.70465642346838053</v>
      </c>
      <c r="CN114" s="52">
        <f>CN86/Revenues!CN147</f>
        <v>0.76944377134502917</v>
      </c>
      <c r="CO114" s="52">
        <f>CO86/Revenues!CO147</f>
        <v>0.73489647191780827</v>
      </c>
      <c r="CP114" s="52">
        <f>CP86/Revenues!CP147</f>
        <v>0.7239918307692309</v>
      </c>
      <c r="CQ114" s="52">
        <f>CQ86/Revenues!CQ147</f>
        <v>0.76947332335766361</v>
      </c>
      <c r="CR114" s="52">
        <f>CR86/Revenues!CR147</f>
        <v>0.75040220152413206</v>
      </c>
      <c r="CS114" s="52">
        <f>CS86/Revenues!CS147</f>
        <v>0.79124579284048924</v>
      </c>
      <c r="CT114" s="52">
        <f>CT86/Revenues!CT147</f>
        <v>0.76558089792041029</v>
      </c>
      <c r="CU114" s="52">
        <f>CU86/Revenues!CU147</f>
        <v>0.79590849961205579</v>
      </c>
      <c r="CV114" s="52">
        <f>CV86/Revenues!CV147</f>
        <v>0.73258099409611033</v>
      </c>
      <c r="CW114" s="52">
        <f>CW86/Revenues!CW147</f>
        <v>0.77314877090234757</v>
      </c>
      <c r="CX114" s="52">
        <f>CX86/Revenues!CX147</f>
        <v>0.80729610409728148</v>
      </c>
      <c r="CY114" s="52">
        <f>CY86/Revenues!CY147</f>
        <v>0.72616782076090258</v>
      </c>
      <c r="CZ114" s="52">
        <f>CZ86/Revenues!CZ147</f>
        <v>0.76071638285378762</v>
      </c>
      <c r="DA114" s="52">
        <f>DA86/Revenues!DA147</f>
        <v>0.73913183902848656</v>
      </c>
      <c r="DB114" s="52">
        <f>DB86/Revenues!DB147</f>
        <v>0.76113413467849311</v>
      </c>
      <c r="DC114" s="52">
        <f>DC86/Revenues!DC147</f>
        <v>0.78511267605633794</v>
      </c>
      <c r="DD114" s="52">
        <f>DD86/Revenues!DD147</f>
        <v>0.74845923440023832</v>
      </c>
      <c r="DE114" s="52">
        <f>DE86/Revenues!DE147</f>
        <v>0.73196866901551993</v>
      </c>
      <c r="DF114" s="52">
        <f>DF86/Revenues!DF147</f>
        <v>0.75816727667073347</v>
      </c>
      <c r="DG114" s="52">
        <f>DG86/Revenues!DG147</f>
        <v>0.75634417057747727</v>
      </c>
      <c r="DH114" s="52">
        <f>DH86/Revenues!DH147</f>
        <v>0.80191092654950435</v>
      </c>
      <c r="DI114" s="52">
        <f>DI86/Revenues!DI147</f>
        <v>0.7709754646222825</v>
      </c>
      <c r="DJ114" s="52">
        <f>DJ86/Revenues!DJ147</f>
        <v>0.75086358080459159</v>
      </c>
      <c r="DK114" s="52">
        <f>DK86/Revenues!DK147</f>
        <v>0.64108704426207452</v>
      </c>
      <c r="DL114" s="52">
        <f>DL86/Revenues!DL147</f>
        <v>0.74296511323814007</v>
      </c>
      <c r="DM114" s="52">
        <f>DM86/Revenues!DM147</f>
        <v>0.75463975544555717</v>
      </c>
      <c r="DN114" s="52">
        <f>DN86/Revenues!DN147</f>
        <v>0.75805481685397769</v>
      </c>
      <c r="DO114" s="52">
        <f>DO86/Revenues!DO147</f>
        <v>0.74346131731936371</v>
      </c>
      <c r="DP114" s="52">
        <f>DP86/Revenues!DP147</f>
        <v>0.64783478514566739</v>
      </c>
      <c r="DQ114" s="52">
        <f>DQ86/Revenues!DQ147</f>
        <v>0.7340697903425063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</row>
    <row r="115" spans="1:139" ht="15" thickBot="1" x14ac:dyDescent="0.35">
      <c r="A115" s="2" t="s">
        <v>454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53">
        <f>BJ87/Revenues!BJ148</f>
        <v>0.57375817777009208</v>
      </c>
      <c r="BK115" s="53">
        <f>BK87/Revenues!BK148</f>
        <v>0.6848484374357986</v>
      </c>
      <c r="BL115" s="53">
        <f>BL87/Revenues!BL148</f>
        <v>0.62283382659611641</v>
      </c>
      <c r="BM115" s="53">
        <f>BM87/Revenues!BM148</f>
        <v>0.64174220351562472</v>
      </c>
      <c r="BN115" s="53">
        <f>BN87/Revenues!BN148</f>
        <v>0.63391305939440989</v>
      </c>
      <c r="BO115" s="53">
        <f>BO87/Revenues!BO148</f>
        <v>0.66200832436965407</v>
      </c>
      <c r="BP115" s="53">
        <f>BP87/Revenues!BP148</f>
        <v>0.68145878391242443</v>
      </c>
      <c r="BQ115" s="53">
        <f>BQ87/Revenues!BQ148</f>
        <v>0.65923825103617295</v>
      </c>
      <c r="BR115" s="53">
        <f>BR87/Revenues!BR148</f>
        <v>0.74998346457645015</v>
      </c>
      <c r="BS115" s="53">
        <f>BS87/Revenues!BS148</f>
        <v>0.68730265238078592</v>
      </c>
      <c r="BT115" s="53">
        <f>BT87/Revenues!BT148</f>
        <v>0.62272757058823514</v>
      </c>
      <c r="BU115" s="53">
        <f>BU87/Revenues!BU148</f>
        <v>0.69615746112493404</v>
      </c>
      <c r="BV115" s="53">
        <f>BV87/Revenues!BV148</f>
        <v>0.73672684649493925</v>
      </c>
      <c r="BW115" s="53">
        <f>BW87/Revenues!BW148</f>
        <v>0.76978262761937977</v>
      </c>
      <c r="BX115" s="53">
        <f>BX87/Revenues!BX148</f>
        <v>0.70646310124284373</v>
      </c>
      <c r="BY115" s="53">
        <f>BY87/Revenues!BY148</f>
        <v>0.70025499545454539</v>
      </c>
      <c r="BZ115" s="53">
        <f>BZ87/Revenues!BZ148</f>
        <v>0.73779546757812509</v>
      </c>
      <c r="CA115" s="53">
        <f>CA87/Revenues!CA148</f>
        <v>0.71511754922737281</v>
      </c>
      <c r="CB115" s="53">
        <f>CB87/Revenues!CB148</f>
        <v>0.64265128493506496</v>
      </c>
      <c r="CC115" s="53">
        <f>CC87/Revenues!CC148</f>
        <v>0.70244526809744756</v>
      </c>
      <c r="CD115" s="53">
        <f>CD87/Revenues!CD148</f>
        <v>0.68011523567839183</v>
      </c>
      <c r="CE115" s="53">
        <f>CE87/Revenues!CE148</f>
        <v>0.71025641607916612</v>
      </c>
      <c r="CF115" s="53">
        <f>CF87/Revenues!CF148</f>
        <v>0.67259156062052494</v>
      </c>
      <c r="CG115" s="53">
        <f>CG87/Revenues!CG148</f>
        <v>0.65654406243243224</v>
      </c>
      <c r="CH115" s="53">
        <f>CH87/Revenues!CH148</f>
        <v>0.68170888814121555</v>
      </c>
      <c r="CI115" s="53">
        <f>CI87/Revenues!CI148</f>
        <v>0.6981844025287357</v>
      </c>
      <c r="CJ115" s="53">
        <f>CJ87/Revenues!CJ148</f>
        <v>0.72220081552062854</v>
      </c>
      <c r="CK115" s="53">
        <f>CK87/Revenues!CK148</f>
        <v>0.63093293871215561</v>
      </c>
      <c r="CL115" s="53">
        <f>CL87/Revenues!CL148</f>
        <v>0.5283927525777663</v>
      </c>
      <c r="CM115" s="53">
        <f>CM87/Revenues!CM148</f>
        <v>0.65018921804455765</v>
      </c>
      <c r="CN115" s="53">
        <f>CN87/Revenues!CN148</f>
        <v>0.69135101195652193</v>
      </c>
      <c r="CO115" s="53">
        <f>CO87/Revenues!CO148</f>
        <v>0.74475179287749271</v>
      </c>
      <c r="CP115" s="53">
        <f>CP87/Revenues!CP148</f>
        <v>0.69943059386712081</v>
      </c>
      <c r="CQ115" s="53">
        <f>CQ87/Revenues!CQ148</f>
        <v>0.69549657842003898</v>
      </c>
      <c r="CR115" s="53">
        <f>CR87/Revenues!CR148</f>
        <v>0.71015677966101698</v>
      </c>
      <c r="CS115" s="53">
        <f>CS87/Revenues!CS148</f>
        <v>0.72588574743004253</v>
      </c>
      <c r="CT115" s="53">
        <f>CT87/Revenues!CT148</f>
        <v>0.74778942261451564</v>
      </c>
      <c r="CU115" s="53">
        <f>CU87/Revenues!CU148</f>
        <v>0.73041607095375416</v>
      </c>
      <c r="CV115" s="53">
        <f>CV87/Revenues!CV148</f>
        <v>0.69353804310342992</v>
      </c>
      <c r="CW115" s="53">
        <f>CW87/Revenues!CW148</f>
        <v>0.7258034559366594</v>
      </c>
      <c r="CX115" s="53">
        <f>CX87/Revenues!CX148</f>
        <v>0.72465702632554685</v>
      </c>
      <c r="CY115" s="53">
        <f>CY87/Revenues!CY148</f>
        <v>0.7473051064066234</v>
      </c>
      <c r="CZ115" s="53">
        <f>CZ87/Revenues!CZ148</f>
        <v>0.77948623272497108</v>
      </c>
      <c r="DA115" s="53">
        <f>DA87/Revenues!DA148</f>
        <v>0.74441199515635026</v>
      </c>
      <c r="DB115" s="53">
        <f>DB87/Revenues!DB148</f>
        <v>0.74979330156950663</v>
      </c>
      <c r="DC115" s="53">
        <f>DC87/Revenues!DC148</f>
        <v>0.74660660130141632</v>
      </c>
      <c r="DD115" s="53">
        <f>DD87/Revenues!DD148</f>
        <v>0.77698542928700975</v>
      </c>
      <c r="DE115" s="53">
        <f>DE87/Revenues!DE148</f>
        <v>0.77582743330311865</v>
      </c>
      <c r="DF115" s="53">
        <f>DF87/Revenues!DF148</f>
        <v>0.77156498538291651</v>
      </c>
      <c r="DG115" s="53">
        <f>DG87/Revenues!DG148</f>
        <v>0.76862599126072173</v>
      </c>
      <c r="DH115" s="53">
        <f>DH87/Revenues!DH148</f>
        <v>0.73582884645596203</v>
      </c>
      <c r="DI115" s="53">
        <f>DI87/Revenues!DI148</f>
        <v>0.7886741010021614</v>
      </c>
      <c r="DJ115" s="53">
        <f>DJ87/Revenues!DJ148</f>
        <v>0.7382069197272435</v>
      </c>
      <c r="DK115" s="53">
        <f>DK87/Revenues!DK148</f>
        <v>0.70651396936928723</v>
      </c>
      <c r="DL115" s="53">
        <f>DL87/Revenues!DL148</f>
        <v>0.74464767699306711</v>
      </c>
      <c r="DM115" s="53">
        <f>DM87/Revenues!DM148</f>
        <v>0.710939156243375</v>
      </c>
      <c r="DN115" s="53">
        <f>DN87/Revenues!DN148</f>
        <v>0.76660950862285537</v>
      </c>
      <c r="DO115" s="53">
        <f>DO87/Revenues!DO148</f>
        <v>0.76161901805933951</v>
      </c>
      <c r="DP115" s="53">
        <f>DP87/Revenues!DP148</f>
        <v>0.74669326185875462</v>
      </c>
      <c r="DQ115" s="53">
        <f>DQ87/Revenues!DQ148</f>
        <v>0.74903556925274717</v>
      </c>
      <c r="DR115" s="53">
        <f>DR87/Revenues!DR148</f>
        <v>0.71049913479724736</v>
      </c>
      <c r="DS115" s="53">
        <f>DS87/Revenues!DS148</f>
        <v>0.69057680850179426</v>
      </c>
      <c r="DT115" s="53">
        <f>DT87/Revenues!DT148</f>
        <v>0.72629735628128222</v>
      </c>
      <c r="DU115" s="53">
        <f>DU87/Revenues!DU148</f>
        <v>0.83965377133147845</v>
      </c>
      <c r="DV115" s="53">
        <f>DV87/Revenues!DV148</f>
        <v>0.76430140090593468</v>
      </c>
      <c r="DW115" s="53">
        <f>DW87/Revenues!DW148</f>
        <v>0.81023298556678736</v>
      </c>
      <c r="DX115" s="53">
        <f>DX87/Revenues!DX148</f>
        <v>0.80704248268066492</v>
      </c>
      <c r="DY115" s="53">
        <f>DY87/Revenues!DY148</f>
        <v>0.83677027969722362</v>
      </c>
      <c r="DZ115" s="53">
        <f>DZ87/Revenues!DZ148</f>
        <v>0.81460396955322067</v>
      </c>
      <c r="EA115" s="53">
        <f>EA87/Revenues!EA148</f>
        <v>0.81772612763233732</v>
      </c>
      <c r="EB115" s="53">
        <f>EB87/Revenues!EB148</f>
        <v>0.80460336464184079</v>
      </c>
      <c r="EC115" s="53">
        <f>EC87/Revenues!EC148</f>
        <v>0.82289364374842111</v>
      </c>
      <c r="ED115" s="53">
        <f>ED87/Revenues!ED148</f>
        <v>0.84297305980709147</v>
      </c>
      <c r="EE115" s="53">
        <f>EE87/Revenues!EE148</f>
        <v>0.83528947391811581</v>
      </c>
      <c r="EF115" s="53">
        <f>EF87/Revenues!EF148</f>
        <v>0.82739883305574879</v>
      </c>
      <c r="EG115" s="53">
        <f>EG87/Revenues!EG148</f>
        <v>0.83407586066565398</v>
      </c>
      <c r="EH115" s="53">
        <f>EH87/Revenues!EH148</f>
        <v>0.81043293553448814</v>
      </c>
      <c r="EI115" s="53">
        <f>EI87/Revenues!EI148</f>
        <v>0.82984730812439977</v>
      </c>
    </row>
    <row r="116" spans="1:139" ht="15" thickTop="1" x14ac:dyDescent="0.3">
      <c r="A116" s="1" t="s">
        <v>442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52">
        <f>BJ88/Revenues!BJ149</f>
        <v>0.75977495061393663</v>
      </c>
      <c r="BK116" s="52">
        <f>BK88/Revenues!BK149</f>
        <v>0.74323523520744095</v>
      </c>
      <c r="BL116" s="52">
        <f>BL88/Revenues!BL149</f>
        <v>0.74354714375930842</v>
      </c>
      <c r="BM116" s="52">
        <f>BM88/Revenues!BM149</f>
        <v>0.75768308510517324</v>
      </c>
      <c r="BN116" s="52">
        <f>BN88/Revenues!BN149</f>
        <v>0.75125468571873066</v>
      </c>
      <c r="BO116" s="52">
        <f>BO88/Revenues!BO149</f>
        <v>0.74473658116992958</v>
      </c>
      <c r="BP116" s="52">
        <f>BP88/Revenues!BP149</f>
        <v>0.73587477454886319</v>
      </c>
      <c r="BQ116" s="52">
        <f>BQ88/Revenues!BQ149</f>
        <v>0.74107222395726968</v>
      </c>
      <c r="BR116" s="52">
        <f>BR88/Revenues!BR149</f>
        <v>0.77540819186194121</v>
      </c>
      <c r="BS116" s="52">
        <f>BS88/Revenues!BS149</f>
        <v>0.75006015824675387</v>
      </c>
      <c r="BT116" s="52">
        <f>BT88/Revenues!BT149</f>
        <v>0.76749293735849056</v>
      </c>
      <c r="BU116" s="52">
        <f>BU88/Revenues!BU149</f>
        <v>0.7204765078477392</v>
      </c>
      <c r="BV116" s="52">
        <f>BV88/Revenues!BV149</f>
        <v>0.75079448252865222</v>
      </c>
      <c r="BW116" s="52">
        <f>BW88/Revenues!BW149</f>
        <v>0.71119904002111556</v>
      </c>
      <c r="BX116" s="52">
        <f>BX88/Revenues!BX149</f>
        <v>0.73714720733613193</v>
      </c>
      <c r="BY116" s="52">
        <f>BY88/Revenues!BY149</f>
        <v>0.76612936368339357</v>
      </c>
      <c r="BZ116" s="52">
        <f>BZ88/Revenues!BZ149</f>
        <v>0.74892595419889496</v>
      </c>
      <c r="CA116" s="52">
        <f>CA88/Revenues!CA149</f>
        <v>0.80158309646489101</v>
      </c>
      <c r="CB116" s="52">
        <f>CB88/Revenues!CB149</f>
        <v>0.77514607291175119</v>
      </c>
      <c r="CC116" s="52">
        <f>CC88/Revenues!CC149</f>
        <v>0.77384731421723241</v>
      </c>
      <c r="CD116" s="52">
        <f>CD88/Revenues!CD149</f>
        <v>0.78693032755534609</v>
      </c>
      <c r="CE116" s="52">
        <f>CE88/Revenues!CE149</f>
        <v>0.75688449147092962</v>
      </c>
      <c r="CF116" s="52">
        <f>CF88/Revenues!CF149</f>
        <v>0.77480914040697679</v>
      </c>
      <c r="CG116" s="52">
        <f>CG88/Revenues!CG149</f>
        <v>0.78368582064631953</v>
      </c>
      <c r="CH116" s="52">
        <f>CH88/Revenues!CH149</f>
        <v>0.77638737655283752</v>
      </c>
      <c r="CI116" s="52">
        <f>CI88/Revenues!CI149</f>
        <v>0.78408129087488243</v>
      </c>
      <c r="CJ116" s="52">
        <f>CJ88/Revenues!CJ149</f>
        <v>0.75784533306410906</v>
      </c>
      <c r="CK116" s="52">
        <f>CK88/Revenues!CK149</f>
        <v>0.78902632442094567</v>
      </c>
      <c r="CL116" s="52">
        <f>CL88/Revenues!CL149</f>
        <v>0.78894360419884058</v>
      </c>
      <c r="CM116" s="52">
        <f>CM88/Revenues!CM149</f>
        <v>0.78065940040580606</v>
      </c>
      <c r="CN116" s="52">
        <f>CN88/Revenues!CN149</f>
        <v>0.78813962140933569</v>
      </c>
      <c r="CO116" s="52">
        <f>CO88/Revenues!CO149</f>
        <v>0.77068313033419023</v>
      </c>
      <c r="CP116" s="52">
        <f>CP88/Revenues!CP149</f>
        <v>0.78301442166745161</v>
      </c>
      <c r="CQ116" s="52">
        <f>CQ88/Revenues!CQ149</f>
        <v>0.84893200418088754</v>
      </c>
      <c r="CR116" s="52">
        <f>CR88/Revenues!CR149</f>
        <v>0.79944328703703704</v>
      </c>
      <c r="CS116" s="52">
        <f>CS88/Revenues!CS149</f>
        <v>0.8180572236182061</v>
      </c>
      <c r="CT116" s="52">
        <f>CT88/Revenues!CT149</f>
        <v>0.7955437825754792</v>
      </c>
      <c r="CU116" s="52">
        <f>CU88/Revenues!CU149</f>
        <v>0.83036158240489921</v>
      </c>
      <c r="CV116" s="52">
        <f>CV88/Revenues!CV149</f>
        <v>0.81962704745384352</v>
      </c>
      <c r="CW116" s="52">
        <f>CW88/Revenues!CW149</f>
        <v>0.81637007828652686</v>
      </c>
      <c r="CX116" s="52">
        <f>CX88/Revenues!CX149</f>
        <v>0.81804417424671472</v>
      </c>
      <c r="CY116" s="52">
        <f>CY88/Revenues!CY149</f>
        <v>0.79911229639123049</v>
      </c>
      <c r="CZ116" s="52">
        <f>CZ88/Revenues!CZ149</f>
        <v>0.81107297087808672</v>
      </c>
      <c r="DA116" s="52">
        <f>DA88/Revenues!DA149</f>
        <v>0.83356551935450918</v>
      </c>
      <c r="DB116" s="52">
        <f>DB88/Revenues!DB149</f>
        <v>0.81614184174390292</v>
      </c>
      <c r="DC116" s="52">
        <f>DC88/Revenues!DC149</f>
        <v>0.81265660841682374</v>
      </c>
      <c r="DD116" s="52">
        <f>DD88/Revenues!DD149</f>
        <v>0.80951573792876153</v>
      </c>
      <c r="DE116" s="52">
        <f>DE88/Revenues!DE149</f>
        <v>0.81459985181273897</v>
      </c>
      <c r="DF116" s="52">
        <f>DF88/Revenues!DF149</f>
        <v>0.82939316597462953</v>
      </c>
      <c r="DG116" s="52">
        <f>DG88/Revenues!DG149</f>
        <v>0.81703571092056904</v>
      </c>
      <c r="DH116" s="52">
        <f>DH88/Revenues!DH149</f>
        <v>0.79191840446956407</v>
      </c>
      <c r="DI116" s="52">
        <f>DI88/Revenues!DI149</f>
        <v>0.76438217279511667</v>
      </c>
      <c r="DJ116" s="52">
        <f>DJ88/Revenues!DJ149</f>
        <v>0.8013242882255267</v>
      </c>
      <c r="DK116" s="52">
        <f>DK88/Revenues!DK149</f>
        <v>0.79571530104579158</v>
      </c>
      <c r="DL116" s="52">
        <f>DL88/Revenues!DL149</f>
        <v>0.78987345769991979</v>
      </c>
      <c r="DM116" s="52">
        <f>DM88/Revenues!DM149</f>
        <v>0.77859660615135062</v>
      </c>
      <c r="DN116" s="52">
        <f>DN88/Revenues!DN149</f>
        <v>0.75894574281890248</v>
      </c>
      <c r="DO116" s="52">
        <f>DO88/Revenues!DO149</f>
        <v>0.76633661891032079</v>
      </c>
      <c r="DP116" s="52">
        <f>DP88/Revenues!DP149</f>
        <v>0.77129658407029644</v>
      </c>
      <c r="DQ116" s="52">
        <f>DQ88/Revenues!DQ149</f>
        <v>0.76895722533231692</v>
      </c>
      <c r="DR116" s="52">
        <f>DR88/Revenues!DR149</f>
        <v>0.77661016263451732</v>
      </c>
      <c r="DS116" s="52">
        <f>DS88/Revenues!DS149</f>
        <v>0.74220596995912369</v>
      </c>
      <c r="DT116" s="52">
        <f>DT88/Revenues!DT149</f>
        <v>0.78781806483416938</v>
      </c>
      <c r="DU116" s="52">
        <f>DU88/Revenues!DU149</f>
        <v>0.80401956010670228</v>
      </c>
      <c r="DV116" s="52">
        <f>DV88/Revenues!DV149</f>
        <v>0.77949646438073172</v>
      </c>
      <c r="DW116" s="52">
        <f>DW88/Revenues!DW149</f>
        <v>0.78932885280654141</v>
      </c>
      <c r="DX116" s="52">
        <f>DX88/Revenues!DX149</f>
        <v>0.78198118064207567</v>
      </c>
      <c r="DY116" s="52">
        <f>DY88/Revenues!DY149</f>
        <v>0.78625113800170654</v>
      </c>
      <c r="DZ116" s="52">
        <f>DZ88/Revenues!DZ149</f>
        <v>0.81010536440590131</v>
      </c>
      <c r="EA116" s="52">
        <f>EA88/Revenues!EA149</f>
        <v>0.79253387858141666</v>
      </c>
      <c r="EB116" s="52">
        <f>EB88/Revenues!EB149</f>
        <v>0.79669076352102186</v>
      </c>
      <c r="EC116" s="52">
        <f>EC88/Revenues!EC149</f>
        <v>0.78907121706720174</v>
      </c>
      <c r="ED116" s="52">
        <f>ED88/Revenues!ED149</f>
        <v>0.79621608178195957</v>
      </c>
      <c r="EE116" s="52">
        <f>EE88/Revenues!EE149</f>
        <v>0.7965317112404745</v>
      </c>
      <c r="EF116" s="52">
        <f>EF88/Revenues!EF149</f>
        <v>0.79469708043471976</v>
      </c>
      <c r="EG116" s="52">
        <f>EG88/Revenues!EG149</f>
        <v>0.79361071938004513</v>
      </c>
      <c r="EH116" s="52">
        <f>EH88/Revenues!EH149</f>
        <v>0.77613876945492788</v>
      </c>
      <c r="EI116" s="52">
        <f>EI88/Revenues!EI149</f>
        <v>0.8008315627723106</v>
      </c>
    </row>
    <row r="117" spans="1:139" ht="15" thickBot="1" x14ac:dyDescent="0.35">
      <c r="A117" s="2" t="s">
        <v>3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53">
        <f>BJ89/Revenues!BJ150</f>
        <v>0.63595459028085188</v>
      </c>
      <c r="BK117" s="53">
        <f>BK89/Revenues!BK150</f>
        <v>0.57075907070410548</v>
      </c>
      <c r="BL117" s="53">
        <f>BL89/Revenues!BL150</f>
        <v>0.62363191946702656</v>
      </c>
      <c r="BM117" s="53">
        <f>BM89/Revenues!BM150</f>
        <v>0.58650896013986009</v>
      </c>
      <c r="BN117" s="53">
        <f>BN89/Revenues!BN150</f>
        <v>0.60469522403433473</v>
      </c>
      <c r="BO117" s="53">
        <f>BO89/Revenues!BO150</f>
        <v>0.65324883649666443</v>
      </c>
      <c r="BP117" s="53">
        <f>BP89/Revenues!BP150</f>
        <v>0.61808023723165018</v>
      </c>
      <c r="BQ117" s="53">
        <f>BQ89/Revenues!BQ150</f>
        <v>0.67452880463665932</v>
      </c>
      <c r="BR117" s="53">
        <f>BR89/Revenues!BR150</f>
        <v>0.63717842742236452</v>
      </c>
      <c r="BS117" s="53">
        <f>BS89/Revenues!BS150</f>
        <v>0.64609880035862266</v>
      </c>
      <c r="BT117" s="53">
        <f>BT89/Revenues!BT150</f>
        <v>0.65629244346978544</v>
      </c>
      <c r="BU117" s="53">
        <f>BU89/Revenues!BU150</f>
        <v>0.63059224909505041</v>
      </c>
      <c r="BV117" s="53">
        <f>BV89/Revenues!BV150</f>
        <v>0.66021090389771253</v>
      </c>
      <c r="BW117" s="53">
        <f>BW89/Revenues!BW150</f>
        <v>0.53864274185347438</v>
      </c>
      <c r="BX117" s="53">
        <f>BX89/Revenues!BX150</f>
        <v>0.62035014757612361</v>
      </c>
      <c r="BY117" s="53">
        <f>BY89/Revenues!BY150</f>
        <v>0.70005746606822261</v>
      </c>
      <c r="BZ117" s="53">
        <f>BZ89/Revenues!BZ150</f>
        <v>0.63552310761904762</v>
      </c>
      <c r="CA117" s="53">
        <f>CA89/Revenues!CA150</f>
        <v>0.62832467248201462</v>
      </c>
      <c r="CB117" s="53">
        <f>CB89/Revenues!CB150</f>
        <v>0.61088342654109584</v>
      </c>
      <c r="CC117" s="53">
        <f>CC89/Revenues!CC150</f>
        <v>0.64342307790279019</v>
      </c>
      <c r="CD117" s="53">
        <f>CD89/Revenues!CD150</f>
        <v>0.67247936697674415</v>
      </c>
      <c r="CE117" s="53">
        <f>CE89/Revenues!CE150</f>
        <v>0.64865388061603202</v>
      </c>
      <c r="CF117" s="53">
        <f>CF89/Revenues!CF150</f>
        <v>0.66454197922077907</v>
      </c>
      <c r="CG117" s="53">
        <f>CG89/Revenues!CG150</f>
        <v>0.63603630459587979</v>
      </c>
      <c r="CH117" s="53">
        <f>CH89/Revenues!CH150</f>
        <v>0.6555399321555494</v>
      </c>
      <c r="CI117" s="53">
        <f>CI89/Revenues!CI150</f>
        <v>0.67067737427258811</v>
      </c>
      <c r="CJ117" s="53">
        <f>CJ89/Revenues!CJ150</f>
        <v>0.64846414612794601</v>
      </c>
      <c r="CK117" s="53">
        <f>CK89/Revenues!CK150</f>
        <v>0.66972259328381378</v>
      </c>
      <c r="CL117" s="53">
        <f>CL89/Revenues!CL150</f>
        <v>0.64316248365606865</v>
      </c>
      <c r="CM117" s="53">
        <f>CM89/Revenues!CM150</f>
        <v>0.65804799400663738</v>
      </c>
      <c r="CN117" s="53">
        <f>CN89/Revenues!CN150</f>
        <v>0.7144428038199182</v>
      </c>
      <c r="CO117" s="53">
        <f>CO89/Revenues!CO150</f>
        <v>0.69296395806938171</v>
      </c>
      <c r="CP117" s="53">
        <f>CP89/Revenues!CP150</f>
        <v>0.69217645505780356</v>
      </c>
      <c r="CQ117" s="53">
        <f>CQ89/Revenues!CQ150</f>
        <v>0.79327996285310765</v>
      </c>
      <c r="CR117" s="53">
        <f>CR89/Revenues!CR150</f>
        <v>0.72380185979971379</v>
      </c>
      <c r="CS117" s="53">
        <f>CS89/Revenues!CS150</f>
        <v>0.73450573152229837</v>
      </c>
      <c r="CT117" s="53">
        <f>CT89/Revenues!CT150</f>
        <v>0.71844690723605176</v>
      </c>
      <c r="CU117" s="53">
        <f>CU89/Revenues!CU150</f>
        <v>0.73263024930699638</v>
      </c>
      <c r="CV117" s="53">
        <f>CV89/Revenues!CV150</f>
        <v>0.71449093093491811</v>
      </c>
      <c r="CW117" s="53">
        <f>CW89/Revenues!CW150</f>
        <v>0.72523683280646567</v>
      </c>
      <c r="CX117" s="53">
        <f>CX89/Revenues!CX150</f>
        <v>0.7451933234734841</v>
      </c>
      <c r="CY117" s="53">
        <f>CY89/Revenues!CY150</f>
        <v>0.71321602932123063</v>
      </c>
      <c r="CZ117" s="53">
        <f>CZ89/Revenues!CZ150</f>
        <v>0.7363614579727894</v>
      </c>
      <c r="DA117" s="53">
        <f>DA89/Revenues!DA150</f>
        <v>0.73039553607429475</v>
      </c>
      <c r="DB117" s="53">
        <f>DB89/Revenues!DB150</f>
        <v>0.73184721592807367</v>
      </c>
      <c r="DC117" s="53">
        <f>DC89/Revenues!DC150</f>
        <v>0.76251795175052206</v>
      </c>
      <c r="DD117" s="53">
        <f>DD89/Revenues!DD150</f>
        <v>0.74281977572320201</v>
      </c>
      <c r="DE117" s="53">
        <f>DE89/Revenues!DE150</f>
        <v>0.73844234626485961</v>
      </c>
      <c r="DF117" s="53">
        <f>DF89/Revenues!DF150</f>
        <v>0.75159471630836194</v>
      </c>
      <c r="DG117" s="53">
        <f>DG89/Revenues!DG150</f>
        <v>0.74901136398257306</v>
      </c>
      <c r="DH117" s="53">
        <f>DH89/Revenues!DH150</f>
        <v>0.77430796428491511</v>
      </c>
      <c r="DI117" s="53">
        <f>DI89/Revenues!DI150</f>
        <v>0.69577658760520278</v>
      </c>
      <c r="DJ117" s="53">
        <f>DJ89/Revenues!DJ150</f>
        <v>0.72041361956436256</v>
      </c>
      <c r="DK117" s="53">
        <f>DK89/Revenues!DK150</f>
        <v>0.67159317475773184</v>
      </c>
      <c r="DL117" s="53">
        <f>DL89/Revenues!DL150</f>
        <v>0.71724646542323534</v>
      </c>
      <c r="DM117" s="53">
        <f>DM89/Revenues!DM150</f>
        <v>0.70835560941416864</v>
      </c>
      <c r="DN117" s="53">
        <f>DN89/Revenues!DN150</f>
        <v>0.7115992714839604</v>
      </c>
      <c r="DO117" s="53">
        <f>DO89/Revenues!DO150</f>
        <v>0.73416988010198714</v>
      </c>
      <c r="DP117" s="53">
        <f>DP89/Revenues!DP150</f>
        <v>0.67409722662943461</v>
      </c>
      <c r="DQ117" s="53">
        <f>DQ89/Revenues!DQ150</f>
        <v>0.71010825970266278</v>
      </c>
      <c r="DR117" s="53">
        <v>0</v>
      </c>
      <c r="DS117" s="53">
        <v>0</v>
      </c>
      <c r="DT117" s="53">
        <v>0</v>
      </c>
      <c r="DU117" s="53">
        <v>0</v>
      </c>
      <c r="DV117" s="53">
        <v>0</v>
      </c>
      <c r="DW117" s="53">
        <v>0</v>
      </c>
      <c r="DX117" s="53">
        <v>0</v>
      </c>
      <c r="DY117" s="53">
        <v>0</v>
      </c>
      <c r="DZ117" s="53">
        <v>0</v>
      </c>
      <c r="EA117" s="53">
        <v>0</v>
      </c>
      <c r="EB117" s="53">
        <v>0</v>
      </c>
      <c r="EC117" s="53">
        <v>0</v>
      </c>
      <c r="ED117" s="53">
        <v>0</v>
      </c>
      <c r="EE117" s="53">
        <v>0</v>
      </c>
      <c r="EF117" s="53">
        <v>0</v>
      </c>
      <c r="EG117" s="53">
        <v>0</v>
      </c>
      <c r="EH117" s="53">
        <v>0</v>
      </c>
      <c r="EI117" s="53">
        <v>0</v>
      </c>
    </row>
    <row r="118" spans="1:139" ht="15" thickTop="1" x14ac:dyDescent="0.3">
      <c r="A118" s="1" t="s">
        <v>443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52">
        <f>BJ90/Revenues!BJ151</f>
        <v>0.5429520655354011</v>
      </c>
      <c r="BK118" s="52">
        <f>BK90/Revenues!BK151</f>
        <v>0.60718393103511359</v>
      </c>
      <c r="BL118" s="52">
        <f>BL90/Revenues!BL151</f>
        <v>0.62537913643031795</v>
      </c>
      <c r="BM118" s="52">
        <f>BM90/Revenues!BM151</f>
        <v>0.61071279724137928</v>
      </c>
      <c r="BN118" s="52">
        <f>BN90/Revenues!BN151</f>
        <v>0.59832919838331278</v>
      </c>
      <c r="BO118" s="52">
        <f>BO90/Revenues!BO151</f>
        <v>0.65319955519086481</v>
      </c>
      <c r="BP118" s="52">
        <f>BP90/Revenues!BP151</f>
        <v>0.63780197465165511</v>
      </c>
      <c r="BQ118" s="52">
        <f>BQ90/Revenues!BQ151</f>
        <v>0.66254451084407162</v>
      </c>
      <c r="BR118" s="52">
        <f>BR90/Revenues!BR151</f>
        <v>0.64151684242444362</v>
      </c>
      <c r="BS118" s="52">
        <f>BS90/Revenues!BS151</f>
        <v>0.64882127305867787</v>
      </c>
      <c r="BT118" s="52">
        <f>BT90/Revenues!BT151</f>
        <v>0.64552077591836732</v>
      </c>
      <c r="BU118" s="52">
        <f>BU90/Revenues!BU151</f>
        <v>0.6405584896612464</v>
      </c>
      <c r="BV118" s="52">
        <f>BV90/Revenues!BV151</f>
        <v>0.73736351372938291</v>
      </c>
      <c r="BW118" s="52">
        <f>BW90/Revenues!BW151</f>
        <v>0.90528811642782514</v>
      </c>
      <c r="BX118" s="52">
        <f>BX90/Revenues!BX151</f>
        <v>0.72534367605556682</v>
      </c>
      <c r="BY118" s="52">
        <f>BY90/Revenues!BY151</f>
        <v>0.68166054407766996</v>
      </c>
      <c r="BZ118" s="52">
        <f>BZ90/Revenues!BZ151</f>
        <v>0.68697143451676534</v>
      </c>
      <c r="CA118" s="52">
        <f>CA90/Revenues!CA151</f>
        <v>0.72466044392857132</v>
      </c>
      <c r="CB118" s="52">
        <f>CB90/Revenues!CB151</f>
        <v>0.66965431537133002</v>
      </c>
      <c r="CC118" s="52">
        <f>CC90/Revenues!CC151</f>
        <v>0.69083266760758921</v>
      </c>
      <c r="CD118" s="52">
        <f>CD90/Revenues!CD151</f>
        <v>0.67540755390070906</v>
      </c>
      <c r="CE118" s="52">
        <f>CE90/Revenues!CE151</f>
        <v>0.48281474883268372</v>
      </c>
      <c r="CF118" s="52">
        <f>CF90/Revenues!CF151</f>
        <v>0.64286959152542356</v>
      </c>
      <c r="CG118" s="52">
        <f>CG90/Revenues!CG151</f>
        <v>0.58004113281004721</v>
      </c>
      <c r="CH118" s="52">
        <f>CH90/Revenues!CH151</f>
        <v>0.59628835478685616</v>
      </c>
      <c r="CI118" s="52">
        <f>CI90/Revenues!CI151</f>
        <v>0.63300804991789816</v>
      </c>
      <c r="CJ118" s="52">
        <f>CJ90/Revenues!CJ151</f>
        <v>0.58315943552859617</v>
      </c>
      <c r="CK118" s="52">
        <f>CK90/Revenues!CK151</f>
        <v>0.6119824928707841</v>
      </c>
      <c r="CL118" s="52">
        <f>CL90/Revenues!CL151</f>
        <v>0.6216963708194353</v>
      </c>
      <c r="CM118" s="52">
        <f>CM90/Revenues!CM151</f>
        <v>0.61295719534753301</v>
      </c>
      <c r="CN118" s="52">
        <f>CN90/Revenues!CN151</f>
        <v>0.6476699416252073</v>
      </c>
      <c r="CO118" s="52">
        <f>CO90/Revenues!CO151</f>
        <v>0.63425129197860974</v>
      </c>
      <c r="CP118" s="52">
        <f>CP90/Revenues!CP151</f>
        <v>0.6672849917197452</v>
      </c>
      <c r="CQ118" s="52">
        <f>CQ90/Revenues!CQ151</f>
        <v>0.73565261851289843</v>
      </c>
      <c r="CR118" s="52">
        <f>CR90/Revenues!CR151</f>
        <v>0.67328029375764997</v>
      </c>
      <c r="CS118" s="52">
        <f>CS90/Revenues!CS151</f>
        <v>0.670697171750265</v>
      </c>
      <c r="CT118" s="52">
        <f>CT90/Revenues!CT151</f>
        <v>0.6611805250618612</v>
      </c>
      <c r="CU118" s="52">
        <f>CU90/Revenues!CU151</f>
        <v>0.71128174092716201</v>
      </c>
      <c r="CV118" s="52">
        <f>CV90/Revenues!CV151</f>
        <v>0.68219335301559925</v>
      </c>
      <c r="CW118" s="52">
        <f>CW90/Revenues!CW151</f>
        <v>0.68178030691857905</v>
      </c>
      <c r="CX118" s="52">
        <f>CX90/Revenues!CX151</f>
        <v>0.70510632806114404</v>
      </c>
      <c r="CY118" s="52">
        <f>CY90/Revenues!CY151</f>
        <v>0.67841521394611726</v>
      </c>
      <c r="CZ118" s="52">
        <f>CZ90/Revenues!CZ151</f>
        <v>0.71421902460456954</v>
      </c>
      <c r="DA118" s="52">
        <f>DA90/Revenues!DA151</f>
        <v>0.72032158964638204</v>
      </c>
      <c r="DB118" s="52">
        <f>DB90/Revenues!DB151</f>
        <v>0.70561446534639427</v>
      </c>
      <c r="DC118" s="52">
        <f>DC90/Revenues!DC151</f>
        <v>0.72335657370517936</v>
      </c>
      <c r="DD118" s="52">
        <f>DD90/Revenues!DD151</f>
        <v>0.71462779946294597</v>
      </c>
      <c r="DE118" s="52">
        <f>DE90/Revenues!DE151</f>
        <v>0.70451436388508903</v>
      </c>
      <c r="DF118" s="52">
        <f>DF90/Revenues!DF151</f>
        <v>0.70628208442589657</v>
      </c>
      <c r="DG118" s="52">
        <f>DG90/Revenues!DG151</f>
        <v>0.71205665892423731</v>
      </c>
      <c r="DH118" s="52">
        <f>DH90/Revenues!DH151</f>
        <v>0.67078765367077375</v>
      </c>
      <c r="DI118" s="52">
        <f>DI90/Revenues!DI151</f>
        <v>0.52817214829320402</v>
      </c>
      <c r="DJ118" s="52">
        <f>DJ90/Revenues!DJ151</f>
        <v>0.67352507374631276</v>
      </c>
      <c r="DK118" s="52">
        <f>DK90/Revenues!DK151</f>
        <v>0.70420895025786057</v>
      </c>
      <c r="DL118" s="52">
        <f>DL90/Revenues!DL151</f>
        <v>0.65705693603820059</v>
      </c>
      <c r="DM118" s="52">
        <f>DM90/Revenues!DM151</f>
        <v>0.6616962968168083</v>
      </c>
      <c r="DN118" s="52">
        <f>DN90/Revenues!DN151</f>
        <v>0.59283939966383559</v>
      </c>
      <c r="DO118" s="52">
        <f>DO90/Revenues!DO151</f>
        <v>0.67192570349203262</v>
      </c>
      <c r="DP118" s="52">
        <f>DP90/Revenues!DP151</f>
        <v>0.6911538066372136</v>
      </c>
      <c r="DQ118" s="52">
        <f>DQ90/Revenues!DQ151</f>
        <v>0.65779452893842205</v>
      </c>
      <c r="DR118" s="52">
        <f>DR90/Revenues!DR151</f>
        <v>0.65287562599279736</v>
      </c>
      <c r="DS118" s="52">
        <f>DS90/Revenues!DS151</f>
        <v>0.65320981959180613</v>
      </c>
      <c r="DT118" s="52">
        <f>DT90/Revenues!DT151</f>
        <v>0.70564772289395017</v>
      </c>
      <c r="DU118" s="52">
        <f>DU90/Revenues!DU151</f>
        <v>0.69801426373933717</v>
      </c>
      <c r="DV118" s="52">
        <f>DV90/Revenues!DV151</f>
        <v>0.67966701132351026</v>
      </c>
      <c r="DW118" s="52">
        <f>DW90/Revenues!DW151</f>
        <v>0.68112875861082156</v>
      </c>
      <c r="DX118" s="52">
        <f>DX90/Revenues!DX151</f>
        <v>0.67914747148269039</v>
      </c>
      <c r="DY118" s="52">
        <f>DY90/Revenues!DY151</f>
        <v>0.68412458330376702</v>
      </c>
      <c r="DZ118" s="52">
        <f>DZ90/Revenues!DZ151</f>
        <v>0.76203490917538363</v>
      </c>
      <c r="EA118" s="52">
        <f>EA90/Revenues!EA151</f>
        <v>0.70574531084358938</v>
      </c>
      <c r="EB118" s="52">
        <f>EB90/Revenues!EB151</f>
        <v>0.70900014526905319</v>
      </c>
      <c r="EC118" s="52">
        <f>EC90/Revenues!EC151</f>
        <v>0.72791565765820887</v>
      </c>
      <c r="ED118" s="52">
        <f>ED90/Revenues!ED151</f>
        <v>0.72966764126737871</v>
      </c>
      <c r="EE118" s="52">
        <f>EE90/Revenues!EE151</f>
        <v>0.73913566892376392</v>
      </c>
      <c r="EF118" s="52">
        <f>EF90/Revenues!EF151</f>
        <v>0.72704067367847747</v>
      </c>
      <c r="EG118" s="52">
        <f>EG90/Revenues!EG151</f>
        <v>0.73513597033916656</v>
      </c>
      <c r="EH118" s="52">
        <f>EH90/Revenues!EH151</f>
        <v>0.71875618204447078</v>
      </c>
      <c r="EI118" s="52">
        <f>EI90/Revenues!EI151</f>
        <v>0.7388432100625909</v>
      </c>
    </row>
    <row r="119" spans="1:139" ht="15" thickBot="1" x14ac:dyDescent="0.35">
      <c r="A119" s="2" t="s">
        <v>481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>
        <v>0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f>CE91/Revenues!CE152</f>
        <v>-0.18063501210077726</v>
      </c>
      <c r="CF119" s="53">
        <f>CF91/Revenues!CF152</f>
        <v>0.41274538072289157</v>
      </c>
      <c r="CG119" s="53">
        <f>CG91/Revenues!CG152</f>
        <v>0.45365653574766357</v>
      </c>
      <c r="CH119" s="53">
        <f>CH91/Revenues!CH152</f>
        <v>0.16113298063030163</v>
      </c>
      <c r="CI119" s="53">
        <f>CI91/Revenues!CI152</f>
        <v>0.4089960193704601</v>
      </c>
      <c r="CJ119" s="53">
        <f>CJ91/Revenues!CJ152</f>
        <v>0.33630140404040398</v>
      </c>
      <c r="CK119" s="53">
        <f>CK91/Revenues!CK152</f>
        <v>0.44585612540522962</v>
      </c>
      <c r="CL119" s="53">
        <f>CL91/Revenues!CL152</f>
        <v>0.47598610108385059</v>
      </c>
      <c r="CM119" s="53">
        <f>CM91/Revenues!CM152</f>
        <v>0.42049358741824128</v>
      </c>
      <c r="CN119" s="53">
        <f>CN91/Revenues!CN152</f>
        <v>0.43465301442307697</v>
      </c>
      <c r="CO119" s="53">
        <f>CO91/Revenues!CO152</f>
        <v>0.40301932828282822</v>
      </c>
      <c r="CP119" s="53">
        <f>CP91/Revenues!CP152</f>
        <v>0.44314536890951289</v>
      </c>
      <c r="CQ119" s="53">
        <f>CQ91/Revenues!CQ152</f>
        <v>0.44608994930875573</v>
      </c>
      <c r="CR119" s="53">
        <f>CR91/Revenues!CR152</f>
        <v>0.43232558139534899</v>
      </c>
      <c r="CS119" s="53">
        <f>CS91/Revenues!CS152</f>
        <v>0.44924992052212448</v>
      </c>
      <c r="CT119" s="53">
        <f>CT91/Revenues!CT152</f>
        <v>0.45692968426409464</v>
      </c>
      <c r="CU119" s="53">
        <f>CU91/Revenues!CU152</f>
        <v>0.49787785130776097</v>
      </c>
      <c r="CV119" s="53">
        <f>CV91/Revenues!CV152</f>
        <v>0.54436375583999375</v>
      </c>
      <c r="CW119" s="53">
        <f>CW91/Revenues!CW152</f>
        <v>0.48914229766542894</v>
      </c>
      <c r="CX119" s="53">
        <f>CX91/Revenues!CX152</f>
        <v>0.52501167820947658</v>
      </c>
      <c r="CY119" s="53">
        <f>CY91/Revenues!CY152</f>
        <v>0.44722000228336561</v>
      </c>
      <c r="CZ119" s="53">
        <f>CZ91/Revenues!CZ152</f>
        <v>0.52671382269604738</v>
      </c>
      <c r="DA119" s="53">
        <f>DA91/Revenues!DA152</f>
        <v>0.47959877242487281</v>
      </c>
      <c r="DB119" s="53">
        <f>DB91/Revenues!DB152</f>
        <v>0.49601342845153173</v>
      </c>
      <c r="DC119" s="53">
        <f>DC91/Revenues!DC152</f>
        <v>0.52418951579298279</v>
      </c>
      <c r="DD119" s="53">
        <f>DD91/Revenues!DD152</f>
        <v>0.47254897550662384</v>
      </c>
      <c r="DE119" s="53">
        <f>DE91/Revenues!DE152</f>
        <v>0.44960299955888855</v>
      </c>
      <c r="DF119" s="53">
        <f>DF91/Revenues!DF152</f>
        <v>0.37906810035842303</v>
      </c>
      <c r="DG119" s="53">
        <f>DG91/Revenues!DG152</f>
        <v>0.4587774914137171</v>
      </c>
      <c r="DH119" s="53">
        <f>DH91/Revenues!DH152</f>
        <v>0.46278207334512944</v>
      </c>
      <c r="DI119" s="53">
        <f>DI91/Revenues!DI152</f>
        <v>0.43164633969697852</v>
      </c>
      <c r="DJ119" s="53">
        <f>DJ91/Revenues!DJ152</f>
        <v>0.55893614582139173</v>
      </c>
      <c r="DK119" s="53">
        <f>DK91/Revenues!DK152</f>
        <v>0.92372810149981133</v>
      </c>
      <c r="DL119" s="53">
        <f>DL91/Revenues!DL152</f>
        <v>0.61286130888578838</v>
      </c>
      <c r="DM119" s="53">
        <f>DM91/Revenues!DM152</f>
        <v>0.530129247624754</v>
      </c>
      <c r="DN119" s="53">
        <f>DN91/Revenues!DN152</f>
        <v>0.31950357822266512</v>
      </c>
      <c r="DO119" s="53">
        <f>DO91/Revenues!DO152</f>
        <v>0.24702207862143244</v>
      </c>
      <c r="DP119" s="53">
        <f>DP91/Revenues!DP152</f>
        <v>0.3016808510638298</v>
      </c>
      <c r="DQ119" s="53">
        <f>DQ91/Revenues!DQ152</f>
        <v>0.35010552701111691</v>
      </c>
      <c r="DR119" s="53">
        <f>DR91/Revenues!DR152</f>
        <v>0.36000081158949815</v>
      </c>
      <c r="DS119" s="53">
        <f>DS91/Revenues!DS152</f>
        <v>0.37368211090214848</v>
      </c>
      <c r="DT119" s="53">
        <f>DT91/Revenues!DT152</f>
        <v>0.4469842387954564</v>
      </c>
      <c r="DU119" s="53">
        <f>DU91/Revenues!DU152</f>
        <v>0.43083553992152918</v>
      </c>
      <c r="DV119" s="53">
        <f>DV91/Revenues!DV152</f>
        <v>0.40430789114805815</v>
      </c>
      <c r="DW119" s="53">
        <f>DW91/Revenues!DW152</f>
        <v>0.26315789473684215</v>
      </c>
      <c r="DX119" s="53">
        <f>DX91/Revenues!DX152</f>
        <v>0.46352649970879434</v>
      </c>
      <c r="DY119" s="53">
        <f>DY91/Revenues!DY152</f>
        <v>0.41269053233636371</v>
      </c>
      <c r="DZ119" s="53">
        <f>DZ91/Revenues!DZ152</f>
        <v>0.51012669549756706</v>
      </c>
      <c r="EA119" s="53">
        <f>EA91/Revenues!EA152</f>
        <v>0.41137931808580364</v>
      </c>
      <c r="EB119" s="53">
        <f>EB91/Revenues!EB152</f>
        <v>0.46029466680252296</v>
      </c>
      <c r="EC119" s="53">
        <f>EC91/Revenues!EC152</f>
        <v>0.37514268303987158</v>
      </c>
      <c r="ED119" s="53">
        <f>ED91/Revenues!ED152</f>
        <v>0.47149534304527307</v>
      </c>
      <c r="EE119" s="53">
        <f>EE91/Revenues!EE152</f>
        <v>0.4608829060662008</v>
      </c>
      <c r="EF119" s="53">
        <f>EF91/Revenues!EF152</f>
        <v>0.44291040783889568</v>
      </c>
      <c r="EG119" s="53">
        <f>EG91/Revenues!EG152</f>
        <v>0.50294816639468465</v>
      </c>
      <c r="EH119" s="53">
        <f>EH91/Revenues!EH152</f>
        <v>0.44962858202740491</v>
      </c>
      <c r="EI119" s="53">
        <f>EI91/Revenues!EI152</f>
        <v>0.42124344779960954</v>
      </c>
    </row>
    <row r="120" spans="1:139" ht="15" thickTop="1" x14ac:dyDescent="0.3">
      <c r="A120" s="1" t="s">
        <v>445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0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0</v>
      </c>
      <c r="CC120" s="52">
        <v>0</v>
      </c>
      <c r="CD120" s="52">
        <v>0</v>
      </c>
      <c r="CE120" s="52">
        <v>0</v>
      </c>
      <c r="CF120" s="52">
        <v>0</v>
      </c>
      <c r="CG120" s="52">
        <v>0</v>
      </c>
      <c r="CH120" s="52">
        <v>0</v>
      </c>
      <c r="CI120" s="52">
        <v>0</v>
      </c>
      <c r="CJ120" s="52">
        <f>CJ92/Revenues!CJ153</f>
        <v>0.46287500000000004</v>
      </c>
      <c r="CK120" s="52">
        <f>CK92/Revenues!CK153</f>
        <v>0.51672009549513465</v>
      </c>
      <c r="CL120" s="52">
        <f>CL92/Revenues!CL153</f>
        <v>0.52378378667111225</v>
      </c>
      <c r="CM120" s="52">
        <f>CM92/Revenues!CM153</f>
        <v>0.51245947534283187</v>
      </c>
      <c r="CN120" s="52">
        <f>CN92/Revenues!CN153</f>
        <v>0.54110655737704916</v>
      </c>
      <c r="CO120" s="52">
        <f>CO92/Revenues!CO153</f>
        <v>0.55579999999999996</v>
      </c>
      <c r="CP120" s="52">
        <f>CP92/Revenues!CP153</f>
        <v>0.61599264705882384</v>
      </c>
      <c r="CQ120" s="52">
        <f>CQ92/Revenues!CQ153</f>
        <v>0.62627240143369145</v>
      </c>
      <c r="CR120" s="52">
        <f>CR92/Revenues!CR153</f>
        <v>0.58685167464114851</v>
      </c>
      <c r="CS120" s="52">
        <f>CS92/Revenues!CS153</f>
        <v>0.64025641598371752</v>
      </c>
      <c r="CT120" s="52">
        <f>CT92/Revenues!CT153</f>
        <v>0.6196275359270601</v>
      </c>
      <c r="CU120" s="52">
        <f>CU92/Revenues!CU153</f>
        <v>0.67685328068099493</v>
      </c>
      <c r="CV120" s="52">
        <f>CV92/Revenues!CV153</f>
        <v>0.62319266926627714</v>
      </c>
      <c r="CW120" s="52">
        <f>CW92/Revenues!CW153</f>
        <v>0.64061472230329475</v>
      </c>
      <c r="CX120" s="52">
        <f>CX92/Revenues!CX153</f>
        <v>0.67652625838118774</v>
      </c>
      <c r="CY120" s="52">
        <f>CY92/Revenues!CY153</f>
        <v>0.63427919112850628</v>
      </c>
      <c r="CZ120" s="52">
        <f>CZ92/Revenues!CZ153</f>
        <v>0.6686549932653455</v>
      </c>
      <c r="DA120" s="52">
        <f>DA92/Revenues!DA153</f>
        <v>0.66250658078102254</v>
      </c>
      <c r="DB120" s="52">
        <f>DB92/Revenues!DB153</f>
        <v>0.6606173785354017</v>
      </c>
      <c r="DC120" s="52">
        <f>DC92/Revenues!DC153</f>
        <v>0.66329030122476018</v>
      </c>
      <c r="DD120" s="52">
        <f>DD92/Revenues!DD153</f>
        <v>0.67244559203246046</v>
      </c>
      <c r="DE120" s="52">
        <f>DE92/Revenues!DE153</f>
        <v>0.66554643572674954</v>
      </c>
      <c r="DF120" s="52">
        <f>DF92/Revenues!DF153</f>
        <v>0.63378309572301439</v>
      </c>
      <c r="DG120" s="52">
        <f>DG92/Revenues!DG153</f>
        <v>0.65851586179851496</v>
      </c>
      <c r="DH120" s="52">
        <f>DH92/Revenues!DH153</f>
        <v>0.60942446043165477</v>
      </c>
      <c r="DI120" s="52">
        <f>DI92/Revenues!DI153</f>
        <v>0.49183417085427122</v>
      </c>
      <c r="DJ120" s="52">
        <f>DJ92/Revenues!DJ153</f>
        <v>0.57844285087077407</v>
      </c>
      <c r="DK120" s="52">
        <f>DK92/Revenues!DK153</f>
        <v>0.62813008130081294</v>
      </c>
      <c r="DL120" s="52">
        <f>DL92/Revenues!DL153</f>
        <v>0.58543996342369475</v>
      </c>
      <c r="DM120" s="52">
        <f>DM92/Revenues!DM153</f>
        <v>0.62015814232809541</v>
      </c>
      <c r="DN120" s="52">
        <f>DN92/Revenues!DN153</f>
        <v>0.58869349297595153</v>
      </c>
      <c r="DO120" s="52">
        <f>DO92/Revenues!DO153</f>
        <v>0.66940803812734295</v>
      </c>
      <c r="DP120" s="52">
        <f>DP92/Revenues!DP153</f>
        <v>0.6332118359498321</v>
      </c>
      <c r="DQ120" s="52">
        <f>DQ92/Revenues!DQ153</f>
        <v>0.62967829210268533</v>
      </c>
      <c r="DR120" s="52">
        <f>DR92/Revenues!DR153</f>
        <v>0.62069070439677465</v>
      </c>
      <c r="DS120" s="52">
        <f>DS92/Revenues!DS153</f>
        <v>0.63823273403967951</v>
      </c>
      <c r="DT120" s="52">
        <f>DT92/Revenues!DT153</f>
        <v>0.70391546645436787</v>
      </c>
      <c r="DU120" s="52">
        <f>DU92/Revenues!DU153</f>
        <v>0.68157116979693011</v>
      </c>
      <c r="DV120" s="52">
        <f>DV92/Revenues!DV153</f>
        <v>0.6647347064289485</v>
      </c>
      <c r="DW120" s="52">
        <f>DW92/Revenues!DW153</f>
        <v>0.67400193294178878</v>
      </c>
      <c r="DX120" s="52">
        <f>DX92/Revenues!DX153</f>
        <v>0.67425973706843623</v>
      </c>
      <c r="DY120" s="52">
        <f>DY92/Revenues!DY153</f>
        <v>0.68284685158770497</v>
      </c>
      <c r="DZ120" s="52">
        <f>DZ92/Revenues!DZ153</f>
        <v>0.68828374860691865</v>
      </c>
      <c r="EA120" s="52">
        <f>EA92/Revenues!EA153</f>
        <v>0.68011677896549849</v>
      </c>
      <c r="EB120" s="52">
        <f>EB92/Revenues!EB153</f>
        <v>0.61655443864280901</v>
      </c>
      <c r="EC120" s="52">
        <f>EC92/Revenues!EC153</f>
        <v>0.68611474571692699</v>
      </c>
      <c r="ED120" s="52">
        <f>ED92/Revenues!ED153</f>
        <v>0.6736501909733994</v>
      </c>
      <c r="EE120" s="52">
        <f>EE92/Revenues!EE153</f>
        <v>0.64626506971751263</v>
      </c>
      <c r="EF120" s="52">
        <f>EF92/Revenues!EF153</f>
        <v>0.65599012218993935</v>
      </c>
      <c r="EG120" s="52">
        <f>EG92/Revenues!EG153</f>
        <v>0.66652602491937896</v>
      </c>
      <c r="EH120" s="52">
        <f>EH92/Revenues!EH153</f>
        <v>0.62536760129783897</v>
      </c>
      <c r="EI120" s="52">
        <f>EI92/Revenues!EI153</f>
        <v>0.66460275630472154</v>
      </c>
    </row>
    <row r="121" spans="1:139" ht="15" thickBot="1" x14ac:dyDescent="0.35">
      <c r="A121" s="2" t="s">
        <v>444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  <c r="BR121" s="53">
        <v>0</v>
      </c>
      <c r="BS121" s="53">
        <v>0</v>
      </c>
      <c r="BT121" s="53">
        <v>0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0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0</v>
      </c>
      <c r="DB121" s="53">
        <v>0</v>
      </c>
      <c r="DC121" s="53">
        <v>0</v>
      </c>
      <c r="DD121" s="53">
        <f>DD93/Revenues!DD154</f>
        <v>0.51057202755315967</v>
      </c>
      <c r="DE121" s="53">
        <f>DE93/Revenues!DE154</f>
        <v>0.53756550063730346</v>
      </c>
      <c r="DF121" s="53">
        <f>DF93/Revenues!DF154</f>
        <v>0.59505822209599535</v>
      </c>
      <c r="DG121" s="53">
        <f>DG93/Revenues!DG154</f>
        <v>0.55808822362259713</v>
      </c>
      <c r="DH121" s="53">
        <f>DH93/Revenues!DH154</f>
        <v>0.54648540283172531</v>
      </c>
      <c r="DI121" s="53">
        <f>DI93/Revenues!DI154</f>
        <v>0.55782742398631446</v>
      </c>
      <c r="DJ121" s="53">
        <f>DJ93/Revenues!DJ154</f>
        <v>0.62505657487031296</v>
      </c>
      <c r="DK121" s="53">
        <f>DK93/Revenues!DK154</f>
        <v>0.5960415200562984</v>
      </c>
      <c r="DL121" s="53">
        <f>DL93/Revenues!DL154</f>
        <v>0.58381729972784291</v>
      </c>
      <c r="DM121" s="53">
        <f>DM93/Revenues!DM154</f>
        <v>0.59578134068485211</v>
      </c>
      <c r="DN121" s="53">
        <f>DN93/Revenues!DN154</f>
        <v>0.52988613958114994</v>
      </c>
      <c r="DO121" s="53">
        <f>DO93/Revenues!DO154</f>
        <v>0.67994154183412503</v>
      </c>
      <c r="DP121" s="53">
        <f>DP93/Revenues!DP154</f>
        <v>0.65479616686169717</v>
      </c>
      <c r="DQ121" s="53">
        <f>DQ93/Revenues!DQ154</f>
        <v>0.61817087643400037</v>
      </c>
      <c r="DR121" s="53">
        <f>DR93/Revenues!DR154</f>
        <v>0.58484609313338598</v>
      </c>
      <c r="DS121" s="53">
        <f>DS93/Revenues!DS154</f>
        <v>0.62972368515980082</v>
      </c>
      <c r="DT121" s="53">
        <f>DT93/Revenues!DT154</f>
        <v>0.68686095847534268</v>
      </c>
      <c r="DU121" s="53">
        <f>DU93/Revenues!DU154</f>
        <v>0.68215241477627975</v>
      </c>
      <c r="DV121" s="53">
        <f>DV93/Revenues!DV154</f>
        <v>0.6507295496900124</v>
      </c>
      <c r="DW121" s="53">
        <f>DW93/Revenues!DW154</f>
        <v>0.6858508413820571</v>
      </c>
      <c r="DX121" s="53">
        <f>DX93/Revenues!DX154</f>
        <v>0.68527614844711549</v>
      </c>
      <c r="DY121" s="53">
        <f>DY93/Revenues!DY154</f>
        <v>0.6945151163644534</v>
      </c>
      <c r="DZ121" s="53">
        <f>DZ93/Revenues!DZ154</f>
        <v>0.67304928581456225</v>
      </c>
      <c r="EA121" s="53">
        <f>EA93/Revenues!EA154</f>
        <v>0.68471924694869468</v>
      </c>
      <c r="EB121" s="53">
        <f>EB93/Revenues!EB154</f>
        <v>0.66508867449036402</v>
      </c>
      <c r="EC121" s="53">
        <f>EC93/Revenues!EC154</f>
        <v>0.67722940670114351</v>
      </c>
      <c r="ED121" s="53">
        <f>ED93/Revenues!ED154</f>
        <v>0.70133883663289331</v>
      </c>
      <c r="EE121" s="53">
        <f>EE93/Revenues!EE154</f>
        <v>0.69326810015403662</v>
      </c>
      <c r="EF121" s="53">
        <f>EF93/Revenues!EF154</f>
        <v>0.6849348354225111</v>
      </c>
      <c r="EG121" s="53">
        <f>EG93/Revenues!EG154</f>
        <v>0.67152613760055313</v>
      </c>
      <c r="EH121" s="53">
        <f>EH93/Revenues!EH154</f>
        <v>0.68646161655877769</v>
      </c>
      <c r="EI121" s="53">
        <f>EI93/Revenues!EI154</f>
        <v>0.72652311104551437</v>
      </c>
    </row>
    <row r="122" spans="1:139" ht="15" thickTop="1" x14ac:dyDescent="0.3">
      <c r="A122" s="1" t="s">
        <v>456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0</v>
      </c>
      <c r="CL122" s="52">
        <v>0</v>
      </c>
      <c r="CM122" s="52">
        <v>0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0</v>
      </c>
      <c r="CU122" s="52">
        <v>0</v>
      </c>
      <c r="CV122" s="52">
        <v>0</v>
      </c>
      <c r="CW122" s="52">
        <v>0</v>
      </c>
      <c r="CX122" s="52">
        <v>0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f>DD94/Revenues!DD155</f>
        <v>0.75483112400675134</v>
      </c>
      <c r="DE122" s="52">
        <f>DE94/Revenues!DE155</f>
        <v>0.77932861562533351</v>
      </c>
      <c r="DF122" s="52">
        <f>DF94/Revenues!DF155</f>
        <v>0.78903869784039449</v>
      </c>
      <c r="DG122" s="52">
        <f>DG94/Revenues!DG155</f>
        <v>0.70985022152011501</v>
      </c>
      <c r="DH122" s="52">
        <f>DH94/Revenues!DH155</f>
        <v>0.77294415865205379</v>
      </c>
      <c r="DI122" s="52">
        <f>DI94/Revenues!DI155</f>
        <v>0.74259488165545029</v>
      </c>
      <c r="DJ122" s="52">
        <f>DJ94/Revenues!DJ155</f>
        <v>0.79488620398988497</v>
      </c>
      <c r="DK122" s="52">
        <f>DK94/Revenues!DK155</f>
        <v>0.80345277465942533</v>
      </c>
      <c r="DL122" s="52">
        <f>DL94/Revenues!DL155</f>
        <v>0.78193949740569113</v>
      </c>
      <c r="DM122" s="52">
        <f>DM94/Revenues!DM155</f>
        <v>0.76895796041955933</v>
      </c>
      <c r="DN122" s="52">
        <f>DN94/Revenues!DN155</f>
        <v>0.77752263482482609</v>
      </c>
      <c r="DO122" s="52">
        <f>DO94/Revenues!DO155</f>
        <v>0.79668826493880507</v>
      </c>
      <c r="DP122" s="52">
        <f>DP94/Revenues!DP155</f>
        <v>0.8007889546351088</v>
      </c>
      <c r="DQ122" s="52">
        <f>DQ94/Revenues!DQ155</f>
        <v>0.78708829306656858</v>
      </c>
      <c r="DR122" s="52">
        <f>DR94/Revenues!DR155</f>
        <v>0.76421867163430535</v>
      </c>
      <c r="DS122" s="52">
        <f>DS94/Revenues!DS155</f>
        <v>0.80065008223151723</v>
      </c>
      <c r="DT122" s="52">
        <f>DT94/Revenues!DT155</f>
        <v>0.80490776192133673</v>
      </c>
      <c r="DU122" s="52">
        <f>DU94/Revenues!DU155</f>
        <v>0.84332715773334166</v>
      </c>
      <c r="DV122" s="52">
        <f>DV94/Revenues!DV155</f>
        <v>0.80437989630865336</v>
      </c>
      <c r="DW122" s="52">
        <f>DW94/Revenues!DW155</f>
        <v>0.79281077054065574</v>
      </c>
      <c r="DX122" s="52">
        <f>DX94/Revenues!DX155</f>
        <v>0.80801234224436647</v>
      </c>
      <c r="DY122" s="52">
        <f>DY94/Revenues!DY155</f>
        <v>0.80189233504515767</v>
      </c>
      <c r="DZ122" s="52">
        <f>DZ94/Revenues!DZ155</f>
        <v>0.80869782618265662</v>
      </c>
      <c r="EA122" s="52">
        <f>EA94/Revenues!EA155</f>
        <v>0.80307615476110616</v>
      </c>
      <c r="EB122" s="52">
        <f>EB94/Revenues!EB155</f>
        <v>0.79304249526965742</v>
      </c>
      <c r="EC122" s="52">
        <f>EC94/Revenues!EC155</f>
        <v>0.81027173813980513</v>
      </c>
      <c r="ED122" s="52">
        <f>ED94/Revenues!ED155</f>
        <v>0.8082008540412613</v>
      </c>
      <c r="EE122" s="52">
        <f>EE94/Revenues!EE155</f>
        <v>0.81650008696893783</v>
      </c>
      <c r="EF122" s="52">
        <f>EF94/Revenues!EF155</f>
        <v>0.80743089671788248</v>
      </c>
      <c r="EG122" s="52">
        <f>EG94/Revenues!EG155</f>
        <v>0.81498712195694911</v>
      </c>
      <c r="EH122" s="52">
        <f>EH94/Revenues!EH155</f>
        <v>0.83184348291875587</v>
      </c>
      <c r="EI122" s="52">
        <f>EI94/Revenues!EI155</f>
        <v>0.81264598041734781</v>
      </c>
    </row>
    <row r="123" spans="1:139" ht="15" thickBot="1" x14ac:dyDescent="0.35">
      <c r="A123" s="2" t="s">
        <v>446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53">
        <v>0</v>
      </c>
      <c r="BR123" s="53">
        <v>0</v>
      </c>
      <c r="BS123" s="5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>
        <v>0</v>
      </c>
      <c r="CD123" s="53">
        <v>0</v>
      </c>
      <c r="CE123" s="53">
        <v>0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0</v>
      </c>
      <c r="DB123" s="53">
        <v>0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  <c r="DK123" s="53">
        <f>DK95/Revenues!DK156</f>
        <v>-0.7271793115259465</v>
      </c>
      <c r="DL123" s="53">
        <f>DL95/Revenues!DL156</f>
        <v>-2.2777872923445743</v>
      </c>
      <c r="DM123" s="53">
        <f>DM95/Revenues!DM156</f>
        <v>0.43828236412612898</v>
      </c>
      <c r="DN123" s="53">
        <f>DN95/Revenues!DN156</f>
        <v>0.470508132644055</v>
      </c>
      <c r="DO123" s="53">
        <f>DO95/Revenues!DO156</f>
        <v>0.85966471619386242</v>
      </c>
      <c r="DP123" s="53">
        <f>DP95/Revenues!DP156</f>
        <v>0.26862108214652552</v>
      </c>
      <c r="DQ123" s="53">
        <f>DQ95/Revenues!DQ156</f>
        <v>0.52109196258139634</v>
      </c>
      <c r="DR123" s="53">
        <f>DR95/Revenues!DR156</f>
        <v>0.49085454883325813</v>
      </c>
      <c r="DS123" s="53">
        <f>DS95/Revenues!DS156</f>
        <v>0.54206957330656802</v>
      </c>
      <c r="DT123" s="53">
        <f>DT95/Revenues!DT156</f>
        <v>0.5507246376811592</v>
      </c>
      <c r="DU123" s="53">
        <f>DU95/Revenues!DU156</f>
        <v>0.54851002210197397</v>
      </c>
      <c r="DV123" s="53">
        <f>DV95/Revenues!DV156</f>
        <v>0.5339369333466174</v>
      </c>
      <c r="DW123" s="53">
        <f>DW95/Revenues!DW156</f>
        <v>0.55265256797583084</v>
      </c>
      <c r="DX123" s="53">
        <f>DX95/Revenues!DX156</f>
        <v>0.56949506622810941</v>
      </c>
      <c r="DY123" s="53">
        <f>DY95/Revenues!DY156</f>
        <v>0.58613426739448216</v>
      </c>
      <c r="DZ123" s="53">
        <f>DZ95/Revenues!DZ156</f>
        <v>0.57711595160341722</v>
      </c>
      <c r="EA123" s="53">
        <f>EA95/Revenues!EA156</f>
        <v>0.57226966825326342</v>
      </c>
      <c r="EB123" s="53">
        <f>EB95/Revenues!EB156</f>
        <v>0.56377788562489251</v>
      </c>
      <c r="EC123" s="53">
        <f>EC95/Revenues!EC156</f>
        <v>0.56590569451081729</v>
      </c>
      <c r="ED123" s="53">
        <f>ED95/Revenues!ED156</f>
        <v>0.58362642403853493</v>
      </c>
      <c r="EE123" s="53">
        <f>EE95/Revenues!EE156</f>
        <v>0.69319449031687741</v>
      </c>
      <c r="EF123" s="53">
        <f>EF95/Revenues!EF156</f>
        <v>0.60203102537959041</v>
      </c>
      <c r="EG123" s="53">
        <f>EG95/Revenues!EG156</f>
        <v>0.56246270975072932</v>
      </c>
      <c r="EH123" s="53">
        <f>EH95/Revenues!EH156</f>
        <v>0.58557536623489204</v>
      </c>
      <c r="EI123" s="53">
        <f>EI95/Revenues!EI156</f>
        <v>0.62300630326342554</v>
      </c>
    </row>
    <row r="124" spans="1:139" ht="15" thickTop="1" x14ac:dyDescent="0.3">
      <c r="A124" s="1" t="s">
        <v>447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f>DU96/Revenues!DU157</f>
        <v>0.77697324164735793</v>
      </c>
      <c r="DV124" s="52">
        <f>DV96/Revenues!DV157</f>
        <v>0.24120823678899786</v>
      </c>
      <c r="DW124" s="52">
        <f>DW96/Revenues!DW157</f>
        <v>0.73271304314869889</v>
      </c>
      <c r="DX124" s="52">
        <f>DX96/Revenues!DX157</f>
        <v>0.69025257824295627</v>
      </c>
      <c r="DY124" s="52">
        <f>DY96/Revenues!DY157</f>
        <v>0.76146113333727794</v>
      </c>
      <c r="DZ124" s="52">
        <f>DZ96/Revenues!DZ157</f>
        <v>0.73639454365257639</v>
      </c>
      <c r="EA124" s="52">
        <f>EA96/Revenues!EA157</f>
        <v>0.73093006958600071</v>
      </c>
      <c r="EB124" s="52">
        <f>EB96/Revenues!EB157</f>
        <v>0.71244770898852638</v>
      </c>
      <c r="EC124" s="52">
        <f>EC96/Revenues!EC157</f>
        <v>0.72212735828338259</v>
      </c>
      <c r="ED124" s="52">
        <f>ED96/Revenues!ED157</f>
        <v>0.73721097228206256</v>
      </c>
      <c r="EE124" s="52">
        <f>EE96/Revenues!EE157</f>
        <v>0.71374743866648815</v>
      </c>
      <c r="EF124" s="52">
        <f>EF96/Revenues!EF157</f>
        <v>0.72171283159240796</v>
      </c>
      <c r="EG124" s="52">
        <f>EG96/Revenues!EG157</f>
        <v>0.7420417205522728</v>
      </c>
      <c r="EH124" s="52">
        <f>EH96/Revenues!EH157</f>
        <v>0.71766009798126684</v>
      </c>
      <c r="EI124" s="52">
        <f>EI96/Revenues!EI157</f>
        <v>0.74161101145183694</v>
      </c>
    </row>
    <row r="125" spans="1:139" ht="15" thickBot="1" x14ac:dyDescent="0.35">
      <c r="A125" s="2" t="s">
        <v>448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0</v>
      </c>
      <c r="CV125" s="53">
        <v>0</v>
      </c>
      <c r="CW125" s="53">
        <v>0</v>
      </c>
      <c r="CX125" s="53">
        <v>0</v>
      </c>
      <c r="CY125" s="53">
        <v>0</v>
      </c>
      <c r="CZ125" s="53">
        <v>0</v>
      </c>
      <c r="DA125" s="53">
        <v>0</v>
      </c>
      <c r="DB125" s="53">
        <v>0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  <c r="DK125" s="53">
        <v>0</v>
      </c>
      <c r="DL125" s="53">
        <v>0</v>
      </c>
      <c r="DM125" s="53">
        <v>0</v>
      </c>
      <c r="DN125" s="53">
        <v>0</v>
      </c>
      <c r="DO125" s="53">
        <v>0</v>
      </c>
      <c r="DP125" s="53">
        <v>0</v>
      </c>
      <c r="DQ125" s="53">
        <v>0</v>
      </c>
      <c r="DR125" s="53">
        <v>0</v>
      </c>
      <c r="DS125" s="53">
        <v>0</v>
      </c>
      <c r="DT125" s="53">
        <f>DT97/Revenues!DT158</f>
        <v>0.54211000901713247</v>
      </c>
      <c r="DU125" s="53">
        <f>DU97/Revenues!DU158</f>
        <v>0.58294414189610699</v>
      </c>
      <c r="DV125" s="53">
        <f>DV97/Revenues!DV158</f>
        <v>0.57684716911311229</v>
      </c>
      <c r="DW125" s="53">
        <f>DW97/Revenues!DW158</f>
        <v>0.65680794813911658</v>
      </c>
      <c r="DX125" s="53">
        <f>DX97/Revenues!DX158</f>
        <v>0.69891558908323603</v>
      </c>
      <c r="DY125" s="53">
        <f>DY97/Revenues!DY158</f>
        <v>0.70397339568090056</v>
      </c>
      <c r="DZ125" s="53">
        <f>DZ97/Revenues!DZ158</f>
        <v>0.70957495827205697</v>
      </c>
      <c r="EA125" s="53">
        <f>EA97/Revenues!EA158</f>
        <v>0.69766725596622436</v>
      </c>
      <c r="EB125" s="53">
        <f>EB97/Revenues!EB158</f>
        <v>0.69086168171911821</v>
      </c>
      <c r="EC125" s="53">
        <f>EC97/Revenues!EC158</f>
        <v>0.77495196517289711</v>
      </c>
      <c r="ED125" s="53">
        <f>ED97/Revenues!ED158</f>
        <v>0.71736296174818592</v>
      </c>
      <c r="EE125" s="53">
        <f>EE97/Revenues!EE158</f>
        <v>0.74197032535205876</v>
      </c>
      <c r="EF125" s="53">
        <f>EF97/Revenues!EF158</f>
        <v>0.73155590963220829</v>
      </c>
      <c r="EG125" s="53">
        <f>EG97/Revenues!EG158</f>
        <v>0.76628684929258084</v>
      </c>
      <c r="EH125" s="53">
        <f>EH97/Revenues!EH158</f>
        <v>0.74863976470576032</v>
      </c>
      <c r="EI125" s="53">
        <f>EI97/Revenues!EI158</f>
        <v>0.76909342249211576</v>
      </c>
    </row>
    <row r="126" spans="1:139" ht="15" thickTop="1" x14ac:dyDescent="0.3">
      <c r="A126" s="1" t="s">
        <v>449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0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f>DX98/Revenues!DX159</f>
        <v>0.87120142546955781</v>
      </c>
      <c r="DY126" s="52">
        <f>DY98/Revenues!DY159</f>
        <v>0.80600757319981797</v>
      </c>
      <c r="DZ126" s="52">
        <f>DZ98/Revenues!DZ159</f>
        <v>0.75599176709459448</v>
      </c>
      <c r="EA126" s="52">
        <f>EA98/Revenues!EA159</f>
        <v>0.80155659151967551</v>
      </c>
      <c r="EB126" s="52">
        <f>EB98/Revenues!EB159</f>
        <v>0.75906897201331502</v>
      </c>
      <c r="EC126" s="52">
        <f>EC98/Revenues!EC159</f>
        <v>0.81530487450241373</v>
      </c>
      <c r="ED126" s="52">
        <f>ED98/Revenues!ED159</f>
        <v>0.84944224928097167</v>
      </c>
      <c r="EE126" s="52">
        <f>EE98/Revenues!EE159</f>
        <v>0.79649931677631602</v>
      </c>
      <c r="EF126" s="52">
        <f>EF98/Revenues!EF159</f>
        <v>0.80651474529830591</v>
      </c>
      <c r="EG126" s="52">
        <f>EG98/Revenues!EG159</f>
        <v>0.82551401922047096</v>
      </c>
      <c r="EH126" s="52">
        <f>EH98/Revenues!EH159</f>
        <v>0.82497221463044745</v>
      </c>
      <c r="EI126" s="52">
        <f>EI98/Revenues!EI159</f>
        <v>0.83897675506109715</v>
      </c>
    </row>
    <row r="127" spans="1:139" ht="15" thickBot="1" x14ac:dyDescent="0.35">
      <c r="A127" s="2" t="s">
        <v>460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>
        <f>EG99/Revenues!EG160</f>
        <v>0.99620480658551114</v>
      </c>
      <c r="EH127" s="53">
        <f>EH99/Revenues!EH160</f>
        <v>0.8708996682785245</v>
      </c>
      <c r="EI127" s="53">
        <f>EI99/Revenues!EI160</f>
        <v>0.8510833860347341</v>
      </c>
    </row>
    <row r="128" spans="1:139" ht="15" thickTop="1" x14ac:dyDescent="0.3">
      <c r="A128" s="1" t="s">
        <v>304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f>BU100/Revenues!BU161</f>
        <v>0.27731707317073173</v>
      </c>
      <c r="BV128" s="52">
        <f>BV100/Revenues!BV161</f>
        <v>0.35827857142857134</v>
      </c>
      <c r="BW128" s="52">
        <f>BW100/Revenues!BW161</f>
        <v>0.35490605427974942</v>
      </c>
      <c r="BX128" s="52">
        <f>BX100/Revenues!BX161</f>
        <v>0.34569951338199506</v>
      </c>
      <c r="BY128" s="52">
        <f>BY100/Revenues!BY161</f>
        <v>0.30114689709347986</v>
      </c>
      <c r="BZ128" s="52">
        <f>BZ100/Revenues!BZ161</f>
        <v>0.35525482093663913</v>
      </c>
      <c r="CA128" s="52">
        <f>CA100/Revenues!CA161</f>
        <v>0.24703703703703703</v>
      </c>
      <c r="CB128" s="52">
        <f>CB100/Revenues!CB161</f>
        <v>0.23943310657596376</v>
      </c>
      <c r="CC128" s="52">
        <f>CC100/Revenues!CC161</f>
        <v>0.2862586269524155</v>
      </c>
      <c r="CD128" s="52">
        <f>CD100/Revenues!CD161</f>
        <v>0.29041522491349481</v>
      </c>
      <c r="CE128" s="52">
        <f>CE100/Revenues!CE161</f>
        <v>0.26149910233393175</v>
      </c>
      <c r="CF128" s="52">
        <f>CF100/Revenues!CF161</f>
        <v>0.21782347900599833</v>
      </c>
      <c r="CG128" s="52">
        <f>CG100/Revenues!CG161</f>
        <v>0.22143250688705227</v>
      </c>
      <c r="CH128" s="52">
        <f>CH100/Revenues!CH161</f>
        <v>0.24798276623950508</v>
      </c>
      <c r="CI128" s="52">
        <f>CI100/Revenues!CI161</f>
        <v>0.1514629258517034</v>
      </c>
      <c r="CJ128" s="52">
        <f>CJ100/Revenues!CJ161</f>
        <v>-3.6809523809523813E-2</v>
      </c>
      <c r="CK128" s="52">
        <f>CK100/Revenues!CK161</f>
        <v>-0.11325697291531907</v>
      </c>
      <c r="CL128" s="52">
        <f>CL100/Revenues!CL161</f>
        <v>-0.129725026106778</v>
      </c>
      <c r="CM128" s="52">
        <f>CM100/Revenues!CM161</f>
        <v>-1.1438912907132864E-2</v>
      </c>
      <c r="CN128" s="52">
        <f>CN100/Revenues!CN161</f>
        <v>-5.1101243339253991E-2</v>
      </c>
      <c r="CO128" s="52">
        <f>CO100/Revenues!CO161</f>
        <v>-0.19313600000000003</v>
      </c>
      <c r="CP128" s="52">
        <f>CP100/Revenues!CP161</f>
        <v>-0.11321856287425147</v>
      </c>
      <c r="CQ128" s="52">
        <f>CQ100/Revenues!CQ161</f>
        <v>-0.12614825581395353</v>
      </c>
      <c r="CR128" s="52">
        <f>CR100/Revenues!CR161</f>
        <v>-0.12260220125786164</v>
      </c>
      <c r="CS128" s="52">
        <f>CS100/Revenues!CS161</f>
        <v>-6.4587551337129442E-2</v>
      </c>
      <c r="CT128" s="52">
        <f>CT100/Revenues!CT161</f>
        <v>-0.2345353405850788</v>
      </c>
      <c r="CU128" s="52">
        <f>CU100/Revenues!CU161</f>
        <v>4.6682160602660679E-2</v>
      </c>
      <c r="CV128" s="52">
        <f>CV100/Revenues!CV161</f>
        <v>-3.1006729119936693E-2</v>
      </c>
      <c r="CW128" s="52">
        <f>CW100/Revenues!CW161</f>
        <v>-6.9816403269253771E-2</v>
      </c>
      <c r="CX128" s="52">
        <f>CX100/Revenues!CX161</f>
        <v>0.27025069829994131</v>
      </c>
      <c r="CY128" s="52">
        <f>CY100/Revenues!CY161</f>
        <v>-5.8657093309805591E-2</v>
      </c>
      <c r="CZ128" s="52">
        <f>CZ100/Revenues!CZ161</f>
        <v>0.14668324397130056</v>
      </c>
      <c r="DA128" s="52">
        <f>DA100/Revenues!DA161</f>
        <v>3.4488899442004041E-2</v>
      </c>
      <c r="DB128" s="52">
        <f>DB100/Revenues!DB161</f>
        <v>9.4911565437104495E-2</v>
      </c>
      <c r="DC128" s="52">
        <f>DC100/Revenues!DC161</f>
        <v>8.9113742006728489E-2</v>
      </c>
      <c r="DD128" s="52">
        <f>DD100/Revenues!DD161</f>
        <v>0.12196904826549153</v>
      </c>
      <c r="DE128" s="52">
        <f>DE100/Revenues!DE161</f>
        <v>8.7324529959991654E-2</v>
      </c>
      <c r="DF128" s="52">
        <f>DF100/Revenues!DF161</f>
        <v>1.0758150721539286</v>
      </c>
      <c r="DG128" s="52">
        <f>DG100/Revenues!DG161</f>
        <v>0.31850180020420232</v>
      </c>
      <c r="DH128" s="52">
        <f>DH100/Revenues!DH161</f>
        <v>-6.6033639232261257E-2</v>
      </c>
      <c r="DI128" s="52">
        <f>DI100/Revenues!DI161</f>
        <v>0.14387063629914132</v>
      </c>
      <c r="DJ128" s="52">
        <f>DJ100/Revenues!DJ161</f>
        <v>0.13381726005300149</v>
      </c>
      <c r="DK128" s="52">
        <f>DK100/Revenues!DK161</f>
        <v>0.13142306102768969</v>
      </c>
      <c r="DL128" s="52">
        <f>DL100/Revenues!DL161</f>
        <v>9.4825146791803233E-2</v>
      </c>
      <c r="DM128" s="52">
        <f>DM100/Revenues!DM161</f>
        <v>0.20755112376228982</v>
      </c>
      <c r="DN128" s="52">
        <f>DN100/Revenues!DN161</f>
        <v>0.18210232233280951</v>
      </c>
      <c r="DO128" s="52">
        <f>DO100/Revenues!DO161</f>
        <v>0.19290179605067312</v>
      </c>
      <c r="DP128" s="52">
        <f>DP100/Revenues!DP161</f>
        <v>0.18601180495003014</v>
      </c>
      <c r="DQ128" s="52">
        <f>DQ100/Revenues!DQ161</f>
        <v>0.19208984166897516</v>
      </c>
      <c r="DR128" s="52">
        <f>DR100/Revenues!DR161</f>
        <v>0.17421752863478285</v>
      </c>
      <c r="DS128" s="52">
        <f>DS100/Revenues!DS161</f>
        <v>0.13865564373262662</v>
      </c>
      <c r="DT128" s="52">
        <f>DT100/Revenues!DT161</f>
        <v>0.23473415635976699</v>
      </c>
      <c r="DU128" s="52">
        <f>DU100/Revenues!DU161</f>
        <v>0.21666974947078532</v>
      </c>
      <c r="DV128" s="52">
        <f>DV100/Revenues!DV161</f>
        <v>0.1961575850924149</v>
      </c>
      <c r="DW128" s="52">
        <f>DW100/Revenues!DW161</f>
        <v>0.31676287084588944</v>
      </c>
      <c r="DX128" s="52">
        <f>DX100/Revenues!DX161</f>
        <v>0.21085940123472741</v>
      </c>
      <c r="DY128" s="52">
        <f>DY100/Revenues!DY161</f>
        <v>-8.8993580518045221E-2</v>
      </c>
      <c r="DZ128" s="52">
        <f>DZ100/Revenues!DZ161</f>
        <v>9.744578777007698E-2</v>
      </c>
      <c r="EA128" s="52">
        <f>EA100/Revenues!EA161</f>
        <v>0.15732323368242332</v>
      </c>
      <c r="EB128" s="52">
        <f>EB100/Revenues!EB161</f>
        <v>0.16604137828963134</v>
      </c>
      <c r="EC128" s="52">
        <f>EC100/Revenues!EC161</f>
        <v>0.27988801682046899</v>
      </c>
      <c r="ED128" s="52">
        <f>ED100/Revenues!ED161</f>
        <v>0.1677228452052881</v>
      </c>
      <c r="EE128" s="52">
        <f>EE100/Revenues!EE161</f>
        <v>0.12370990296582084</v>
      </c>
      <c r="EF128" s="52">
        <f>EF100/Revenues!EF161</f>
        <v>0.18447539336250859</v>
      </c>
      <c r="EG128" s="52">
        <f>EG100/Revenues!EG161</f>
        <v>0.26263989927352294</v>
      </c>
      <c r="EH128" s="52">
        <f>EH100/Revenues!EH161</f>
        <v>0.23221860947960582</v>
      </c>
      <c r="EI128" s="52">
        <f>EI100/Revenues!EI161</f>
        <v>0.22323538757786202</v>
      </c>
    </row>
    <row r="129" spans="1:139" ht="15" thickBot="1" x14ac:dyDescent="0.35">
      <c r="A129" s="2" t="s">
        <v>305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>
        <v>0</v>
      </c>
      <c r="BQ129" s="53">
        <v>0</v>
      </c>
      <c r="BR129" s="53">
        <v>0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0</v>
      </c>
      <c r="CA129" s="53">
        <v>0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0</v>
      </c>
      <c r="CH129" s="53">
        <v>0</v>
      </c>
      <c r="CI129" s="53">
        <v>0</v>
      </c>
      <c r="CJ129" s="53">
        <v>0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>
        <v>0</v>
      </c>
      <c r="DC129" s="53">
        <f>DC101/Revenues!DC162</f>
        <v>0</v>
      </c>
      <c r="DD129" s="53">
        <f>DD101/Revenues!DD162</f>
        <v>0</v>
      </c>
      <c r="DE129" s="53">
        <f>DE101/Revenues!DE162</f>
        <v>0.35168018539976781</v>
      </c>
      <c r="DF129" s="53">
        <f>DF101/Revenues!DF162</f>
        <v>5.3241465706232387E-2</v>
      </c>
      <c r="DG129" s="53">
        <f>DG101/Revenues!DG162</f>
        <v>9.5519094223757331E-2</v>
      </c>
      <c r="DH129" s="53">
        <f>DH101/Revenues!DH162</f>
        <v>0.50578956200704805</v>
      </c>
      <c r="DI129" s="53">
        <f>DI101/Revenues!DI162</f>
        <v>0.54670852359208522</v>
      </c>
      <c r="DJ129" s="53">
        <f>DJ101/Revenues!DJ162</f>
        <v>0.36454893673226779</v>
      </c>
      <c r="DK129" s="53">
        <f>DK101/Revenues!DK162</f>
        <v>-0.15754159957058506</v>
      </c>
      <c r="DL129" s="53">
        <f>DL101/Revenues!DL162</f>
        <v>0.3937626044367617</v>
      </c>
      <c r="DM129" s="53">
        <f>DM101/Revenues!DM162</f>
        <v>0.3614912694667296</v>
      </c>
      <c r="DN129" s="53">
        <f>DN101/Revenues!DN162</f>
        <v>0.56368480377087815</v>
      </c>
      <c r="DO129" s="53">
        <f>DO101/Revenues!DO162</f>
        <v>-1.9045379731953915E-2</v>
      </c>
      <c r="DP129" s="53">
        <f>DP101/Revenues!DP162</f>
        <v>-0.21598127716482785</v>
      </c>
      <c r="DQ129" s="53">
        <f>DQ101/Revenues!DQ162</f>
        <v>0.30273972602739729</v>
      </c>
      <c r="DR129" s="53">
        <f>DR101/Revenues!DR162</f>
        <v>0.41608391608391615</v>
      </c>
      <c r="DS129" s="53">
        <f>DS101/Revenues!DS162</f>
        <v>0.428220255653884</v>
      </c>
      <c r="DT129" s="53">
        <f>DT101/Revenues!DT162</f>
        <v>-0.93915630070308265</v>
      </c>
      <c r="DU129" s="53">
        <f>DU101/Revenues!DU162</f>
        <v>0.37250933997509339</v>
      </c>
      <c r="DV129" s="53">
        <f>DV101/Revenues!DV162</f>
        <v>5.8456578117333714E-2</v>
      </c>
      <c r="DW129" s="53">
        <f>DW101/Revenues!DW162</f>
        <v>0.61281751514507388</v>
      </c>
      <c r="DX129" s="53">
        <f>DX101/Revenues!DX162</f>
        <v>0.65826463035545335</v>
      </c>
      <c r="DY129" s="53">
        <f>DY101/Revenues!DY162</f>
        <v>0.63063166649541169</v>
      </c>
      <c r="DZ129" s="53">
        <f>DZ101/Revenues!DZ162</f>
        <v>0.56567259762543043</v>
      </c>
      <c r="EA129" s="53">
        <f>EA101/Revenues!EA162</f>
        <v>0.61859621161071121</v>
      </c>
      <c r="EB129" s="53">
        <f>EB101/Revenues!EB162</f>
        <v>0.60297922069149967</v>
      </c>
      <c r="EC129" s="53">
        <f>EC101/Revenues!EC162</f>
        <v>0.50545205757267142</v>
      </c>
      <c r="ED129" s="53">
        <f>ED101/Revenues!ED162</f>
        <v>0.48682610458046205</v>
      </c>
      <c r="EE129" s="53">
        <f>EE101/Revenues!EE162</f>
        <v>-8.3508233909342366E-2</v>
      </c>
      <c r="EF129" s="53">
        <f>EF101/Revenues!EF162</f>
        <v>0.44551434299894671</v>
      </c>
      <c r="EG129" s="53">
        <f>EG101/Revenues!EG162</f>
        <v>0.41689895015415052</v>
      </c>
      <c r="EH129" s="53">
        <f>EH101/Revenues!EH162</f>
        <v>0.57133751083622319</v>
      </c>
      <c r="EI129" s="53">
        <f>EI101/Revenues!EI162</f>
        <v>0.55502977762098149</v>
      </c>
    </row>
    <row r="130" spans="1:139" ht="15" thickTop="1" x14ac:dyDescent="0.3">
      <c r="A130" s="1" t="s">
        <v>306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52">
        <f>BJ102/Revenues!BJ163</f>
        <v>0.61824561403508771</v>
      </c>
      <c r="BK130" s="52">
        <f>BK102/Revenues!BK163</f>
        <v>0.60139737991266373</v>
      </c>
      <c r="BL130" s="52">
        <f>BL102/Revenues!BL163</f>
        <v>0.57457983193277318</v>
      </c>
      <c r="BM130" s="52">
        <f>BM102/Revenues!BM163</f>
        <v>0.53627192982456151</v>
      </c>
      <c r="BN130" s="52">
        <f>BN102/Revenues!BN163</f>
        <v>0.58255687973997838</v>
      </c>
      <c r="BO130" s="52">
        <f>BO102/Revenues!BO163</f>
        <v>0.57600000000000007</v>
      </c>
      <c r="BP130" s="52">
        <f>BP102/Revenues!BP163</f>
        <v>0.5124896265560166</v>
      </c>
      <c r="BQ130" s="52">
        <f>BQ102/Revenues!BQ163</f>
        <v>0.59314285714285719</v>
      </c>
      <c r="BR130" s="52">
        <f>BR102/Revenues!BR163</f>
        <v>0.49341085271317814</v>
      </c>
      <c r="BS130" s="52">
        <f>BS102/Revenues!BS163</f>
        <v>0.54538017324350341</v>
      </c>
      <c r="BT130" s="52">
        <f>BT102/Revenues!BT163</f>
        <v>0.52365591397849465</v>
      </c>
      <c r="BU130" s="52">
        <f>BU102/Revenues!BU163</f>
        <v>0.54025454545454543</v>
      </c>
      <c r="BV130" s="52">
        <f>BV102/Revenues!BV163</f>
        <v>0.45150375939849619</v>
      </c>
      <c r="BW130" s="52">
        <f>BW102/Revenues!BW163</f>
        <v>0.39204379562043812</v>
      </c>
      <c r="BX130" s="52">
        <f>BX102/Revenues!BX163</f>
        <v>0.4773217550274223</v>
      </c>
      <c r="BY130" s="52">
        <f>BY102/Revenues!BY163</f>
        <v>0.44757142857142856</v>
      </c>
      <c r="BZ130" s="52">
        <f>BZ102/Revenues!BZ163</f>
        <v>0.39199999999999996</v>
      </c>
      <c r="CA130" s="52">
        <f>CA102/Revenues!CA163</f>
        <v>0.36494661921708177</v>
      </c>
      <c r="CB130" s="52">
        <f>CB102/Revenues!CB163</f>
        <v>0.19776435045317217</v>
      </c>
      <c r="CC130" s="52">
        <f>CC102/Revenues!CC163</f>
        <v>0.34393344709897611</v>
      </c>
      <c r="CD130" s="52">
        <f>CD102/Revenues!CD163</f>
        <v>0.46523809523809523</v>
      </c>
      <c r="CE130" s="52">
        <f>CE102/Revenues!CE163</f>
        <v>0.40599593495934966</v>
      </c>
      <c r="CF130" s="52">
        <f>CF102/Revenues!CF163</f>
        <v>0.30503296703296701</v>
      </c>
      <c r="CG130" s="52">
        <f>CG102/Revenues!CG163</f>
        <v>0.1985249457700651</v>
      </c>
      <c r="CH130" s="52">
        <f>CH102/Revenues!CH163</f>
        <v>0.33926091825307958</v>
      </c>
      <c r="CI130" s="52">
        <f>CI102/Revenues!CI163</f>
        <v>0.4058474576271186</v>
      </c>
      <c r="CJ130" s="52">
        <f>CJ102/Revenues!CJ163</f>
        <v>0.33139874739039671</v>
      </c>
      <c r="CK130" s="52">
        <f>CK102/Revenues!CK163</f>
        <v>0.38288379032783176</v>
      </c>
      <c r="CL130" s="52">
        <f>CL102/Revenues!CL163</f>
        <v>0.41076517653842931</v>
      </c>
      <c r="CM130" s="52">
        <f>CM102/Revenues!CM163</f>
        <v>0.38335664117191259</v>
      </c>
      <c r="CN130" s="52">
        <f>CN102/Revenues!CN163</f>
        <v>0.45699134199134195</v>
      </c>
      <c r="CO130" s="52">
        <f>CO102/Revenues!CO163</f>
        <v>0.3892239467849225</v>
      </c>
      <c r="CP130" s="52">
        <f>CP102/Revenues!CP163</f>
        <v>0.34025316455696197</v>
      </c>
      <c r="CQ130" s="52">
        <f>CQ102/Revenues!CQ163</f>
        <v>-0.57962742766547792</v>
      </c>
      <c r="CR130" s="52">
        <f>CR102/Revenues!CR163</f>
        <v>0.24504971634234132</v>
      </c>
      <c r="CS130" s="52">
        <f>CS102/Revenues!CS163</f>
        <v>0.16695345922089308</v>
      </c>
      <c r="CT130" s="52">
        <f>CT102/Revenues!CT163</f>
        <v>0.13298702584999195</v>
      </c>
      <c r="CU130" s="52">
        <f>CU102/Revenues!CU163</f>
        <v>0.11583693127128224</v>
      </c>
      <c r="CV130" s="52">
        <f>CV102/Revenues!CV163</f>
        <v>6.7259092084538175E-2</v>
      </c>
      <c r="CW130" s="52">
        <f>CW102/Revenues!CW163</f>
        <v>0.12109123590293683</v>
      </c>
      <c r="CX130" s="52">
        <f>CX102/Revenues!CX163</f>
        <v>0.26063035074821544</v>
      </c>
      <c r="CY130" s="52">
        <f>CY102/Revenues!CY163</f>
        <v>0.20580322828593386</v>
      </c>
      <c r="CZ130" s="52">
        <f>CZ102/Revenues!CZ163</f>
        <v>0.12475993499778401</v>
      </c>
      <c r="DA130" s="52">
        <f>DA102/Revenues!DA163</f>
        <v>-0.22486535008976663</v>
      </c>
      <c r="DB130" s="52">
        <f>DB102/Revenues!DB163</f>
        <v>9.4865576201851501E-2</v>
      </c>
      <c r="DC130" s="52">
        <f>DC102/Revenues!DC163</f>
        <v>6.4532446885388062E-2</v>
      </c>
      <c r="DD130" s="52">
        <f>DD102/Revenues!DD163</f>
        <v>0.11528719272429015</v>
      </c>
      <c r="DE130" s="52">
        <f>DE102/Revenues!DE163</f>
        <v>5.7159793377932151E-2</v>
      </c>
      <c r="DF130" s="52">
        <f>DF102/Revenues!DF163</f>
        <v>7.056889448154087E-2</v>
      </c>
      <c r="DG130" s="52">
        <f>DG102/Revenues!DG163</f>
        <v>7.5972007087377585E-2</v>
      </c>
      <c r="DH130" s="52">
        <f>DH102/Revenues!DH163</f>
        <v>0.18512249891074842</v>
      </c>
      <c r="DI130" s="52">
        <f>DI102/Revenues!DI163</f>
        <v>0.22595332953898689</v>
      </c>
      <c r="DJ130" s="52">
        <f>DJ102/Revenues!DJ163</f>
        <v>0.11021942133162654</v>
      </c>
      <c r="DK130" s="52">
        <f>DK102/Revenues!DK163</f>
        <v>0.22311511014582688</v>
      </c>
      <c r="DL130" s="52">
        <f>DL102/Revenues!DL163</f>
        <v>0.18672788183093911</v>
      </c>
      <c r="DM130" s="52">
        <f>DM102/Revenues!DM163</f>
        <v>0.32093955248803302</v>
      </c>
      <c r="DN130" s="52">
        <f>DN102/Revenues!DN163</f>
        <v>0.33239066888129848</v>
      </c>
      <c r="DO130" s="52">
        <f>DO102/Revenues!DO163</f>
        <v>0.17134733585137077</v>
      </c>
      <c r="DP130" s="52">
        <f>DP102/Revenues!DP163</f>
        <v>1.0391818156891778E-2</v>
      </c>
      <c r="DQ130" s="52">
        <f>DQ102/Revenues!DQ163</f>
        <v>0.20786815874363887</v>
      </c>
      <c r="DR130" s="52">
        <f>DR102/Revenues!DR163</f>
        <v>0.11216346928905367</v>
      </c>
      <c r="DS130" s="52">
        <f>DS102/Revenues!DS163</f>
        <v>0.25178609798023205</v>
      </c>
      <c r="DT130" s="52">
        <f>DT102/Revenues!DT163</f>
        <v>0.20709242879169032</v>
      </c>
      <c r="DU130" s="52">
        <f>DU102/Revenues!DU163</f>
        <v>0.18083667747787369</v>
      </c>
      <c r="DV130" s="52">
        <f>DV102/Revenues!DV163</f>
        <v>0.18756951238555353</v>
      </c>
      <c r="DW130" s="52">
        <f>DW102/Revenues!DW163</f>
        <v>0.52198908741774597</v>
      </c>
      <c r="DX130" s="52">
        <f>DX102/Revenues!DX163</f>
        <v>0.33651234238401956</v>
      </c>
      <c r="DY130" s="52">
        <f>DY102/Revenues!DY163</f>
        <v>0.2663694824801951</v>
      </c>
      <c r="DZ130" s="52">
        <f>DZ102/Revenues!DZ163</f>
        <v>0.22261777072603223</v>
      </c>
      <c r="EA130" s="52">
        <f>EA102/Revenues!EA163</f>
        <v>0.33342180484462358</v>
      </c>
      <c r="EB130" s="52">
        <f>EB102/Revenues!EB163</f>
        <v>0.30368803738477645</v>
      </c>
      <c r="EC130" s="52">
        <f>EC102/Revenues!EC163</f>
        <v>0.31412133404989362</v>
      </c>
      <c r="ED130" s="52">
        <f>ED102/Revenues!ED163</f>
        <v>0.20171539656334564</v>
      </c>
      <c r="EE130" s="52">
        <f>EE102/Revenues!EE163</f>
        <v>0.23755167382647049</v>
      </c>
      <c r="EF130" s="52">
        <f>EF102/Revenues!EF163</f>
        <v>0.26453301176527305</v>
      </c>
      <c r="EG130" s="52">
        <f>EG102/Revenues!EG163</f>
        <v>0.3760289034999556</v>
      </c>
      <c r="EH130" s="52">
        <f>EH102/Revenues!EH163</f>
        <v>0.38134344798184644</v>
      </c>
      <c r="EI130" s="52">
        <f>EI102/Revenues!EI163</f>
        <v>0.34861391142348508</v>
      </c>
    </row>
    <row r="131" spans="1:139" ht="15" thickBot="1" x14ac:dyDescent="0.35">
      <c r="A131" s="2" t="s">
        <v>323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53">
        <v>0</v>
      </c>
      <c r="BK131" s="53">
        <v>0</v>
      </c>
      <c r="BL131" s="53">
        <v>0</v>
      </c>
      <c r="BM131" s="53">
        <v>0</v>
      </c>
      <c r="BN131" s="53">
        <v>0</v>
      </c>
      <c r="BO131" s="53">
        <v>0</v>
      </c>
      <c r="BP131" s="53">
        <v>0</v>
      </c>
      <c r="BQ131" s="53">
        <v>0</v>
      </c>
      <c r="BR131" s="53">
        <v>0</v>
      </c>
      <c r="BS131" s="53">
        <v>0</v>
      </c>
      <c r="BT131" s="53">
        <v>0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>
        <v>0</v>
      </c>
      <c r="CF131" s="53">
        <v>0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0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  <c r="DK131" s="53">
        <v>0</v>
      </c>
      <c r="DL131" s="53">
        <v>0</v>
      </c>
      <c r="DM131" s="53">
        <v>0</v>
      </c>
      <c r="DN131" s="53">
        <v>0</v>
      </c>
      <c r="DO131" s="53">
        <v>0</v>
      </c>
      <c r="DP131" s="53">
        <v>0</v>
      </c>
      <c r="DQ131" s="53">
        <v>0</v>
      </c>
      <c r="DR131" s="53">
        <v>0</v>
      </c>
      <c r="DS131" s="53">
        <v>0</v>
      </c>
      <c r="DT131" s="53">
        <v>0</v>
      </c>
      <c r="DU131" s="53">
        <v>0</v>
      </c>
      <c r="DV131" s="53">
        <v>0</v>
      </c>
      <c r="DW131" s="53">
        <v>0</v>
      </c>
      <c r="DX131" s="53">
        <v>0</v>
      </c>
      <c r="DY131" s="53">
        <v>0</v>
      </c>
      <c r="DZ131" s="53">
        <v>0</v>
      </c>
      <c r="EA131" s="53">
        <v>0</v>
      </c>
      <c r="EB131" s="53">
        <v>0</v>
      </c>
      <c r="EC131" s="53">
        <v>0</v>
      </c>
      <c r="ED131" s="53">
        <v>0</v>
      </c>
      <c r="EE131" s="53">
        <v>0</v>
      </c>
      <c r="EF131" s="53">
        <v>0</v>
      </c>
      <c r="EG131" s="53">
        <v>0</v>
      </c>
      <c r="EH131" s="53">
        <v>0</v>
      </c>
      <c r="EI131" s="53">
        <v>0</v>
      </c>
    </row>
    <row r="132" spans="1:139" ht="15" thickTop="1" x14ac:dyDescent="0.3">
      <c r="A132" s="1" t="s">
        <v>322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0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</row>
    <row r="133" spans="1:139" ht="15" thickBot="1" x14ac:dyDescent="0.35">
      <c r="A133" s="2" t="s">
        <v>370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53">
        <f>BJ105/Revenues!BJ164</f>
        <v>0.25185185185185188</v>
      </c>
      <c r="BK133" s="53">
        <f>BK105/Revenues!BK164</f>
        <v>0.4403125</v>
      </c>
      <c r="BL133" s="53">
        <f>BL105/Revenues!BL164</f>
        <v>-0.26478260869565212</v>
      </c>
      <c r="BM133" s="53">
        <f>BM105/Revenues!BM164</f>
        <v>-0.1800160996255589</v>
      </c>
      <c r="BN133" s="53">
        <f>BN105/Revenues!BN164</f>
        <v>5.9150582574673427E-2</v>
      </c>
      <c r="BO133" s="53">
        <f>BO105/Revenues!BO164</f>
        <v>0.16581490385873146</v>
      </c>
      <c r="BP133" s="53">
        <f>BP105/Revenues!BP164</f>
        <v>0.23029690659855817</v>
      </c>
      <c r="BQ133" s="53">
        <f>BQ105/Revenues!BQ164</f>
        <v>0.26899081724643675</v>
      </c>
      <c r="BR133" s="53">
        <f>BR105/Revenues!BR164</f>
        <v>0.2460416579379657</v>
      </c>
      <c r="BS133" s="53">
        <f>BS105/Revenues!BS164</f>
        <v>0.23094703386160514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  <c r="DK133" s="53">
        <v>0</v>
      </c>
      <c r="DL133" s="53">
        <v>0</v>
      </c>
      <c r="DM133" s="53">
        <v>0</v>
      </c>
      <c r="DN133" s="53">
        <v>0</v>
      </c>
      <c r="DO133" s="53">
        <v>0</v>
      </c>
      <c r="DP133" s="53">
        <v>0</v>
      </c>
      <c r="DQ133" s="53">
        <v>0</v>
      </c>
      <c r="DR133" s="53">
        <v>0</v>
      </c>
      <c r="DS133" s="53">
        <v>0</v>
      </c>
      <c r="DT133" s="53">
        <v>0</v>
      </c>
      <c r="DU133" s="53">
        <v>0</v>
      </c>
      <c r="DV133" s="53">
        <v>0</v>
      </c>
      <c r="DW133" s="53">
        <v>0</v>
      </c>
      <c r="DX133" s="53">
        <v>0</v>
      </c>
      <c r="DY133" s="53">
        <v>0</v>
      </c>
      <c r="DZ133" s="53">
        <v>0</v>
      </c>
      <c r="EA133" s="53">
        <v>0</v>
      </c>
      <c r="EB133" s="53">
        <v>0</v>
      </c>
      <c r="EC133" s="53">
        <v>0</v>
      </c>
      <c r="ED133" s="53">
        <v>0</v>
      </c>
      <c r="EE133" s="53">
        <v>0</v>
      </c>
      <c r="EF133" s="53">
        <v>0</v>
      </c>
      <c r="EG133" s="53">
        <v>0</v>
      </c>
      <c r="EH133" s="53">
        <v>0</v>
      </c>
      <c r="EI133" s="53">
        <v>0</v>
      </c>
    </row>
    <row r="134" spans="1:139" ht="15" thickTop="1" x14ac:dyDescent="0.3">
      <c r="A134" s="1" t="s">
        <v>338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0</v>
      </c>
      <c r="CC134" s="52">
        <v>0</v>
      </c>
      <c r="CD134" s="52">
        <v>0</v>
      </c>
      <c r="CE134" s="52">
        <v>0</v>
      </c>
      <c r="CF134" s="52">
        <v>0</v>
      </c>
      <c r="CG134" s="52">
        <v>0</v>
      </c>
      <c r="CH134" s="52">
        <v>0</v>
      </c>
      <c r="CI134" s="52">
        <v>0</v>
      </c>
      <c r="CJ134" s="52">
        <v>0</v>
      </c>
      <c r="CK134" s="52">
        <v>0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0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0</v>
      </c>
      <c r="DY134" s="52">
        <v>0</v>
      </c>
      <c r="DZ134" s="52">
        <v>0</v>
      </c>
      <c r="EA134" s="52">
        <v>0</v>
      </c>
      <c r="EB134" s="52">
        <v>0</v>
      </c>
      <c r="EC134" s="52">
        <v>0</v>
      </c>
      <c r="ED134" s="52">
        <v>0</v>
      </c>
      <c r="EE134" s="52">
        <v>0</v>
      </c>
      <c r="EF134" s="52">
        <v>0</v>
      </c>
      <c r="EG134" s="52">
        <v>0</v>
      </c>
      <c r="EH134" s="52">
        <v>0</v>
      </c>
      <c r="EI134" s="52">
        <v>0</v>
      </c>
    </row>
    <row r="135" spans="1:139" x14ac:dyDescent="0.3">
      <c r="A135" s="2" t="s">
        <v>331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53">
        <v>0</v>
      </c>
      <c r="BK135" s="53">
        <v>0</v>
      </c>
      <c r="BL135" s="53">
        <v>0</v>
      </c>
      <c r="BM135" s="53">
        <v>0</v>
      </c>
      <c r="BN135" s="53">
        <v>0</v>
      </c>
      <c r="BO135" s="53">
        <v>0</v>
      </c>
      <c r="BP135" s="53">
        <v>0</v>
      </c>
      <c r="BQ135" s="53">
        <v>0</v>
      </c>
      <c r="BR135" s="53">
        <v>0</v>
      </c>
      <c r="BS135" s="53">
        <v>0</v>
      </c>
      <c r="BT135" s="53">
        <v>0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0</v>
      </c>
      <c r="DB135" s="53">
        <v>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  <c r="DK135" s="53">
        <v>0</v>
      </c>
      <c r="DL135" s="53">
        <v>0</v>
      </c>
      <c r="DM135" s="53">
        <v>0</v>
      </c>
      <c r="DN135" s="53">
        <v>0</v>
      </c>
      <c r="DO135" s="53">
        <v>0</v>
      </c>
      <c r="DP135" s="53">
        <v>0</v>
      </c>
      <c r="DQ135" s="53">
        <v>0</v>
      </c>
      <c r="DR135" s="53">
        <v>0</v>
      </c>
      <c r="DS135" s="53">
        <v>0</v>
      </c>
      <c r="DT135" s="53">
        <v>0</v>
      </c>
      <c r="DU135" s="53">
        <v>0</v>
      </c>
      <c r="DV135" s="53">
        <v>0</v>
      </c>
      <c r="DW135" s="53">
        <v>0</v>
      </c>
      <c r="DX135" s="53">
        <v>0</v>
      </c>
      <c r="DY135" s="53">
        <v>0</v>
      </c>
      <c r="DZ135" s="53">
        <v>0</v>
      </c>
      <c r="EA135" s="53">
        <v>0</v>
      </c>
      <c r="EB135" s="53">
        <v>0</v>
      </c>
      <c r="EC135" s="53">
        <v>0</v>
      </c>
      <c r="ED135" s="53">
        <v>0</v>
      </c>
      <c r="EE135" s="53">
        <v>0</v>
      </c>
      <c r="EF135" s="53">
        <v>0</v>
      </c>
      <c r="EG135" s="53">
        <v>0</v>
      </c>
      <c r="EH135" s="53">
        <v>0</v>
      </c>
      <c r="EI135" s="53">
        <v>0</v>
      </c>
    </row>
    <row r="136" spans="1:139" x14ac:dyDescent="0.3">
      <c r="A136" s="5" t="s">
        <v>311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54">
        <f>BJ109/Revenues!BJ167</f>
        <v>0.6933821684312883</v>
      </c>
      <c r="BK136" s="54">
        <f>BK109/Revenues!BK167</f>
        <v>0.69738196618707993</v>
      </c>
      <c r="BL136" s="54">
        <f>BL109/Revenues!BL167</f>
        <v>0.6808045670676881</v>
      </c>
      <c r="BM136" s="54">
        <f>BM109/Revenues!BM167</f>
        <v>0.67753910973639542</v>
      </c>
      <c r="BN136" s="54">
        <f>BN109/Revenues!BN167</f>
        <v>0.68691629927366638</v>
      </c>
      <c r="BO136" s="54">
        <f>BO109/Revenues!BO167</f>
        <v>0.63832675721739396</v>
      </c>
      <c r="BP136" s="54">
        <f>BP109/Revenues!BP167</f>
        <v>0.63194911944061216</v>
      </c>
      <c r="BQ136" s="54">
        <f>BQ109/Revenues!BQ167</f>
        <v>0.64132348721511723</v>
      </c>
      <c r="BR136" s="54">
        <f>BR109/Revenues!BR167</f>
        <v>0.63756767437289452</v>
      </c>
      <c r="BS136" s="54">
        <f>BS109/Revenues!BS167</f>
        <v>0.63738878309191627</v>
      </c>
      <c r="BT136" s="54">
        <f>BT109/Revenues!BT167</f>
        <v>0.71777448143991229</v>
      </c>
      <c r="BU136" s="54">
        <f>BU109/Revenues!BU167</f>
        <v>0.64340940225095933</v>
      </c>
      <c r="BV136" s="54">
        <f>BV109/Revenues!BV167</f>
        <v>0.62379902217384198</v>
      </c>
      <c r="BW136" s="54">
        <f>BW109/Revenues!BW167</f>
        <v>0.59273797147431051</v>
      </c>
      <c r="BX136" s="54">
        <f>BX109/Revenues!BX167</f>
        <v>0.63798926701247582</v>
      </c>
      <c r="BY136" s="54">
        <f>BY109/Revenues!BY167</f>
        <v>0.61302024177934555</v>
      </c>
      <c r="BZ136" s="54">
        <f>BZ109/Revenues!BZ167</f>
        <v>0.59646406319205802</v>
      </c>
      <c r="CA136" s="54">
        <f>CA109/Revenues!CA167</f>
        <v>0.58603177298902276</v>
      </c>
      <c r="CB136" s="54">
        <f>CB109/Revenues!CB167</f>
        <v>0.58788213435142611</v>
      </c>
      <c r="CC136" s="54">
        <f>CC109/Revenues!CC167</f>
        <v>0.59552050904701637</v>
      </c>
      <c r="CD136" s="54">
        <f>CD109/Revenues!CD167</f>
        <v>0.60869710454404657</v>
      </c>
      <c r="CE136" s="54">
        <f>CE109/Revenues!CE167</f>
        <v>0.57456139327156586</v>
      </c>
      <c r="CF136" s="54">
        <f>CF109/Revenues!CF167</f>
        <v>0.56745317251655625</v>
      </c>
      <c r="CG136" s="54">
        <f>CG109/Revenues!CG167</f>
        <v>0.55906320599180614</v>
      </c>
      <c r="CH136" s="54">
        <f>CH109/Revenues!CH167</f>
        <v>0.69806259011282001</v>
      </c>
      <c r="CI136" s="54">
        <f>CI109/Revenues!CI167</f>
        <v>0.61067142246665518</v>
      </c>
      <c r="CJ136" s="54">
        <f>CJ109/Revenues!CJ167</f>
        <v>0.57538371447344394</v>
      </c>
      <c r="CK136" s="54">
        <f>CK109/Revenues!CK167</f>
        <v>0.61713585231967627</v>
      </c>
      <c r="CL136" s="54">
        <f>CL109/Revenues!CL167</f>
        <v>0.61877618931478007</v>
      </c>
      <c r="CM136" s="54">
        <f>CM109/Revenues!CM167</f>
        <v>0.60594894755451467</v>
      </c>
      <c r="CN136" s="54">
        <f>CN109/Revenues!CN167</f>
        <v>0.67258977600200398</v>
      </c>
      <c r="CO136" s="54">
        <f>CO109/Revenues!CO167</f>
        <v>0.62233754424125176</v>
      </c>
      <c r="CP136" s="54">
        <f>CP109/Revenues!CP167</f>
        <v>0.6351521003879893</v>
      </c>
      <c r="CQ136" s="54">
        <f>CQ109/Revenues!CQ167</f>
        <v>0.63134807161485762</v>
      </c>
      <c r="CR136" s="54">
        <f>CR109/Revenues!CR167</f>
        <v>0.51276943847444734</v>
      </c>
      <c r="CS136" s="54">
        <f>CS109/Revenues!CS167</f>
        <v>0.70749047841369173</v>
      </c>
      <c r="CT136" s="54">
        <f>CT109/Revenues!CT167</f>
        <v>0.6933406338883793</v>
      </c>
      <c r="CU136" s="54">
        <f>CU109/Revenues!CU167</f>
        <v>0.72453360507433373</v>
      </c>
      <c r="CV136" s="54">
        <f>CV109/Revenues!CV167</f>
        <v>0.69475424923858797</v>
      </c>
      <c r="CW136" s="54">
        <f>CW109/Revenues!CW167</f>
        <v>0.7051953899050265</v>
      </c>
      <c r="CX136" s="54">
        <f>CX109/Revenues!CX167</f>
        <v>0.74090623261663491</v>
      </c>
      <c r="CY136" s="54">
        <f>CY109/Revenues!CY167</f>
        <v>0.68706402068386907</v>
      </c>
      <c r="CZ136" s="54">
        <f>CZ109/Revenues!CZ167</f>
        <v>0.70213515899376988</v>
      </c>
      <c r="DA136" s="54">
        <f>DA109/Revenues!DA167</f>
        <v>0.66668279254422647</v>
      </c>
      <c r="DB136" s="54">
        <f>DB109/Revenues!DB167</f>
        <v>0.69980208329193494</v>
      </c>
      <c r="DC136" s="54">
        <f>DC109/Revenues!DC167</f>
        <v>0.67464417310887959</v>
      </c>
      <c r="DD136" s="54">
        <f>DD109/Revenues!DD167</f>
        <v>0.67779246105162394</v>
      </c>
      <c r="DE136" s="54">
        <f>DE109/Revenues!DE167</f>
        <v>0.66308551783412106</v>
      </c>
      <c r="DF136" s="54">
        <f>DF109/Revenues!DF167</f>
        <v>0.73676600150321292</v>
      </c>
      <c r="DG136" s="54">
        <f>DG109/Revenues!DG167</f>
        <v>0.68929257905250052</v>
      </c>
      <c r="DH136" s="54">
        <f>DH109/Revenues!DH167</f>
        <v>0.69063591311435757</v>
      </c>
      <c r="DI136" s="54">
        <f>DI109/Revenues!DI167</f>
        <v>0.66488084755345866</v>
      </c>
      <c r="DJ136" s="54">
        <f>DJ109/Revenues!DJ167</f>
        <v>0.68420295116827867</v>
      </c>
      <c r="DK136" s="54">
        <f>DK109/Revenues!DK167</f>
        <v>0.6613046138901213</v>
      </c>
      <c r="DL136" s="54">
        <f>DL109/Revenues!DL167</f>
        <v>0.67538567099281699</v>
      </c>
      <c r="DM136" s="54">
        <f>DM109/Revenues!DM167</f>
        <v>0.68799465275809846</v>
      </c>
      <c r="DN136" s="54">
        <f>DN109/Revenues!DN167</f>
        <v>0.66605756436989716</v>
      </c>
      <c r="DO136" s="54">
        <f>DO109/Revenues!DO167</f>
        <v>0.68950412363538649</v>
      </c>
      <c r="DP136" s="54">
        <f>DP109/Revenues!DP167</f>
        <v>0.62432848463036439</v>
      </c>
      <c r="DQ136" s="54">
        <f>DQ109/Revenues!DQ167</f>
        <v>0.66708375389166652</v>
      </c>
      <c r="DR136" s="54">
        <f>DR109/Revenues!DR167</f>
        <v>0.61825226370011199</v>
      </c>
      <c r="DS136" s="54">
        <f>DS109/Revenues!DS167</f>
        <v>0.60606013014412186</v>
      </c>
      <c r="DT136" s="54">
        <f>DT109/Revenues!DT167</f>
        <v>0.6284366093249657</v>
      </c>
      <c r="DU136" s="54">
        <f>DU109/Revenues!DU167</f>
        <v>0.70219434920585344</v>
      </c>
      <c r="DV136" s="54">
        <f>DV109/Revenues!DV167</f>
        <v>0.64524916035850843</v>
      </c>
      <c r="DW136" s="54">
        <f>DW109/Revenues!DW167</f>
        <v>0.71208110416362436</v>
      </c>
      <c r="DX136" s="54">
        <f>DX109/Revenues!DX167</f>
        <v>0.71602576749213009</v>
      </c>
      <c r="DY136" s="54">
        <f>DY109/Revenues!DY167</f>
        <v>0.71837512007618165</v>
      </c>
      <c r="DZ136" s="54">
        <f>DZ109/Revenues!DZ167</f>
        <v>0.71709730617103407</v>
      </c>
      <c r="EA136" s="54">
        <f>EA109/Revenues!EA167</f>
        <v>0.71613301642908578</v>
      </c>
      <c r="EB136" s="54">
        <f>EB109/Revenues!EB167</f>
        <v>0.71549748874363894</v>
      </c>
      <c r="EC136" s="54">
        <f>EC109/Revenues!EC167</f>
        <v>0.73751185752331905</v>
      </c>
      <c r="ED136" s="54">
        <f>ED109/Revenues!ED167</f>
        <v>0.73308943675509441</v>
      </c>
      <c r="EE136" s="54">
        <f>EE109/Revenues!EE167</f>
        <v>0.73090689402141262</v>
      </c>
      <c r="EF136" s="54">
        <f>EF109/Revenues!EF167</f>
        <v>0.72942355325459962</v>
      </c>
      <c r="EG136" s="54">
        <f>EG109/Revenues!EG167</f>
        <v>0.7519698221758786</v>
      </c>
      <c r="EH136" s="54">
        <f>EH109/Revenues!EH167</f>
        <v>0.74949644339333354</v>
      </c>
      <c r="EI136" s="54">
        <f>EI109/Revenues!EI167</f>
        <v>0.76247864961616429</v>
      </c>
    </row>
    <row r="137" spans="1:139" x14ac:dyDescent="0.3">
      <c r="A137" s="20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</row>
    <row r="138" spans="1:139" x14ac:dyDescent="0.3">
      <c r="A138" s="20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</row>
    <row r="139" spans="1:139" x14ac:dyDescent="0.3">
      <c r="A139" s="3" t="s">
        <v>427</v>
      </c>
      <c r="B139" s="6" t="s">
        <v>4</v>
      </c>
      <c r="C139" s="6" t="s">
        <v>5</v>
      </c>
      <c r="D139" s="6" t="s">
        <v>6</v>
      </c>
      <c r="E139" s="6" t="s">
        <v>7</v>
      </c>
      <c r="F139" s="6">
        <v>2018</v>
      </c>
      <c r="G139" s="6" t="s">
        <v>8</v>
      </c>
      <c r="H139" s="6" t="s">
        <v>9</v>
      </c>
      <c r="I139" s="6" t="s">
        <v>10</v>
      </c>
      <c r="J139" s="6" t="s">
        <v>11</v>
      </c>
      <c r="K139" s="6">
        <v>2019</v>
      </c>
      <c r="L139" s="6" t="s">
        <v>12</v>
      </c>
      <c r="M139" s="6" t="s">
        <v>13</v>
      </c>
      <c r="N139" s="6" t="s">
        <v>14</v>
      </c>
      <c r="O139" s="6" t="s">
        <v>15</v>
      </c>
      <c r="P139" s="6">
        <v>2000</v>
      </c>
      <c r="Q139" s="6" t="s">
        <v>16</v>
      </c>
      <c r="R139" s="6" t="s">
        <v>17</v>
      </c>
      <c r="S139" s="6" t="s">
        <v>18</v>
      </c>
      <c r="T139" s="6" t="s">
        <v>19</v>
      </c>
      <c r="U139" s="6">
        <v>2001</v>
      </c>
      <c r="V139" s="6" t="s">
        <v>20</v>
      </c>
      <c r="W139" s="6" t="s">
        <v>21</v>
      </c>
      <c r="X139" s="6" t="s">
        <v>22</v>
      </c>
      <c r="Y139" s="6" t="s">
        <v>23</v>
      </c>
      <c r="Z139" s="6">
        <v>2002</v>
      </c>
      <c r="AA139" s="6" t="s">
        <v>24</v>
      </c>
      <c r="AB139" s="6" t="s">
        <v>25</v>
      </c>
      <c r="AC139" s="6" t="s">
        <v>26</v>
      </c>
      <c r="AD139" s="6" t="s">
        <v>27</v>
      </c>
      <c r="AE139" s="6">
        <v>2003</v>
      </c>
      <c r="AF139" s="6" t="s">
        <v>28</v>
      </c>
      <c r="AG139" s="6" t="s">
        <v>29</v>
      </c>
      <c r="AH139" s="6" t="s">
        <v>30</v>
      </c>
      <c r="AI139" s="6" t="s">
        <v>31</v>
      </c>
      <c r="AJ139" s="6">
        <v>2004</v>
      </c>
      <c r="AK139" s="6" t="s">
        <v>32</v>
      </c>
      <c r="AL139" s="6" t="s">
        <v>33</v>
      </c>
      <c r="AM139" s="6" t="s">
        <v>34</v>
      </c>
      <c r="AN139" s="6" t="s">
        <v>35</v>
      </c>
      <c r="AO139" s="6">
        <v>2005</v>
      </c>
      <c r="AP139" s="6" t="s">
        <v>36</v>
      </c>
      <c r="AQ139" s="6" t="s">
        <v>37</v>
      </c>
      <c r="AR139" s="6" t="s">
        <v>38</v>
      </c>
      <c r="AS139" s="6" t="s">
        <v>39</v>
      </c>
      <c r="AT139" s="6">
        <v>2006</v>
      </c>
      <c r="AU139" s="6" t="s">
        <v>40</v>
      </c>
      <c r="AV139" s="6" t="s">
        <v>41</v>
      </c>
      <c r="AW139" s="6" t="s">
        <v>42</v>
      </c>
      <c r="AX139" s="6" t="s">
        <v>43</v>
      </c>
      <c r="AY139" s="6">
        <v>2007</v>
      </c>
      <c r="AZ139" s="6" t="s">
        <v>44</v>
      </c>
      <c r="BA139" s="6" t="s">
        <v>45</v>
      </c>
      <c r="BB139" s="6" t="s">
        <v>46</v>
      </c>
      <c r="BC139" s="6" t="s">
        <v>47</v>
      </c>
      <c r="BD139" s="6">
        <v>2008</v>
      </c>
      <c r="BE139" s="6" t="s">
        <v>48</v>
      </c>
      <c r="BF139" s="6" t="s">
        <v>49</v>
      </c>
      <c r="BG139" s="6" t="s">
        <v>50</v>
      </c>
      <c r="BH139" s="6" t="s">
        <v>51</v>
      </c>
      <c r="BI139" s="6">
        <v>2009</v>
      </c>
      <c r="BJ139" s="6" t="s">
        <v>52</v>
      </c>
      <c r="BK139" s="6" t="s">
        <v>53</v>
      </c>
      <c r="BL139" s="6" t="s">
        <v>54</v>
      </c>
      <c r="BM139" s="6" t="s">
        <v>55</v>
      </c>
      <c r="BN139" s="6">
        <v>2010</v>
      </c>
      <c r="BO139" s="6" t="s">
        <v>56</v>
      </c>
      <c r="BP139" s="6" t="s">
        <v>57</v>
      </c>
      <c r="BQ139" s="6" t="s">
        <v>58</v>
      </c>
      <c r="BR139" s="6" t="s">
        <v>59</v>
      </c>
      <c r="BS139" s="6">
        <v>2011</v>
      </c>
      <c r="BT139" s="6" t="s">
        <v>60</v>
      </c>
      <c r="BU139" s="6" t="s">
        <v>61</v>
      </c>
      <c r="BV139" s="6" t="s">
        <v>62</v>
      </c>
      <c r="BW139" s="6" t="s">
        <v>63</v>
      </c>
      <c r="BX139" s="6">
        <v>2012</v>
      </c>
      <c r="BY139" s="6" t="s">
        <v>64</v>
      </c>
      <c r="BZ139" s="6" t="s">
        <v>65</v>
      </c>
      <c r="CA139" s="6" t="s">
        <v>66</v>
      </c>
      <c r="CB139" s="6" t="s">
        <v>67</v>
      </c>
      <c r="CC139" s="6">
        <v>2013</v>
      </c>
      <c r="CD139" s="6" t="s">
        <v>68</v>
      </c>
      <c r="CE139" s="6" t="s">
        <v>69</v>
      </c>
      <c r="CF139" s="6" t="s">
        <v>70</v>
      </c>
      <c r="CG139" s="6" t="s">
        <v>71</v>
      </c>
      <c r="CH139" s="6">
        <v>2014</v>
      </c>
      <c r="CI139" s="6" t="s">
        <v>72</v>
      </c>
      <c r="CJ139" s="6" t="s">
        <v>73</v>
      </c>
      <c r="CK139" s="6" t="s">
        <v>74</v>
      </c>
      <c r="CL139" s="6" t="s">
        <v>75</v>
      </c>
      <c r="CM139" s="6">
        <v>2015</v>
      </c>
      <c r="CN139" s="6" t="s">
        <v>76</v>
      </c>
      <c r="CO139" s="6" t="s">
        <v>77</v>
      </c>
      <c r="CP139" s="6" t="s">
        <v>78</v>
      </c>
      <c r="CQ139" s="6" t="s">
        <v>79</v>
      </c>
      <c r="CR139" s="6">
        <v>2016</v>
      </c>
      <c r="CS139" s="6" t="s">
        <v>80</v>
      </c>
      <c r="CT139" s="6" t="s">
        <v>81</v>
      </c>
      <c r="CU139" s="6" t="s">
        <v>82</v>
      </c>
      <c r="CV139" s="6" t="s">
        <v>83</v>
      </c>
      <c r="CW139" s="6">
        <v>2017</v>
      </c>
      <c r="CX139" s="6" t="s">
        <v>84</v>
      </c>
      <c r="CY139" s="6" t="s">
        <v>85</v>
      </c>
      <c r="CZ139" s="6" t="s">
        <v>86</v>
      </c>
      <c r="DA139" s="6" t="s">
        <v>87</v>
      </c>
      <c r="DB139" s="6">
        <v>2018</v>
      </c>
      <c r="DC139" s="6" t="s">
        <v>88</v>
      </c>
      <c r="DD139" s="6" t="s">
        <v>89</v>
      </c>
      <c r="DE139" s="6" t="s">
        <v>90</v>
      </c>
      <c r="DF139" s="6" t="s">
        <v>91</v>
      </c>
      <c r="DG139" s="6">
        <v>2019</v>
      </c>
      <c r="DH139" s="6" t="s">
        <v>92</v>
      </c>
      <c r="DI139" s="6" t="s">
        <v>93</v>
      </c>
      <c r="DJ139" s="6" t="s">
        <v>94</v>
      </c>
      <c r="DK139" s="6" t="s">
        <v>95</v>
      </c>
      <c r="DL139" s="6">
        <v>2020</v>
      </c>
      <c r="DM139" s="6" t="s">
        <v>96</v>
      </c>
      <c r="DN139" s="6" t="s">
        <v>97</v>
      </c>
      <c r="DO139" s="6" t="s">
        <v>98</v>
      </c>
      <c r="DP139" s="6" t="s">
        <v>99</v>
      </c>
      <c r="DQ139" s="6">
        <v>2021</v>
      </c>
      <c r="DR139" s="6" t="s">
        <v>100</v>
      </c>
      <c r="DS139" s="6" t="s">
        <v>101</v>
      </c>
      <c r="DT139" s="6" t="s">
        <v>200</v>
      </c>
      <c r="DU139" s="6" t="s">
        <v>380</v>
      </c>
      <c r="DV139" s="6">
        <v>2022</v>
      </c>
      <c r="DW139" s="6" t="s">
        <v>379</v>
      </c>
      <c r="DX139" s="6" t="s">
        <v>402</v>
      </c>
      <c r="DY139" s="6" t="s">
        <v>414</v>
      </c>
      <c r="DZ139" s="6" t="s">
        <v>419</v>
      </c>
      <c r="EA139" s="6">
        <v>2023</v>
      </c>
      <c r="EB139" s="6" t="s">
        <v>424</v>
      </c>
      <c r="EC139" s="6" t="s">
        <v>429</v>
      </c>
      <c r="ED139" s="6" t="str">
        <f>$ED$1</f>
        <v>3T24</v>
      </c>
      <c r="EE139" s="6" t="str">
        <f>$EE$1</f>
        <v>4T24</v>
      </c>
      <c r="EF139" s="6">
        <f>$EF$1</f>
        <v>2024</v>
      </c>
      <c r="EG139" s="6" t="str">
        <f>EG$1</f>
        <v>1T25</v>
      </c>
      <c r="EH139" s="6" t="str">
        <f>EH$1</f>
        <v>2T25</v>
      </c>
      <c r="EI139" s="6" t="str">
        <f>EI$1</f>
        <v>3T25</v>
      </c>
    </row>
    <row r="140" spans="1:139" ht="15" thickBot="1" x14ac:dyDescent="0.35">
      <c r="A140" s="4" t="s">
        <v>428</v>
      </c>
      <c r="B140" s="7" t="s">
        <v>102</v>
      </c>
      <c r="C140" s="7" t="s">
        <v>103</v>
      </c>
      <c r="D140" s="7" t="s">
        <v>104</v>
      </c>
      <c r="E140" s="7" t="s">
        <v>105</v>
      </c>
      <c r="F140" s="7">
        <v>2018</v>
      </c>
      <c r="G140" s="7" t="s">
        <v>106</v>
      </c>
      <c r="H140" s="7" t="s">
        <v>107</v>
      </c>
      <c r="I140" s="7" t="s">
        <v>108</v>
      </c>
      <c r="J140" s="7" t="s">
        <v>109</v>
      </c>
      <c r="K140" s="7">
        <v>2019</v>
      </c>
      <c r="L140" s="7" t="s">
        <v>110</v>
      </c>
      <c r="M140" s="7" t="s">
        <v>111</v>
      </c>
      <c r="N140" s="7" t="s">
        <v>112</v>
      </c>
      <c r="O140" s="7" t="s">
        <v>113</v>
      </c>
      <c r="P140" s="7">
        <v>2000</v>
      </c>
      <c r="Q140" s="7" t="s">
        <v>114</v>
      </c>
      <c r="R140" s="7" t="s">
        <v>115</v>
      </c>
      <c r="S140" s="7" t="s">
        <v>116</v>
      </c>
      <c r="T140" s="7" t="s">
        <v>117</v>
      </c>
      <c r="U140" s="7">
        <v>2001</v>
      </c>
      <c r="V140" s="7" t="s">
        <v>118</v>
      </c>
      <c r="W140" s="7" t="s">
        <v>119</v>
      </c>
      <c r="X140" s="7" t="s">
        <v>120</v>
      </c>
      <c r="Y140" s="7" t="s">
        <v>121</v>
      </c>
      <c r="Z140" s="7">
        <v>2002</v>
      </c>
      <c r="AA140" s="7" t="s">
        <v>122</v>
      </c>
      <c r="AB140" s="7" t="s">
        <v>123</v>
      </c>
      <c r="AC140" s="7" t="s">
        <v>124</v>
      </c>
      <c r="AD140" s="7" t="s">
        <v>125</v>
      </c>
      <c r="AE140" s="7">
        <v>2003</v>
      </c>
      <c r="AF140" s="7" t="s">
        <v>126</v>
      </c>
      <c r="AG140" s="7" t="s">
        <v>127</v>
      </c>
      <c r="AH140" s="7" t="s">
        <v>128</v>
      </c>
      <c r="AI140" s="7" t="s">
        <v>129</v>
      </c>
      <c r="AJ140" s="7">
        <v>2004</v>
      </c>
      <c r="AK140" s="7" t="s">
        <v>130</v>
      </c>
      <c r="AL140" s="7" t="s">
        <v>131</v>
      </c>
      <c r="AM140" s="7" t="s">
        <v>132</v>
      </c>
      <c r="AN140" s="7" t="s">
        <v>133</v>
      </c>
      <c r="AO140" s="7">
        <v>2005</v>
      </c>
      <c r="AP140" s="7" t="s">
        <v>134</v>
      </c>
      <c r="AQ140" s="7" t="s">
        <v>135</v>
      </c>
      <c r="AR140" s="7" t="s">
        <v>136</v>
      </c>
      <c r="AS140" s="7" t="s">
        <v>137</v>
      </c>
      <c r="AT140" s="7">
        <v>2006</v>
      </c>
      <c r="AU140" s="7" t="s">
        <v>138</v>
      </c>
      <c r="AV140" s="7" t="s">
        <v>139</v>
      </c>
      <c r="AW140" s="7" t="s">
        <v>140</v>
      </c>
      <c r="AX140" s="7" t="s">
        <v>141</v>
      </c>
      <c r="AY140" s="7">
        <v>2007</v>
      </c>
      <c r="AZ140" s="7" t="s">
        <v>142</v>
      </c>
      <c r="BA140" s="7" t="s">
        <v>143</v>
      </c>
      <c r="BB140" s="7" t="s">
        <v>144</v>
      </c>
      <c r="BC140" s="7" t="s">
        <v>145</v>
      </c>
      <c r="BD140" s="7">
        <v>2008</v>
      </c>
      <c r="BE140" s="7" t="s">
        <v>146</v>
      </c>
      <c r="BF140" s="7" t="s">
        <v>147</v>
      </c>
      <c r="BG140" s="7" t="s">
        <v>148</v>
      </c>
      <c r="BH140" s="7" t="s">
        <v>149</v>
      </c>
      <c r="BI140" s="7">
        <v>2009</v>
      </c>
      <c r="BJ140" s="7" t="s">
        <v>150</v>
      </c>
      <c r="BK140" s="7" t="s">
        <v>151</v>
      </c>
      <c r="BL140" s="7" t="s">
        <v>152</v>
      </c>
      <c r="BM140" s="7" t="s">
        <v>153</v>
      </c>
      <c r="BN140" s="7">
        <v>2010</v>
      </c>
      <c r="BO140" s="7" t="s">
        <v>154</v>
      </c>
      <c r="BP140" s="7" t="s">
        <v>155</v>
      </c>
      <c r="BQ140" s="7" t="s">
        <v>156</v>
      </c>
      <c r="BR140" s="7" t="s">
        <v>157</v>
      </c>
      <c r="BS140" s="7">
        <v>2011</v>
      </c>
      <c r="BT140" s="7" t="s">
        <v>158</v>
      </c>
      <c r="BU140" s="7" t="s">
        <v>159</v>
      </c>
      <c r="BV140" s="7" t="s">
        <v>160</v>
      </c>
      <c r="BW140" s="7" t="s">
        <v>161</v>
      </c>
      <c r="BX140" s="7">
        <v>2012</v>
      </c>
      <c r="BY140" s="7" t="s">
        <v>162</v>
      </c>
      <c r="BZ140" s="7" t="s">
        <v>163</v>
      </c>
      <c r="CA140" s="7" t="s">
        <v>164</v>
      </c>
      <c r="CB140" s="7" t="s">
        <v>165</v>
      </c>
      <c r="CC140" s="7">
        <v>2013</v>
      </c>
      <c r="CD140" s="7" t="s">
        <v>166</v>
      </c>
      <c r="CE140" s="7" t="s">
        <v>167</v>
      </c>
      <c r="CF140" s="7" t="s">
        <v>168</v>
      </c>
      <c r="CG140" s="7" t="s">
        <v>169</v>
      </c>
      <c r="CH140" s="7">
        <v>2014</v>
      </c>
      <c r="CI140" s="7" t="s">
        <v>170</v>
      </c>
      <c r="CJ140" s="7" t="s">
        <v>171</v>
      </c>
      <c r="CK140" s="7" t="s">
        <v>172</v>
      </c>
      <c r="CL140" s="7" t="s">
        <v>173</v>
      </c>
      <c r="CM140" s="7">
        <v>2015</v>
      </c>
      <c r="CN140" s="7" t="s">
        <v>174</v>
      </c>
      <c r="CO140" s="7" t="s">
        <v>175</v>
      </c>
      <c r="CP140" s="7" t="s">
        <v>176</v>
      </c>
      <c r="CQ140" s="7" t="s">
        <v>177</v>
      </c>
      <c r="CR140" s="7">
        <v>2016</v>
      </c>
      <c r="CS140" s="7" t="s">
        <v>178</v>
      </c>
      <c r="CT140" s="7" t="s">
        <v>179</v>
      </c>
      <c r="CU140" s="7" t="s">
        <v>180</v>
      </c>
      <c r="CV140" s="7" t="s">
        <v>181</v>
      </c>
      <c r="CW140" s="7">
        <v>2017</v>
      </c>
      <c r="CX140" s="7" t="s">
        <v>182</v>
      </c>
      <c r="CY140" s="7" t="s">
        <v>183</v>
      </c>
      <c r="CZ140" s="7" t="s">
        <v>184</v>
      </c>
      <c r="DA140" s="7" t="s">
        <v>185</v>
      </c>
      <c r="DB140" s="7">
        <v>2018</v>
      </c>
      <c r="DC140" s="7" t="s">
        <v>186</v>
      </c>
      <c r="DD140" s="7" t="s">
        <v>187</v>
      </c>
      <c r="DE140" s="7" t="s">
        <v>188</v>
      </c>
      <c r="DF140" s="7" t="s">
        <v>189</v>
      </c>
      <c r="DG140" s="7">
        <v>2019</v>
      </c>
      <c r="DH140" s="7" t="s">
        <v>190</v>
      </c>
      <c r="DI140" s="7" t="s">
        <v>191</v>
      </c>
      <c r="DJ140" s="7" t="s">
        <v>192</v>
      </c>
      <c r="DK140" s="7" t="s">
        <v>193</v>
      </c>
      <c r="DL140" s="7">
        <v>2020</v>
      </c>
      <c r="DM140" s="7" t="s">
        <v>194</v>
      </c>
      <c r="DN140" s="7" t="s">
        <v>195</v>
      </c>
      <c r="DO140" s="7" t="s">
        <v>196</v>
      </c>
      <c r="DP140" s="7" t="s">
        <v>197</v>
      </c>
      <c r="DQ140" s="7">
        <v>2021</v>
      </c>
      <c r="DR140" s="7" t="s">
        <v>198</v>
      </c>
      <c r="DS140" s="7" t="s">
        <v>199</v>
      </c>
      <c r="DT140" s="7" t="s">
        <v>201</v>
      </c>
      <c r="DU140" s="7" t="s">
        <v>381</v>
      </c>
      <c r="DV140" s="7">
        <v>2022</v>
      </c>
      <c r="DW140" s="7" t="s">
        <v>382</v>
      </c>
      <c r="DX140" s="7" t="s">
        <v>403</v>
      </c>
      <c r="DY140" s="7" t="s">
        <v>415</v>
      </c>
      <c r="DZ140" s="7" t="s">
        <v>420</v>
      </c>
      <c r="EA140" s="7">
        <v>2023</v>
      </c>
      <c r="EB140" s="7" t="s">
        <v>425</v>
      </c>
      <c r="EC140" s="7" t="s">
        <v>430</v>
      </c>
      <c r="ED140" s="7" t="str">
        <f>$ED$2</f>
        <v>3Q24</v>
      </c>
      <c r="EE140" s="7" t="str">
        <f>$EE$2</f>
        <v>4Q24</v>
      </c>
      <c r="EF140" s="7">
        <f>$EF$2</f>
        <v>2024</v>
      </c>
      <c r="EG140" s="7" t="str">
        <f>EG$2</f>
        <v>1Q25</v>
      </c>
      <c r="EH140" s="7" t="str">
        <f>EH$2</f>
        <v>2Q25</v>
      </c>
      <c r="EI140" s="7" t="str">
        <f>EI$2</f>
        <v>3Q25</v>
      </c>
    </row>
    <row r="141" spans="1:139" ht="15" thickTop="1" x14ac:dyDescent="0.3">
      <c r="A141" s="1" t="s">
        <v>2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27">
        <f>'COGS + SG&amp;A'!BJ32+'COGS + SG&amp;A'!BJ60+'COGS + SG&amp;A'!BJ88+'COGS + SG&amp;A'!BJ144+'COGS + SG&amp;A'!BJ172</f>
        <v>12.751208909999999</v>
      </c>
      <c r="BK141" s="27">
        <f>'COGS + SG&amp;A'!BK32+'COGS + SG&amp;A'!BK60+'COGS + SG&amp;A'!BK88+'COGS + SG&amp;A'!BK144+'COGS + SG&amp;A'!BK172</f>
        <v>11.800692339999999</v>
      </c>
      <c r="BL141" s="27">
        <f>'COGS + SG&amp;A'!BL32+'COGS + SG&amp;A'!BL60+'COGS + SG&amp;A'!BL88+'COGS + SG&amp;A'!BL144+'COGS + SG&amp;A'!BL172</f>
        <v>14.665107369999996</v>
      </c>
      <c r="BM141" s="27">
        <f>'COGS + SG&amp;A'!BM32+'COGS + SG&amp;A'!BM60+'COGS + SG&amp;A'!BM88+'COGS + SG&amp;A'!BM144+'COGS + SG&amp;A'!BM172</f>
        <v>15.796518060000004</v>
      </c>
      <c r="BN141" s="27">
        <f>'COGS + SG&amp;A'!BN32+'COGS + SG&amp;A'!BN60+'COGS + SG&amp;A'!BN88+'COGS + SG&amp;A'!BN144+'COGS + SG&amp;A'!BN172</f>
        <v>55.013526680000005</v>
      </c>
      <c r="BO141" s="27">
        <f>'COGS + SG&amp;A'!BO32+'COGS + SG&amp;A'!BO60+'COGS + SG&amp;A'!BO88+'COGS + SG&amp;A'!BO144+'COGS + SG&amp;A'!BO172</f>
        <v>14.629637690000001</v>
      </c>
      <c r="BP141" s="27">
        <f>'COGS + SG&amp;A'!BP32+'COGS + SG&amp;A'!BP60+'COGS + SG&amp;A'!BP88+'COGS + SG&amp;A'!BP144+'COGS + SG&amp;A'!BP172</f>
        <v>10.96925978</v>
      </c>
      <c r="BQ141" s="27">
        <f>'COGS + SG&amp;A'!BQ32+'COGS + SG&amp;A'!BQ60+'COGS + SG&amp;A'!BQ88+'COGS + SG&amp;A'!BQ144+'COGS + SG&amp;A'!BQ172</f>
        <v>13.50957674</v>
      </c>
      <c r="BR141" s="27">
        <f>'COGS + SG&amp;A'!BR32+'COGS + SG&amp;A'!BR60+'COGS + SG&amp;A'!BR88+'COGS + SG&amp;A'!BR144+'COGS + SG&amp;A'!BR172</f>
        <v>16.072310049999999</v>
      </c>
      <c r="BS141" s="27">
        <f>'COGS + SG&amp;A'!BS32+'COGS + SG&amp;A'!BS60+'COGS + SG&amp;A'!BS88+'COGS + SG&amp;A'!BS144+'COGS + SG&amp;A'!BS172</f>
        <v>55.180784259999996</v>
      </c>
      <c r="BT141" s="27">
        <f>'COGS + SG&amp;A'!BT32+'COGS + SG&amp;A'!BT60+'COGS + SG&amp;A'!BT88+'COGS + SG&amp;A'!BT144+'COGS + SG&amp;A'!BT172</f>
        <v>13.48949809</v>
      </c>
      <c r="BU141" s="27">
        <f>'COGS + SG&amp;A'!BU32+'COGS + SG&amp;A'!BU60+'COGS + SG&amp;A'!BU88+'COGS + SG&amp;A'!BU144+'COGS + SG&amp;A'!BU172</f>
        <v>13.926517910000001</v>
      </c>
      <c r="BV141" s="27">
        <f>'COGS + SG&amp;A'!BV32+'COGS + SG&amp;A'!BV60+'COGS + SG&amp;A'!BV88+'COGS + SG&amp;A'!BV144+'COGS + SG&amp;A'!BV172</f>
        <v>14.727410279999999</v>
      </c>
      <c r="BW141" s="27">
        <f>'COGS + SG&amp;A'!BW32+'COGS + SG&amp;A'!BW60+'COGS + SG&amp;A'!BW88+'COGS + SG&amp;A'!BW144+'COGS + SG&amp;A'!BW172</f>
        <v>15.798574820000001</v>
      </c>
      <c r="BX141" s="27">
        <f>'COGS + SG&amp;A'!BX32+'COGS + SG&amp;A'!BX60+'COGS + SG&amp;A'!BX88+'COGS + SG&amp;A'!BX144+'COGS + SG&amp;A'!BX172</f>
        <v>57.942001099999999</v>
      </c>
      <c r="BY141" s="27">
        <f>'COGS + SG&amp;A'!BY32+'COGS + SG&amp;A'!BY60+'COGS + SG&amp;A'!BY88+'COGS + SG&amp;A'!BY144+'COGS + SG&amp;A'!BY172</f>
        <v>16.315253289999998</v>
      </c>
      <c r="BZ141" s="27">
        <f>'COGS + SG&amp;A'!BZ32+'COGS + SG&amp;A'!BZ60+'COGS + SG&amp;A'!BZ88+'COGS + SG&amp;A'!BZ144+'COGS + SG&amp;A'!BZ172</f>
        <v>14.381494230000001</v>
      </c>
      <c r="CA141" s="27">
        <f>'COGS + SG&amp;A'!CA32+'COGS + SG&amp;A'!CA60+'COGS + SG&amp;A'!CA88+'COGS + SG&amp;A'!CA144+'COGS + SG&amp;A'!CA172</f>
        <v>15.773959509999999</v>
      </c>
      <c r="CB141" s="27">
        <f>'COGS + SG&amp;A'!CB32+'COGS + SG&amp;A'!CB60+'COGS + SG&amp;A'!CB88+'COGS + SG&amp;A'!CB144+'COGS + SG&amp;A'!CB172</f>
        <v>21.930757010000004</v>
      </c>
      <c r="CC141" s="27">
        <f>'COGS + SG&amp;A'!CC32+'COGS + SG&amp;A'!CC60+'COGS + SG&amp;A'!CC88+'COGS + SG&amp;A'!CC144+'COGS + SG&amp;A'!CC172</f>
        <v>68.401464039999993</v>
      </c>
      <c r="CD141" s="27">
        <f>'COGS + SG&amp;A'!CD32+'COGS + SG&amp;A'!CD60+'COGS + SG&amp;A'!CD88+'COGS + SG&amp;A'!CD144+'COGS + SG&amp;A'!CD172</f>
        <v>16.564397870000001</v>
      </c>
      <c r="CE141" s="27">
        <f>'COGS + SG&amp;A'!CE32+'COGS + SG&amp;A'!CE60+'COGS + SG&amp;A'!CE88+'COGS + SG&amp;A'!CE144+'COGS + SG&amp;A'!CE172</f>
        <v>16.645613849999997</v>
      </c>
      <c r="CF141" s="27">
        <f>'COGS + SG&amp;A'!CF32+'COGS + SG&amp;A'!CF60+'COGS + SG&amp;A'!CF88+'COGS + SG&amp;A'!CF144+'COGS + SG&amp;A'!CF172</f>
        <v>17.7652641</v>
      </c>
      <c r="CG141" s="27">
        <f>'COGS + SG&amp;A'!CG32+'COGS + SG&amp;A'!CG60+'COGS + SG&amp;A'!CG88+'COGS + SG&amp;A'!CG144+'COGS + SG&amp;A'!CG172</f>
        <v>17.48084575</v>
      </c>
      <c r="CH141" s="27">
        <f>'COGS + SG&amp;A'!CH32+'COGS + SG&amp;A'!CH60+'COGS + SG&amp;A'!CH88+'COGS + SG&amp;A'!CH144+'COGS + SG&amp;A'!CH172</f>
        <v>68.456121570000008</v>
      </c>
      <c r="CI141" s="27">
        <f>'COGS + SG&amp;A'!CI32+'COGS + SG&amp;A'!CI60+'COGS + SG&amp;A'!CI88+'COGS + SG&amp;A'!CI144+'COGS + SG&amp;A'!CI172</f>
        <v>16.143094600000001</v>
      </c>
      <c r="CJ141" s="27">
        <f>'COGS + SG&amp;A'!CJ32+'COGS + SG&amp;A'!CJ60+'COGS + SG&amp;A'!CJ88+'COGS + SG&amp;A'!CJ144+'COGS + SG&amp;A'!CJ172</f>
        <v>16.45765647</v>
      </c>
      <c r="CK141" s="27">
        <f>'COGS + SG&amp;A'!CK32+'COGS + SG&amp;A'!CK60+'COGS + SG&amp;A'!CK88+'COGS + SG&amp;A'!CK144+'COGS + SG&amp;A'!CK172</f>
        <v>15.25186104</v>
      </c>
      <c r="CL141" s="27">
        <f>'COGS + SG&amp;A'!CL32+'COGS + SG&amp;A'!CL60+'COGS + SG&amp;A'!CL88+'COGS + SG&amp;A'!CL144+'COGS + SG&amp;A'!CL172</f>
        <v>15.799423560000001</v>
      </c>
      <c r="CM141" s="27">
        <f>'COGS + SG&amp;A'!CM32+'COGS + SG&amp;A'!CM60+'COGS + SG&amp;A'!CM88+'COGS + SG&amp;A'!CM144+'COGS + SG&amp;A'!CM172</f>
        <v>63.652035670000004</v>
      </c>
      <c r="CN141" s="27">
        <f>'COGS + SG&amp;A'!CN32+'COGS + SG&amp;A'!CN60+'COGS + SG&amp;A'!CN88+'COGS + SG&amp;A'!CN144+'COGS + SG&amp;A'!CN172</f>
        <v>15.802509260000001</v>
      </c>
      <c r="CO141" s="27">
        <f>'COGS + SG&amp;A'!CO32+'COGS + SG&amp;A'!CO60+'COGS + SG&amp;A'!CO88+'COGS + SG&amp;A'!CO144+'COGS + SG&amp;A'!CO172</f>
        <v>15.477823670000001</v>
      </c>
      <c r="CP141" s="27">
        <f>'COGS + SG&amp;A'!CP32+'COGS + SG&amp;A'!CP60+'COGS + SG&amp;A'!CP88+'COGS + SG&amp;A'!CP144+'COGS + SG&amp;A'!CP172</f>
        <v>15.017484829999997</v>
      </c>
      <c r="CQ141" s="27">
        <f>'COGS + SG&amp;A'!CQ32+'COGS + SG&amp;A'!CQ60+'COGS + SG&amp;A'!CQ88+'COGS + SG&amp;A'!CQ144+'COGS + SG&amp;A'!CQ172</f>
        <v>12.575182240000002</v>
      </c>
      <c r="CR141" s="27">
        <f>'COGS + SG&amp;A'!CR32+'COGS + SG&amp;A'!CR60+'COGS + SG&amp;A'!CR88+'COGS + SG&amp;A'!CR144+'COGS + SG&amp;A'!CR172</f>
        <v>58.873000000000005</v>
      </c>
      <c r="CS141" s="27">
        <f>'COGS + SG&amp;A'!CS32+'COGS + SG&amp;A'!CS60+'COGS + SG&amp;A'!CS88+'COGS + SG&amp;A'!CS144+'COGS + SG&amp;A'!CS172</f>
        <v>15.766415840000001</v>
      </c>
      <c r="CT141" s="27">
        <f>'COGS + SG&amp;A'!CT32+'COGS + SG&amp;A'!CT60+'COGS + SG&amp;A'!CT88+'COGS + SG&amp;A'!CT144+'COGS + SG&amp;A'!CT172</f>
        <v>15.428035179999998</v>
      </c>
      <c r="CU141" s="27">
        <f>'COGS + SG&amp;A'!CU32+'COGS + SG&amp;A'!CU60+'COGS + SG&amp;A'!CU88+'COGS + SG&amp;A'!CU144+'COGS + SG&amp;A'!CU172</f>
        <v>15.073159960000005</v>
      </c>
      <c r="CV141" s="27">
        <f>'COGS + SG&amp;A'!CV32+'COGS + SG&amp;A'!CV60+'COGS + SG&amp;A'!CV88+'COGS + SG&amp;A'!CV144+'COGS + SG&amp;A'!CV172</f>
        <v>16.796489219999998</v>
      </c>
      <c r="CW141" s="27">
        <f>'COGS + SG&amp;A'!CW32+'COGS + SG&amp;A'!CW60+'COGS + SG&amp;A'!CW88+'COGS + SG&amp;A'!CW144+'COGS + SG&amp;A'!CW172</f>
        <v>63.064100199999999</v>
      </c>
      <c r="CX141" s="27">
        <f>'COGS + SG&amp;A'!CX32+'COGS + SG&amp;A'!CX60+'COGS + SG&amp;A'!CX88+'COGS + SG&amp;A'!CX144+'COGS + SG&amp;A'!CX172</f>
        <v>14.928999999999998</v>
      </c>
      <c r="CY141" s="27">
        <f>'COGS + SG&amp;A'!CY32+'COGS + SG&amp;A'!CY60+'COGS + SG&amp;A'!CY88+'COGS + SG&amp;A'!CY144+'COGS + SG&amp;A'!CY172</f>
        <v>17.125</v>
      </c>
      <c r="CZ141" s="27">
        <f>'COGS + SG&amp;A'!CZ32+'COGS + SG&amp;A'!CZ60+'COGS + SG&amp;A'!CZ88+'COGS + SG&amp;A'!CZ144+'COGS + SG&amp;A'!CZ172</f>
        <v>15.485999999999997</v>
      </c>
      <c r="DA141" s="27">
        <f>'COGS + SG&amp;A'!DA32+'COGS + SG&amp;A'!DA60+'COGS + SG&amp;A'!DA88+'COGS + SG&amp;A'!DA144+'COGS + SG&amp;A'!DA172</f>
        <v>16.156000000000002</v>
      </c>
      <c r="DB141" s="27">
        <f>'COGS + SG&amp;A'!DB32+'COGS + SG&amp;A'!DB60+'COGS + SG&amp;A'!DB88+'COGS + SG&amp;A'!DB144+'COGS + SG&amp;A'!DB172</f>
        <v>63.695999999999998</v>
      </c>
      <c r="DC141" s="27">
        <f>'COGS + SG&amp;A'!DC32+'COGS + SG&amp;A'!DC60+'COGS + SG&amp;A'!DC88+'COGS + SG&amp;A'!DC144+'COGS + SG&amp;A'!DC172</f>
        <v>15.259</v>
      </c>
      <c r="DD141" s="27">
        <f>'COGS + SG&amp;A'!DD32+'COGS + SG&amp;A'!DD60+'COGS + SG&amp;A'!DD88+'COGS + SG&amp;A'!DD144+'COGS + SG&amp;A'!DD172</f>
        <v>16.041</v>
      </c>
      <c r="DE141" s="27">
        <f>'COGS + SG&amp;A'!DE32+'COGS + SG&amp;A'!DE60+'COGS + SG&amp;A'!DE88+'COGS + SG&amp;A'!DE144+'COGS + SG&amp;A'!DE172</f>
        <v>18.427</v>
      </c>
      <c r="DF141" s="27">
        <f>'COGS + SG&amp;A'!DF32+'COGS + SG&amp;A'!DF60+'COGS + SG&amp;A'!DF88+'COGS + SG&amp;A'!DF144+'COGS + SG&amp;A'!DF172</f>
        <v>17.838000000000005</v>
      </c>
      <c r="DG141" s="27">
        <f>'COGS + SG&amp;A'!DG32+'COGS + SG&amp;A'!DG60+'COGS + SG&amp;A'!DG88+'COGS + SG&amp;A'!DG144+'COGS + SG&amp;A'!DG172</f>
        <v>67.564999999999998</v>
      </c>
      <c r="DH141" s="27">
        <f>'COGS + SG&amp;A'!DH32+'COGS + SG&amp;A'!DH60+'COGS + SG&amp;A'!DH88+'COGS + SG&amp;A'!DH144+'COGS + SG&amp;A'!DH172</f>
        <v>16.657</v>
      </c>
      <c r="DI141" s="27">
        <f>'COGS + SG&amp;A'!DI32+'COGS + SG&amp;A'!DI60+'COGS + SG&amp;A'!DI88+'COGS + SG&amp;A'!DI144+'COGS + SG&amp;A'!DI172</f>
        <v>16.546999999999997</v>
      </c>
      <c r="DJ141" s="27">
        <f>'COGS + SG&amp;A'!DJ32+'COGS + SG&amp;A'!DJ60+'COGS + SG&amp;A'!DJ88+'COGS + SG&amp;A'!DJ144+'COGS + SG&amp;A'!DJ172</f>
        <v>18.751000000000001</v>
      </c>
      <c r="DK141" s="27">
        <f>'COGS + SG&amp;A'!DK32+'COGS + SG&amp;A'!DK60+'COGS + SG&amp;A'!DK88+'COGS + SG&amp;A'!DK144+'COGS + SG&amp;A'!DK172</f>
        <v>26.679000000000002</v>
      </c>
      <c r="DL141" s="27">
        <f>'COGS + SG&amp;A'!DL32+'COGS + SG&amp;A'!DL60+'COGS + SG&amp;A'!DL88+'COGS + SG&amp;A'!DL144+'COGS + SG&amp;A'!DL172</f>
        <v>78.634000000000015</v>
      </c>
      <c r="DM141" s="27">
        <f>'COGS + SG&amp;A'!DM32+'COGS + SG&amp;A'!DM60+'COGS + SG&amp;A'!DM88+'COGS + SG&amp;A'!DM144+'COGS + SG&amp;A'!DM172</f>
        <v>19.184000000000001</v>
      </c>
      <c r="DN141" s="27">
        <f>'COGS + SG&amp;A'!DN32+'COGS + SG&amp;A'!DN60+'COGS + SG&amp;A'!DN88+'COGS + SG&amp;A'!DN144+'COGS + SG&amp;A'!DN172</f>
        <v>19.056999999999999</v>
      </c>
      <c r="DO141" s="27">
        <f>'COGS + SG&amp;A'!DO32+'COGS + SG&amp;A'!DO60+'COGS + SG&amp;A'!DO88+'COGS + SG&amp;A'!DO144+'COGS + SG&amp;A'!DO172</f>
        <v>20.077000000000002</v>
      </c>
      <c r="DP141" s="27">
        <f>'COGS + SG&amp;A'!DP32+'COGS + SG&amp;A'!DP60+'COGS + SG&amp;A'!DP88+'COGS + SG&amp;A'!DP144+'COGS + SG&amp;A'!DP172</f>
        <v>17.250999999999998</v>
      </c>
      <c r="DQ141" s="27">
        <f>'COGS + SG&amp;A'!DQ32+'COGS + SG&amp;A'!DQ60+'COGS + SG&amp;A'!DQ88+'COGS + SG&amp;A'!DQ144+'COGS + SG&amp;A'!DQ172</f>
        <v>75.569000000000003</v>
      </c>
      <c r="DR141" s="27">
        <f>'COGS + SG&amp;A'!DR32+'COGS + SG&amp;A'!DR60+'COGS + SG&amp;A'!DR88+'COGS + SG&amp;A'!DR144+'COGS + SG&amp;A'!DR172</f>
        <v>4.927999999999999</v>
      </c>
      <c r="DS141" s="27">
        <f>'COGS + SG&amp;A'!DS32+'COGS + SG&amp;A'!DS60+'COGS + SG&amp;A'!DS88+'COGS + SG&amp;A'!DS144+'COGS + SG&amp;A'!DS172</f>
        <v>4.3469999999999995</v>
      </c>
      <c r="DT141" s="27">
        <f>'COGS + SG&amp;A'!DT32+'COGS + SG&amp;A'!DT60+'COGS + SG&amp;A'!DT88+'COGS + SG&amp;A'!DT144+'COGS + SG&amp;A'!DT172</f>
        <v>3.6260000000000003</v>
      </c>
      <c r="DU141" s="27">
        <f>'COGS + SG&amp;A'!DU32+'COGS + SG&amp;A'!DU60+'COGS + SG&amp;A'!DU88+'COGS + SG&amp;A'!DU144+'COGS + SG&amp;A'!DU172</f>
        <v>0.43200000000000044</v>
      </c>
      <c r="DV141" s="27">
        <f>'COGS + SG&amp;A'!DV32+'COGS + SG&amp;A'!DV60+'COGS + SG&amp;A'!DV88+'COGS + SG&amp;A'!DV144+'COGS + SG&amp;A'!DV172</f>
        <v>13.333</v>
      </c>
      <c r="DW141" s="27">
        <f>'COGS + SG&amp;A'!DW32+'COGS + SG&amp;A'!DW60+'COGS + SG&amp;A'!DW88+'COGS + SG&amp;A'!DW144+'COGS + SG&amp;A'!DW172</f>
        <v>0.68700000000000006</v>
      </c>
      <c r="DX141" s="27">
        <f>'COGS + SG&amp;A'!DX32+'COGS + SG&amp;A'!DX60+'COGS + SG&amp;A'!DX88+'COGS + SG&amp;A'!DX144+'COGS + SG&amp;A'!DX172</f>
        <v>0.14931281000000002</v>
      </c>
      <c r="DY141" s="27">
        <f>'COGS + SG&amp;A'!DY32+'COGS + SG&amp;A'!DY60+'COGS + SG&amp;A'!DY88+'COGS + SG&amp;A'!DY144+'COGS + SG&amp;A'!DY172</f>
        <v>0.3443747399999999</v>
      </c>
      <c r="DZ141" s="27">
        <f>'COGS + SG&amp;A'!DZ32+'COGS + SG&amp;A'!DZ60+'COGS + SG&amp;A'!DZ88+'COGS + SG&amp;A'!DZ144+'COGS + SG&amp;A'!DZ172</f>
        <v>0.99698782000000008</v>
      </c>
      <c r="EA141" s="27">
        <f>'COGS + SG&amp;A'!EA32+'COGS + SG&amp;A'!EA60+'COGS + SG&amp;A'!EA88+'COGS + SG&amp;A'!EA144+'COGS + SG&amp;A'!EA172</f>
        <v>2.1776753700000002</v>
      </c>
      <c r="EB141" s="27">
        <f>'COGS + SG&amp;A'!EB32+'COGS + SG&amp;A'!EB60+'COGS + SG&amp;A'!EB88+'COGS + SG&amp;A'!EB144+'COGS + SG&amp;A'!EB172</f>
        <v>0.19167049</v>
      </c>
      <c r="EC141" s="27">
        <f>'COGS + SG&amp;A'!EC32+'COGS + SG&amp;A'!EC60+'COGS + SG&amp;A'!EC88+'COGS + SG&amp;A'!EC144+'COGS + SG&amp;A'!EC172</f>
        <v>0.55428867000000004</v>
      </c>
      <c r="ED141" s="27">
        <f>'COGS + SG&amp;A'!ED32+'COGS + SG&amp;A'!ED60+'COGS + SG&amp;A'!ED88+'COGS + SG&amp;A'!ED144+'COGS + SG&amp;A'!ED172</f>
        <v>-6.8000000000000005E-2</v>
      </c>
      <c r="EE141" s="27">
        <f>'COGS + SG&amp;A'!EE32+'COGS + SG&amp;A'!EE60+'COGS + SG&amp;A'!EE88+'COGS + SG&amp;A'!EE144+'COGS + SG&amp;A'!EE172</f>
        <v>0.23944087999999994</v>
      </c>
      <c r="EF141" s="27">
        <f>'COGS + SG&amp;A'!EF32+'COGS + SG&amp;A'!EF60+'COGS + SG&amp;A'!EF88+'COGS + SG&amp;A'!EF144+'COGS + SG&amp;A'!EF172</f>
        <v>0.91740003999999997</v>
      </c>
      <c r="EG141" s="27">
        <f>'COGS + SG&amp;A'!EG32+'COGS + SG&amp;A'!EG60+'COGS + SG&amp;A'!EG88+'COGS + SG&amp;A'!EG144+'COGS + SG&amp;A'!EG172</f>
        <v>0.16024788000000001</v>
      </c>
      <c r="EH141" s="27">
        <f>'COGS + SG&amp;A'!EH32+'COGS + SG&amp;A'!EH60+'COGS + SG&amp;A'!EH88+'COGS + SG&amp;A'!EH144+'COGS + SG&amp;A'!EH172</f>
        <v>1.8080760000000015E-2</v>
      </c>
      <c r="EI141" s="27">
        <f>'COGS + SG&amp;A'!EI32+'COGS + SG&amp;A'!EI60+'COGS + SG&amp;A'!EI88+'COGS + SG&amp;A'!EI144+'COGS + SG&amp;A'!EI172</f>
        <v>0.17155678000000002</v>
      </c>
    </row>
    <row r="142" spans="1:139" ht="15" thickBot="1" x14ac:dyDescent="0.35">
      <c r="A142" s="2" t="s">
        <v>454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28">
        <f>'COGS + SG&amp;A'!BJ33+'COGS + SG&amp;A'!BJ61+'COGS + SG&amp;A'!BJ89+'COGS + SG&amp;A'!BJ145+'COGS + SG&amp;A'!BJ173</f>
        <v>9.8713055799999996</v>
      </c>
      <c r="BK142" s="28">
        <f>'COGS + SG&amp;A'!BK33+'COGS + SG&amp;A'!BK61+'COGS + SG&amp;A'!BK89+'COGS + SG&amp;A'!BK145+'COGS + SG&amp;A'!BK173</f>
        <v>9.0670513900000014</v>
      </c>
      <c r="BL142" s="28">
        <f>'COGS + SG&amp;A'!BL33+'COGS + SG&amp;A'!BL61+'COGS + SG&amp;A'!BL89+'COGS + SG&amp;A'!BL145+'COGS + SG&amp;A'!BL173</f>
        <v>9.5911887500000006</v>
      </c>
      <c r="BM142" s="28">
        <f>'COGS + SG&amp;A'!BM33+'COGS + SG&amp;A'!BM61+'COGS + SG&amp;A'!BM89+'COGS + SG&amp;A'!BM145+'COGS + SG&amp;A'!BM173</f>
        <v>9.1517191999999987</v>
      </c>
      <c r="BN142" s="28">
        <f>'COGS + SG&amp;A'!BN33+'COGS + SG&amp;A'!BN61+'COGS + SG&amp;A'!BN89+'COGS + SG&amp;A'!BN145+'COGS + SG&amp;A'!BN173</f>
        <v>37.681264920000004</v>
      </c>
      <c r="BO142" s="28">
        <f>'COGS + SG&amp;A'!BO33+'COGS + SG&amp;A'!BO61+'COGS + SG&amp;A'!BO89+'COGS + SG&amp;A'!BO145+'COGS + SG&amp;A'!BO173</f>
        <v>10.00316531</v>
      </c>
      <c r="BP142" s="28">
        <f>'COGS + SG&amp;A'!BP33+'COGS + SG&amp;A'!BP61+'COGS + SG&amp;A'!BP89+'COGS + SG&amp;A'!BP145+'COGS + SG&amp;A'!BP173</f>
        <v>11.115872009999999</v>
      </c>
      <c r="BQ142" s="28">
        <f>'COGS + SG&amp;A'!BQ33+'COGS + SG&amp;A'!BQ61+'COGS + SG&amp;A'!BQ89+'COGS + SG&amp;A'!BQ145+'COGS + SG&amp;A'!BQ173</f>
        <v>10.556528780000001</v>
      </c>
      <c r="BR142" s="28">
        <f>'COGS + SG&amp;A'!BR33+'COGS + SG&amp;A'!BR61+'COGS + SG&amp;A'!BR89+'COGS + SG&amp;A'!BR145+'COGS + SG&amp;A'!BR173</f>
        <v>7.3161504699999984</v>
      </c>
      <c r="BS142" s="28">
        <f>'COGS + SG&amp;A'!BS33+'COGS + SG&amp;A'!BS61+'COGS + SG&amp;A'!BS89+'COGS + SG&amp;A'!BS145+'COGS + SG&amp;A'!BS173</f>
        <v>38.991716570000001</v>
      </c>
      <c r="BT142" s="28">
        <f>'COGS + SG&amp;A'!BT33+'COGS + SG&amp;A'!BT61+'COGS + SG&amp;A'!BT89+'COGS + SG&amp;A'!BT145+'COGS + SG&amp;A'!BT173</f>
        <v>12.12782586</v>
      </c>
      <c r="BU142" s="28">
        <f>'COGS + SG&amp;A'!BU33+'COGS + SG&amp;A'!BU61+'COGS + SG&amp;A'!BU89+'COGS + SG&amp;A'!BU145+'COGS + SG&amp;A'!BU173</f>
        <v>11.483690299999999</v>
      </c>
      <c r="BV142" s="28">
        <f>'COGS + SG&amp;A'!BV33+'COGS + SG&amp;A'!BV61+'COGS + SG&amp;A'!BV89+'COGS + SG&amp;A'!BV145+'COGS + SG&amp;A'!BV173</f>
        <v>8.5680323600000019</v>
      </c>
      <c r="BW142" s="28">
        <f>'COGS + SG&amp;A'!BW33+'COGS + SG&amp;A'!BW61+'COGS + SG&amp;A'!BW89+'COGS + SG&amp;A'!BW145+'COGS + SG&amp;A'!BW173</f>
        <v>7.6036681300000017</v>
      </c>
      <c r="BX142" s="28">
        <f>'COGS + SG&amp;A'!BX33+'COGS + SG&amp;A'!BX61+'COGS + SG&amp;A'!BX89+'COGS + SG&amp;A'!BX145+'COGS + SG&amp;A'!BX173</f>
        <v>39.78321665</v>
      </c>
      <c r="BY142" s="28">
        <f>'COGS + SG&amp;A'!BY33+'COGS + SG&amp;A'!BY61+'COGS + SG&amp;A'!BY89+'COGS + SG&amp;A'!BY145+'COGS + SG&amp;A'!BY173</f>
        <v>11.179525750000002</v>
      </c>
      <c r="BZ142" s="28">
        <f>'COGS + SG&amp;A'!BZ33+'COGS + SG&amp;A'!BZ61+'COGS + SG&amp;A'!BZ89+'COGS + SG&amp;A'!BZ145+'COGS + SG&amp;A'!BZ173</f>
        <v>13.416185669999999</v>
      </c>
      <c r="CA142" s="28">
        <f>'COGS + SG&amp;A'!CA33+'COGS + SG&amp;A'!CA61+'COGS + SG&amp;A'!CA89+'COGS + SG&amp;A'!CA145+'COGS + SG&amp;A'!CA173</f>
        <v>12.73295377</v>
      </c>
      <c r="CB142" s="28">
        <f>'COGS + SG&amp;A'!CB33+'COGS + SG&amp;A'!CB61+'COGS + SG&amp;A'!CB89+'COGS + SG&amp;A'!CB145+'COGS + SG&amp;A'!CB173</f>
        <v>13.83750949</v>
      </c>
      <c r="CC142" s="28">
        <f>'COGS + SG&amp;A'!CC33+'COGS + SG&amp;A'!CC61+'COGS + SG&amp;A'!CC89+'COGS + SG&amp;A'!CC145+'COGS + SG&amp;A'!CC173</f>
        <v>51.16617467999999</v>
      </c>
      <c r="CD142" s="28">
        <f>'COGS + SG&amp;A'!CD33+'COGS + SG&amp;A'!CD61+'COGS + SG&amp;A'!CD89+'COGS + SG&amp;A'!CD145+'COGS + SG&amp;A'!CD173</f>
        <v>12.89888099</v>
      </c>
      <c r="CE142" s="28">
        <f>'COGS + SG&amp;A'!CE33+'COGS + SG&amp;A'!CE61+'COGS + SG&amp;A'!CE89+'COGS + SG&amp;A'!CE145+'COGS + SG&amp;A'!CE173</f>
        <v>13.919130410000001</v>
      </c>
      <c r="CF142" s="28">
        <f>'COGS + SG&amp;A'!CF33+'COGS + SG&amp;A'!CF61+'COGS + SG&amp;A'!CF89+'COGS + SG&amp;A'!CF145+'COGS + SG&amp;A'!CF173</f>
        <v>13.802240280000003</v>
      </c>
      <c r="CG142" s="28">
        <f>'COGS + SG&amp;A'!CG33+'COGS + SG&amp;A'!CG61+'COGS + SG&amp;A'!CG89+'COGS + SG&amp;A'!CG145+'COGS + SG&amp;A'!CG173</f>
        <v>12.721622570000003</v>
      </c>
      <c r="CH142" s="28">
        <f>'COGS + SG&amp;A'!CH33+'COGS + SG&amp;A'!CH61+'COGS + SG&amp;A'!CH89+'COGS + SG&amp;A'!CH145+'COGS + SG&amp;A'!CH173</f>
        <v>53.341874250000004</v>
      </c>
      <c r="CI142" s="28">
        <f>'COGS + SG&amp;A'!CI33+'COGS + SG&amp;A'!CI61+'COGS + SG&amp;A'!CI89+'COGS + SG&amp;A'!CI145+'COGS + SG&amp;A'!CI173</f>
        <v>13.167089420000002</v>
      </c>
      <c r="CJ142" s="28">
        <f>'COGS + SG&amp;A'!CJ33+'COGS + SG&amp;A'!CJ61+'COGS + SG&amp;A'!CJ89+'COGS + SG&amp;A'!CJ145+'COGS + SG&amp;A'!CJ173</f>
        <v>14.25245924</v>
      </c>
      <c r="CK142" s="28">
        <f>'COGS + SG&amp;A'!CK33+'COGS + SG&amp;A'!CK61+'COGS + SG&amp;A'!CK89+'COGS + SG&amp;A'!CK145+'COGS + SG&amp;A'!CK173</f>
        <v>17.754977970000002</v>
      </c>
      <c r="CL142" s="28">
        <f>'COGS + SG&amp;A'!CL33+'COGS + SG&amp;A'!CL61+'COGS + SG&amp;A'!CL89+'COGS + SG&amp;A'!CL145+'COGS + SG&amp;A'!CL173</f>
        <v>18.846582059999999</v>
      </c>
      <c r="CM142" s="28">
        <f>'COGS + SG&amp;A'!CM33+'COGS + SG&amp;A'!CM61+'COGS + SG&amp;A'!CM89+'COGS + SG&amp;A'!CM145+'COGS + SG&amp;A'!CM173</f>
        <v>64.021108690000005</v>
      </c>
      <c r="CN142" s="28">
        <f>'COGS + SG&amp;A'!CN33+'COGS + SG&amp;A'!CN61+'COGS + SG&amp;A'!CN89+'COGS + SG&amp;A'!CN145+'COGS + SG&amp;A'!CN173</f>
        <v>17.000879279999999</v>
      </c>
      <c r="CO142" s="28">
        <f>'COGS + SG&amp;A'!CO33+'COGS + SG&amp;A'!CO61+'COGS + SG&amp;A'!CO89+'COGS + SG&amp;A'!CO145+'COGS + SG&amp;A'!CO173</f>
        <v>17.94835337</v>
      </c>
      <c r="CP142" s="28">
        <f>'COGS + SG&amp;A'!CP33+'COGS + SG&amp;A'!CP61+'COGS + SG&amp;A'!CP89+'COGS + SG&amp;A'!CP145+'COGS + SG&amp;A'!CP173</f>
        <v>17.635030060000002</v>
      </c>
      <c r="CQ142" s="28">
        <f>'COGS + SG&amp;A'!CQ33+'COGS + SG&amp;A'!CQ61+'COGS + SG&amp;A'!CQ89+'COGS + SG&amp;A'!CQ145+'COGS + SG&amp;A'!CQ173</f>
        <v>15.873737289999998</v>
      </c>
      <c r="CR142" s="28">
        <f>'COGS + SG&amp;A'!CR33+'COGS + SG&amp;A'!CR61+'COGS + SG&amp;A'!CR89+'COGS + SG&amp;A'!CR145+'COGS + SG&amp;A'!CR173</f>
        <v>68.457999999999998</v>
      </c>
      <c r="CS142" s="28">
        <f>'COGS + SG&amp;A'!CS33+'COGS + SG&amp;A'!CS61+'COGS + SG&amp;A'!CS89+'COGS + SG&amp;A'!CS145+'COGS + SG&amp;A'!CS173</f>
        <v>17.256896990000001</v>
      </c>
      <c r="CT142" s="28">
        <f>'COGS + SG&amp;A'!CT33+'COGS + SG&amp;A'!CT61+'COGS + SG&amp;A'!CT89+'COGS + SG&amp;A'!CT145+'COGS + SG&amp;A'!CT173</f>
        <v>18.646634389999999</v>
      </c>
      <c r="CU142" s="28">
        <f>'COGS + SG&amp;A'!CU33+'COGS + SG&amp;A'!CU61+'COGS + SG&amp;A'!CU89+'COGS + SG&amp;A'!CU145+'COGS + SG&amp;A'!CU173</f>
        <v>18.260906179999999</v>
      </c>
      <c r="CV142" s="28">
        <f>'COGS + SG&amp;A'!CV33+'COGS + SG&amp;A'!CV61+'COGS + SG&amp;A'!CV89+'COGS + SG&amp;A'!CV145+'COGS + SG&amp;A'!CV173</f>
        <v>18.452996299999999</v>
      </c>
      <c r="CW142" s="28">
        <f>'COGS + SG&amp;A'!CW33+'COGS + SG&amp;A'!CW61+'COGS + SG&amp;A'!CW89+'COGS + SG&amp;A'!CW145+'COGS + SG&amp;A'!CW173</f>
        <v>72.617433859999991</v>
      </c>
      <c r="CX142" s="28">
        <f>'COGS + SG&amp;A'!CX33+'COGS + SG&amp;A'!CX61+'COGS + SG&amp;A'!CX89+'COGS + SG&amp;A'!CX145+'COGS + SG&amp;A'!CX173</f>
        <v>18.558</v>
      </c>
      <c r="CY142" s="28">
        <f>'COGS + SG&amp;A'!CY33+'COGS + SG&amp;A'!CY61+'COGS + SG&amp;A'!CY89+'COGS + SG&amp;A'!CY145+'COGS + SG&amp;A'!CY173</f>
        <v>18.190000000000001</v>
      </c>
      <c r="CZ142" s="28">
        <f>'COGS + SG&amp;A'!CZ33+'COGS + SG&amp;A'!CZ61+'COGS + SG&amp;A'!CZ89+'COGS + SG&amp;A'!CZ145+'COGS + SG&amp;A'!CZ173</f>
        <v>16.725999999999999</v>
      </c>
      <c r="DA142" s="28">
        <f>'COGS + SG&amp;A'!DA33+'COGS + SG&amp;A'!DA61+'COGS + SG&amp;A'!DA89+'COGS + SG&amp;A'!DA145+'COGS + SG&amp;A'!DA173</f>
        <v>17.942</v>
      </c>
      <c r="DB142" s="28">
        <f>'COGS + SG&amp;A'!DB33+'COGS + SG&amp;A'!DB61+'COGS + SG&amp;A'!DB89+'COGS + SG&amp;A'!DB145+'COGS + SG&amp;A'!DB173</f>
        <v>71.415999999999997</v>
      </c>
      <c r="DC142" s="28">
        <f>'COGS + SG&amp;A'!DC33+'COGS + SG&amp;A'!DC61+'COGS + SG&amp;A'!DC89+'COGS + SG&amp;A'!DC145+'COGS + SG&amp;A'!DC173</f>
        <v>17.213000000000001</v>
      </c>
      <c r="DD142" s="28">
        <f>'COGS + SG&amp;A'!DD33+'COGS + SG&amp;A'!DD61+'COGS + SG&amp;A'!DD89+'COGS + SG&amp;A'!DD145+'COGS + SG&amp;A'!DD173</f>
        <v>18.119999999999997</v>
      </c>
      <c r="DE142" s="28">
        <f>'COGS + SG&amp;A'!DE33+'COGS + SG&amp;A'!DE61+'COGS + SG&amp;A'!DE89+'COGS + SG&amp;A'!DE145+'COGS + SG&amp;A'!DE173</f>
        <v>18.303999999999998</v>
      </c>
      <c r="DF142" s="28">
        <f>'COGS + SG&amp;A'!DF33+'COGS + SG&amp;A'!DF61+'COGS + SG&amp;A'!DF89+'COGS + SG&amp;A'!DF145+'COGS + SG&amp;A'!DF173</f>
        <v>17.892999999999997</v>
      </c>
      <c r="DG142" s="28">
        <f>'COGS + SG&amp;A'!DG33+'COGS + SG&amp;A'!DG61+'COGS + SG&amp;A'!DG89+'COGS + SG&amp;A'!DG145+'COGS + SG&amp;A'!DG173</f>
        <v>71.530000000000015</v>
      </c>
      <c r="DH142" s="28">
        <f>'COGS + SG&amp;A'!DH33+'COGS + SG&amp;A'!DH61+'COGS + SG&amp;A'!DH89+'COGS + SG&amp;A'!DH145+'COGS + SG&amp;A'!DH173</f>
        <v>18.524000000000001</v>
      </c>
      <c r="DI142" s="28">
        <f>'COGS + SG&amp;A'!DI33+'COGS + SG&amp;A'!DI61+'COGS + SG&amp;A'!DI89+'COGS + SG&amp;A'!DI145+'COGS + SG&amp;A'!DI173</f>
        <v>17.207999999999998</v>
      </c>
      <c r="DJ142" s="28">
        <f>'COGS + SG&amp;A'!DJ33+'COGS + SG&amp;A'!DJ61+'COGS + SG&amp;A'!DJ89+'COGS + SG&amp;A'!DJ145+'COGS + SG&amp;A'!DJ173</f>
        <v>18.693000000000001</v>
      </c>
      <c r="DK142" s="28">
        <f>'COGS + SG&amp;A'!DK33+'COGS + SG&amp;A'!DK61+'COGS + SG&amp;A'!DK89+'COGS + SG&amp;A'!DK145+'COGS + SG&amp;A'!DK173</f>
        <v>19.285</v>
      </c>
      <c r="DL142" s="28">
        <f>'COGS + SG&amp;A'!DL33+'COGS + SG&amp;A'!DL61+'COGS + SG&amp;A'!DL89+'COGS + SG&amp;A'!DL145+'COGS + SG&amp;A'!DL173</f>
        <v>73.710000000000008</v>
      </c>
      <c r="DM142" s="28">
        <f>'COGS + SG&amp;A'!DM33+'COGS + SG&amp;A'!DM61+'COGS + SG&amp;A'!DM89+'COGS + SG&amp;A'!DM145+'COGS + SG&amp;A'!DM173</f>
        <v>19.176000000000002</v>
      </c>
      <c r="DN142" s="28">
        <f>'COGS + SG&amp;A'!DN33+'COGS + SG&amp;A'!DN61+'COGS + SG&amp;A'!DN89+'COGS + SG&amp;A'!DN145+'COGS + SG&amp;A'!DN173</f>
        <v>21.367999999999999</v>
      </c>
      <c r="DO142" s="28">
        <f>'COGS + SG&amp;A'!DO33+'COGS + SG&amp;A'!DO61+'COGS + SG&amp;A'!DO89+'COGS + SG&amp;A'!DO145+'COGS + SG&amp;A'!DO173</f>
        <v>20.737999999999996</v>
      </c>
      <c r="DP142" s="28">
        <f>'COGS + SG&amp;A'!DP33+'COGS + SG&amp;A'!DP61+'COGS + SG&amp;A'!DP89+'COGS + SG&amp;A'!DP145+'COGS + SG&amp;A'!DP173</f>
        <v>20.552</v>
      </c>
      <c r="DQ142" s="28">
        <f>'COGS + SG&amp;A'!DQ33+'COGS + SG&amp;A'!DQ61+'COGS + SG&amp;A'!DQ89+'COGS + SG&amp;A'!DQ145+'COGS + SG&amp;A'!DQ173</f>
        <v>81.833999999999989</v>
      </c>
      <c r="DR142" s="28">
        <f>'COGS + SG&amp;A'!DR33+'COGS + SG&amp;A'!DR61+'COGS + SG&amp;A'!DR89+'COGS + SG&amp;A'!DR145+'COGS + SG&amp;A'!DR173</f>
        <v>21.595000000000002</v>
      </c>
      <c r="DS142" s="28">
        <f>'COGS + SG&amp;A'!DS33+'COGS + SG&amp;A'!DS61+'COGS + SG&amp;A'!DS89+'COGS + SG&amp;A'!DS145+'COGS + SG&amp;A'!DS173</f>
        <v>22.33</v>
      </c>
      <c r="DT142" s="28">
        <f>'COGS + SG&amp;A'!DT33+'COGS + SG&amp;A'!DT61+'COGS + SG&amp;A'!DT89+'COGS + SG&amp;A'!DT145+'COGS + SG&amp;A'!DT173</f>
        <v>20.938999999999997</v>
      </c>
      <c r="DU142" s="28">
        <f>'COGS + SG&amp;A'!DU33+'COGS + SG&amp;A'!DU61+'COGS + SG&amp;A'!DU89+'COGS + SG&amp;A'!DU145+'COGS + SG&amp;A'!DU173</f>
        <v>13.177</v>
      </c>
      <c r="DV142" s="28">
        <f>'COGS + SG&amp;A'!DV33+'COGS + SG&amp;A'!DV61+'COGS + SG&amp;A'!DV89+'COGS + SG&amp;A'!DV145+'COGS + SG&amp;A'!DV173</f>
        <v>78.040999999999997</v>
      </c>
      <c r="DW142" s="28">
        <f>'COGS + SG&amp;A'!DW33+'COGS + SG&amp;A'!DW61+'COGS + SG&amp;A'!DW89+'COGS + SG&amp;A'!DW145+'COGS + SG&amp;A'!DW173</f>
        <v>21.146999999999998</v>
      </c>
      <c r="DX142" s="28">
        <f>'COGS + SG&amp;A'!DX33+'COGS + SG&amp;A'!DX61+'COGS + SG&amp;A'!DX89+'COGS + SG&amp;A'!DX145+'COGS + SG&amp;A'!DX173</f>
        <v>22.533059359999999</v>
      </c>
      <c r="DY142" s="28">
        <f>'COGS + SG&amp;A'!DY33+'COGS + SG&amp;A'!DY61+'COGS + SG&amp;A'!DY89+'COGS + SG&amp;A'!DY145+'COGS + SG&amp;A'!DY173</f>
        <v>21.174619740000004</v>
      </c>
      <c r="DZ142" s="28">
        <f>'COGS + SG&amp;A'!DZ33+'COGS + SG&amp;A'!DZ61+'COGS + SG&amp;A'!DZ89+'COGS + SG&amp;A'!DZ145+'COGS + SG&amp;A'!DZ173</f>
        <v>22.890255310000001</v>
      </c>
      <c r="EA142" s="28">
        <f>'COGS + SG&amp;A'!EA33+'COGS + SG&amp;A'!EA61+'COGS + SG&amp;A'!EA89+'COGS + SG&amp;A'!EA145+'COGS + SG&amp;A'!EA173</f>
        <v>87.744934410000013</v>
      </c>
      <c r="EB142" s="28">
        <f>'COGS + SG&amp;A'!EB33+'COGS + SG&amp;A'!EB61+'COGS + SG&amp;A'!EB89+'COGS + SG&amp;A'!EB145+'COGS + SG&amp;A'!EB173</f>
        <v>24.780399899999999</v>
      </c>
      <c r="EC142" s="28">
        <f>'COGS + SG&amp;A'!EC33+'COGS + SG&amp;A'!EC61+'COGS + SG&amp;A'!EC89+'COGS + SG&amp;A'!EC145+'COGS + SG&amp;A'!EC173</f>
        <v>22.825639200000001</v>
      </c>
      <c r="ED142" s="28">
        <f>'COGS + SG&amp;A'!ED33+'COGS + SG&amp;A'!ED61+'COGS + SG&amp;A'!ED89+'COGS + SG&amp;A'!ED145+'COGS + SG&amp;A'!ED173</f>
        <v>23.034999999999997</v>
      </c>
      <c r="EE142" s="28">
        <f>'COGS + SG&amp;A'!EE33+'COGS + SG&amp;A'!EE61+'COGS + SG&amp;A'!EE89+'COGS + SG&amp;A'!EE145+'COGS + SG&amp;A'!EE173</f>
        <v>24.922551970000001</v>
      </c>
      <c r="EF142" s="28">
        <f>'COGS + SG&amp;A'!EF33+'COGS + SG&amp;A'!EF61+'COGS + SG&amp;A'!EF89+'COGS + SG&amp;A'!EF145+'COGS + SG&amp;A'!EF173</f>
        <v>95.563591070000001</v>
      </c>
      <c r="EG142" s="28">
        <f>'COGS + SG&amp;A'!EG33+'COGS + SG&amp;A'!EG61+'COGS + SG&amp;A'!EG89+'COGS + SG&amp;A'!EG145+'COGS + SG&amp;A'!EG173</f>
        <v>25.38389948</v>
      </c>
      <c r="EH142" s="28">
        <f>'COGS + SG&amp;A'!EH33+'COGS + SG&amp;A'!EH61+'COGS + SG&amp;A'!EH89+'COGS + SG&amp;A'!EH145+'COGS + SG&amp;A'!EH173</f>
        <v>27.764666800000001</v>
      </c>
      <c r="EI142" s="28">
        <f>'COGS + SG&amp;A'!EI33+'COGS + SG&amp;A'!EI61+'COGS + SG&amp;A'!EI89+'COGS + SG&amp;A'!EI145+'COGS + SG&amp;A'!EI173</f>
        <v>27.976093079999998</v>
      </c>
    </row>
    <row r="143" spans="1:139" ht="15" thickTop="1" x14ac:dyDescent="0.3">
      <c r="A143" s="1" t="s">
        <v>442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27">
        <f>'COGS + SG&amp;A'!BJ34+'COGS + SG&amp;A'!BJ62+'COGS + SG&amp;A'!BJ90+'COGS + SG&amp;A'!BJ146+'COGS + SG&amp;A'!BJ174</f>
        <v>37.187962699999993</v>
      </c>
      <c r="BK143" s="27">
        <f>'COGS + SG&amp;A'!BK34+'COGS + SG&amp;A'!BK62+'COGS + SG&amp;A'!BK90+'COGS + SG&amp;A'!BK146+'COGS + SG&amp;A'!BK174</f>
        <v>37.700256650000007</v>
      </c>
      <c r="BL143" s="27">
        <f>'COGS + SG&amp;A'!BL34+'COGS + SG&amp;A'!BL62+'COGS + SG&amp;A'!BL90+'COGS + SG&amp;A'!BL146+'COGS + SG&amp;A'!BL174</f>
        <v>42.347804580000002</v>
      </c>
      <c r="BM143" s="27">
        <f>'COGS + SG&amp;A'!BM34+'COGS + SG&amp;A'!BM62+'COGS + SG&amp;A'!BM90+'COGS + SG&amp;A'!BM146+'COGS + SG&amp;A'!BM174</f>
        <v>42.57043921999999</v>
      </c>
      <c r="BN143" s="27">
        <f>'COGS + SG&amp;A'!BN34+'COGS + SG&amp;A'!BN62+'COGS + SG&amp;A'!BN90+'COGS + SG&amp;A'!BN146+'COGS + SG&amp;A'!BN174</f>
        <v>159.80646315000001</v>
      </c>
      <c r="BO143" s="27">
        <f>'COGS + SG&amp;A'!BO34+'COGS + SG&amp;A'!BO62+'COGS + SG&amp;A'!BO90+'COGS + SG&amp;A'!BO146+'COGS + SG&amp;A'!BO174</f>
        <v>43.526707340000002</v>
      </c>
      <c r="BP143" s="27">
        <f>'COGS + SG&amp;A'!BP34+'COGS + SG&amp;A'!BP62+'COGS + SG&amp;A'!BP90+'COGS + SG&amp;A'!BP146+'COGS + SG&amp;A'!BP174</f>
        <v>42.259819579999991</v>
      </c>
      <c r="BQ143" s="27">
        <f>'COGS + SG&amp;A'!BQ34+'COGS + SG&amp;A'!BQ62+'COGS + SG&amp;A'!BQ90+'COGS + SG&amp;A'!BQ146+'COGS + SG&amp;A'!BQ174</f>
        <v>46.404074340000008</v>
      </c>
      <c r="BR143" s="27">
        <f>'COGS + SG&amp;A'!BR34+'COGS + SG&amp;A'!BR62+'COGS + SG&amp;A'!BR90+'COGS + SG&amp;A'!BR146+'COGS + SG&amp;A'!BR174</f>
        <v>42.450215189999987</v>
      </c>
      <c r="BS143" s="27">
        <f>'COGS + SG&amp;A'!BS34+'COGS + SG&amp;A'!BS62+'COGS + SG&amp;A'!BS90+'COGS + SG&amp;A'!BS146+'COGS + SG&amp;A'!BS174</f>
        <v>174.64081645000002</v>
      </c>
      <c r="BT143" s="27">
        <f>'COGS + SG&amp;A'!BT34+'COGS + SG&amp;A'!BT62+'COGS + SG&amp;A'!BT90+'COGS + SG&amp;A'!BT146+'COGS + SG&amp;A'!BT174</f>
        <v>43.057273830000007</v>
      </c>
      <c r="BU143" s="27">
        <f>'COGS + SG&amp;A'!BU34+'COGS + SG&amp;A'!BU62+'COGS + SG&amp;A'!BU90+'COGS + SG&amp;A'!BU146+'COGS + SG&amp;A'!BU174</f>
        <v>45.548537719999999</v>
      </c>
      <c r="BV143" s="27">
        <f>'COGS + SG&amp;A'!BV34+'COGS + SG&amp;A'!BV62+'COGS + SG&amp;A'!BV90+'COGS + SG&amp;A'!BV146+'COGS + SG&amp;A'!BV174</f>
        <v>49.233699689999987</v>
      </c>
      <c r="BW143" s="27">
        <f>'COGS + SG&amp;A'!BW34+'COGS + SG&amp;A'!BW62+'COGS + SG&amp;A'!BW90+'COGS + SG&amp;A'!BW146+'COGS + SG&amp;A'!BW174</f>
        <v>48.668549259999999</v>
      </c>
      <c r="BX143" s="27">
        <f>'COGS + SG&amp;A'!BX34+'COGS + SG&amp;A'!BX62+'COGS + SG&amp;A'!BX90+'COGS + SG&amp;A'!BX146+'COGS + SG&amp;A'!BX174</f>
        <v>186.5080605</v>
      </c>
      <c r="BY143" s="27">
        <f>'COGS + SG&amp;A'!BY34+'COGS + SG&amp;A'!BY62+'COGS + SG&amp;A'!BY90+'COGS + SG&amp;A'!BY146+'COGS + SG&amp;A'!BY174</f>
        <v>45.201151550000006</v>
      </c>
      <c r="BZ143" s="27">
        <f>'COGS + SG&amp;A'!BZ34+'COGS + SG&amp;A'!BZ62+'COGS + SG&amp;A'!BZ90+'COGS + SG&amp;A'!BZ146+'COGS + SG&amp;A'!BZ174</f>
        <v>45.427455010000003</v>
      </c>
      <c r="CA143" s="27">
        <f>'COGS + SG&amp;A'!CA34+'COGS + SG&amp;A'!CA62+'COGS + SG&amp;A'!CA90+'COGS + SG&amp;A'!CA146+'COGS + SG&amp;A'!CA174</f>
        <v>41.225908309999994</v>
      </c>
      <c r="CB143" s="27">
        <f>'COGS + SG&amp;A'!CB34+'COGS + SG&amp;A'!CB62+'COGS + SG&amp;A'!CB90+'COGS + SG&amp;A'!CB146+'COGS + SG&amp;A'!CB174</f>
        <v>47.572411410000001</v>
      </c>
      <c r="CC143" s="27">
        <f>'COGS + SG&amp;A'!CC34+'COGS + SG&amp;A'!CC62+'COGS + SG&amp;A'!CC90+'COGS + SG&amp;A'!CC146+'COGS + SG&amp;A'!CC174</f>
        <v>179.42692628</v>
      </c>
      <c r="CD143" s="27">
        <f>'COGS + SG&amp;A'!CD34+'COGS + SG&amp;A'!CD62+'COGS + SG&amp;A'!CD90+'COGS + SG&amp;A'!CD146+'COGS + SG&amp;A'!CD174</f>
        <v>45.25925599</v>
      </c>
      <c r="CE143" s="27">
        <f>'COGS + SG&amp;A'!CE34+'COGS + SG&amp;A'!CE62+'COGS + SG&amp;A'!CE90+'COGS + SG&amp;A'!CE146+'COGS + SG&amp;A'!CE174</f>
        <v>44.22297296</v>
      </c>
      <c r="CF143" s="27">
        <f>'COGS + SG&amp;A'!CF34+'COGS + SG&amp;A'!CF62+'COGS + SG&amp;A'!CF90+'COGS + SG&amp;A'!CF146+'COGS + SG&amp;A'!CF174</f>
        <v>46.473208300000003</v>
      </c>
      <c r="CG143" s="27">
        <f>'COGS + SG&amp;A'!CG34+'COGS + SG&amp;A'!CG62+'COGS + SG&amp;A'!CG90+'COGS + SG&amp;A'!CG146+'COGS + SG&amp;A'!CG174</f>
        <v>48.164172149999992</v>
      </c>
      <c r="CH143" s="27">
        <f>'COGS + SG&amp;A'!CH34+'COGS + SG&amp;A'!CH62+'COGS + SG&amp;A'!CH90+'COGS + SG&amp;A'!CH146+'COGS + SG&amp;A'!CH174</f>
        <v>184.1196094</v>
      </c>
      <c r="CI143" s="27">
        <f>'COGS + SG&amp;A'!CI34+'COGS + SG&amp;A'!CI62+'COGS + SG&amp;A'!CI90+'COGS + SG&amp;A'!CI146+'COGS + SG&amp;A'!CI174</f>
        <v>45.87847902</v>
      </c>
      <c r="CJ143" s="27">
        <f>'COGS + SG&amp;A'!CJ34+'COGS + SG&amp;A'!CJ62+'COGS + SG&amp;A'!CJ90+'COGS + SG&amp;A'!CJ146+'COGS + SG&amp;A'!CJ174</f>
        <v>48.004389630000006</v>
      </c>
      <c r="CK143" s="27">
        <f>'COGS + SG&amp;A'!CK34+'COGS + SG&amp;A'!CK62+'COGS + SG&amp;A'!CK90+'COGS + SG&amp;A'!CK146+'COGS + SG&amp;A'!CK174</f>
        <v>46.58946341</v>
      </c>
      <c r="CL143" s="27">
        <f>'COGS + SG&amp;A'!CL34+'COGS + SG&amp;A'!CL62+'COGS + SG&amp;A'!CL90+'COGS + SG&amp;A'!CL146+'COGS + SG&amp;A'!CL174</f>
        <v>49.430267930000007</v>
      </c>
      <c r="CM143" s="27">
        <f>'COGS + SG&amp;A'!CM34+'COGS + SG&amp;A'!CM62+'COGS + SG&amp;A'!CM90+'COGS + SG&amp;A'!CM146+'COGS + SG&amp;A'!CM174</f>
        <v>189.90259999</v>
      </c>
      <c r="CN143" s="27">
        <f>'COGS + SG&amp;A'!CN34+'COGS + SG&amp;A'!CN62+'COGS + SG&amp;A'!CN90+'COGS + SG&amp;A'!CN146+'COGS + SG&amp;A'!CN174</f>
        <v>47.249285120000003</v>
      </c>
      <c r="CO143" s="27">
        <f>'COGS + SG&amp;A'!CO34+'COGS + SG&amp;A'!CO62+'COGS + SG&amp;A'!CO90+'COGS + SG&amp;A'!CO146+'COGS + SG&amp;A'!CO174</f>
        <v>44.601147310000002</v>
      </c>
      <c r="CP143" s="27">
        <f>'COGS + SG&amp;A'!CP34+'COGS + SG&amp;A'!CP62+'COGS + SG&amp;A'!CP90+'COGS + SG&amp;A'!CP146+'COGS + SG&amp;A'!CP174</f>
        <v>46.154027299999996</v>
      </c>
      <c r="CQ143" s="27">
        <f>'COGS + SG&amp;A'!CQ34+'COGS + SG&amp;A'!CQ62+'COGS + SG&amp;A'!CQ90+'COGS + SG&amp;A'!CQ146+'COGS + SG&amp;A'!CQ174</f>
        <v>35.242540269999999</v>
      </c>
      <c r="CR143" s="27">
        <f>'COGS + SG&amp;A'!CR34+'COGS + SG&amp;A'!CR62+'COGS + SG&amp;A'!CR90+'COGS + SG&amp;A'!CR146+'COGS + SG&amp;A'!CR174</f>
        <v>173.24700000000001</v>
      </c>
      <c r="CS143" s="27">
        <f>'COGS + SG&amp;A'!CS34+'COGS + SG&amp;A'!CS62+'COGS + SG&amp;A'!CS90+'COGS + SG&amp;A'!CS146+'COGS + SG&amp;A'!CS174</f>
        <v>44.998779509999999</v>
      </c>
      <c r="CT143" s="27">
        <f>'COGS + SG&amp;A'!CT34+'COGS + SG&amp;A'!CT62+'COGS + SG&amp;A'!CT90+'COGS + SG&amp;A'!CT146+'COGS + SG&amp;A'!CT174</f>
        <v>45.627362299999994</v>
      </c>
      <c r="CU143" s="27">
        <f>'COGS + SG&amp;A'!CU34+'COGS + SG&amp;A'!CU62+'COGS + SG&amp;A'!CU90+'COGS + SG&amp;A'!CU146+'COGS + SG&amp;A'!CU174</f>
        <v>41.220291490000001</v>
      </c>
      <c r="CV143" s="27">
        <f>'COGS + SG&amp;A'!CV34+'COGS + SG&amp;A'!CV62+'COGS + SG&amp;A'!CV90+'COGS + SG&amp;A'!CV146+'COGS + SG&amp;A'!CV174</f>
        <v>45.831055590000005</v>
      </c>
      <c r="CW143" s="27">
        <f>'COGS + SG&amp;A'!CW34+'COGS + SG&amp;A'!CW62+'COGS + SG&amp;A'!CW90+'COGS + SG&amp;A'!CW146+'COGS + SG&amp;A'!CW174</f>
        <v>177.67748889000001</v>
      </c>
      <c r="CX143" s="27">
        <f>'COGS + SG&amp;A'!CX34+'COGS + SG&amp;A'!CX62+'COGS + SG&amp;A'!CX90+'COGS + SG&amp;A'!CX146+'COGS + SG&amp;A'!CX174</f>
        <v>47.232000000000006</v>
      </c>
      <c r="CY143" s="27">
        <f>'COGS + SG&amp;A'!CY34+'COGS + SG&amp;A'!CY62+'COGS + SG&amp;A'!CY90+'COGS + SG&amp;A'!CY146+'COGS + SG&amp;A'!CY174</f>
        <v>42.952000000000005</v>
      </c>
      <c r="CZ143" s="27">
        <f>'COGS + SG&amp;A'!CZ34+'COGS + SG&amp;A'!CZ62+'COGS + SG&amp;A'!CZ90+'COGS + SG&amp;A'!CZ146+'COGS + SG&amp;A'!CZ174</f>
        <v>42.957999999999998</v>
      </c>
      <c r="DA143" s="27">
        <f>'COGS + SG&amp;A'!DA34+'COGS + SG&amp;A'!DA62+'COGS + SG&amp;A'!DA90+'COGS + SG&amp;A'!DA146+'COGS + SG&amp;A'!DA174</f>
        <v>42.583999999999996</v>
      </c>
      <c r="DB143" s="27">
        <f>'COGS + SG&amp;A'!DB34+'COGS + SG&amp;A'!DB62+'COGS + SG&amp;A'!DB90+'COGS + SG&amp;A'!DB146+'COGS + SG&amp;A'!DB174</f>
        <v>175.726</v>
      </c>
      <c r="DC143" s="27">
        <f>'COGS + SG&amp;A'!DC34+'COGS + SG&amp;A'!DC62+'COGS + SG&amp;A'!DC90+'COGS + SG&amp;A'!DC146+'COGS + SG&amp;A'!DC174</f>
        <v>45.983000000000004</v>
      </c>
      <c r="DD143" s="27">
        <f>'COGS + SG&amp;A'!DD34+'COGS + SG&amp;A'!DD62+'COGS + SG&amp;A'!DD90+'COGS + SG&amp;A'!DD146+'COGS + SG&amp;A'!DD174</f>
        <v>41.994</v>
      </c>
      <c r="DE143" s="27">
        <f>'COGS + SG&amp;A'!DE34+'COGS + SG&amp;A'!DE62+'COGS + SG&amp;A'!DE90+'COGS + SG&amp;A'!DE146+'COGS + SG&amp;A'!DE174</f>
        <v>43.539000000000001</v>
      </c>
      <c r="DF143" s="27">
        <f>'COGS + SG&amp;A'!DF34+'COGS + SG&amp;A'!DF62+'COGS + SG&amp;A'!DF90+'COGS + SG&amp;A'!DF146+'COGS + SG&amp;A'!DF174</f>
        <v>44.943000000000005</v>
      </c>
      <c r="DG143" s="27">
        <f>'COGS + SG&amp;A'!DG34+'COGS + SG&amp;A'!DG62+'COGS + SG&amp;A'!DG90+'COGS + SG&amp;A'!DG146+'COGS + SG&amp;A'!DG174</f>
        <v>176.45899999999997</v>
      </c>
      <c r="DH143" s="27">
        <f>'COGS + SG&amp;A'!DH34+'COGS + SG&amp;A'!DH62+'COGS + SG&amp;A'!DH90+'COGS + SG&amp;A'!DH146+'COGS + SG&amp;A'!DH174</f>
        <v>51.261000000000003</v>
      </c>
      <c r="DI143" s="27">
        <f>'COGS + SG&amp;A'!DI34+'COGS + SG&amp;A'!DI62+'COGS + SG&amp;A'!DI90+'COGS + SG&amp;A'!DI146+'COGS + SG&amp;A'!DI174</f>
        <v>45.082999999999998</v>
      </c>
      <c r="DJ143" s="27">
        <f>'COGS + SG&amp;A'!DJ34+'COGS + SG&amp;A'!DJ62+'COGS + SG&amp;A'!DJ90+'COGS + SG&amp;A'!DJ146+'COGS + SG&amp;A'!DJ174</f>
        <v>48.893000000000001</v>
      </c>
      <c r="DK143" s="27">
        <f>'COGS + SG&amp;A'!DK34+'COGS + SG&amp;A'!DK62+'COGS + SG&amp;A'!DK90+'COGS + SG&amp;A'!DK146+'COGS + SG&amp;A'!DK174</f>
        <v>54.326000000000001</v>
      </c>
      <c r="DL143" s="27">
        <f>'COGS + SG&amp;A'!DL34+'COGS + SG&amp;A'!DL62+'COGS + SG&amp;A'!DL90+'COGS + SG&amp;A'!DL146+'COGS + SG&amp;A'!DL174</f>
        <v>199.56299999999999</v>
      </c>
      <c r="DM143" s="27">
        <f>'COGS + SG&amp;A'!DM34+'COGS + SG&amp;A'!DM62+'COGS + SG&amp;A'!DM90+'COGS + SG&amp;A'!DM146+'COGS + SG&amp;A'!DM174</f>
        <v>56.777999999999992</v>
      </c>
      <c r="DN143" s="27">
        <f>'COGS + SG&amp;A'!DN34+'COGS + SG&amp;A'!DN62+'COGS + SG&amp;A'!DN90+'COGS + SG&amp;A'!DN146+'COGS + SG&amp;A'!DN174</f>
        <v>58.532999999999994</v>
      </c>
      <c r="DO143" s="27">
        <f>'COGS + SG&amp;A'!DO34+'COGS + SG&amp;A'!DO62+'COGS + SG&amp;A'!DO90+'COGS + SG&amp;A'!DO146+'COGS + SG&amp;A'!DO174</f>
        <v>62.727000000000004</v>
      </c>
      <c r="DP143" s="27">
        <f>'COGS + SG&amp;A'!DP34+'COGS + SG&amp;A'!DP62+'COGS + SG&amp;A'!DP90+'COGS + SG&amp;A'!DP146+'COGS + SG&amp;A'!DP174</f>
        <v>64.750999999999991</v>
      </c>
      <c r="DQ143" s="27">
        <f>'COGS + SG&amp;A'!DQ34+'COGS + SG&amp;A'!DQ62+'COGS + SG&amp;A'!DQ90+'COGS + SG&amp;A'!DQ146+'COGS + SG&amp;A'!DQ174</f>
        <v>242.78899999999999</v>
      </c>
      <c r="DR143" s="27">
        <f>'COGS + SG&amp;A'!DR34+'COGS + SG&amp;A'!DR62+'COGS + SG&amp;A'!DR90+'COGS + SG&amp;A'!DR146+'COGS + SG&amp;A'!DR174</f>
        <v>66.328999999999994</v>
      </c>
      <c r="DS143" s="27">
        <f>'COGS + SG&amp;A'!DS34+'COGS + SG&amp;A'!DS62+'COGS + SG&amp;A'!DS90+'COGS + SG&amp;A'!DS146+'COGS + SG&amp;A'!DS174</f>
        <v>68.807000000000002</v>
      </c>
      <c r="DT143" s="27">
        <f>'COGS + SG&amp;A'!DT34+'COGS + SG&amp;A'!DT62+'COGS + SG&amp;A'!DT90+'COGS + SG&amp;A'!DT146+'COGS + SG&amp;A'!DT174</f>
        <v>66.240000000000009</v>
      </c>
      <c r="DU143" s="27">
        <f>'COGS + SG&amp;A'!DU34+'COGS + SG&amp;A'!DU62+'COGS + SG&amp;A'!DU90+'COGS + SG&amp;A'!DU146+'COGS + SG&amp;A'!DU174</f>
        <v>65.606999999999999</v>
      </c>
      <c r="DV143" s="27">
        <f>'COGS + SG&amp;A'!DV34+'COGS + SG&amp;A'!DV62+'COGS + SG&amp;A'!DV90+'COGS + SG&amp;A'!DV146+'COGS + SG&amp;A'!DV174</f>
        <v>266.983</v>
      </c>
      <c r="DW143" s="27">
        <f>'COGS + SG&amp;A'!DW34+'COGS + SG&amp;A'!DW62+'COGS + SG&amp;A'!DW90+'COGS + SG&amp;A'!DW146+'COGS + SG&amp;A'!DW174</f>
        <v>72.349000000000004</v>
      </c>
      <c r="DX143" s="27">
        <f>'COGS + SG&amp;A'!DX34+'COGS + SG&amp;A'!DX62+'COGS + SG&amp;A'!DX90+'COGS + SG&amp;A'!DX146+'COGS + SG&amp;A'!DX174</f>
        <v>71.685904480000005</v>
      </c>
      <c r="DY143" s="27">
        <f>'COGS + SG&amp;A'!DY34+'COGS + SG&amp;A'!DY62+'COGS + SG&amp;A'!DY90+'COGS + SG&amp;A'!DY146+'COGS + SG&amp;A'!DY174</f>
        <v>78.551123619999998</v>
      </c>
      <c r="DZ143" s="27">
        <f>'COGS + SG&amp;A'!DZ34+'COGS + SG&amp;A'!DZ62+'COGS + SG&amp;A'!DZ90+'COGS + SG&amp;A'!DZ146+'COGS + SG&amp;A'!DZ174</f>
        <v>74.284563769999991</v>
      </c>
      <c r="EA143" s="27">
        <f>'COGS + SG&amp;A'!EA34+'COGS + SG&amp;A'!EA62+'COGS + SG&amp;A'!EA90+'COGS + SG&amp;A'!EA146+'COGS + SG&amp;A'!EA174</f>
        <v>296.87059187</v>
      </c>
      <c r="EB143" s="27">
        <f>'COGS + SG&amp;A'!EB34+'COGS + SG&amp;A'!EB62+'COGS + SG&amp;A'!EB90+'COGS + SG&amp;A'!EB146+'COGS + SG&amp;A'!EB174</f>
        <v>78.96233826000001</v>
      </c>
      <c r="EC143" s="27">
        <f>'COGS + SG&amp;A'!EC34+'COGS + SG&amp;A'!EC62+'COGS + SG&amp;A'!EC90+'COGS + SG&amp;A'!EC146+'COGS + SG&amp;A'!EC174</f>
        <v>77.769051379999993</v>
      </c>
      <c r="ED143" s="27">
        <f>'COGS + SG&amp;A'!ED34+'COGS + SG&amp;A'!ED62+'COGS + SG&amp;A'!ED90+'COGS + SG&amp;A'!ED146+'COGS + SG&amp;A'!ED174</f>
        <v>78.661000000000001</v>
      </c>
      <c r="EE143" s="27">
        <f>'COGS + SG&amp;A'!EE34+'COGS + SG&amp;A'!EE62+'COGS + SG&amp;A'!EE90+'COGS + SG&amp;A'!EE146+'COGS + SG&amp;A'!EE174</f>
        <v>79.149192799999994</v>
      </c>
      <c r="EF143" s="27">
        <f>'COGS + SG&amp;A'!EF34+'COGS + SG&amp;A'!EF62+'COGS + SG&amp;A'!EF90+'COGS + SG&amp;A'!EF146+'COGS + SG&amp;A'!EF174</f>
        <v>314.54158244000001</v>
      </c>
      <c r="EG143" s="27">
        <f>'COGS + SG&amp;A'!EG34+'COGS + SG&amp;A'!EG62+'COGS + SG&amp;A'!EG90+'COGS + SG&amp;A'!EG146+'COGS + SG&amp;A'!EG174</f>
        <v>84.182544759999999</v>
      </c>
      <c r="EH143" s="27">
        <f>'COGS + SG&amp;A'!EH34+'COGS + SG&amp;A'!EH62+'COGS + SG&amp;A'!EH90+'COGS + SG&amp;A'!EH146+'COGS + SG&amp;A'!EH174</f>
        <v>85.706228060000015</v>
      </c>
      <c r="EI143" s="27">
        <f>'COGS + SG&amp;A'!EI34+'COGS + SG&amp;A'!EI62+'COGS + SG&amp;A'!EI90+'COGS + SG&amp;A'!EI146+'COGS + SG&amp;A'!EI174</f>
        <v>82.786053439999989</v>
      </c>
    </row>
    <row r="144" spans="1:139" ht="15" thickBot="1" x14ac:dyDescent="0.35">
      <c r="A144" s="2" t="s">
        <v>3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28">
        <f>'COGS + SG&amp;A'!BJ35+'COGS + SG&amp;A'!BJ63+'COGS + SG&amp;A'!BJ91+'COGS + SG&amp;A'!BJ147+'COGS + SG&amp;A'!BJ175</f>
        <v>14.77731429</v>
      </c>
      <c r="BK144" s="28">
        <f>'COGS + SG&amp;A'!BK35+'COGS + SG&amp;A'!BK63+'COGS + SG&amp;A'!BK91+'COGS + SG&amp;A'!BK147+'COGS + SG&amp;A'!BK175</f>
        <v>16.359053750000001</v>
      </c>
      <c r="BL144" s="28">
        <f>'COGS + SG&amp;A'!BL35+'COGS + SG&amp;A'!BL63+'COGS + SG&amp;A'!BL91+'COGS + SG&amp;A'!BL147+'COGS + SG&amp;A'!BL175</f>
        <v>15.747064069999999</v>
      </c>
      <c r="BM144" s="28">
        <f>'COGS + SG&amp;A'!BM35+'COGS + SG&amp;A'!BM63+'COGS + SG&amp;A'!BM91+'COGS + SG&amp;A'!BM147+'COGS + SG&amp;A'!BM175</f>
        <v>17.639739080000002</v>
      </c>
      <c r="BN144" s="28">
        <f>'COGS + SG&amp;A'!BN35+'COGS + SG&amp;A'!BN63+'COGS + SG&amp;A'!BN91+'COGS + SG&amp;A'!BN147+'COGS + SG&amp;A'!BN175</f>
        <v>64.523171189999999</v>
      </c>
      <c r="BO144" s="28">
        <f>'COGS + SG&amp;A'!BO35+'COGS + SG&amp;A'!BO63+'COGS + SG&amp;A'!BO91+'COGS + SG&amp;A'!BO147+'COGS + SG&amp;A'!BO175</f>
        <v>16.031333109999998</v>
      </c>
      <c r="BP144" s="28">
        <f>'COGS + SG&amp;A'!BP35+'COGS + SG&amp;A'!BP63+'COGS + SG&amp;A'!BP91+'COGS + SG&amp;A'!BP147+'COGS + SG&amp;A'!BP175</f>
        <v>17.159957160000001</v>
      </c>
      <c r="BQ144" s="28">
        <f>'COGS + SG&amp;A'!BQ35+'COGS + SG&amp;A'!BQ63+'COGS + SG&amp;A'!BQ91+'COGS + SG&amp;A'!BQ147+'COGS + SG&amp;A'!BQ175</f>
        <v>15.568472659999998</v>
      </c>
      <c r="BR144" s="28">
        <f>'COGS + SG&amp;A'!BR35+'COGS + SG&amp;A'!BR63+'COGS + SG&amp;A'!BR91+'COGS + SG&amp;A'!BR147+'COGS + SG&amp;A'!BR175</f>
        <v>17.712226189999999</v>
      </c>
      <c r="BS144" s="28">
        <f>'COGS + SG&amp;A'!BS35+'COGS + SG&amp;A'!BS63+'COGS + SG&amp;A'!BS91+'COGS + SG&amp;A'!BS147+'COGS + SG&amp;A'!BS175</f>
        <v>66.471989120000003</v>
      </c>
      <c r="BT144" s="28">
        <f>'COGS + SG&amp;A'!BT35+'COGS + SG&amp;A'!BT63+'COGS + SG&amp;A'!BT91+'COGS + SG&amp;A'!BT147+'COGS + SG&amp;A'!BT175</f>
        <v>17.61497537</v>
      </c>
      <c r="BU144" s="28">
        <f>'COGS + SG&amp;A'!BU35+'COGS + SG&amp;A'!BU63+'COGS + SG&amp;A'!BU91+'COGS + SG&amp;A'!BU147+'COGS + SG&amp;A'!BU175</f>
        <v>17.446250769999999</v>
      </c>
      <c r="BV144" s="28">
        <f>'COGS + SG&amp;A'!BV35+'COGS + SG&amp;A'!BV63+'COGS + SG&amp;A'!BV91+'COGS + SG&amp;A'!BV147+'COGS + SG&amp;A'!BV175</f>
        <v>16.958748270000001</v>
      </c>
      <c r="BW144" s="28">
        <f>'COGS + SG&amp;A'!BW35+'COGS + SG&amp;A'!BW63+'COGS + SG&amp;A'!BW91+'COGS + SG&amp;A'!BW147+'COGS + SG&amp;A'!BW175</f>
        <v>24.552128450000001</v>
      </c>
      <c r="BX144" s="28">
        <f>'COGS + SG&amp;A'!BX35+'COGS + SG&amp;A'!BX63+'COGS + SG&amp;A'!BX91+'COGS + SG&amp;A'!BX147+'COGS + SG&amp;A'!BX175</f>
        <v>76.572102860000001</v>
      </c>
      <c r="BY144" s="28">
        <f>'COGS + SG&amp;A'!BY35+'COGS + SG&amp;A'!BY63+'COGS + SG&amp;A'!BY91+'COGS + SG&amp;A'!BY147+'COGS + SG&amp;A'!BY175</f>
        <v>16.774452270000001</v>
      </c>
      <c r="BZ144" s="28">
        <f>'COGS + SG&amp;A'!BZ35+'COGS + SG&amp;A'!BZ63+'COGS + SG&amp;A'!BZ91+'COGS + SG&amp;A'!BZ147+'COGS + SG&amp;A'!BZ175</f>
        <v>19.072750989999996</v>
      </c>
      <c r="CA144" s="28">
        <f>'COGS + SG&amp;A'!CA35+'COGS + SG&amp;A'!CA63+'COGS + SG&amp;A'!CA91+'COGS + SG&amp;A'!CA147+'COGS + SG&amp;A'!CA175</f>
        <v>20.75647987</v>
      </c>
      <c r="CB144" s="28">
        <f>'COGS + SG&amp;A'!CB35+'COGS + SG&amp;A'!CB63+'COGS + SG&amp;A'!CB91+'COGS + SG&amp;A'!CB147+'COGS + SG&amp;A'!CB175</f>
        <v>22.686910870000006</v>
      </c>
      <c r="CC144" s="28">
        <f>'COGS + SG&amp;A'!CC35+'COGS + SG&amp;A'!CC63+'COGS + SG&amp;A'!CC91+'COGS + SG&amp;A'!CC147+'COGS + SG&amp;A'!CC175</f>
        <v>79.290593999999999</v>
      </c>
      <c r="CD144" s="28">
        <f>'COGS + SG&amp;A'!CD35+'COGS + SG&amp;A'!CD63+'COGS + SG&amp;A'!CD91+'COGS + SG&amp;A'!CD147+'COGS + SG&amp;A'!CD175</f>
        <v>21.165014150000001</v>
      </c>
      <c r="CE144" s="28">
        <f>'COGS + SG&amp;A'!CE35+'COGS + SG&amp;A'!CE63+'COGS + SG&amp;A'!CE91+'COGS + SG&amp;A'!CE147+'COGS + SG&amp;A'!CE175</f>
        <v>21.085677139999998</v>
      </c>
      <c r="CF144" s="28">
        <f>'COGS + SG&amp;A'!CF35+'COGS + SG&amp;A'!CF63+'COGS + SG&amp;A'!CF91+'COGS + SG&amp;A'!CF147+'COGS + SG&amp;A'!CF175</f>
        <v>20.552705579999998</v>
      </c>
      <c r="CG144" s="28">
        <f>'COGS + SG&amp;A'!CG35+'COGS + SG&amp;A'!CG63+'COGS + SG&amp;A'!CG91+'COGS + SG&amp;A'!CG147+'COGS + SG&amp;A'!CG175</f>
        <v>23.496005130000004</v>
      </c>
      <c r="CH144" s="28">
        <f>'COGS + SG&amp;A'!CH35+'COGS + SG&amp;A'!CH63+'COGS + SG&amp;A'!CH91+'COGS + SG&amp;A'!CH147+'COGS + SG&amp;A'!CH175</f>
        <v>86.299402000000001</v>
      </c>
      <c r="CI144" s="28">
        <f>'COGS + SG&amp;A'!CI35+'COGS + SG&amp;A'!CI63+'COGS + SG&amp;A'!CI91+'COGS + SG&amp;A'!CI147+'COGS + SG&amp;A'!CI175</f>
        <v>21.57979418</v>
      </c>
      <c r="CJ144" s="28">
        <f>'COGS + SG&amp;A'!CJ35+'COGS + SG&amp;A'!CJ63+'COGS + SG&amp;A'!CJ91+'COGS + SG&amp;A'!CJ147+'COGS + SG&amp;A'!CJ175</f>
        <v>20.718892769999997</v>
      </c>
      <c r="CK144" s="28">
        <f>'COGS + SG&amp;A'!CK35+'COGS + SG&amp;A'!CK63+'COGS + SG&amp;A'!CK91+'COGS + SG&amp;A'!CK147+'COGS + SG&amp;A'!CK175</f>
        <v>20.446012639999999</v>
      </c>
      <c r="CL144" s="28">
        <f>'COGS + SG&amp;A'!CL35+'COGS + SG&amp;A'!CL63+'COGS + SG&amp;A'!CL91+'COGS + SG&amp;A'!CL147+'COGS + SG&amp;A'!CL175</f>
        <v>23.072315040000007</v>
      </c>
      <c r="CM144" s="28">
        <f>'COGS + SG&amp;A'!CM35+'COGS + SG&amp;A'!CM63+'COGS + SG&amp;A'!CM91+'COGS + SG&amp;A'!CM147+'COGS + SG&amp;A'!CM175</f>
        <v>85.817014630000003</v>
      </c>
      <c r="CN144" s="28">
        <f>'COGS + SG&amp;A'!CN35+'COGS + SG&amp;A'!CN63+'COGS + SG&amp;A'!CN91+'COGS + SG&amp;A'!CN147+'COGS + SG&amp;A'!CN175</f>
        <v>20.923920449999997</v>
      </c>
      <c r="CO144" s="28">
        <f>'COGS + SG&amp;A'!CO35+'COGS + SG&amp;A'!CO63+'COGS + SG&amp;A'!CO91+'COGS + SG&amp;A'!CO147+'COGS + SG&amp;A'!CO175</f>
        <v>20.52111223</v>
      </c>
      <c r="CP144" s="28">
        <f>'COGS + SG&amp;A'!CP35+'COGS + SG&amp;A'!CP63+'COGS + SG&amp;A'!CP91+'COGS + SG&amp;A'!CP147+'COGS + SG&amp;A'!CP175</f>
        <v>21.280673109999999</v>
      </c>
      <c r="CQ144" s="28">
        <f>'COGS + SG&amp;A'!CQ35+'COGS + SG&amp;A'!CQ63+'COGS + SG&amp;A'!CQ91+'COGS + SG&amp;A'!CQ147+'COGS + SG&amp;A'!CQ175</f>
        <v>14.668294210000001</v>
      </c>
      <c r="CR144" s="28">
        <f>'COGS + SG&amp;A'!CR35+'COGS + SG&amp;A'!CR63+'COGS + SG&amp;A'!CR91+'COGS + SG&amp;A'!CR147+'COGS + SG&amp;A'!CR175</f>
        <v>77.393999999999991</v>
      </c>
      <c r="CS144" s="28">
        <f>'COGS + SG&amp;A'!CS35+'COGS + SG&amp;A'!CS63+'COGS + SG&amp;A'!CS91+'COGS + SG&amp;A'!CS147+'COGS + SG&amp;A'!CS175</f>
        <v>20.891883430000004</v>
      </c>
      <c r="CT144" s="28">
        <f>'COGS + SG&amp;A'!CT35+'COGS + SG&amp;A'!CT63+'COGS + SG&amp;A'!CT91+'COGS + SG&amp;A'!CT147+'COGS + SG&amp;A'!CT175</f>
        <v>20.85765228</v>
      </c>
      <c r="CU144" s="28">
        <f>'COGS + SG&amp;A'!CU35+'COGS + SG&amp;A'!CU63+'COGS + SG&amp;A'!CU91+'COGS + SG&amp;A'!CU147+'COGS + SG&amp;A'!CU175</f>
        <v>20.729481199999995</v>
      </c>
      <c r="CV144" s="28">
        <f>'COGS + SG&amp;A'!CV35+'COGS + SG&amp;A'!CV63+'COGS + SG&amp;A'!CV91+'COGS + SG&amp;A'!CV147+'COGS + SG&amp;A'!CV175</f>
        <v>21.318931669999998</v>
      </c>
      <c r="CW144" s="28">
        <f>'COGS + SG&amp;A'!CW35+'COGS + SG&amp;A'!CW63+'COGS + SG&amp;A'!CW91+'COGS + SG&amp;A'!CW147+'COGS + SG&amp;A'!CW175</f>
        <v>83.797948579999996</v>
      </c>
      <c r="CX144" s="28">
        <f>'COGS + SG&amp;A'!CX35+'COGS + SG&amp;A'!CX63+'COGS + SG&amp;A'!CX91+'COGS + SG&amp;A'!CX147+'COGS + SG&amp;A'!CX175</f>
        <v>20.501999999999999</v>
      </c>
      <c r="CY144" s="28">
        <f>'COGS + SG&amp;A'!CY35+'COGS + SG&amp;A'!CY63+'COGS + SG&amp;A'!CY91+'COGS + SG&amp;A'!CY147+'COGS + SG&amp;A'!CY175</f>
        <v>20.032</v>
      </c>
      <c r="CZ144" s="28">
        <f>'COGS + SG&amp;A'!CZ35+'COGS + SG&amp;A'!CZ63+'COGS + SG&amp;A'!CZ91+'COGS + SG&amp;A'!CZ147+'COGS + SG&amp;A'!CZ175</f>
        <v>20.280999999999995</v>
      </c>
      <c r="DA144" s="28">
        <f>'COGS + SG&amp;A'!DA35+'COGS + SG&amp;A'!DA63+'COGS + SG&amp;A'!DA91+'COGS + SG&amp;A'!DA147+'COGS + SG&amp;A'!DA175</f>
        <v>20.725999999999999</v>
      </c>
      <c r="DB144" s="28">
        <f>'COGS + SG&amp;A'!DB35+'COGS + SG&amp;A'!DB63+'COGS + SG&amp;A'!DB91+'COGS + SG&amp;A'!DB147+'COGS + SG&amp;A'!DB175</f>
        <v>81.540999999999997</v>
      </c>
      <c r="DC144" s="28">
        <f>'COGS + SG&amp;A'!DC35+'COGS + SG&amp;A'!DC63+'COGS + SG&amp;A'!DC91+'COGS + SG&amp;A'!DC147+'COGS + SG&amp;A'!DC175</f>
        <v>19.684999999999999</v>
      </c>
      <c r="DD144" s="28">
        <f>'COGS + SG&amp;A'!DD35+'COGS + SG&amp;A'!DD63+'COGS + SG&amp;A'!DD91+'COGS + SG&amp;A'!DD147+'COGS + SG&amp;A'!DD175</f>
        <v>19.866</v>
      </c>
      <c r="DE144" s="28">
        <f>'COGS + SG&amp;A'!DE35+'COGS + SG&amp;A'!DE63+'COGS + SG&amp;A'!DE91+'COGS + SG&amp;A'!DE147+'COGS + SG&amp;A'!DE175</f>
        <v>21.381</v>
      </c>
      <c r="DF144" s="28">
        <f>'COGS + SG&amp;A'!DF35+'COGS + SG&amp;A'!DF63+'COGS + SG&amp;A'!DF91+'COGS + SG&amp;A'!DF147+'COGS + SG&amp;A'!DF175</f>
        <v>21.462000000000003</v>
      </c>
      <c r="DG144" s="28">
        <f>'COGS + SG&amp;A'!DG35+'COGS + SG&amp;A'!DG63+'COGS + SG&amp;A'!DG91+'COGS + SG&amp;A'!DG147+'COGS + SG&amp;A'!DG175</f>
        <v>82.394000000000005</v>
      </c>
      <c r="DH144" s="28">
        <f>'COGS + SG&amp;A'!DH35+'COGS + SG&amp;A'!DH63+'COGS + SG&amp;A'!DH91+'COGS + SG&amp;A'!DH147+'COGS + SG&amp;A'!DH175</f>
        <v>20.169999999999998</v>
      </c>
      <c r="DI144" s="28">
        <f>'COGS + SG&amp;A'!DI35+'COGS + SG&amp;A'!DI63+'COGS + SG&amp;A'!DI91+'COGS + SG&amp;A'!DI147+'COGS + SG&amp;A'!DI175</f>
        <v>19.880000000000003</v>
      </c>
      <c r="DJ144" s="28">
        <f>'COGS + SG&amp;A'!DJ35+'COGS + SG&amp;A'!DJ63+'COGS + SG&amp;A'!DJ91+'COGS + SG&amp;A'!DJ147+'COGS + SG&amp;A'!DJ175</f>
        <v>21.342999999999996</v>
      </c>
      <c r="DK144" s="28">
        <f>'COGS + SG&amp;A'!DK35+'COGS + SG&amp;A'!DK63+'COGS + SG&amp;A'!DK91+'COGS + SG&amp;A'!DK147+'COGS + SG&amp;A'!DK175</f>
        <v>28.331</v>
      </c>
      <c r="DL144" s="28">
        <f>'COGS + SG&amp;A'!DL35+'COGS + SG&amp;A'!DL63+'COGS + SG&amp;A'!DL91+'COGS + SG&amp;A'!DL147+'COGS + SG&amp;A'!DL175</f>
        <v>89.724000000000004</v>
      </c>
      <c r="DM144" s="28">
        <f>'COGS + SG&amp;A'!DM35+'COGS + SG&amp;A'!DM63+'COGS + SG&amp;A'!DM91+'COGS + SG&amp;A'!DM147+'COGS + SG&amp;A'!DM175</f>
        <v>24.570999999999998</v>
      </c>
      <c r="DN144" s="28">
        <f>'COGS + SG&amp;A'!DN35+'COGS + SG&amp;A'!DN63+'COGS + SG&amp;A'!DN91+'COGS + SG&amp;A'!DN147+'COGS + SG&amp;A'!DN175</f>
        <v>25.812999999999999</v>
      </c>
      <c r="DO144" s="28">
        <f>'COGS + SG&amp;A'!DO35+'COGS + SG&amp;A'!DO63+'COGS + SG&amp;A'!DO91+'COGS + SG&amp;A'!DO147+'COGS + SG&amp;A'!DO175</f>
        <v>25.234000000000002</v>
      </c>
      <c r="DP144" s="28">
        <f>'COGS + SG&amp;A'!DP35+'COGS + SG&amp;A'!DP63+'COGS + SG&amp;A'!DP91+'COGS + SG&amp;A'!DP147+'COGS + SG&amp;A'!DP175</f>
        <v>20.539000000000001</v>
      </c>
      <c r="DQ144" s="28">
        <f>'COGS + SG&amp;A'!DQ35+'COGS + SG&amp;A'!DQ63+'COGS + SG&amp;A'!DQ91+'COGS + SG&amp;A'!DQ147+'COGS + SG&amp;A'!DQ175</f>
        <v>96.156999999999996</v>
      </c>
      <c r="DR144" s="28">
        <f>'COGS + SG&amp;A'!DR35+'COGS + SG&amp;A'!DR63+'COGS + SG&amp;A'!DR91+'COGS + SG&amp;A'!DR147+'COGS + SG&amp;A'!DR175</f>
        <v>2.4319999999999995</v>
      </c>
      <c r="DS144" s="28">
        <f>'COGS + SG&amp;A'!DS35+'COGS + SG&amp;A'!DS63+'COGS + SG&amp;A'!DS91+'COGS + SG&amp;A'!DS147+'COGS + SG&amp;A'!DS175</f>
        <v>2.3789999999999996</v>
      </c>
      <c r="DT144" s="28">
        <f>'COGS + SG&amp;A'!DT35+'COGS + SG&amp;A'!DT63+'COGS + SG&amp;A'!DT91+'COGS + SG&amp;A'!DT147+'COGS + SG&amp;A'!DT175</f>
        <v>1.252</v>
      </c>
      <c r="DU144" s="28">
        <f>'COGS + SG&amp;A'!DU35+'COGS + SG&amp;A'!DU63+'COGS + SG&amp;A'!DU91+'COGS + SG&amp;A'!DU147+'COGS + SG&amp;A'!DU175</f>
        <v>0.18999999999999995</v>
      </c>
      <c r="DV144" s="28">
        <f>'COGS + SG&amp;A'!DV35+'COGS + SG&amp;A'!DV63+'COGS + SG&amp;A'!DV91+'COGS + SG&amp;A'!DV147+'COGS + SG&amp;A'!DV175</f>
        <v>6.2530000000000001</v>
      </c>
      <c r="DW144" s="28">
        <f>'COGS + SG&amp;A'!DW35+'COGS + SG&amp;A'!DW63+'COGS + SG&amp;A'!DW91+'COGS + SG&amp;A'!DW147+'COGS + SG&amp;A'!DW175</f>
        <v>6.9999999999999951E-2</v>
      </c>
      <c r="DX144" s="28">
        <f>'COGS + SG&amp;A'!DX35+'COGS + SG&amp;A'!DX63+'COGS + SG&amp;A'!DX91+'COGS + SG&amp;A'!DX147+'COGS + SG&amp;A'!DX175</f>
        <v>3.5463679899999998</v>
      </c>
      <c r="DY144" s="28">
        <f>'COGS + SG&amp;A'!DY35+'COGS + SG&amp;A'!DY63+'COGS + SG&amp;A'!DY91+'COGS + SG&amp;A'!DY147+'COGS + SG&amp;A'!DY175</f>
        <v>0.51765414000000032</v>
      </c>
      <c r="DZ144" s="28">
        <f>'COGS + SG&amp;A'!DZ35+'COGS + SG&amp;A'!DZ63+'COGS + SG&amp;A'!DZ91+'COGS + SG&amp;A'!DZ147+'COGS + SG&amp;A'!DZ175</f>
        <v>0.6784094599999998</v>
      </c>
      <c r="EA144" s="28">
        <f>'COGS + SG&amp;A'!EA35+'COGS + SG&amp;A'!EA63+'COGS + SG&amp;A'!EA91+'COGS + SG&amp;A'!EA147+'COGS + SG&amp;A'!EA175</f>
        <v>4.8124315900000001</v>
      </c>
      <c r="EB144" s="28">
        <f>'COGS + SG&amp;A'!EB35+'COGS + SG&amp;A'!EB63+'COGS + SG&amp;A'!EB91+'COGS + SG&amp;A'!EB147+'COGS + SG&amp;A'!EB175</f>
        <v>-0.31246281999999997</v>
      </c>
      <c r="EC144" s="28">
        <f>'COGS + SG&amp;A'!EC35+'COGS + SG&amp;A'!EC63+'COGS + SG&amp;A'!EC91+'COGS + SG&amp;A'!EC147+'COGS + SG&amp;A'!EC175</f>
        <v>0.18801534999999997</v>
      </c>
      <c r="ED144" s="28">
        <f>'COGS + SG&amp;A'!ED35+'COGS + SG&amp;A'!ED63+'COGS + SG&amp;A'!ED91+'COGS + SG&amp;A'!ED147+'COGS + SG&amp;A'!ED175</f>
        <v>0.318</v>
      </c>
      <c r="EE144" s="28">
        <f>'COGS + SG&amp;A'!EE35+'COGS + SG&amp;A'!EE63+'COGS + SG&amp;A'!EE91+'COGS + SG&amp;A'!EE147+'COGS + SG&amp;A'!EE175</f>
        <v>0.30932848000000002</v>
      </c>
      <c r="EF144" s="28">
        <f>'COGS + SG&amp;A'!EF35+'COGS + SG&amp;A'!EF63+'COGS + SG&amp;A'!EF91+'COGS + SG&amp;A'!EF147+'COGS + SG&amp;A'!EF175</f>
        <v>0.50288100999999996</v>
      </c>
      <c r="EG144" s="28">
        <f>'COGS + SG&amp;A'!EG35+'COGS + SG&amp;A'!EG63+'COGS + SG&amp;A'!EG91+'COGS + SG&amp;A'!EG147+'COGS + SG&amp;A'!EG175</f>
        <v>0.43798732000000001</v>
      </c>
      <c r="EH144" s="28">
        <f>'COGS + SG&amp;A'!EH35+'COGS + SG&amp;A'!EH63+'COGS + SG&amp;A'!EH91+'COGS + SG&amp;A'!EH147+'COGS + SG&amp;A'!EH175</f>
        <v>0.15386153999999996</v>
      </c>
      <c r="EI144" s="28">
        <f>'COGS + SG&amp;A'!EI35+'COGS + SG&amp;A'!EI63+'COGS + SG&amp;A'!EI91+'COGS + SG&amp;A'!EI147+'COGS + SG&amp;A'!EI175</f>
        <v>1.0611254400000001</v>
      </c>
    </row>
    <row r="145" spans="1:139" ht="15" thickTop="1" x14ac:dyDescent="0.3">
      <c r="A145" s="1" t="s">
        <v>443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27">
        <f>'COGS + SG&amp;A'!BJ36+'COGS + SG&amp;A'!BJ64+'COGS + SG&amp;A'!BJ92+'COGS + SG&amp;A'!BJ148+'COGS + SG&amp;A'!BJ176</f>
        <v>16.41249994</v>
      </c>
      <c r="BK145" s="27">
        <f>'COGS + SG&amp;A'!BK36+'COGS + SG&amp;A'!BK64+'COGS + SG&amp;A'!BK92+'COGS + SG&amp;A'!BK148+'COGS + SG&amp;A'!BK176</f>
        <v>15.142118879999998</v>
      </c>
      <c r="BL145" s="27">
        <f>'COGS + SG&amp;A'!BL36+'COGS + SG&amp;A'!BL64+'COGS + SG&amp;A'!BL92+'COGS + SG&amp;A'!BL148+'COGS + SG&amp;A'!BL176</f>
        <v>15.19635437</v>
      </c>
      <c r="BM145" s="27">
        <f>'COGS + SG&amp;A'!BM36+'COGS + SG&amp;A'!BM64+'COGS + SG&amp;A'!BM92+'COGS + SG&amp;A'!BM148+'COGS + SG&amp;A'!BM176</f>
        <v>17.14357467</v>
      </c>
      <c r="BN145" s="27">
        <f>'COGS + SG&amp;A'!BN36+'COGS + SG&amp;A'!BN64+'COGS + SG&amp;A'!BN92+'COGS + SG&amp;A'!BN148+'COGS + SG&amp;A'!BN176</f>
        <v>63.894547860000003</v>
      </c>
      <c r="BO145" s="27">
        <f>'COGS + SG&amp;A'!BO36+'COGS + SG&amp;A'!BO64+'COGS + SG&amp;A'!BO92+'COGS + SG&amp;A'!BO148+'COGS + SG&amp;A'!BO176</f>
        <v>15.121357340000001</v>
      </c>
      <c r="BP145" s="27">
        <f>'COGS + SG&amp;A'!BP36+'COGS + SG&amp;A'!BP64+'COGS + SG&amp;A'!BP92+'COGS + SG&amp;A'!BP148+'COGS + SG&amp;A'!BP176</f>
        <v>15.74937151</v>
      </c>
      <c r="BQ145" s="27">
        <f>'COGS + SG&amp;A'!BQ36+'COGS + SG&amp;A'!BQ64+'COGS + SG&amp;A'!BQ92+'COGS + SG&amp;A'!BQ148+'COGS + SG&amp;A'!BQ176</f>
        <v>16.19753043</v>
      </c>
      <c r="BR145" s="27">
        <f>'COGS + SG&amp;A'!BR36+'COGS + SG&amp;A'!BR64+'COGS + SG&amp;A'!BR92+'COGS + SG&amp;A'!BR148+'COGS + SG&amp;A'!BR176</f>
        <v>17.970343639999999</v>
      </c>
      <c r="BS145" s="27">
        <f>'COGS + SG&amp;A'!BS36+'COGS + SG&amp;A'!BS64+'COGS + SG&amp;A'!BS92+'COGS + SG&amp;A'!BS148+'COGS + SG&amp;A'!BS176</f>
        <v>65.038602920000002</v>
      </c>
      <c r="BT145" s="27">
        <f>'COGS + SG&amp;A'!BT36+'COGS + SG&amp;A'!BT64+'COGS + SG&amp;A'!BT92+'COGS + SG&amp;A'!BT148+'COGS + SG&amp;A'!BT176</f>
        <v>17.45610667</v>
      </c>
      <c r="BU145" s="27">
        <f>'COGS + SG&amp;A'!BU36+'COGS + SG&amp;A'!BU64+'COGS + SG&amp;A'!BU92+'COGS + SG&amp;A'!BU148+'COGS + SG&amp;A'!BU176</f>
        <v>16.810766360000002</v>
      </c>
      <c r="BV145" s="27">
        <f>'COGS + SG&amp;A'!BV36+'COGS + SG&amp;A'!BV64+'COGS + SG&amp;A'!BV92+'COGS + SG&amp;A'!BV148+'COGS + SG&amp;A'!BV176</f>
        <v>13.847164080000002</v>
      </c>
      <c r="BW145" s="27">
        <f>'COGS + SG&amp;A'!BW36+'COGS + SG&amp;A'!BW64+'COGS + SG&amp;A'!BW92+'COGS + SG&amp;A'!BW148+'COGS + SG&amp;A'!BW176</f>
        <v>17.64050975</v>
      </c>
      <c r="BX145" s="27">
        <f>'COGS + SG&amp;A'!BX36+'COGS + SG&amp;A'!BX64+'COGS + SG&amp;A'!BX92+'COGS + SG&amp;A'!BX148+'COGS + SG&amp;A'!BX176</f>
        <v>65.754546860000005</v>
      </c>
      <c r="BY145" s="27">
        <f>'COGS + SG&amp;A'!BY36+'COGS + SG&amp;A'!BY64+'COGS + SG&amp;A'!BY92+'COGS + SG&amp;A'!BY148+'COGS + SG&amp;A'!BY176</f>
        <v>16.436224789999997</v>
      </c>
      <c r="BZ145" s="27">
        <f>'COGS + SG&amp;A'!BZ36+'COGS + SG&amp;A'!BZ64+'COGS + SG&amp;A'!BZ92+'COGS + SG&amp;A'!BZ148+'COGS + SG&amp;A'!BZ176</f>
        <v>15.974618740000002</v>
      </c>
      <c r="CA145" s="27">
        <f>'COGS + SG&amp;A'!CA36+'COGS + SG&amp;A'!CA64+'COGS + SG&amp;A'!CA92+'COGS + SG&amp;A'!CA148+'COGS + SG&amp;A'!CA176</f>
        <v>15.471159659999996</v>
      </c>
      <c r="CB145" s="27">
        <f>'COGS + SG&amp;A'!CB36+'COGS + SG&amp;A'!CB64+'COGS + SG&amp;A'!CB92+'COGS + SG&amp;A'!CB148+'COGS + SG&amp;A'!CB176</f>
        <v>19.13376513</v>
      </c>
      <c r="CC145" s="27">
        <f>'COGS + SG&amp;A'!CC36+'COGS + SG&amp;A'!CC64+'COGS + SG&amp;A'!CC92+'COGS + SG&amp;A'!CC148+'COGS + SG&amp;A'!CC176</f>
        <v>67.015768319999992</v>
      </c>
      <c r="CD145" s="27">
        <f>'COGS + SG&amp;A'!CD36+'COGS + SG&amp;A'!CD64+'COGS + SG&amp;A'!CD92+'COGS + SG&amp;A'!CD148+'COGS + SG&amp;A'!CD176</f>
        <v>18.275685989999999</v>
      </c>
      <c r="CE145" s="27">
        <f>'COGS + SG&amp;A'!CE36+'COGS + SG&amp;A'!CE64+'COGS + SG&amp;A'!CE92+'COGS + SG&amp;A'!CE148+'COGS + SG&amp;A'!CE176</f>
        <v>28.063981079999998</v>
      </c>
      <c r="CF145" s="27">
        <f>'COGS + SG&amp;A'!CF36+'COGS + SG&amp;A'!CF64+'COGS + SG&amp;A'!CF92+'COGS + SG&amp;A'!CF148+'COGS + SG&amp;A'!CF176</f>
        <v>21.062870830000008</v>
      </c>
      <c r="CG145" s="27">
        <f>'COGS + SG&amp;A'!CG36+'COGS + SG&amp;A'!CG64+'COGS + SG&amp;A'!CG92+'COGS + SG&amp;A'!CG148+'COGS + SG&amp;A'!CG176</f>
        <v>26.775378669999998</v>
      </c>
      <c r="CH145" s="27">
        <f>'COGS + SG&amp;A'!CH36+'COGS + SG&amp;A'!CH64+'COGS + SG&amp;A'!CH92+'COGS + SG&amp;A'!CH148+'COGS + SG&amp;A'!CH176</f>
        <v>94.177916570000008</v>
      </c>
      <c r="CI145" s="27">
        <f>'COGS + SG&amp;A'!CI36+'COGS + SG&amp;A'!CI64+'COGS + SG&amp;A'!CI92+'COGS + SG&amp;A'!CI148+'COGS + SG&amp;A'!CI176</f>
        <v>22.425540649999999</v>
      </c>
      <c r="CJ145" s="27">
        <f>'COGS + SG&amp;A'!CJ36+'COGS + SG&amp;A'!CJ64+'COGS + SG&amp;A'!CJ92+'COGS + SG&amp;A'!CJ148+'COGS + SG&amp;A'!CJ176</f>
        <v>24.228559499999996</v>
      </c>
      <c r="CK145" s="27">
        <f>'COGS + SG&amp;A'!CK36+'COGS + SG&amp;A'!CK64+'COGS + SG&amp;A'!CK92+'COGS + SG&amp;A'!CK148+'COGS + SG&amp;A'!CK176</f>
        <v>23.964728400000006</v>
      </c>
      <c r="CL145" s="27">
        <f>'COGS + SG&amp;A'!CL36+'COGS + SG&amp;A'!CL64+'COGS + SG&amp;A'!CL92+'COGS + SG&amp;A'!CL148+'COGS + SG&amp;A'!CL176</f>
        <v>24.297495169999991</v>
      </c>
      <c r="CM145" s="27">
        <f>'COGS + SG&amp;A'!CM36+'COGS + SG&amp;A'!CM64+'COGS + SG&amp;A'!CM92+'COGS + SG&amp;A'!CM148+'COGS + SG&amp;A'!CM176</f>
        <v>94.91632371999998</v>
      </c>
      <c r="CN145" s="27">
        <f>'COGS + SG&amp;A'!CN36+'COGS + SG&amp;A'!CN64+'COGS + SG&amp;A'!CN92+'COGS + SG&amp;A'!CN148+'COGS + SG&amp;A'!CN176</f>
        <v>21.280203119999996</v>
      </c>
      <c r="CO145" s="27">
        <f>'COGS + SG&amp;A'!CO36+'COGS + SG&amp;A'!CO64+'COGS + SG&amp;A'!CO92+'COGS + SG&amp;A'!CO148+'COGS + SG&amp;A'!CO176</f>
        <v>20.504120399999998</v>
      </c>
      <c r="CP145" s="27">
        <f>'COGS + SG&amp;A'!CP36+'COGS + SG&amp;A'!CP64+'COGS + SG&amp;A'!CP92+'COGS + SG&amp;A'!CP148+'COGS + SG&amp;A'!CP176</f>
        <v>20.898502070000003</v>
      </c>
      <c r="CQ145" s="27">
        <f>'COGS + SG&amp;A'!CQ36+'COGS + SG&amp;A'!CQ64+'COGS + SG&amp;A'!CQ92+'COGS + SG&amp;A'!CQ148+'COGS + SG&amp;A'!CQ176</f>
        <v>17.310174410000002</v>
      </c>
      <c r="CR145" s="27">
        <f>'COGS + SG&amp;A'!CR36+'COGS + SG&amp;A'!CR64+'COGS + SG&amp;A'!CR92+'COGS + SG&amp;A'!CR148+'COGS + SG&amp;A'!CR176</f>
        <v>79.992999999999995</v>
      </c>
      <c r="CS145" s="27">
        <f>'COGS + SG&amp;A'!CS36+'COGS + SG&amp;A'!CS64+'COGS + SG&amp;A'!CS92+'COGS + SG&amp;A'!CS148+'COGS + SG&amp;A'!CS176</f>
        <v>21.293815939999998</v>
      </c>
      <c r="CT145" s="27">
        <f>'COGS + SG&amp;A'!CT36+'COGS + SG&amp;A'!CT64+'COGS + SG&amp;A'!CT92+'COGS + SG&amp;A'!CT148+'COGS + SG&amp;A'!CT176</f>
        <v>21.089139059999997</v>
      </c>
      <c r="CU145" s="27">
        <f>'COGS + SG&amp;A'!CU36+'COGS + SG&amp;A'!CU64+'COGS + SG&amp;A'!CU92+'COGS + SG&amp;A'!CU148+'COGS + SG&amp;A'!CU176</f>
        <v>19.274135299999998</v>
      </c>
      <c r="CV145" s="27">
        <f>'COGS + SG&amp;A'!CV36+'COGS + SG&amp;A'!CV64+'COGS + SG&amp;A'!CV92+'COGS + SG&amp;A'!CV148+'COGS + SG&amp;A'!CV176</f>
        <v>22.665541579999999</v>
      </c>
      <c r="CW145" s="27">
        <f>'COGS + SG&amp;A'!CW36+'COGS + SG&amp;A'!CW64+'COGS + SG&amp;A'!CW92+'COGS + SG&amp;A'!CW148+'COGS + SG&amp;A'!CW176</f>
        <v>84.322631879999989</v>
      </c>
      <c r="CX145" s="27">
        <f>'COGS + SG&amp;A'!CX36+'COGS + SG&amp;A'!CX64+'COGS + SG&amp;A'!CX92+'COGS + SG&amp;A'!CX148+'COGS + SG&amp;A'!CX176</f>
        <v>20.564999999999998</v>
      </c>
      <c r="CY145" s="27">
        <f>'COGS + SG&amp;A'!CY36+'COGS + SG&amp;A'!CY64+'COGS + SG&amp;A'!CY92+'COGS + SG&amp;A'!CY148+'COGS + SG&amp;A'!CY176</f>
        <v>20.291000000000004</v>
      </c>
      <c r="CZ145" s="27">
        <f>'COGS + SG&amp;A'!CZ36+'COGS + SG&amp;A'!CZ64+'COGS + SG&amp;A'!CZ92+'COGS + SG&amp;A'!CZ148+'COGS + SG&amp;A'!CZ176</f>
        <v>20.812999999999999</v>
      </c>
      <c r="DA145" s="27">
        <f>'COGS + SG&amp;A'!DA36+'COGS + SG&amp;A'!DA64+'COGS + SG&amp;A'!DA92+'COGS + SG&amp;A'!DA148+'COGS + SG&amp;A'!DA176</f>
        <v>21.388999999999999</v>
      </c>
      <c r="DB145" s="27">
        <f>'COGS + SG&amp;A'!DB36+'COGS + SG&amp;A'!DB64+'COGS + SG&amp;A'!DB92+'COGS + SG&amp;A'!DB148+'COGS + SG&amp;A'!DB176</f>
        <v>83.057999999999993</v>
      </c>
      <c r="DC145" s="27">
        <f>'COGS + SG&amp;A'!DC36+'COGS + SG&amp;A'!DC64+'COGS + SG&amp;A'!DC92+'COGS + SG&amp;A'!DC148+'COGS + SG&amp;A'!DC176</f>
        <v>21.109000000000002</v>
      </c>
      <c r="DD145" s="27">
        <f>'COGS + SG&amp;A'!DD36+'COGS + SG&amp;A'!DD64+'COGS + SG&amp;A'!DD92+'COGS + SG&amp;A'!DD148+'COGS + SG&amp;A'!DD176</f>
        <v>20.944999999999997</v>
      </c>
      <c r="DE145" s="27">
        <f>'COGS + SG&amp;A'!DE36+'COGS + SG&amp;A'!DE64+'COGS + SG&amp;A'!DE92+'COGS + SG&amp;A'!DE148+'COGS + SG&amp;A'!DE176</f>
        <v>22.68</v>
      </c>
      <c r="DF145" s="27">
        <f>'COGS + SG&amp;A'!DF36+'COGS + SG&amp;A'!DF64+'COGS + SG&amp;A'!DF92+'COGS + SG&amp;A'!DF148+'COGS + SG&amp;A'!DF176</f>
        <v>23.856000000000002</v>
      </c>
      <c r="DG145" s="27">
        <f>'COGS + SG&amp;A'!DG36+'COGS + SG&amp;A'!DG64+'COGS + SG&amp;A'!DG92+'COGS + SG&amp;A'!DG148+'COGS + SG&amp;A'!DG176</f>
        <v>88.589999999999989</v>
      </c>
      <c r="DH145" s="27">
        <f>'COGS + SG&amp;A'!DH36+'COGS + SG&amp;A'!DH64+'COGS + SG&amp;A'!DH92+'COGS + SG&amp;A'!DH148+'COGS + SG&amp;A'!DH176</f>
        <v>23.77</v>
      </c>
      <c r="DI145" s="27">
        <f>'COGS + SG&amp;A'!DI36+'COGS + SG&amp;A'!DI64+'COGS + SG&amp;A'!DI92+'COGS + SG&amp;A'!DI148+'COGS + SG&amp;A'!DI176</f>
        <v>21.204000000000001</v>
      </c>
      <c r="DJ145" s="27">
        <f>'COGS + SG&amp;A'!DJ36+'COGS + SG&amp;A'!DJ64+'COGS + SG&amp;A'!DJ92+'COGS + SG&amp;A'!DJ148+'COGS + SG&amp;A'!DJ176</f>
        <v>22.133000000000003</v>
      </c>
      <c r="DK145" s="27">
        <f>'COGS + SG&amp;A'!DK36+'COGS + SG&amp;A'!DK64+'COGS + SG&amp;A'!DK92+'COGS + SG&amp;A'!DK148+'COGS + SG&amp;A'!DK176</f>
        <v>23.114000000000001</v>
      </c>
      <c r="DL145" s="27">
        <f>'COGS + SG&amp;A'!DL36+'COGS + SG&amp;A'!DL64+'COGS + SG&amp;A'!DL92+'COGS + SG&amp;A'!DL148+'COGS + SG&amp;A'!DL176</f>
        <v>90.221000000000004</v>
      </c>
      <c r="DM145" s="27">
        <f>'COGS + SG&amp;A'!DM36+'COGS + SG&amp;A'!DM64+'COGS + SG&amp;A'!DM92+'COGS + SG&amp;A'!DM148+'COGS + SG&amp;A'!DM176</f>
        <v>24.093</v>
      </c>
      <c r="DN145" s="27">
        <f>'COGS + SG&amp;A'!DN36+'COGS + SG&amp;A'!DN64+'COGS + SG&amp;A'!DN92+'COGS + SG&amp;A'!DN148+'COGS + SG&amp;A'!DN176</f>
        <v>27.376000000000001</v>
      </c>
      <c r="DO145" s="27">
        <f>'COGS + SG&amp;A'!DO36+'COGS + SG&amp;A'!DO64+'COGS + SG&amp;A'!DO92+'COGS + SG&amp;A'!DO148+'COGS + SG&amp;A'!DO176</f>
        <v>27.093</v>
      </c>
      <c r="DP145" s="27">
        <f>'COGS + SG&amp;A'!DP36+'COGS + SG&amp;A'!DP64+'COGS + SG&amp;A'!DP92+'COGS + SG&amp;A'!DP148+'COGS + SG&amp;A'!DP176</f>
        <v>27.053999999999998</v>
      </c>
      <c r="DQ145" s="27">
        <f>'COGS + SG&amp;A'!DQ36+'COGS + SG&amp;A'!DQ64+'COGS + SG&amp;A'!DQ92+'COGS + SG&amp;A'!DQ148+'COGS + SG&amp;A'!DQ176</f>
        <v>105.61599999999999</v>
      </c>
      <c r="DR145" s="27">
        <f>'COGS + SG&amp;A'!DR36+'COGS + SG&amp;A'!DR64+'COGS + SG&amp;A'!DR92+'COGS + SG&amp;A'!DR148+'COGS + SG&amp;A'!DR176</f>
        <v>28.728000000000002</v>
      </c>
      <c r="DS145" s="27">
        <f>'COGS + SG&amp;A'!DS36+'COGS + SG&amp;A'!DS64+'COGS + SG&amp;A'!DS92+'COGS + SG&amp;A'!DS148+'COGS + SG&amp;A'!DS176</f>
        <v>27.814999999999998</v>
      </c>
      <c r="DT145" s="27">
        <f>'COGS + SG&amp;A'!DT36+'COGS + SG&amp;A'!DT64+'COGS + SG&amp;A'!DT92+'COGS + SG&amp;A'!DT148+'COGS + SG&amp;A'!DT176</f>
        <v>26.361000000000001</v>
      </c>
      <c r="DU145" s="27">
        <f>'COGS + SG&amp;A'!DU36+'COGS + SG&amp;A'!DU64+'COGS + SG&amp;A'!DU92+'COGS + SG&amp;A'!DU148+'COGS + SG&amp;A'!DU176</f>
        <v>30.228999999999999</v>
      </c>
      <c r="DV145" s="27">
        <f>'COGS + SG&amp;A'!DV36+'COGS + SG&amp;A'!DV64+'COGS + SG&amp;A'!DV92+'COGS + SG&amp;A'!DV148+'COGS + SG&amp;A'!DV176</f>
        <v>113.133</v>
      </c>
      <c r="DW145" s="27">
        <f>'COGS + SG&amp;A'!DW36+'COGS + SG&amp;A'!DW64+'COGS + SG&amp;A'!DW92+'COGS + SG&amp;A'!DW148+'COGS + SG&amp;A'!DW176</f>
        <v>31.196000000000002</v>
      </c>
      <c r="DX145" s="27">
        <f>'COGS + SG&amp;A'!DX36+'COGS + SG&amp;A'!DX64+'COGS + SG&amp;A'!DX92+'COGS + SG&amp;A'!DX148+'COGS + SG&amp;A'!DX176</f>
        <v>30.575456810000002</v>
      </c>
      <c r="DY145" s="27">
        <f>'COGS + SG&amp;A'!DY36+'COGS + SG&amp;A'!DY64+'COGS + SG&amp;A'!DY92+'COGS + SG&amp;A'!DY148+'COGS + SG&amp;A'!DY176</f>
        <v>36.0351669</v>
      </c>
      <c r="DZ145" s="27">
        <f>'COGS + SG&amp;A'!DZ36+'COGS + SG&amp;A'!DZ64+'COGS + SG&amp;A'!DZ92+'COGS + SG&amp;A'!DZ148+'COGS + SG&amp;A'!DZ176</f>
        <v>31.323301990000001</v>
      </c>
      <c r="EA145" s="27">
        <f>'COGS + SG&amp;A'!EA36+'COGS + SG&amp;A'!EA64+'COGS + SG&amp;A'!EA92+'COGS + SG&amp;A'!EA148+'COGS + SG&amp;A'!EA176</f>
        <v>129.1299257</v>
      </c>
      <c r="EB145" s="27">
        <f>'COGS + SG&amp;A'!EB36+'COGS + SG&amp;A'!EB64+'COGS + SG&amp;A'!EB92+'COGS + SG&amp;A'!EB148+'COGS + SG&amp;A'!EB176</f>
        <v>34.962751509999997</v>
      </c>
      <c r="EC145" s="27">
        <f>'COGS + SG&amp;A'!EC36+'COGS + SG&amp;A'!EC64+'COGS + SG&amp;A'!EC92+'COGS + SG&amp;A'!EC148+'COGS + SG&amp;A'!EC176</f>
        <v>33.294736050000004</v>
      </c>
      <c r="ED145" s="27">
        <f>'COGS + SG&amp;A'!ED36+'COGS + SG&amp;A'!ED64+'COGS + SG&amp;A'!ED92+'COGS + SG&amp;A'!ED148+'COGS + SG&amp;A'!ED176</f>
        <v>36.244</v>
      </c>
      <c r="EE145" s="27">
        <f>'COGS + SG&amp;A'!EE36+'COGS + SG&amp;A'!EE64+'COGS + SG&amp;A'!EE92+'COGS + SG&amp;A'!EE148+'COGS + SG&amp;A'!EE176</f>
        <v>36.844485640000009</v>
      </c>
      <c r="EF145" s="27">
        <f>'COGS + SG&amp;A'!EF36+'COGS + SG&amp;A'!EF64+'COGS + SG&amp;A'!EF92+'COGS + SG&amp;A'!EF148+'COGS + SG&amp;A'!EF176</f>
        <v>141.3459732</v>
      </c>
      <c r="EG145" s="27">
        <f>'COGS + SG&amp;A'!EG36+'COGS + SG&amp;A'!EG64+'COGS + SG&amp;A'!EG92+'COGS + SG&amp;A'!EG148+'COGS + SG&amp;A'!EG176</f>
        <v>36.809141330000003</v>
      </c>
      <c r="EH145" s="27">
        <f>'COGS + SG&amp;A'!EH36+'COGS + SG&amp;A'!EH64+'COGS + SG&amp;A'!EH92+'COGS + SG&amp;A'!EH148+'COGS + SG&amp;A'!EH176</f>
        <v>36.604937079999992</v>
      </c>
      <c r="EI145" s="27">
        <f>'COGS + SG&amp;A'!EI36+'COGS + SG&amp;A'!EI64+'COGS + SG&amp;A'!EI92+'COGS + SG&amp;A'!EI148+'COGS + SG&amp;A'!EI176</f>
        <v>38.362864340000009</v>
      </c>
    </row>
    <row r="146" spans="1:139" ht="15" thickBot="1" x14ac:dyDescent="0.35">
      <c r="A146" s="2" t="s">
        <v>481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28">
        <f>'COGS + SG&amp;A'!BJ37+'COGS + SG&amp;A'!BJ65+'COGS + SG&amp;A'!BJ93+'COGS + SG&amp;A'!BJ149+'COGS + SG&amp;A'!BJ177</f>
        <v>0</v>
      </c>
      <c r="BK146" s="28">
        <f>'COGS + SG&amp;A'!BK37+'COGS + SG&amp;A'!BK65+'COGS + SG&amp;A'!BK93+'COGS + SG&amp;A'!BK149+'COGS + SG&amp;A'!BK177</f>
        <v>0</v>
      </c>
      <c r="BL146" s="28">
        <f>'COGS + SG&amp;A'!BL37+'COGS + SG&amp;A'!BL65+'COGS + SG&amp;A'!BL93+'COGS + SG&amp;A'!BL149+'COGS + SG&amp;A'!BL177</f>
        <v>0</v>
      </c>
      <c r="BM146" s="28">
        <f>'COGS + SG&amp;A'!BM37+'COGS + SG&amp;A'!BM65+'COGS + SG&amp;A'!BM93+'COGS + SG&amp;A'!BM149+'COGS + SG&amp;A'!BM177</f>
        <v>0</v>
      </c>
      <c r="BN146" s="28">
        <f>'COGS + SG&amp;A'!BN37+'COGS + SG&amp;A'!BN65+'COGS + SG&amp;A'!BN93+'COGS + SG&amp;A'!BN149+'COGS + SG&amp;A'!BN177</f>
        <v>0</v>
      </c>
      <c r="BO146" s="28">
        <f>'COGS + SG&amp;A'!BO37+'COGS + SG&amp;A'!BO65+'COGS + SG&amp;A'!BO93+'COGS + SG&amp;A'!BO149+'COGS + SG&amp;A'!BO177</f>
        <v>0</v>
      </c>
      <c r="BP146" s="28">
        <f>'COGS + SG&amp;A'!BP37+'COGS + SG&amp;A'!BP65+'COGS + SG&amp;A'!BP93+'COGS + SG&amp;A'!BP149+'COGS + SG&amp;A'!BP177</f>
        <v>0</v>
      </c>
      <c r="BQ146" s="28">
        <f>'COGS + SG&amp;A'!BQ37+'COGS + SG&amp;A'!BQ65+'COGS + SG&amp;A'!BQ93+'COGS + SG&amp;A'!BQ149+'COGS + SG&amp;A'!BQ177</f>
        <v>0</v>
      </c>
      <c r="BR146" s="28">
        <f>'COGS + SG&amp;A'!BR37+'COGS + SG&amp;A'!BR65+'COGS + SG&amp;A'!BR93+'COGS + SG&amp;A'!BR149+'COGS + SG&amp;A'!BR177</f>
        <v>0</v>
      </c>
      <c r="BS146" s="28">
        <f>'COGS + SG&amp;A'!BS37+'COGS + SG&amp;A'!BS65+'COGS + SG&amp;A'!BS93+'COGS + SG&amp;A'!BS149+'COGS + SG&amp;A'!BS177</f>
        <v>0</v>
      </c>
      <c r="BT146" s="28">
        <f>'COGS + SG&amp;A'!BT37+'COGS + SG&amp;A'!BT65+'COGS + SG&amp;A'!BT93+'COGS + SG&amp;A'!BT149+'COGS + SG&amp;A'!BT177</f>
        <v>0</v>
      </c>
      <c r="BU146" s="28">
        <f>'COGS + SG&amp;A'!BU37+'COGS + SG&amp;A'!BU65+'COGS + SG&amp;A'!BU93+'COGS + SG&amp;A'!BU149+'COGS + SG&amp;A'!BU177</f>
        <v>0.39866452000000002</v>
      </c>
      <c r="BV146" s="28">
        <f>'COGS + SG&amp;A'!BV37+'COGS + SG&amp;A'!BV65+'COGS + SG&amp;A'!BV93+'COGS + SG&amp;A'!BV149+'COGS + SG&amp;A'!BV177</f>
        <v>1.5827504800000001</v>
      </c>
      <c r="BW146" s="28">
        <f>'COGS + SG&amp;A'!BW37+'COGS + SG&amp;A'!BW65+'COGS + SG&amp;A'!BW93+'COGS + SG&amp;A'!BW149+'COGS + SG&amp;A'!BW177</f>
        <v>1.9255850800000001</v>
      </c>
      <c r="BX146" s="28">
        <f>'COGS + SG&amp;A'!BX37+'COGS + SG&amp;A'!BX65+'COGS + SG&amp;A'!BX93+'COGS + SG&amp;A'!BX149+'COGS + SG&amp;A'!BX177</f>
        <v>3.90700008</v>
      </c>
      <c r="BY146" s="28">
        <f>'COGS + SG&amp;A'!BY37+'COGS + SG&amp;A'!BY65+'COGS + SG&amp;A'!BY93+'COGS + SG&amp;A'!BY149+'COGS + SG&amp;A'!BY177</f>
        <v>3.2935473099999997</v>
      </c>
      <c r="BZ146" s="28">
        <f>'COGS + SG&amp;A'!BZ37+'COGS + SG&amp;A'!BZ65+'COGS + SG&amp;A'!BZ93+'COGS + SG&amp;A'!BZ149+'COGS + SG&amp;A'!BZ177</f>
        <v>4.3969020700000003</v>
      </c>
      <c r="CA146" s="28">
        <f>'COGS + SG&amp;A'!CA37+'COGS + SG&amp;A'!CA65+'COGS + SG&amp;A'!CA93+'COGS + SG&amp;A'!CA149+'COGS + SG&amp;A'!CA177</f>
        <v>8.2397194900000006</v>
      </c>
      <c r="CB146" s="28">
        <f>'COGS + SG&amp;A'!CB37+'COGS + SG&amp;A'!CB65+'COGS + SG&amp;A'!CB93+'COGS + SG&amp;A'!CB149+'COGS + SG&amp;A'!CB177</f>
        <v>16.734024289999997</v>
      </c>
      <c r="CC146" s="28">
        <f>'COGS + SG&amp;A'!CC37+'COGS + SG&amp;A'!CC65+'COGS + SG&amp;A'!CC93+'COGS + SG&amp;A'!CC149+'COGS + SG&amp;A'!CC177</f>
        <v>32.664193159999996</v>
      </c>
      <c r="CD146" s="28">
        <f>'COGS + SG&amp;A'!CD37+'COGS + SG&amp;A'!CD65+'COGS + SG&amp;A'!CD93+'COGS + SG&amp;A'!CD149+'COGS + SG&amp;A'!CD177</f>
        <v>16.596883979999998</v>
      </c>
      <c r="CE146" s="28">
        <f>'COGS + SG&amp;A'!CE37+'COGS + SG&amp;A'!CE65+'COGS + SG&amp;A'!CE93+'COGS + SG&amp;A'!CE149+'COGS + SG&amp;A'!CE177</f>
        <v>22.435329330000002</v>
      </c>
      <c r="CF146" s="28">
        <f>'COGS + SG&amp;A'!CF37+'COGS + SG&amp;A'!CF65+'COGS + SG&amp;A'!CF93+'COGS + SG&amp;A'!CF149+'COGS + SG&amp;A'!CF177</f>
        <v>24.50060229</v>
      </c>
      <c r="CG146" s="28">
        <f>'COGS + SG&amp;A'!CG37+'COGS + SG&amp;A'!CG65+'COGS + SG&amp;A'!CG93+'COGS + SG&amp;A'!CG149+'COGS + SG&amp;A'!CG177</f>
        <v>23.290244420000001</v>
      </c>
      <c r="CH146" s="28">
        <f>'COGS + SG&amp;A'!CH37+'COGS + SG&amp;A'!CH65+'COGS + SG&amp;A'!CH93+'COGS + SG&amp;A'!CH149+'COGS + SG&amp;A'!CH177</f>
        <v>86.82306002</v>
      </c>
      <c r="CI146" s="28">
        <f>'COGS + SG&amp;A'!CI37+'COGS + SG&amp;A'!CI65+'COGS + SG&amp;A'!CI93+'COGS + SG&amp;A'!CI149+'COGS + SG&amp;A'!CI177</f>
        <v>24.325992369999998</v>
      </c>
      <c r="CJ146" s="28">
        <f>'COGS + SG&amp;A'!CJ37+'COGS + SG&amp;A'!CJ65+'COGS + SG&amp;A'!CJ93+'COGS + SG&amp;A'!CJ149+'COGS + SG&amp;A'!CJ177</f>
        <v>26.456615669999994</v>
      </c>
      <c r="CK146" s="28">
        <f>'COGS + SG&amp;A'!CK37+'COGS + SG&amp;A'!CK65+'COGS + SG&amp;A'!CK93+'COGS + SG&amp;A'!CK149+'COGS + SG&amp;A'!CK177</f>
        <v>24.102128990000011</v>
      </c>
      <c r="CL146" s="28">
        <f>'COGS + SG&amp;A'!CL37+'COGS + SG&amp;A'!CL65+'COGS + SG&amp;A'!CL93+'COGS + SG&amp;A'!CL149+'COGS + SG&amp;A'!CL177</f>
        <v>25.43032264</v>
      </c>
      <c r="CM146" s="28">
        <f>'COGS + SG&amp;A'!CM37+'COGS + SG&amp;A'!CM65+'COGS + SG&amp;A'!CM93+'COGS + SG&amp;A'!CM149+'COGS + SG&amp;A'!CM177</f>
        <v>100.31505967</v>
      </c>
      <c r="CN146" s="28">
        <f>'COGS + SG&amp;A'!CN37+'COGS + SG&amp;A'!CN65+'COGS + SG&amp;A'!CN93+'COGS + SG&amp;A'!CN149+'COGS + SG&amp;A'!CN177</f>
        <v>23.469924169999999</v>
      </c>
      <c r="CO146" s="28">
        <f>'COGS + SG&amp;A'!CO37+'COGS + SG&amp;A'!CO65+'COGS + SG&amp;A'!CO93+'COGS + SG&amp;A'!CO149+'COGS + SG&amp;A'!CO177</f>
        <v>23.720469300000001</v>
      </c>
      <c r="CP146" s="28">
        <f>'COGS + SG&amp;A'!CP37+'COGS + SG&amp;A'!CP65+'COGS + SG&amp;A'!CP93+'COGS + SG&amp;A'!CP149+'COGS + SG&amp;A'!CP177</f>
        <v>23.942528659999997</v>
      </c>
      <c r="CQ146" s="28">
        <f>'COGS + SG&amp;A'!CQ37+'COGS + SG&amp;A'!CQ65+'COGS + SG&amp;A'!CQ93+'COGS + SG&amp;A'!CQ149+'COGS + SG&amp;A'!CQ177</f>
        <v>24.218077869999998</v>
      </c>
      <c r="CR146" s="28">
        <f>'COGS + SG&amp;A'!CR37+'COGS + SG&amp;A'!CR65+'COGS + SG&amp;A'!CR93+'COGS + SG&amp;A'!CR149+'COGS + SG&amp;A'!CR177</f>
        <v>95.350999999999999</v>
      </c>
      <c r="CS146" s="28">
        <f>'COGS + SG&amp;A'!CS37+'COGS + SG&amp;A'!CS65+'COGS + SG&amp;A'!CS93+'COGS + SG&amp;A'!CS149+'COGS + SG&amp;A'!CS177</f>
        <v>23.748435860000001</v>
      </c>
      <c r="CT146" s="28">
        <f>'COGS + SG&amp;A'!CT37+'COGS + SG&amp;A'!CT65+'COGS + SG&amp;A'!CT93+'COGS + SG&amp;A'!CT149+'COGS + SG&amp;A'!CT177</f>
        <v>23.853652069999999</v>
      </c>
      <c r="CU146" s="28">
        <f>'COGS + SG&amp;A'!CU37+'COGS + SG&amp;A'!CU65+'COGS + SG&amp;A'!CU93+'COGS + SG&amp;A'!CU149+'COGS + SG&amp;A'!CU177</f>
        <v>24.232758480000005</v>
      </c>
      <c r="CV146" s="28">
        <f>'COGS + SG&amp;A'!CV37+'COGS + SG&amp;A'!CV65+'COGS + SG&amp;A'!CV93+'COGS + SG&amp;A'!CV149+'COGS + SG&amp;A'!CV177</f>
        <v>22.389344699999995</v>
      </c>
      <c r="CW146" s="28">
        <f>'COGS + SG&amp;A'!CW37+'COGS + SG&amp;A'!CW65+'COGS + SG&amp;A'!CW93+'COGS + SG&amp;A'!CW149+'COGS + SG&amp;A'!CW177</f>
        <v>94.224191109999992</v>
      </c>
      <c r="CX146" s="28">
        <f>'COGS + SG&amp;A'!CX37+'COGS + SG&amp;A'!CX65+'COGS + SG&amp;A'!CX93+'COGS + SG&amp;A'!CX149+'COGS + SG&amp;A'!CX177</f>
        <v>23.387999999999998</v>
      </c>
      <c r="CY146" s="28">
        <f>'COGS + SG&amp;A'!CY37+'COGS + SG&amp;A'!CY65+'COGS + SG&amp;A'!CY93+'COGS + SG&amp;A'!CY149+'COGS + SG&amp;A'!CY177</f>
        <v>24.196000000000002</v>
      </c>
      <c r="CZ146" s="28">
        <f>'COGS + SG&amp;A'!CZ37+'COGS + SG&amp;A'!CZ65+'COGS + SG&amp;A'!CZ93+'COGS + SG&amp;A'!CZ149+'COGS + SG&amp;A'!CZ177</f>
        <v>23.22</v>
      </c>
      <c r="DA146" s="28">
        <f>'COGS + SG&amp;A'!DA37+'COGS + SG&amp;A'!DA65+'COGS + SG&amp;A'!DA93+'COGS + SG&amp;A'!DA149+'COGS + SG&amp;A'!DA177</f>
        <v>25.262999999999998</v>
      </c>
      <c r="DB146" s="28">
        <f>'COGS + SG&amp;A'!DB37+'COGS + SG&amp;A'!DB65+'COGS + SG&amp;A'!DB93+'COGS + SG&amp;A'!DB149+'COGS + SG&amp;A'!DB177</f>
        <v>96.066999999999993</v>
      </c>
      <c r="DC146" s="28">
        <f>'COGS + SG&amp;A'!DC37+'COGS + SG&amp;A'!DC65+'COGS + SG&amp;A'!DC93+'COGS + SG&amp;A'!DC149+'COGS + SG&amp;A'!DC177</f>
        <v>22.815000000000001</v>
      </c>
      <c r="DD146" s="28">
        <f>'COGS + SG&amp;A'!DD37+'COGS + SG&amp;A'!DD65+'COGS + SG&amp;A'!DD93+'COGS + SG&amp;A'!DD149+'COGS + SG&amp;A'!DD177</f>
        <v>23.589999999999996</v>
      </c>
      <c r="DE146" s="28">
        <f>'COGS + SG&amp;A'!DE37+'COGS + SG&amp;A'!DE65+'COGS + SG&amp;A'!DE93+'COGS + SG&amp;A'!DE149+'COGS + SG&amp;A'!DE177</f>
        <v>25.015000000000001</v>
      </c>
      <c r="DF146" s="28">
        <f>'COGS + SG&amp;A'!DF37+'COGS + SG&amp;A'!DF65+'COGS + SG&amp;A'!DF93+'COGS + SG&amp;A'!DF149+'COGS + SG&amp;A'!DF177</f>
        <v>25.986000000000001</v>
      </c>
      <c r="DG146" s="28">
        <f>'COGS + SG&amp;A'!DG37+'COGS + SG&amp;A'!DG65+'COGS + SG&amp;A'!DG93+'COGS + SG&amp;A'!DG149+'COGS + SG&amp;A'!DG177</f>
        <v>97.405999999999992</v>
      </c>
      <c r="DH146" s="28">
        <f>'COGS + SG&amp;A'!DH37+'COGS + SG&amp;A'!DH65+'COGS + SG&amp;A'!DH93+'COGS + SG&amp;A'!DH149+'COGS + SG&amp;A'!DH177</f>
        <v>22.160999999999998</v>
      </c>
      <c r="DI146" s="28">
        <f>'COGS + SG&amp;A'!DI37+'COGS + SG&amp;A'!DI65+'COGS + SG&amp;A'!DI93+'COGS + SG&amp;A'!DI149+'COGS + SG&amp;A'!DI177</f>
        <v>19.622</v>
      </c>
      <c r="DJ146" s="28">
        <f>'COGS + SG&amp;A'!DJ37+'COGS + SG&amp;A'!DJ65+'COGS + SG&amp;A'!DJ93+'COGS + SG&amp;A'!DJ149+'COGS + SG&amp;A'!DJ177</f>
        <v>19.235999999999997</v>
      </c>
      <c r="DK146" s="28">
        <f>'COGS + SG&amp;A'!DK37+'COGS + SG&amp;A'!DK65+'COGS + SG&amp;A'!DK93+'COGS + SG&amp;A'!DK149+'COGS + SG&amp;A'!DK177</f>
        <v>76.245000000000005</v>
      </c>
      <c r="DL146" s="28">
        <f>'COGS + SG&amp;A'!DL37+'COGS + SG&amp;A'!DL65+'COGS + SG&amp;A'!DL93+'COGS + SG&amp;A'!DL149+'COGS + SG&amp;A'!DL177</f>
        <v>137.26400000000001</v>
      </c>
      <c r="DM146" s="28">
        <f>'COGS + SG&amp;A'!DM37+'COGS + SG&amp;A'!DM65+'COGS + SG&amp;A'!DM93+'COGS + SG&amp;A'!DM149+'COGS + SG&amp;A'!DM177</f>
        <v>21.959</v>
      </c>
      <c r="DN146" s="28">
        <f>'COGS + SG&amp;A'!DN37+'COGS + SG&amp;A'!DN65+'COGS + SG&amp;A'!DN93+'COGS + SG&amp;A'!DN149+'COGS + SG&amp;A'!DN177</f>
        <v>30.046999999999997</v>
      </c>
      <c r="DO146" s="28">
        <f>'COGS + SG&amp;A'!DO37+'COGS + SG&amp;A'!DO65+'COGS + SG&amp;A'!DO93+'COGS + SG&amp;A'!DO149+'COGS + SG&amp;A'!DO177</f>
        <v>34.957000000000001</v>
      </c>
      <c r="DP146" s="28">
        <f>'COGS + SG&amp;A'!DP37+'COGS + SG&amp;A'!DP65+'COGS + SG&amp;A'!DP93+'COGS + SG&amp;A'!DP149+'COGS + SG&amp;A'!DP177</f>
        <v>32.988</v>
      </c>
      <c r="DQ146" s="28">
        <f>'COGS + SG&amp;A'!DQ37+'COGS + SG&amp;A'!DQ65+'COGS + SG&amp;A'!DQ93+'COGS + SG&amp;A'!DQ149+'COGS + SG&amp;A'!DQ177</f>
        <v>119.95099999999999</v>
      </c>
      <c r="DR146" s="28">
        <f>'COGS + SG&amp;A'!DR37+'COGS + SG&amp;A'!DR65+'COGS + SG&amp;A'!DR93+'COGS + SG&amp;A'!DR149+'COGS + SG&amp;A'!DR177</f>
        <v>31.555</v>
      </c>
      <c r="DS146" s="28">
        <f>'COGS + SG&amp;A'!DS37+'COGS + SG&amp;A'!DS65+'COGS + SG&amp;A'!DS93+'COGS + SG&amp;A'!DS149+'COGS + SG&amp;A'!DS177</f>
        <v>32.97</v>
      </c>
      <c r="DT146" s="28">
        <f>'COGS + SG&amp;A'!DT37+'COGS + SG&amp;A'!DT65+'COGS + SG&amp;A'!DT93+'COGS + SG&amp;A'!DT149+'COGS + SG&amp;A'!DT177</f>
        <v>33.150999999999996</v>
      </c>
      <c r="DU146" s="28">
        <f>'COGS + SG&amp;A'!DU37+'COGS + SG&amp;A'!DU65+'COGS + SG&amp;A'!DU93+'COGS + SG&amp;A'!DU149+'COGS + SG&amp;A'!DU177</f>
        <v>29.445000000000004</v>
      </c>
      <c r="DV146" s="28">
        <f>'COGS + SG&amp;A'!DV37+'COGS + SG&amp;A'!DV65+'COGS + SG&amp;A'!DV93+'COGS + SG&amp;A'!DV149+'COGS + SG&amp;A'!DV177</f>
        <v>127.12100000000001</v>
      </c>
      <c r="DW146" s="28">
        <f>'COGS + SG&amp;A'!DW37+'COGS + SG&amp;A'!DW65+'COGS + SG&amp;A'!DW93+'COGS + SG&amp;A'!DW149+'COGS + SG&amp;A'!DW177</f>
        <v>42.293000000000006</v>
      </c>
      <c r="DX146" s="28">
        <f>'COGS + SG&amp;A'!DX37+'COGS + SG&amp;A'!DX65+'COGS + SG&amp;A'!DX93+'COGS + SG&amp;A'!DX149+'COGS + SG&amp;A'!DX177</f>
        <v>29.474688089999997</v>
      </c>
      <c r="DY146" s="28">
        <f>'COGS + SG&amp;A'!DY37+'COGS + SG&amp;A'!DY65+'COGS + SG&amp;A'!DY93+'COGS + SG&amp;A'!DY149+'COGS + SG&amp;A'!DY177</f>
        <v>33.539968930000001</v>
      </c>
      <c r="DZ146" s="28">
        <f>'COGS + SG&amp;A'!DZ37+'COGS + SG&amp;A'!DZ65+'COGS + SG&amp;A'!DZ93+'COGS + SG&amp;A'!DZ149+'COGS + SG&amp;A'!DZ177</f>
        <v>27.621677129999998</v>
      </c>
      <c r="EA146" s="28">
        <f>'COGS + SG&amp;A'!EA37+'COGS + SG&amp;A'!EA65+'COGS + SG&amp;A'!EA93+'COGS + SG&amp;A'!EA149+'COGS + SG&amp;A'!EA177</f>
        <v>132.92933414999999</v>
      </c>
      <c r="EB146" s="28">
        <f>'COGS + SG&amp;A'!EB37+'COGS + SG&amp;A'!EB65+'COGS + SG&amp;A'!EB93+'COGS + SG&amp;A'!EB149+'COGS + SG&amp;A'!EB177</f>
        <v>29.973573270000003</v>
      </c>
      <c r="EC146" s="28">
        <f>'COGS + SG&amp;A'!EC37+'COGS + SG&amp;A'!EC65+'COGS + SG&amp;A'!EC93+'COGS + SG&amp;A'!EC149+'COGS + SG&amp;A'!EC177</f>
        <v>34.15573595</v>
      </c>
      <c r="ED146" s="28">
        <f>'COGS + SG&amp;A'!ED37+'COGS + SG&amp;A'!ED65+'COGS + SG&amp;A'!ED93+'COGS + SG&amp;A'!ED149+'COGS + SG&amp;A'!ED177</f>
        <v>30.982000000000003</v>
      </c>
      <c r="EE146" s="28">
        <f>'COGS + SG&amp;A'!EE37+'COGS + SG&amp;A'!EE65+'COGS + SG&amp;A'!EE93+'COGS + SG&amp;A'!EE149+'COGS + SG&amp;A'!EE177</f>
        <v>32.443334210000003</v>
      </c>
      <c r="EF146" s="28">
        <f>'COGS + SG&amp;A'!EF37+'COGS + SG&amp;A'!EF65+'COGS + SG&amp;A'!EF93+'COGS + SG&amp;A'!EF149+'COGS + SG&amp;A'!EF177</f>
        <v>127.55464343000001</v>
      </c>
      <c r="EG146" s="28">
        <f>'COGS + SG&amp;A'!EG37+'COGS + SG&amp;A'!EG65+'COGS + SG&amp;A'!EG93+'COGS + SG&amp;A'!EG149+'COGS + SG&amp;A'!EG177</f>
        <v>28.911235599999994</v>
      </c>
      <c r="EH146" s="28">
        <f>'COGS + SG&amp;A'!EH37+'COGS + SG&amp;A'!EH65+'COGS + SG&amp;A'!EH93+'COGS + SG&amp;A'!EH149+'COGS + SG&amp;A'!EH177</f>
        <v>31.486816009999998</v>
      </c>
      <c r="EI146" s="28">
        <f>'COGS + SG&amp;A'!EI37+'COGS + SG&amp;A'!EI65+'COGS + SG&amp;A'!EI93+'COGS + SG&amp;A'!EI149+'COGS + SG&amp;A'!EI177</f>
        <v>43.343755360000003</v>
      </c>
    </row>
    <row r="147" spans="1:139" ht="15" thickTop="1" x14ac:dyDescent="0.3">
      <c r="A147" s="1" t="s">
        <v>445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27">
        <f>'COGS + SG&amp;A'!BJ38+'COGS + SG&amp;A'!BJ66+'COGS + SG&amp;A'!BJ94+'COGS + SG&amp;A'!BJ150+'COGS + SG&amp;A'!BJ178</f>
        <v>0</v>
      </c>
      <c r="BK147" s="27">
        <f>'COGS + SG&amp;A'!BK38+'COGS + SG&amp;A'!BK66+'COGS + SG&amp;A'!BK94+'COGS + SG&amp;A'!BK150+'COGS + SG&amp;A'!BK178</f>
        <v>0</v>
      </c>
      <c r="BL147" s="27">
        <f>'COGS + SG&amp;A'!BL38+'COGS + SG&amp;A'!BL66+'COGS + SG&amp;A'!BL94+'COGS + SG&amp;A'!BL150+'COGS + SG&amp;A'!BL178</f>
        <v>0</v>
      </c>
      <c r="BM147" s="27">
        <f>'COGS + SG&amp;A'!BM38+'COGS + SG&amp;A'!BM66+'COGS + SG&amp;A'!BM94+'COGS + SG&amp;A'!BM150+'COGS + SG&amp;A'!BM178</f>
        <v>0</v>
      </c>
      <c r="BN147" s="27">
        <f>'COGS + SG&amp;A'!BN38+'COGS + SG&amp;A'!BN66+'COGS + SG&amp;A'!BN94+'COGS + SG&amp;A'!BN150+'COGS + SG&amp;A'!BN178</f>
        <v>0</v>
      </c>
      <c r="BO147" s="27">
        <f>'COGS + SG&amp;A'!BO38+'COGS + SG&amp;A'!BO66+'COGS + SG&amp;A'!BO94+'COGS + SG&amp;A'!BO150+'COGS + SG&amp;A'!BO178</f>
        <v>0</v>
      </c>
      <c r="BP147" s="27">
        <f>'COGS + SG&amp;A'!BP38+'COGS + SG&amp;A'!BP66+'COGS + SG&amp;A'!BP94+'COGS + SG&amp;A'!BP150+'COGS + SG&amp;A'!BP178</f>
        <v>0</v>
      </c>
      <c r="BQ147" s="27">
        <f>'COGS + SG&amp;A'!BQ38+'COGS + SG&amp;A'!BQ66+'COGS + SG&amp;A'!BQ94+'COGS + SG&amp;A'!BQ150+'COGS + SG&amp;A'!BQ178</f>
        <v>0</v>
      </c>
      <c r="BR147" s="27">
        <f>'COGS + SG&amp;A'!BR38+'COGS + SG&amp;A'!BR66+'COGS + SG&amp;A'!BR94+'COGS + SG&amp;A'!BR150+'COGS + SG&amp;A'!BR178</f>
        <v>0</v>
      </c>
      <c r="BS147" s="27">
        <f>'COGS + SG&amp;A'!BS38+'COGS + SG&amp;A'!BS66+'COGS + SG&amp;A'!BS94+'COGS + SG&amp;A'!BS150+'COGS + SG&amp;A'!BS178</f>
        <v>0</v>
      </c>
      <c r="BT147" s="27">
        <f>'COGS + SG&amp;A'!BT38+'COGS + SG&amp;A'!BT66+'COGS + SG&amp;A'!BT94+'COGS + SG&amp;A'!BT150+'COGS + SG&amp;A'!BT178</f>
        <v>0</v>
      </c>
      <c r="BU147" s="27">
        <f>'COGS + SG&amp;A'!BU38+'COGS + SG&amp;A'!BU66+'COGS + SG&amp;A'!BU94+'COGS + SG&amp;A'!BU150+'COGS + SG&amp;A'!BU178</f>
        <v>0</v>
      </c>
      <c r="BV147" s="27">
        <f>'COGS + SG&amp;A'!BV38+'COGS + SG&amp;A'!BV66+'COGS + SG&amp;A'!BV94+'COGS + SG&amp;A'!BV150+'COGS + SG&amp;A'!BV178</f>
        <v>0</v>
      </c>
      <c r="BW147" s="27">
        <f>'COGS + SG&amp;A'!BW38+'COGS + SG&amp;A'!BW66+'COGS + SG&amp;A'!BW94+'COGS + SG&amp;A'!BW150+'COGS + SG&amp;A'!BW178</f>
        <v>0</v>
      </c>
      <c r="BX147" s="27">
        <f>'COGS + SG&amp;A'!BX38+'COGS + SG&amp;A'!BX66+'COGS + SG&amp;A'!BX94+'COGS + SG&amp;A'!BX150+'COGS + SG&amp;A'!BX178</f>
        <v>0</v>
      </c>
      <c r="BY147" s="27">
        <f>'COGS + SG&amp;A'!BY38+'COGS + SG&amp;A'!BY66+'COGS + SG&amp;A'!BY94+'COGS + SG&amp;A'!BY150+'COGS + SG&amp;A'!BY178</f>
        <v>0</v>
      </c>
      <c r="BZ147" s="27">
        <f>'COGS + SG&amp;A'!BZ38+'COGS + SG&amp;A'!BZ66+'COGS + SG&amp;A'!BZ94+'COGS + SG&amp;A'!BZ150+'COGS + SG&amp;A'!BZ178</f>
        <v>0</v>
      </c>
      <c r="CA147" s="27">
        <f>'COGS + SG&amp;A'!CA38+'COGS + SG&amp;A'!CA66+'COGS + SG&amp;A'!CA94+'COGS + SG&amp;A'!CA150+'COGS + SG&amp;A'!CA178</f>
        <v>0</v>
      </c>
      <c r="CB147" s="27">
        <f>'COGS + SG&amp;A'!CB38+'COGS + SG&amp;A'!CB66+'COGS + SG&amp;A'!CB94+'COGS + SG&amp;A'!CB150+'COGS + SG&amp;A'!CB178</f>
        <v>0</v>
      </c>
      <c r="CC147" s="27">
        <f>'COGS + SG&amp;A'!CC38+'COGS + SG&amp;A'!CC66+'COGS + SG&amp;A'!CC94+'COGS + SG&amp;A'!CC150+'COGS + SG&amp;A'!CC178</f>
        <v>0</v>
      </c>
      <c r="CD147" s="27">
        <f>'COGS + SG&amp;A'!CD38+'COGS + SG&amp;A'!CD66+'COGS + SG&amp;A'!CD94+'COGS + SG&amp;A'!CD150+'COGS + SG&amp;A'!CD178</f>
        <v>0</v>
      </c>
      <c r="CE147" s="27">
        <f>'COGS + SG&amp;A'!CE38+'COGS + SG&amp;A'!CE66+'COGS + SG&amp;A'!CE94+'COGS + SG&amp;A'!CE150+'COGS + SG&amp;A'!CE178</f>
        <v>0</v>
      </c>
      <c r="CF147" s="27">
        <f>'COGS + SG&amp;A'!CF38+'COGS + SG&amp;A'!CF66+'COGS + SG&amp;A'!CF94+'COGS + SG&amp;A'!CF150+'COGS + SG&amp;A'!CF178</f>
        <v>0</v>
      </c>
      <c r="CG147" s="27">
        <f>'COGS + SG&amp;A'!CG38+'COGS + SG&amp;A'!CG66+'COGS + SG&amp;A'!CG94+'COGS + SG&amp;A'!CG150+'COGS + SG&amp;A'!CG178</f>
        <v>0</v>
      </c>
      <c r="CH147" s="27">
        <f>'COGS + SG&amp;A'!CH38+'COGS + SG&amp;A'!CH66+'COGS + SG&amp;A'!CH94+'COGS + SG&amp;A'!CH150+'COGS + SG&amp;A'!CH178</f>
        <v>0</v>
      </c>
      <c r="CI147" s="27">
        <f>'COGS + SG&amp;A'!CI38+'COGS + SG&amp;A'!CI66+'COGS + SG&amp;A'!CI94+'COGS + SG&amp;A'!CI150+'COGS + SG&amp;A'!CI178</f>
        <v>0</v>
      </c>
      <c r="CJ147" s="27">
        <f>'COGS + SG&amp;A'!CJ38+'COGS + SG&amp;A'!CJ66+'COGS + SG&amp;A'!CJ94+'COGS + SG&amp;A'!CJ150+'COGS + SG&amp;A'!CJ178</f>
        <v>4.2392380199999993</v>
      </c>
      <c r="CK147" s="27">
        <f>'COGS + SG&amp;A'!CK38+'COGS + SG&amp;A'!CK66+'COGS + SG&amp;A'!CK94+'COGS + SG&amp;A'!CK150+'COGS + SG&amp;A'!CK178</f>
        <v>12.120764230000001</v>
      </c>
      <c r="CL147" s="27">
        <f>'COGS + SG&amp;A'!CL38+'COGS + SG&amp;A'!CL66+'COGS + SG&amp;A'!CL94+'COGS + SG&amp;A'!CL150+'COGS + SG&amp;A'!CL178</f>
        <v>12.2805944</v>
      </c>
      <c r="CM147" s="27">
        <f>'COGS + SG&amp;A'!CM38+'COGS + SG&amp;A'!CM66+'COGS + SG&amp;A'!CM94+'COGS + SG&amp;A'!CM150+'COGS + SG&amp;A'!CM178</f>
        <v>28.640596649999999</v>
      </c>
      <c r="CN147" s="27">
        <f>'COGS + SG&amp;A'!CN38+'COGS + SG&amp;A'!CN66+'COGS + SG&amp;A'!CN94+'COGS + SG&amp;A'!CN150+'COGS + SG&amp;A'!CN178</f>
        <v>11.208195959999999</v>
      </c>
      <c r="CO147" s="27">
        <f>'COGS + SG&amp;A'!CO38+'COGS + SG&amp;A'!CO66+'COGS + SG&amp;A'!CO94+'COGS + SG&amp;A'!CO150+'COGS + SG&amp;A'!CO178</f>
        <v>10.961296310000003</v>
      </c>
      <c r="CP147" s="27">
        <f>'COGS + SG&amp;A'!CP38+'COGS + SG&amp;A'!CP66+'COGS + SG&amp;A'!CP94+'COGS + SG&amp;A'!CP150+'COGS + SG&amp;A'!CP178</f>
        <v>10.492981379999998</v>
      </c>
      <c r="CQ147" s="27">
        <f>'COGS + SG&amp;A'!CQ38+'COGS + SG&amp;A'!CQ66+'COGS + SG&amp;A'!CQ94+'COGS + SG&amp;A'!CQ150+'COGS + SG&amp;A'!CQ178</f>
        <v>10.401526350000003</v>
      </c>
      <c r="CR147" s="27">
        <f>'COGS + SG&amp;A'!CR38+'COGS + SG&amp;A'!CR66+'COGS + SG&amp;A'!CR94+'COGS + SG&amp;A'!CR150+'COGS + SG&amp;A'!CR178</f>
        <v>43.064</v>
      </c>
      <c r="CS147" s="27">
        <f>'COGS + SG&amp;A'!CS38+'COGS + SG&amp;A'!CS66+'COGS + SG&amp;A'!CS94+'COGS + SG&amp;A'!CS150+'COGS + SG&amp;A'!CS178</f>
        <v>10.47050125</v>
      </c>
      <c r="CT147" s="27">
        <f>'COGS + SG&amp;A'!CT38+'COGS + SG&amp;A'!CT66+'COGS + SG&amp;A'!CT94+'COGS + SG&amp;A'!CT150+'COGS + SG&amp;A'!CT178</f>
        <v>10.60937921</v>
      </c>
      <c r="CU147" s="27">
        <f>'COGS + SG&amp;A'!CU38+'COGS + SG&amp;A'!CU66+'COGS + SG&amp;A'!CU94+'COGS + SG&amp;A'!CU150+'COGS + SG&amp;A'!CU178</f>
        <v>10.209549659999999</v>
      </c>
      <c r="CV147" s="27">
        <f>'COGS + SG&amp;A'!CV38+'COGS + SG&amp;A'!CV66+'COGS + SG&amp;A'!CV94+'COGS + SG&amp;A'!CV150+'COGS + SG&amp;A'!CV178</f>
        <v>11.236445889999999</v>
      </c>
      <c r="CW147" s="27">
        <f>'COGS + SG&amp;A'!CW38+'COGS + SG&amp;A'!CW66+'COGS + SG&amp;A'!CW94+'COGS + SG&amp;A'!CW150+'COGS + SG&amp;A'!CW178</f>
        <v>42.52587600999999</v>
      </c>
      <c r="CX147" s="27">
        <f>'COGS + SG&amp;A'!CX38+'COGS + SG&amp;A'!CX66+'COGS + SG&amp;A'!CX94+'COGS + SG&amp;A'!CX150+'COGS + SG&amp;A'!CX178</f>
        <v>10.082999999999998</v>
      </c>
      <c r="CY147" s="27">
        <f>'COGS + SG&amp;A'!CY38+'COGS + SG&amp;A'!CY66+'COGS + SG&amp;A'!CY94+'COGS + SG&amp;A'!CY150+'COGS + SG&amp;A'!CY178</f>
        <v>11.21</v>
      </c>
      <c r="CZ147" s="27">
        <f>'COGS + SG&amp;A'!CZ38+'COGS + SG&amp;A'!CZ66+'COGS + SG&amp;A'!CZ94+'COGS + SG&amp;A'!CZ150+'COGS + SG&amp;A'!CZ178</f>
        <v>10.332999999999998</v>
      </c>
      <c r="DA147" s="27">
        <f>'COGS + SG&amp;A'!DA38+'COGS + SG&amp;A'!DA66+'COGS + SG&amp;A'!DA94+'COGS + SG&amp;A'!DA150+'COGS + SG&amp;A'!DA178</f>
        <v>10.891</v>
      </c>
      <c r="DB147" s="27">
        <f>'COGS + SG&amp;A'!DB38+'COGS + SG&amp;A'!DB66+'COGS + SG&amp;A'!DB94+'COGS + SG&amp;A'!DB150+'COGS + SG&amp;A'!DB178</f>
        <v>42.516999999999996</v>
      </c>
      <c r="DC147" s="27">
        <f>'COGS + SG&amp;A'!DC38+'COGS + SG&amp;A'!DC66+'COGS + SG&amp;A'!DC94+'COGS + SG&amp;A'!DC150+'COGS + SG&amp;A'!DC178</f>
        <v>10.171000000000001</v>
      </c>
      <c r="DD147" s="27">
        <f>'COGS + SG&amp;A'!DD38+'COGS + SG&amp;A'!DD66+'COGS + SG&amp;A'!DD94+'COGS + SG&amp;A'!DD150+'COGS + SG&amp;A'!DD178</f>
        <v>9.77</v>
      </c>
      <c r="DE147" s="27">
        <f>'COGS + SG&amp;A'!DE38+'COGS + SG&amp;A'!DE66+'COGS + SG&amp;A'!DE94+'COGS + SG&amp;A'!DE150+'COGS + SG&amp;A'!DE178</f>
        <v>10.348999999999998</v>
      </c>
      <c r="DF147" s="27">
        <f>'COGS + SG&amp;A'!DF38+'COGS + SG&amp;A'!DF66+'COGS + SG&amp;A'!DF94+'COGS + SG&amp;A'!DF150+'COGS + SG&amp;A'!DF178</f>
        <v>11.509</v>
      </c>
      <c r="DG147" s="27">
        <f>'COGS + SG&amp;A'!DG38+'COGS + SG&amp;A'!DG66+'COGS + SG&amp;A'!DG94+'COGS + SG&amp;A'!DG150+'COGS + SG&amp;A'!DG178</f>
        <v>41.799000000000007</v>
      </c>
      <c r="DH147" s="27">
        <f>'COGS + SG&amp;A'!DH38+'COGS + SG&amp;A'!DH66+'COGS + SG&amp;A'!DH94+'COGS + SG&amp;A'!DH150+'COGS + SG&amp;A'!DH178</f>
        <v>10.858999999999998</v>
      </c>
      <c r="DI147" s="27">
        <f>'COGS + SG&amp;A'!DI38+'COGS + SG&amp;A'!DI66+'COGS + SG&amp;A'!DI94+'COGS + SG&amp;A'!DI150+'COGS + SG&amp;A'!DI178</f>
        <v>9.7059999999999995</v>
      </c>
      <c r="DJ147" s="27">
        <f>'COGS + SG&amp;A'!DJ38+'COGS + SG&amp;A'!DJ66+'COGS + SG&amp;A'!DJ94+'COGS + SG&amp;A'!DJ150+'COGS + SG&amp;A'!DJ178</f>
        <v>11.520999999999999</v>
      </c>
      <c r="DK147" s="27">
        <f>'COGS + SG&amp;A'!DK38+'COGS + SG&amp;A'!DK66+'COGS + SG&amp;A'!DK94+'COGS + SG&amp;A'!DK150+'COGS + SG&amp;A'!DK178</f>
        <v>11.432999999999998</v>
      </c>
      <c r="DL147" s="27">
        <f>'COGS + SG&amp;A'!DL38+'COGS + SG&amp;A'!DL66+'COGS + SG&amp;A'!DL94+'COGS + SG&amp;A'!DL150+'COGS + SG&amp;A'!DL178</f>
        <v>43.519000000000005</v>
      </c>
      <c r="DM147" s="27">
        <f>'COGS + SG&amp;A'!DM38+'COGS + SG&amp;A'!DM66+'COGS + SG&amp;A'!DM94+'COGS + SG&amp;A'!DM150+'COGS + SG&amp;A'!DM178</f>
        <v>11.385999999999999</v>
      </c>
      <c r="DN147" s="27">
        <f>'COGS + SG&amp;A'!DN38+'COGS + SG&amp;A'!DN66+'COGS + SG&amp;A'!DN94+'COGS + SG&amp;A'!DN150+'COGS + SG&amp;A'!DN178</f>
        <v>12.091000000000001</v>
      </c>
      <c r="DO147" s="27">
        <f>'COGS + SG&amp;A'!DO38+'COGS + SG&amp;A'!DO66+'COGS + SG&amp;A'!DO94+'COGS + SG&amp;A'!DO150+'COGS + SG&amp;A'!DO178</f>
        <v>11.376999999999999</v>
      </c>
      <c r="DP147" s="27">
        <f>'COGS + SG&amp;A'!DP38+'COGS + SG&amp;A'!DP66+'COGS + SG&amp;A'!DP94+'COGS + SG&amp;A'!DP150+'COGS + SG&amp;A'!DP178</f>
        <v>12.78</v>
      </c>
      <c r="DQ147" s="27">
        <f>'COGS + SG&amp;A'!DQ38+'COGS + SG&amp;A'!DQ66+'COGS + SG&amp;A'!DQ94+'COGS + SG&amp;A'!DQ150+'COGS + SG&amp;A'!DQ178</f>
        <v>47.633999999999993</v>
      </c>
      <c r="DR147" s="27">
        <f>'COGS + SG&amp;A'!DR38+'COGS + SG&amp;A'!DR66+'COGS + SG&amp;A'!DR94+'COGS + SG&amp;A'!DR150+'COGS + SG&amp;A'!DR178</f>
        <v>12.461</v>
      </c>
      <c r="DS147" s="27">
        <f>'COGS + SG&amp;A'!DS38+'COGS + SG&amp;A'!DS66+'COGS + SG&amp;A'!DS94+'COGS + SG&amp;A'!DS150+'COGS + SG&amp;A'!DS178</f>
        <v>12.241</v>
      </c>
      <c r="DT147" s="27">
        <f>'COGS + SG&amp;A'!DT38+'COGS + SG&amp;A'!DT66+'COGS + SG&amp;A'!DT94+'COGS + SG&amp;A'!DT150+'COGS + SG&amp;A'!DT178</f>
        <v>12.450999999999999</v>
      </c>
      <c r="DU147" s="27">
        <f>'COGS + SG&amp;A'!DU38+'COGS + SG&amp;A'!DU66+'COGS + SG&amp;A'!DU94+'COGS + SG&amp;A'!DU150+'COGS + SG&amp;A'!DU178</f>
        <v>13.36</v>
      </c>
      <c r="DV147" s="27">
        <f>'COGS + SG&amp;A'!DV38+'COGS + SG&amp;A'!DV66+'COGS + SG&amp;A'!DV94+'COGS + SG&amp;A'!DV150+'COGS + SG&amp;A'!DV178</f>
        <v>50.512999999999998</v>
      </c>
      <c r="DW147" s="27">
        <f>'COGS + SG&amp;A'!DW38+'COGS + SG&amp;A'!DW66+'COGS + SG&amp;A'!DW94+'COGS + SG&amp;A'!DW150+'COGS + SG&amp;A'!DW178</f>
        <v>13.154</v>
      </c>
      <c r="DX147" s="27">
        <f>'COGS + SG&amp;A'!DX38+'COGS + SG&amp;A'!DX66+'COGS + SG&amp;A'!DX94+'COGS + SG&amp;A'!DX150+'COGS + SG&amp;A'!DX178</f>
        <v>13.256262</v>
      </c>
      <c r="DY147" s="27">
        <f>'COGS + SG&amp;A'!DY38+'COGS + SG&amp;A'!DY66+'COGS + SG&amp;A'!DY94+'COGS + SG&amp;A'!DY150+'COGS + SG&amp;A'!DY178</f>
        <v>13.696697669999999</v>
      </c>
      <c r="DZ147" s="27">
        <f>'COGS + SG&amp;A'!DZ38+'COGS + SG&amp;A'!DZ66+'COGS + SG&amp;A'!DZ94+'COGS + SG&amp;A'!DZ150+'COGS + SG&amp;A'!DZ178</f>
        <v>14.015365020000003</v>
      </c>
      <c r="EA147" s="27">
        <f>'COGS + SG&amp;A'!EA38+'COGS + SG&amp;A'!EA66+'COGS + SG&amp;A'!EA94+'COGS + SG&amp;A'!EA150+'COGS + SG&amp;A'!EA178</f>
        <v>54.122324689999999</v>
      </c>
      <c r="EB147" s="27">
        <f>'COGS + SG&amp;A'!EB38+'COGS + SG&amp;A'!EB66+'COGS + SG&amp;A'!EB94+'COGS + SG&amp;A'!EB150+'COGS + SG&amp;A'!EB178</f>
        <v>15.96673228</v>
      </c>
      <c r="EC147" s="27">
        <f>'COGS + SG&amp;A'!EC38+'COGS + SG&amp;A'!EC66+'COGS + SG&amp;A'!EC94+'COGS + SG&amp;A'!EC150+'COGS + SG&amp;A'!EC178</f>
        <v>13.442827050000002</v>
      </c>
      <c r="ED147" s="27">
        <f>'COGS + SG&amp;A'!ED38+'COGS + SG&amp;A'!ED66+'COGS + SG&amp;A'!ED94+'COGS + SG&amp;A'!ED150+'COGS + SG&amp;A'!ED178</f>
        <v>14.438999999999998</v>
      </c>
      <c r="EE147" s="27">
        <f>'COGS + SG&amp;A'!EE38+'COGS + SG&amp;A'!EE66+'COGS + SG&amp;A'!EE94+'COGS + SG&amp;A'!EE150+'COGS + SG&amp;A'!EE178</f>
        <v>15.623082840000002</v>
      </c>
      <c r="EF147" s="27">
        <f>'COGS + SG&amp;A'!EF38+'COGS + SG&amp;A'!EF66+'COGS + SG&amp;A'!EF94+'COGS + SG&amp;A'!EF150+'COGS + SG&amp;A'!EF178</f>
        <v>59.471642170000003</v>
      </c>
      <c r="EG147" s="27">
        <f>'COGS + SG&amp;A'!EG38+'COGS + SG&amp;A'!EG66+'COGS + SG&amp;A'!EG94+'COGS + SG&amp;A'!EG150+'COGS + SG&amp;A'!EG178</f>
        <v>14.42682817</v>
      </c>
      <c r="EH147" s="27">
        <f>'COGS + SG&amp;A'!EH38+'COGS + SG&amp;A'!EH66+'COGS + SG&amp;A'!EH94+'COGS + SG&amp;A'!EH150+'COGS + SG&amp;A'!EH178</f>
        <v>16.254403579999998</v>
      </c>
      <c r="EI147" s="27">
        <f>'COGS + SG&amp;A'!EI38+'COGS + SG&amp;A'!EI66+'COGS + SG&amp;A'!EI94+'COGS + SG&amp;A'!EI150+'COGS + SG&amp;A'!EI178</f>
        <v>15.215764480000001</v>
      </c>
    </row>
    <row r="148" spans="1:139" ht="15" thickBot="1" x14ac:dyDescent="0.35">
      <c r="A148" s="2" t="s">
        <v>444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28">
        <f>'COGS + SG&amp;A'!BJ39+'COGS + SG&amp;A'!BJ67+'COGS + SG&amp;A'!BJ95+'COGS + SG&amp;A'!BJ151+'COGS + SG&amp;A'!BJ179</f>
        <v>0</v>
      </c>
      <c r="BK148" s="28">
        <f>'COGS + SG&amp;A'!BK39+'COGS + SG&amp;A'!BK67+'COGS + SG&amp;A'!BK95+'COGS + SG&amp;A'!BK151+'COGS + SG&amp;A'!BK179</f>
        <v>0</v>
      </c>
      <c r="BL148" s="28">
        <f>'COGS + SG&amp;A'!BL39+'COGS + SG&amp;A'!BL67+'COGS + SG&amp;A'!BL95+'COGS + SG&amp;A'!BL151+'COGS + SG&amp;A'!BL179</f>
        <v>0</v>
      </c>
      <c r="BM148" s="28">
        <f>'COGS + SG&amp;A'!BM39+'COGS + SG&amp;A'!BM67+'COGS + SG&amp;A'!BM95+'COGS + SG&amp;A'!BM151+'COGS + SG&amp;A'!BM179</f>
        <v>0</v>
      </c>
      <c r="BN148" s="28">
        <f>'COGS + SG&amp;A'!BN39+'COGS + SG&amp;A'!BN67+'COGS + SG&amp;A'!BN95+'COGS + SG&amp;A'!BN151+'COGS + SG&amp;A'!BN179</f>
        <v>0</v>
      </c>
      <c r="BO148" s="28">
        <f>'COGS + SG&amp;A'!BO39+'COGS + SG&amp;A'!BO67+'COGS + SG&amp;A'!BO95+'COGS + SG&amp;A'!BO151+'COGS + SG&amp;A'!BO179</f>
        <v>0</v>
      </c>
      <c r="BP148" s="28">
        <f>'COGS + SG&amp;A'!BP39+'COGS + SG&amp;A'!BP67+'COGS + SG&amp;A'!BP95+'COGS + SG&amp;A'!BP151+'COGS + SG&amp;A'!BP179</f>
        <v>0</v>
      </c>
      <c r="BQ148" s="28">
        <f>'COGS + SG&amp;A'!BQ39+'COGS + SG&amp;A'!BQ67+'COGS + SG&amp;A'!BQ95+'COGS + SG&amp;A'!BQ151+'COGS + SG&amp;A'!BQ179</f>
        <v>0</v>
      </c>
      <c r="BR148" s="28">
        <f>'COGS + SG&amp;A'!BR39+'COGS + SG&amp;A'!BR67+'COGS + SG&amp;A'!BR95+'COGS + SG&amp;A'!BR151+'COGS + SG&amp;A'!BR179</f>
        <v>0</v>
      </c>
      <c r="BS148" s="28">
        <f>'COGS + SG&amp;A'!BS39+'COGS + SG&amp;A'!BS67+'COGS + SG&amp;A'!BS95+'COGS + SG&amp;A'!BS151+'COGS + SG&amp;A'!BS179</f>
        <v>0</v>
      </c>
      <c r="BT148" s="28">
        <f>'COGS + SG&amp;A'!BT39+'COGS + SG&amp;A'!BT67+'COGS + SG&amp;A'!BT95+'COGS + SG&amp;A'!BT151+'COGS + SG&amp;A'!BT179</f>
        <v>0</v>
      </c>
      <c r="BU148" s="28">
        <f>'COGS + SG&amp;A'!BU39+'COGS + SG&amp;A'!BU67+'COGS + SG&amp;A'!BU95+'COGS + SG&amp;A'!BU151+'COGS + SG&amp;A'!BU179</f>
        <v>0</v>
      </c>
      <c r="BV148" s="28">
        <f>'COGS + SG&amp;A'!BV39+'COGS + SG&amp;A'!BV67+'COGS + SG&amp;A'!BV95+'COGS + SG&amp;A'!BV151+'COGS + SG&amp;A'!BV179</f>
        <v>0</v>
      </c>
      <c r="BW148" s="28">
        <f>'COGS + SG&amp;A'!BW39+'COGS + SG&amp;A'!BW67+'COGS + SG&amp;A'!BW95+'COGS + SG&amp;A'!BW151+'COGS + SG&amp;A'!BW179</f>
        <v>0</v>
      </c>
      <c r="BX148" s="28">
        <f>'COGS + SG&amp;A'!BX39+'COGS + SG&amp;A'!BX67+'COGS + SG&amp;A'!BX95+'COGS + SG&amp;A'!BX151+'COGS + SG&amp;A'!BX179</f>
        <v>0</v>
      </c>
      <c r="BY148" s="28">
        <f>'COGS + SG&amp;A'!BY39+'COGS + SG&amp;A'!BY67+'COGS + SG&amp;A'!BY95+'COGS + SG&amp;A'!BY151+'COGS + SG&amp;A'!BY179</f>
        <v>0</v>
      </c>
      <c r="BZ148" s="28">
        <f>'COGS + SG&amp;A'!BZ39+'COGS + SG&amp;A'!BZ67+'COGS + SG&amp;A'!BZ95+'COGS + SG&amp;A'!BZ151+'COGS + SG&amp;A'!BZ179</f>
        <v>0</v>
      </c>
      <c r="CA148" s="28">
        <f>'COGS + SG&amp;A'!CA39+'COGS + SG&amp;A'!CA67+'COGS + SG&amp;A'!CA95+'COGS + SG&amp;A'!CA151+'COGS + SG&amp;A'!CA179</f>
        <v>0</v>
      </c>
      <c r="CB148" s="28">
        <f>'COGS + SG&amp;A'!CB39+'COGS + SG&amp;A'!CB67+'COGS + SG&amp;A'!CB95+'COGS + SG&amp;A'!CB151+'COGS + SG&amp;A'!CB179</f>
        <v>0</v>
      </c>
      <c r="CC148" s="28">
        <f>'COGS + SG&amp;A'!CC39+'COGS + SG&amp;A'!CC67+'COGS + SG&amp;A'!CC95+'COGS + SG&amp;A'!CC151+'COGS + SG&amp;A'!CC179</f>
        <v>0</v>
      </c>
      <c r="CD148" s="28">
        <f>'COGS + SG&amp;A'!CD39+'COGS + SG&amp;A'!CD67+'COGS + SG&amp;A'!CD95+'COGS + SG&amp;A'!CD151+'COGS + SG&amp;A'!CD179</f>
        <v>0</v>
      </c>
      <c r="CE148" s="28">
        <f>'COGS + SG&amp;A'!CE39+'COGS + SG&amp;A'!CE67+'COGS + SG&amp;A'!CE95+'COGS + SG&amp;A'!CE151+'COGS + SG&amp;A'!CE179</f>
        <v>0</v>
      </c>
      <c r="CF148" s="28">
        <f>'COGS + SG&amp;A'!CF39+'COGS + SG&amp;A'!CF67+'COGS + SG&amp;A'!CF95+'COGS + SG&amp;A'!CF151+'COGS + SG&amp;A'!CF179</f>
        <v>0</v>
      </c>
      <c r="CG148" s="28">
        <f>'COGS + SG&amp;A'!CG39+'COGS + SG&amp;A'!CG67+'COGS + SG&amp;A'!CG95+'COGS + SG&amp;A'!CG151+'COGS + SG&amp;A'!CG179</f>
        <v>0</v>
      </c>
      <c r="CH148" s="28">
        <f>'COGS + SG&amp;A'!CH39+'COGS + SG&amp;A'!CH67+'COGS + SG&amp;A'!CH95+'COGS + SG&amp;A'!CH151+'COGS + SG&amp;A'!CH179</f>
        <v>0</v>
      </c>
      <c r="CI148" s="28">
        <f>'COGS + SG&amp;A'!CI39+'COGS + SG&amp;A'!CI67+'COGS + SG&amp;A'!CI95+'COGS + SG&amp;A'!CI151+'COGS + SG&amp;A'!CI179</f>
        <v>0</v>
      </c>
      <c r="CJ148" s="28">
        <f>'COGS + SG&amp;A'!CJ39+'COGS + SG&amp;A'!CJ67+'COGS + SG&amp;A'!CJ95+'COGS + SG&amp;A'!CJ151+'COGS + SG&amp;A'!CJ179</f>
        <v>0</v>
      </c>
      <c r="CK148" s="28">
        <f>'COGS + SG&amp;A'!CK39+'COGS + SG&amp;A'!CK67+'COGS + SG&amp;A'!CK95+'COGS + SG&amp;A'!CK151+'COGS + SG&amp;A'!CK179</f>
        <v>0</v>
      </c>
      <c r="CL148" s="28">
        <f>'COGS + SG&amp;A'!CL39+'COGS + SG&amp;A'!CL67+'COGS + SG&amp;A'!CL95+'COGS + SG&amp;A'!CL151+'COGS + SG&amp;A'!CL179</f>
        <v>0</v>
      </c>
      <c r="CM148" s="28">
        <f>'COGS + SG&amp;A'!CM39+'COGS + SG&amp;A'!CM67+'COGS + SG&amp;A'!CM95+'COGS + SG&amp;A'!CM151+'COGS + SG&amp;A'!CM179</f>
        <v>0</v>
      </c>
      <c r="CN148" s="28">
        <f>'COGS + SG&amp;A'!CN39+'COGS + SG&amp;A'!CN67+'COGS + SG&amp;A'!CN95+'COGS + SG&amp;A'!CN151+'COGS + SG&amp;A'!CN179</f>
        <v>0</v>
      </c>
      <c r="CO148" s="28">
        <f>'COGS + SG&amp;A'!CO39+'COGS + SG&amp;A'!CO67+'COGS + SG&amp;A'!CO95+'COGS + SG&amp;A'!CO151+'COGS + SG&amp;A'!CO179</f>
        <v>0</v>
      </c>
      <c r="CP148" s="28">
        <f>'COGS + SG&amp;A'!CP39+'COGS + SG&amp;A'!CP67+'COGS + SG&amp;A'!CP95+'COGS + SG&amp;A'!CP151+'COGS + SG&amp;A'!CP179</f>
        <v>0</v>
      </c>
      <c r="CQ148" s="28">
        <f>'COGS + SG&amp;A'!CQ39+'COGS + SG&amp;A'!CQ67+'COGS + SG&amp;A'!CQ95+'COGS + SG&amp;A'!CQ151+'COGS + SG&amp;A'!CQ179</f>
        <v>0</v>
      </c>
      <c r="CR148" s="28">
        <f>'COGS + SG&amp;A'!CR39+'COGS + SG&amp;A'!CR67+'COGS + SG&amp;A'!CR95+'COGS + SG&amp;A'!CR151+'COGS + SG&amp;A'!CR179</f>
        <v>0</v>
      </c>
      <c r="CS148" s="28">
        <f>'COGS + SG&amp;A'!CS39+'COGS + SG&amp;A'!CS67+'COGS + SG&amp;A'!CS95+'COGS + SG&amp;A'!CS151+'COGS + SG&amp;A'!CS179</f>
        <v>0</v>
      </c>
      <c r="CT148" s="28">
        <f>'COGS + SG&amp;A'!CT39+'COGS + SG&amp;A'!CT67+'COGS + SG&amp;A'!CT95+'COGS + SG&amp;A'!CT151+'COGS + SG&amp;A'!CT179</f>
        <v>0</v>
      </c>
      <c r="CU148" s="28">
        <f>'COGS + SG&amp;A'!CU39+'COGS + SG&amp;A'!CU67+'COGS + SG&amp;A'!CU95+'COGS + SG&amp;A'!CU151+'COGS + SG&amp;A'!CU179</f>
        <v>0</v>
      </c>
      <c r="CV148" s="28">
        <f>'COGS + SG&amp;A'!CV39+'COGS + SG&amp;A'!CV67+'COGS + SG&amp;A'!CV95+'COGS + SG&amp;A'!CV151+'COGS + SG&amp;A'!CV179</f>
        <v>0</v>
      </c>
      <c r="CW148" s="28">
        <f>'COGS + SG&amp;A'!CW39+'COGS + SG&amp;A'!CW67+'COGS + SG&amp;A'!CW95+'COGS + SG&amp;A'!CW151+'COGS + SG&amp;A'!CW179</f>
        <v>0</v>
      </c>
      <c r="CX148" s="28">
        <f>'COGS + SG&amp;A'!CX39+'COGS + SG&amp;A'!CX67+'COGS + SG&amp;A'!CX95+'COGS + SG&amp;A'!CX151+'COGS + SG&amp;A'!CX179</f>
        <v>0</v>
      </c>
      <c r="CY148" s="28">
        <f>'COGS + SG&amp;A'!CY39+'COGS + SG&amp;A'!CY67+'COGS + SG&amp;A'!CY95+'COGS + SG&amp;A'!CY151+'COGS + SG&amp;A'!CY179</f>
        <v>0</v>
      </c>
      <c r="CZ148" s="28">
        <f>'COGS + SG&amp;A'!CZ39+'COGS + SG&amp;A'!CZ67+'COGS + SG&amp;A'!CZ95+'COGS + SG&amp;A'!CZ151+'COGS + SG&amp;A'!CZ179</f>
        <v>0</v>
      </c>
      <c r="DA148" s="28">
        <f>'COGS + SG&amp;A'!DA39+'COGS + SG&amp;A'!DA67+'COGS + SG&amp;A'!DA95+'COGS + SG&amp;A'!DA151+'COGS + SG&amp;A'!DA179</f>
        <v>0</v>
      </c>
      <c r="DB148" s="28">
        <f>'COGS + SG&amp;A'!DB39+'COGS + SG&amp;A'!DB67+'COGS + SG&amp;A'!DB95+'COGS + SG&amp;A'!DB151+'COGS + SG&amp;A'!DB179</f>
        <v>0</v>
      </c>
      <c r="DC148" s="28">
        <f>'COGS + SG&amp;A'!DC39+'COGS + SG&amp;A'!DC67+'COGS + SG&amp;A'!DC95+'COGS + SG&amp;A'!DC151+'COGS + SG&amp;A'!DC179</f>
        <v>0</v>
      </c>
      <c r="DD148" s="28">
        <f>'COGS + SG&amp;A'!DD39+'COGS + SG&amp;A'!DD67+'COGS + SG&amp;A'!DD95+'COGS + SG&amp;A'!DD151+'COGS + SG&amp;A'!DD179</f>
        <v>8.1760000000000002</v>
      </c>
      <c r="DE148" s="28">
        <f>'COGS + SG&amp;A'!DE39+'COGS + SG&amp;A'!DE67+'COGS + SG&amp;A'!DE95+'COGS + SG&amp;A'!DE151+'COGS + SG&amp;A'!DE179</f>
        <v>25.988</v>
      </c>
      <c r="DF148" s="28">
        <f>'COGS + SG&amp;A'!DF39+'COGS + SG&amp;A'!DF67+'COGS + SG&amp;A'!DF95+'COGS + SG&amp;A'!DF151+'COGS + SG&amp;A'!DF179</f>
        <v>21.736999999999998</v>
      </c>
      <c r="DG148" s="28">
        <f>'COGS + SG&amp;A'!DG39+'COGS + SG&amp;A'!DG67+'COGS + SG&amp;A'!DG95+'COGS + SG&amp;A'!DG151+'COGS + SG&amp;A'!DG179</f>
        <v>55.901000000000003</v>
      </c>
      <c r="DH148" s="28">
        <f>'COGS + SG&amp;A'!DH39+'COGS + SG&amp;A'!DH67+'COGS + SG&amp;A'!DH95+'COGS + SG&amp;A'!DH151+'COGS + SG&amp;A'!DH179</f>
        <v>23.377000000000002</v>
      </c>
      <c r="DI148" s="28">
        <f>'COGS + SG&amp;A'!DI39+'COGS + SG&amp;A'!DI67+'COGS + SG&amp;A'!DI95+'COGS + SG&amp;A'!DI151+'COGS + SG&amp;A'!DI179</f>
        <v>21.709999999999997</v>
      </c>
      <c r="DJ148" s="28">
        <f>'COGS + SG&amp;A'!DJ39+'COGS + SG&amp;A'!DJ67+'COGS + SG&amp;A'!DJ95+'COGS + SG&amp;A'!DJ151+'COGS + SG&amp;A'!DJ179</f>
        <v>21.54</v>
      </c>
      <c r="DK148" s="28">
        <f>'COGS + SG&amp;A'!DK39+'COGS + SG&amp;A'!DK67+'COGS + SG&amp;A'!DK95+'COGS + SG&amp;A'!DK151+'COGS + SG&amp;A'!DK179</f>
        <v>22.962</v>
      </c>
      <c r="DL148" s="28">
        <f>'COGS + SG&amp;A'!DL39+'COGS + SG&amp;A'!DL67+'COGS + SG&amp;A'!DL95+'COGS + SG&amp;A'!DL151+'COGS + SG&amp;A'!DL179</f>
        <v>89.588999999999999</v>
      </c>
      <c r="DM148" s="28">
        <f>'COGS + SG&amp;A'!DM39+'COGS + SG&amp;A'!DM67+'COGS + SG&amp;A'!DM95+'COGS + SG&amp;A'!DM151+'COGS + SG&amp;A'!DM179</f>
        <v>22.762999999999998</v>
      </c>
      <c r="DN148" s="28">
        <f>'COGS + SG&amp;A'!DN39+'COGS + SG&amp;A'!DN67+'COGS + SG&amp;A'!DN95+'COGS + SG&amp;A'!DN151+'COGS + SG&amp;A'!DN179</f>
        <v>28.024000000000001</v>
      </c>
      <c r="DO148" s="28">
        <f>'COGS + SG&amp;A'!DO39+'COGS + SG&amp;A'!DO67+'COGS + SG&amp;A'!DO95+'COGS + SG&amp;A'!DO151+'COGS + SG&amp;A'!DO179</f>
        <v>20.145</v>
      </c>
      <c r="DP148" s="28">
        <f>'COGS + SG&amp;A'!DP39+'COGS + SG&amp;A'!DP67+'COGS + SG&amp;A'!DP95+'COGS + SG&amp;A'!DP151+'COGS + SG&amp;A'!DP179</f>
        <v>23.981999999999999</v>
      </c>
      <c r="DQ148" s="28">
        <f>'COGS + SG&amp;A'!DQ39+'COGS + SG&amp;A'!DQ67+'COGS + SG&amp;A'!DQ95+'COGS + SG&amp;A'!DQ151+'COGS + SG&amp;A'!DQ179</f>
        <v>94.914000000000001</v>
      </c>
      <c r="DR148" s="28">
        <f>'COGS + SG&amp;A'!DR39+'COGS + SG&amp;A'!DR67+'COGS + SG&amp;A'!DR95+'COGS + SG&amp;A'!DR151+'COGS + SG&amp;A'!DR179</f>
        <v>26.347000000000001</v>
      </c>
      <c r="DS148" s="28">
        <f>'COGS + SG&amp;A'!DS39+'COGS + SG&amp;A'!DS67+'COGS + SG&amp;A'!DS95+'COGS + SG&amp;A'!DS151+'COGS + SG&amp;A'!DS179</f>
        <v>25.636000000000003</v>
      </c>
      <c r="DT148" s="28">
        <f>'COGS + SG&amp;A'!DT39+'COGS + SG&amp;A'!DT67+'COGS + SG&amp;A'!DT95+'COGS + SG&amp;A'!DT151+'COGS + SG&amp;A'!DT179</f>
        <v>27.227</v>
      </c>
      <c r="DU148" s="28">
        <f>'COGS + SG&amp;A'!DU39+'COGS + SG&amp;A'!DU67+'COGS + SG&amp;A'!DU95+'COGS + SG&amp;A'!DU151+'COGS + SG&amp;A'!DU179</f>
        <v>25.599</v>
      </c>
      <c r="DV148" s="28">
        <f>'COGS + SG&amp;A'!DV39+'COGS + SG&amp;A'!DV67+'COGS + SG&amp;A'!DV95+'COGS + SG&amp;A'!DV151+'COGS + SG&amp;A'!DV179</f>
        <v>104.80900000000001</v>
      </c>
      <c r="DW148" s="28">
        <f>'COGS + SG&amp;A'!DW39+'COGS + SG&amp;A'!DW67+'COGS + SG&amp;A'!DW95+'COGS + SG&amp;A'!DW151+'COGS + SG&amp;A'!DW179</f>
        <v>25.285000000000004</v>
      </c>
      <c r="DX148" s="28">
        <f>'COGS + SG&amp;A'!DX39+'COGS + SG&amp;A'!DX67+'COGS + SG&amp;A'!DX95+'COGS + SG&amp;A'!DX151+'COGS + SG&amp;A'!DX179</f>
        <v>28.383918310000002</v>
      </c>
      <c r="DY148" s="28">
        <f>'COGS + SG&amp;A'!DY39+'COGS + SG&amp;A'!DY67+'COGS + SG&amp;A'!DY95+'COGS + SG&amp;A'!DY151+'COGS + SG&amp;A'!DY179</f>
        <v>28.129709840000004</v>
      </c>
      <c r="DZ148" s="28">
        <f>'COGS + SG&amp;A'!DZ39+'COGS + SG&amp;A'!DZ67+'COGS + SG&amp;A'!DZ95+'COGS + SG&amp;A'!DZ151+'COGS + SG&amp;A'!DZ179</f>
        <v>29.225590939999996</v>
      </c>
      <c r="EA148" s="28">
        <f>'COGS + SG&amp;A'!EA39+'COGS + SG&amp;A'!EA67+'COGS + SG&amp;A'!EA95+'COGS + SG&amp;A'!EA151+'COGS + SG&amp;A'!EA179</f>
        <v>111.02421909</v>
      </c>
      <c r="EB148" s="28">
        <f>'COGS + SG&amp;A'!EB39+'COGS + SG&amp;A'!EB67+'COGS + SG&amp;A'!EB95+'COGS + SG&amp;A'!EB151+'COGS + SG&amp;A'!EB179</f>
        <v>28.514079170000002</v>
      </c>
      <c r="EC148" s="28">
        <f>'COGS + SG&amp;A'!EC39+'COGS + SG&amp;A'!EC67+'COGS + SG&amp;A'!EC95+'COGS + SG&amp;A'!EC151+'COGS + SG&amp;A'!EC179</f>
        <v>29.747790950000002</v>
      </c>
      <c r="ED148" s="28">
        <f>'COGS + SG&amp;A'!ED39+'COGS + SG&amp;A'!ED67+'COGS + SG&amp;A'!ED95+'COGS + SG&amp;A'!ED151+'COGS + SG&amp;A'!ED179</f>
        <v>28.815000000000001</v>
      </c>
      <c r="EE148" s="28">
        <f>'COGS + SG&amp;A'!EE39+'COGS + SG&amp;A'!EE67+'COGS + SG&amp;A'!EE95+'COGS + SG&amp;A'!EE151+'COGS + SG&amp;A'!EE179</f>
        <v>30.141102409999998</v>
      </c>
      <c r="EF148" s="28">
        <f>'COGS + SG&amp;A'!EF39+'COGS + SG&amp;A'!EF67+'COGS + SG&amp;A'!EF95+'COGS + SG&amp;A'!EF151+'COGS + SG&amp;A'!EF179</f>
        <v>117.21797253000001</v>
      </c>
      <c r="EG148" s="28">
        <f>'COGS + SG&amp;A'!EG39+'COGS + SG&amp;A'!EG67+'COGS + SG&amp;A'!EG95+'COGS + SG&amp;A'!EG151+'COGS + SG&amp;A'!EG179</f>
        <v>28.965823010000001</v>
      </c>
      <c r="EH148" s="28">
        <f>'COGS + SG&amp;A'!EH39+'COGS + SG&amp;A'!EH67+'COGS + SG&amp;A'!EH95+'COGS + SG&amp;A'!EH151+'COGS + SG&amp;A'!EH179</f>
        <v>29.304990459999999</v>
      </c>
      <c r="EI148" s="28">
        <f>'COGS + SG&amp;A'!EI39+'COGS + SG&amp;A'!EI67+'COGS + SG&amp;A'!EI95+'COGS + SG&amp;A'!EI151+'COGS + SG&amp;A'!EI179</f>
        <v>29.28394617</v>
      </c>
    </row>
    <row r="149" spans="1:139" ht="15" thickTop="1" x14ac:dyDescent="0.3">
      <c r="A149" s="1" t="s">
        <v>456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27">
        <f>'COGS + SG&amp;A'!BJ40+'COGS + SG&amp;A'!BJ68+'COGS + SG&amp;A'!BJ96+'COGS + SG&amp;A'!BJ152+'COGS + SG&amp;A'!BJ180</f>
        <v>0</v>
      </c>
      <c r="BK149" s="27">
        <f>'COGS + SG&amp;A'!BK40+'COGS + SG&amp;A'!BK68+'COGS + SG&amp;A'!BK96+'COGS + SG&amp;A'!BK152+'COGS + SG&amp;A'!BK180</f>
        <v>0</v>
      </c>
      <c r="BL149" s="27">
        <f>'COGS + SG&amp;A'!BL40+'COGS + SG&amp;A'!BL68+'COGS + SG&amp;A'!BL96+'COGS + SG&amp;A'!BL152+'COGS + SG&amp;A'!BL180</f>
        <v>0</v>
      </c>
      <c r="BM149" s="27">
        <f>'COGS + SG&amp;A'!BM40+'COGS + SG&amp;A'!BM68+'COGS + SG&amp;A'!BM96+'COGS + SG&amp;A'!BM152+'COGS + SG&amp;A'!BM180</f>
        <v>0</v>
      </c>
      <c r="BN149" s="27">
        <f>'COGS + SG&amp;A'!BN40+'COGS + SG&amp;A'!BN68+'COGS + SG&amp;A'!BN96+'COGS + SG&amp;A'!BN152+'COGS + SG&amp;A'!BN180</f>
        <v>0</v>
      </c>
      <c r="BO149" s="27">
        <f>'COGS + SG&amp;A'!BO40+'COGS + SG&amp;A'!BO68+'COGS + SG&amp;A'!BO96+'COGS + SG&amp;A'!BO152+'COGS + SG&amp;A'!BO180</f>
        <v>0</v>
      </c>
      <c r="BP149" s="27">
        <f>'COGS + SG&amp;A'!BP40+'COGS + SG&amp;A'!BP68+'COGS + SG&amp;A'!BP96+'COGS + SG&amp;A'!BP152+'COGS + SG&amp;A'!BP180</f>
        <v>0</v>
      </c>
      <c r="BQ149" s="27">
        <f>'COGS + SG&amp;A'!BQ40+'COGS + SG&amp;A'!BQ68+'COGS + SG&amp;A'!BQ96+'COGS + SG&amp;A'!BQ152+'COGS + SG&amp;A'!BQ180</f>
        <v>0</v>
      </c>
      <c r="BR149" s="27">
        <f>'COGS + SG&amp;A'!BR40+'COGS + SG&amp;A'!BR68+'COGS + SG&amp;A'!BR96+'COGS + SG&amp;A'!BR152+'COGS + SG&amp;A'!BR180</f>
        <v>0</v>
      </c>
      <c r="BS149" s="27">
        <f>'COGS + SG&amp;A'!BS40+'COGS + SG&amp;A'!BS68+'COGS + SG&amp;A'!BS96+'COGS + SG&amp;A'!BS152+'COGS + SG&amp;A'!BS180</f>
        <v>0</v>
      </c>
      <c r="BT149" s="27">
        <f>'COGS + SG&amp;A'!BT40+'COGS + SG&amp;A'!BT68+'COGS + SG&amp;A'!BT96+'COGS + SG&amp;A'!BT152+'COGS + SG&amp;A'!BT180</f>
        <v>0</v>
      </c>
      <c r="BU149" s="27">
        <f>'COGS + SG&amp;A'!BU40+'COGS + SG&amp;A'!BU68+'COGS + SG&amp;A'!BU96+'COGS + SG&amp;A'!BU152+'COGS + SG&amp;A'!BU180</f>
        <v>0</v>
      </c>
      <c r="BV149" s="27">
        <f>'COGS + SG&amp;A'!BV40+'COGS + SG&amp;A'!BV68+'COGS + SG&amp;A'!BV96+'COGS + SG&amp;A'!BV152+'COGS + SG&amp;A'!BV180</f>
        <v>0</v>
      </c>
      <c r="BW149" s="27">
        <f>'COGS + SG&amp;A'!BW40+'COGS + SG&amp;A'!BW68+'COGS + SG&amp;A'!BW96+'COGS + SG&amp;A'!BW152+'COGS + SG&amp;A'!BW180</f>
        <v>0</v>
      </c>
      <c r="BX149" s="27">
        <f>'COGS + SG&amp;A'!BX40+'COGS + SG&amp;A'!BX68+'COGS + SG&amp;A'!BX96+'COGS + SG&amp;A'!BX152+'COGS + SG&amp;A'!BX180</f>
        <v>0</v>
      </c>
      <c r="BY149" s="27">
        <f>'COGS + SG&amp;A'!BY40+'COGS + SG&amp;A'!BY68+'COGS + SG&amp;A'!BY96+'COGS + SG&amp;A'!BY152+'COGS + SG&amp;A'!BY180</f>
        <v>0</v>
      </c>
      <c r="BZ149" s="27">
        <f>'COGS + SG&amp;A'!BZ40+'COGS + SG&amp;A'!BZ68+'COGS + SG&amp;A'!BZ96+'COGS + SG&amp;A'!BZ152+'COGS + SG&amp;A'!BZ180</f>
        <v>0</v>
      </c>
      <c r="CA149" s="27">
        <f>'COGS + SG&amp;A'!CA40+'COGS + SG&amp;A'!CA68+'COGS + SG&amp;A'!CA96+'COGS + SG&amp;A'!CA152+'COGS + SG&amp;A'!CA180</f>
        <v>0</v>
      </c>
      <c r="CB149" s="27">
        <f>'COGS + SG&amp;A'!CB40+'COGS + SG&amp;A'!CB68+'COGS + SG&amp;A'!CB96+'COGS + SG&amp;A'!CB152+'COGS + SG&amp;A'!CB180</f>
        <v>0</v>
      </c>
      <c r="CC149" s="27">
        <f>'COGS + SG&amp;A'!CC40+'COGS + SG&amp;A'!CC68+'COGS + SG&amp;A'!CC96+'COGS + SG&amp;A'!CC152+'COGS + SG&amp;A'!CC180</f>
        <v>0</v>
      </c>
      <c r="CD149" s="27">
        <f>'COGS + SG&amp;A'!CD40+'COGS + SG&amp;A'!CD68+'COGS + SG&amp;A'!CD96+'COGS + SG&amp;A'!CD152+'COGS + SG&amp;A'!CD180</f>
        <v>0</v>
      </c>
      <c r="CE149" s="27">
        <f>'COGS + SG&amp;A'!CE40+'COGS + SG&amp;A'!CE68+'COGS + SG&amp;A'!CE96+'COGS + SG&amp;A'!CE152+'COGS + SG&amp;A'!CE180</f>
        <v>0</v>
      </c>
      <c r="CF149" s="27">
        <f>'COGS + SG&amp;A'!CF40+'COGS + SG&amp;A'!CF68+'COGS + SG&amp;A'!CF96+'COGS + SG&amp;A'!CF152+'COGS + SG&amp;A'!CF180</f>
        <v>0</v>
      </c>
      <c r="CG149" s="27">
        <f>'COGS + SG&amp;A'!CG40+'COGS + SG&amp;A'!CG68+'COGS + SG&amp;A'!CG96+'COGS + SG&amp;A'!CG152+'COGS + SG&amp;A'!CG180</f>
        <v>0</v>
      </c>
      <c r="CH149" s="27">
        <f>'COGS + SG&amp;A'!CH40+'COGS + SG&amp;A'!CH68+'COGS + SG&amp;A'!CH96+'COGS + SG&amp;A'!CH152+'COGS + SG&amp;A'!CH180</f>
        <v>0</v>
      </c>
      <c r="CI149" s="27">
        <f>'COGS + SG&amp;A'!CI40+'COGS + SG&amp;A'!CI68+'COGS + SG&amp;A'!CI96+'COGS + SG&amp;A'!CI152+'COGS + SG&amp;A'!CI180</f>
        <v>0</v>
      </c>
      <c r="CJ149" s="27">
        <f>'COGS + SG&amp;A'!CJ40+'COGS + SG&amp;A'!CJ68+'COGS + SG&amp;A'!CJ96+'COGS + SG&amp;A'!CJ152+'COGS + SG&amp;A'!CJ180</f>
        <v>0</v>
      </c>
      <c r="CK149" s="27">
        <f>'COGS + SG&amp;A'!CK40+'COGS + SG&amp;A'!CK68+'COGS + SG&amp;A'!CK96+'COGS + SG&amp;A'!CK152+'COGS + SG&amp;A'!CK180</f>
        <v>0</v>
      </c>
      <c r="CL149" s="27">
        <f>'COGS + SG&amp;A'!CL40+'COGS + SG&amp;A'!CL68+'COGS + SG&amp;A'!CL96+'COGS + SG&amp;A'!CL152+'COGS + SG&amp;A'!CL180</f>
        <v>0</v>
      </c>
      <c r="CM149" s="27">
        <f>'COGS + SG&amp;A'!CM40+'COGS + SG&amp;A'!CM68+'COGS + SG&amp;A'!CM96+'COGS + SG&amp;A'!CM152+'COGS + SG&amp;A'!CM180</f>
        <v>0</v>
      </c>
      <c r="CN149" s="27">
        <f>'COGS + SG&amp;A'!CN40+'COGS + SG&amp;A'!CN68+'COGS + SG&amp;A'!CN96+'COGS + SG&amp;A'!CN152+'COGS + SG&amp;A'!CN180</f>
        <v>0</v>
      </c>
      <c r="CO149" s="27">
        <f>'COGS + SG&amp;A'!CO40+'COGS + SG&amp;A'!CO68+'COGS + SG&amp;A'!CO96+'COGS + SG&amp;A'!CO152+'COGS + SG&amp;A'!CO180</f>
        <v>0</v>
      </c>
      <c r="CP149" s="27">
        <f>'COGS + SG&amp;A'!CP40+'COGS + SG&amp;A'!CP68+'COGS + SG&amp;A'!CP96+'COGS + SG&amp;A'!CP152+'COGS + SG&amp;A'!CP180</f>
        <v>0</v>
      </c>
      <c r="CQ149" s="27">
        <f>'COGS + SG&amp;A'!CQ40+'COGS + SG&amp;A'!CQ68+'COGS + SG&amp;A'!CQ96+'COGS + SG&amp;A'!CQ152+'COGS + SG&amp;A'!CQ180</f>
        <v>0</v>
      </c>
      <c r="CR149" s="27">
        <f>'COGS + SG&amp;A'!CR40+'COGS + SG&amp;A'!CR68+'COGS + SG&amp;A'!CR96+'COGS + SG&amp;A'!CR152+'COGS + SG&amp;A'!CR180</f>
        <v>0</v>
      </c>
      <c r="CS149" s="27">
        <f>'COGS + SG&amp;A'!CS40+'COGS + SG&amp;A'!CS68+'COGS + SG&amp;A'!CS96+'COGS + SG&amp;A'!CS152+'COGS + SG&amp;A'!CS180</f>
        <v>0</v>
      </c>
      <c r="CT149" s="27">
        <f>'COGS + SG&amp;A'!CT40+'COGS + SG&amp;A'!CT68+'COGS + SG&amp;A'!CT96+'COGS + SG&amp;A'!CT152+'COGS + SG&amp;A'!CT180</f>
        <v>0</v>
      </c>
      <c r="CU149" s="27">
        <f>'COGS + SG&amp;A'!CU40+'COGS + SG&amp;A'!CU68+'COGS + SG&amp;A'!CU96+'COGS + SG&amp;A'!CU152+'COGS + SG&amp;A'!CU180</f>
        <v>0</v>
      </c>
      <c r="CV149" s="27">
        <f>'COGS + SG&amp;A'!CV40+'COGS + SG&amp;A'!CV68+'COGS + SG&amp;A'!CV96+'COGS + SG&amp;A'!CV152+'COGS + SG&amp;A'!CV180</f>
        <v>0</v>
      </c>
      <c r="CW149" s="27">
        <f>'COGS + SG&amp;A'!CW40+'COGS + SG&amp;A'!CW68+'COGS + SG&amp;A'!CW96+'COGS + SG&amp;A'!CW152+'COGS + SG&amp;A'!CW180</f>
        <v>0</v>
      </c>
      <c r="CX149" s="27">
        <f>'COGS + SG&amp;A'!CX40+'COGS + SG&amp;A'!CX68+'COGS + SG&amp;A'!CX96+'COGS + SG&amp;A'!CX152+'COGS + SG&amp;A'!CX180</f>
        <v>0</v>
      </c>
      <c r="CY149" s="27">
        <f>'COGS + SG&amp;A'!CY40+'COGS + SG&amp;A'!CY68+'COGS + SG&amp;A'!CY96+'COGS + SG&amp;A'!CY152+'COGS + SG&amp;A'!CY180</f>
        <v>0.45099999999999996</v>
      </c>
      <c r="CZ149" s="27">
        <f>'COGS + SG&amp;A'!CZ40+'COGS + SG&amp;A'!CZ68+'COGS + SG&amp;A'!CZ96+'COGS + SG&amp;A'!CZ152+'COGS + SG&amp;A'!CZ180</f>
        <v>4.391</v>
      </c>
      <c r="DA149" s="27">
        <f>'COGS + SG&amp;A'!DA40+'COGS + SG&amp;A'!DA68+'COGS + SG&amp;A'!DA96+'COGS + SG&amp;A'!DA152+'COGS + SG&amp;A'!DA180</f>
        <v>6.455000000000001</v>
      </c>
      <c r="DB149" s="27">
        <f>'COGS + SG&amp;A'!DB40+'COGS + SG&amp;A'!DB68+'COGS + SG&amp;A'!DB96+'COGS + SG&amp;A'!DB152+'COGS + SG&amp;A'!DB180</f>
        <v>11.297000000000002</v>
      </c>
      <c r="DC149" s="27">
        <f>'COGS + SG&amp;A'!DC40+'COGS + SG&amp;A'!DC68+'COGS + SG&amp;A'!DC96+'COGS + SG&amp;A'!DC152+'COGS + SG&amp;A'!DC180</f>
        <v>10.981999999999999</v>
      </c>
      <c r="DD149" s="27">
        <f>'COGS + SG&amp;A'!DD40+'COGS + SG&amp;A'!DD68+'COGS + SG&amp;A'!DD96+'COGS + SG&amp;A'!DD152+'COGS + SG&amp;A'!DD180</f>
        <v>12.927</v>
      </c>
      <c r="DE149" s="27">
        <f>'COGS + SG&amp;A'!DE40+'COGS + SG&amp;A'!DE68+'COGS + SG&amp;A'!DE96+'COGS + SG&amp;A'!DE152+'COGS + SG&amp;A'!DE180</f>
        <v>12.410999999999998</v>
      </c>
      <c r="DF149" s="27">
        <f>'COGS + SG&amp;A'!DF40+'COGS + SG&amp;A'!DF68+'COGS + SG&amp;A'!DF96+'COGS + SG&amp;A'!DF152+'COGS + SG&amp;A'!DF180</f>
        <v>12.532</v>
      </c>
      <c r="DG149" s="27">
        <f>'COGS + SG&amp;A'!DG40+'COGS + SG&amp;A'!DG68+'COGS + SG&amp;A'!DG96+'COGS + SG&amp;A'!DG152+'COGS + SG&amp;A'!DG180</f>
        <v>48.852000000000004</v>
      </c>
      <c r="DH149" s="27">
        <f>'COGS + SG&amp;A'!DH40+'COGS + SG&amp;A'!DH68+'COGS + SG&amp;A'!DH96+'COGS + SG&amp;A'!DH152+'COGS + SG&amp;A'!DH180</f>
        <v>12.183999999999999</v>
      </c>
      <c r="DI149" s="27">
        <f>'COGS + SG&amp;A'!DI40+'COGS + SG&amp;A'!DI68+'COGS + SG&amp;A'!DI96+'COGS + SG&amp;A'!DI152+'COGS + SG&amp;A'!DI180</f>
        <v>11.241</v>
      </c>
      <c r="DJ149" s="27">
        <f>'COGS + SG&amp;A'!DJ40+'COGS + SG&amp;A'!DJ68+'COGS + SG&amp;A'!DJ96+'COGS + SG&amp;A'!DJ152+'COGS + SG&amp;A'!DJ180</f>
        <v>12.409999999999998</v>
      </c>
      <c r="DK149" s="27">
        <f>'COGS + SG&amp;A'!DK40+'COGS + SG&amp;A'!DK68+'COGS + SG&amp;A'!DK96+'COGS + SG&amp;A'!DK152+'COGS + SG&amp;A'!DK180</f>
        <v>12.958</v>
      </c>
      <c r="DL149" s="27">
        <f>'COGS + SG&amp;A'!DL40+'COGS + SG&amp;A'!DL68+'COGS + SG&amp;A'!DL96+'COGS + SG&amp;A'!DL152+'COGS + SG&amp;A'!DL180</f>
        <v>48.792999999999992</v>
      </c>
      <c r="DM149" s="27">
        <f>'COGS + SG&amp;A'!DM40+'COGS + SG&amp;A'!DM68+'COGS + SG&amp;A'!DM96+'COGS + SG&amp;A'!DM152+'COGS + SG&amp;A'!DM180</f>
        <v>13.811999999999999</v>
      </c>
      <c r="DN149" s="27">
        <f>'COGS + SG&amp;A'!DN40+'COGS + SG&amp;A'!DN68+'COGS + SG&amp;A'!DN96+'COGS + SG&amp;A'!DN152+'COGS + SG&amp;A'!DN180</f>
        <v>13.561999999999999</v>
      </c>
      <c r="DO149" s="27">
        <f>'COGS + SG&amp;A'!DO40+'COGS + SG&amp;A'!DO68+'COGS + SG&amp;A'!DO96+'COGS + SG&amp;A'!DO152+'COGS + SG&amp;A'!DO180</f>
        <v>14.12</v>
      </c>
      <c r="DP149" s="27">
        <f>'COGS + SG&amp;A'!DP40+'COGS + SG&amp;A'!DP68+'COGS + SG&amp;A'!DP96+'COGS + SG&amp;A'!DP152+'COGS + SG&amp;A'!DP180</f>
        <v>14.546000000000001</v>
      </c>
      <c r="DQ149" s="27">
        <f>'COGS + SG&amp;A'!DQ40+'COGS + SG&amp;A'!DQ68+'COGS + SG&amp;A'!DQ96+'COGS + SG&amp;A'!DQ152+'COGS + SG&amp;A'!DQ180</f>
        <v>56.04</v>
      </c>
      <c r="DR149" s="27">
        <f>'COGS + SG&amp;A'!DR40+'COGS + SG&amp;A'!DR68+'COGS + SG&amp;A'!DR96+'COGS + SG&amp;A'!DR152+'COGS + SG&amp;A'!DR180</f>
        <v>16.454000000000001</v>
      </c>
      <c r="DS149" s="27">
        <f>'COGS + SG&amp;A'!DS40+'COGS + SG&amp;A'!DS68+'COGS + SG&amp;A'!DS96+'COGS + SG&amp;A'!DS152+'COGS + SG&amp;A'!DS180</f>
        <v>15.393000000000001</v>
      </c>
      <c r="DT149" s="27">
        <f>'COGS + SG&amp;A'!DT40+'COGS + SG&amp;A'!DT68+'COGS + SG&amp;A'!DT96+'COGS + SG&amp;A'!DT152+'COGS + SG&amp;A'!DT180</f>
        <v>15.49</v>
      </c>
      <c r="DU149" s="27">
        <f>'COGS + SG&amp;A'!DU40+'COGS + SG&amp;A'!DU68+'COGS + SG&amp;A'!DU96+'COGS + SG&amp;A'!DU152+'COGS + SG&amp;A'!DU180</f>
        <v>12.261000000000001</v>
      </c>
      <c r="DV149" s="27">
        <f>'COGS + SG&amp;A'!DV40+'COGS + SG&amp;A'!DV68+'COGS + SG&amp;A'!DV96+'COGS + SG&amp;A'!DV152+'COGS + SG&amp;A'!DV180</f>
        <v>59.597999999999999</v>
      </c>
      <c r="DW149" s="27">
        <f>'COGS + SG&amp;A'!DW40+'COGS + SG&amp;A'!DW68+'COGS + SG&amp;A'!DW96+'COGS + SG&amp;A'!DW152+'COGS + SG&amp;A'!DW180</f>
        <v>15.574000000000002</v>
      </c>
      <c r="DX149" s="27">
        <f>'COGS + SG&amp;A'!DX40+'COGS + SG&amp;A'!DX68+'COGS + SG&amp;A'!DX96+'COGS + SG&amp;A'!DX152+'COGS + SG&amp;A'!DX180</f>
        <v>15.180964639999999</v>
      </c>
      <c r="DY149" s="27">
        <f>'COGS + SG&amp;A'!DY40+'COGS + SG&amp;A'!DY68+'COGS + SG&amp;A'!DY96+'COGS + SG&amp;A'!DY152+'COGS + SG&amp;A'!DY180</f>
        <v>16.7776143</v>
      </c>
      <c r="DZ149" s="27">
        <f>'COGS + SG&amp;A'!DZ40+'COGS + SG&amp;A'!DZ68+'COGS + SG&amp;A'!DZ96+'COGS + SG&amp;A'!DZ152+'COGS + SG&amp;A'!DZ180</f>
        <v>16.386574819999996</v>
      </c>
      <c r="EA149" s="27">
        <f>'COGS + SG&amp;A'!EA40+'COGS + SG&amp;A'!EA68+'COGS + SG&amp;A'!EA96+'COGS + SG&amp;A'!EA152+'COGS + SG&amp;A'!EA180</f>
        <v>63.91915376</v>
      </c>
      <c r="EB149" s="27">
        <f>'COGS + SG&amp;A'!EB40+'COGS + SG&amp;A'!EB68+'COGS + SG&amp;A'!EB96+'COGS + SG&amp;A'!EB152+'COGS + SG&amp;A'!EB180</f>
        <v>17.31722182</v>
      </c>
      <c r="EC149" s="27">
        <f>'COGS + SG&amp;A'!EC40+'COGS + SG&amp;A'!EC68+'COGS + SG&amp;A'!EC96+'COGS + SG&amp;A'!EC152+'COGS + SG&amp;A'!EC180</f>
        <v>16.750650619999998</v>
      </c>
      <c r="ED149" s="27">
        <f>'COGS + SG&amp;A'!ED40+'COGS + SG&amp;A'!ED68+'COGS + SG&amp;A'!ED96+'COGS + SG&amp;A'!ED152+'COGS + SG&amp;A'!ED180</f>
        <v>18.637999999999998</v>
      </c>
      <c r="EE149" s="27">
        <f>'COGS + SG&amp;A'!EE40+'COGS + SG&amp;A'!EE68+'COGS + SG&amp;A'!EE96+'COGS + SG&amp;A'!EE152+'COGS + SG&amp;A'!EE180</f>
        <v>17.772015900000003</v>
      </c>
      <c r="EF149" s="27">
        <f>'COGS + SG&amp;A'!EF40+'COGS + SG&amp;A'!EF68+'COGS + SG&amp;A'!EF96+'COGS + SG&amp;A'!EF152+'COGS + SG&amp;A'!EF180</f>
        <v>70.477888339999993</v>
      </c>
      <c r="EG149" s="27">
        <f>'COGS + SG&amp;A'!EG40+'COGS + SG&amp;A'!EG68+'COGS + SG&amp;A'!EG96+'COGS + SG&amp;A'!EG152+'COGS + SG&amp;A'!EG180</f>
        <v>18.116731179999999</v>
      </c>
      <c r="EH149" s="27">
        <f>'COGS + SG&amp;A'!EH40+'COGS + SG&amp;A'!EH68+'COGS + SG&amp;A'!EH96+'COGS + SG&amp;A'!EH152+'COGS + SG&amp;A'!EH180</f>
        <v>19.009024520000001</v>
      </c>
      <c r="EI149" s="27">
        <f>'COGS + SG&amp;A'!EI40+'COGS + SG&amp;A'!EI68+'COGS + SG&amp;A'!EI96+'COGS + SG&amp;A'!EI152+'COGS + SG&amp;A'!EI180</f>
        <v>20.906402559999997</v>
      </c>
    </row>
    <row r="150" spans="1:139" ht="15" thickBot="1" x14ac:dyDescent="0.35">
      <c r="A150" s="2" t="s">
        <v>446</v>
      </c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28">
        <f>'COGS + SG&amp;A'!BJ41+'COGS + SG&amp;A'!BJ69+'COGS + SG&amp;A'!BJ97+'COGS + SG&amp;A'!BJ153+'COGS + SG&amp;A'!BJ181</f>
        <v>0</v>
      </c>
      <c r="BK150" s="28">
        <f>'COGS + SG&amp;A'!BK41+'COGS + SG&amp;A'!BK69+'COGS + SG&amp;A'!BK97+'COGS + SG&amp;A'!BK153+'COGS + SG&amp;A'!BK181</f>
        <v>0</v>
      </c>
      <c r="BL150" s="28">
        <f>'COGS + SG&amp;A'!BL41+'COGS + SG&amp;A'!BL69+'COGS + SG&amp;A'!BL97+'COGS + SG&amp;A'!BL153+'COGS + SG&amp;A'!BL181</f>
        <v>0</v>
      </c>
      <c r="BM150" s="28">
        <f>'COGS + SG&amp;A'!BM41+'COGS + SG&amp;A'!BM69+'COGS + SG&amp;A'!BM97+'COGS + SG&amp;A'!BM153+'COGS + SG&amp;A'!BM181</f>
        <v>0</v>
      </c>
      <c r="BN150" s="28">
        <f>'COGS + SG&amp;A'!BN41+'COGS + SG&amp;A'!BN69+'COGS + SG&amp;A'!BN97+'COGS + SG&amp;A'!BN153+'COGS + SG&amp;A'!BN181</f>
        <v>0</v>
      </c>
      <c r="BO150" s="28">
        <f>'COGS + SG&amp;A'!BO41+'COGS + SG&amp;A'!BO69+'COGS + SG&amp;A'!BO97+'COGS + SG&amp;A'!BO153+'COGS + SG&amp;A'!BO181</f>
        <v>0</v>
      </c>
      <c r="BP150" s="28">
        <f>'COGS + SG&amp;A'!BP41+'COGS + SG&amp;A'!BP69+'COGS + SG&amp;A'!BP97+'COGS + SG&amp;A'!BP153+'COGS + SG&amp;A'!BP181</f>
        <v>0</v>
      </c>
      <c r="BQ150" s="28">
        <f>'COGS + SG&amp;A'!BQ41+'COGS + SG&amp;A'!BQ69+'COGS + SG&amp;A'!BQ97+'COGS + SG&amp;A'!BQ153+'COGS + SG&amp;A'!BQ181</f>
        <v>0</v>
      </c>
      <c r="BR150" s="28">
        <f>'COGS + SG&amp;A'!BR41+'COGS + SG&amp;A'!BR69+'COGS + SG&amp;A'!BR97+'COGS + SG&amp;A'!BR153+'COGS + SG&amp;A'!BR181</f>
        <v>0</v>
      </c>
      <c r="BS150" s="28">
        <f>'COGS + SG&amp;A'!BS41+'COGS + SG&amp;A'!BS69+'COGS + SG&amp;A'!BS97+'COGS + SG&amp;A'!BS153+'COGS + SG&amp;A'!BS181</f>
        <v>0</v>
      </c>
      <c r="BT150" s="28">
        <f>'COGS + SG&amp;A'!BT41+'COGS + SG&amp;A'!BT69+'COGS + SG&amp;A'!BT97+'COGS + SG&amp;A'!BT153+'COGS + SG&amp;A'!BT181</f>
        <v>0</v>
      </c>
      <c r="BU150" s="28">
        <f>'COGS + SG&amp;A'!BU41+'COGS + SG&amp;A'!BU69+'COGS + SG&amp;A'!BU97+'COGS + SG&amp;A'!BU153+'COGS + SG&amp;A'!BU181</f>
        <v>0</v>
      </c>
      <c r="BV150" s="28">
        <f>'COGS + SG&amp;A'!BV41+'COGS + SG&amp;A'!BV69+'COGS + SG&amp;A'!BV97+'COGS + SG&amp;A'!BV153+'COGS + SG&amp;A'!BV181</f>
        <v>0</v>
      </c>
      <c r="BW150" s="28">
        <f>'COGS + SG&amp;A'!BW41+'COGS + SG&amp;A'!BW69+'COGS + SG&amp;A'!BW97+'COGS + SG&amp;A'!BW153+'COGS + SG&amp;A'!BW181</f>
        <v>0</v>
      </c>
      <c r="BX150" s="28">
        <f>'COGS + SG&amp;A'!BX41+'COGS + SG&amp;A'!BX69+'COGS + SG&amp;A'!BX97+'COGS + SG&amp;A'!BX153+'COGS + SG&amp;A'!BX181</f>
        <v>0</v>
      </c>
      <c r="BY150" s="28">
        <f>'COGS + SG&amp;A'!BY41+'COGS + SG&amp;A'!BY69+'COGS + SG&amp;A'!BY97+'COGS + SG&amp;A'!BY153+'COGS + SG&amp;A'!BY181</f>
        <v>0</v>
      </c>
      <c r="BZ150" s="28">
        <f>'COGS + SG&amp;A'!BZ41+'COGS + SG&amp;A'!BZ69+'COGS + SG&amp;A'!BZ97+'COGS + SG&amp;A'!BZ153+'COGS + SG&amp;A'!BZ181</f>
        <v>0</v>
      </c>
      <c r="CA150" s="28">
        <f>'COGS + SG&amp;A'!CA41+'COGS + SG&amp;A'!CA69+'COGS + SG&amp;A'!CA97+'COGS + SG&amp;A'!CA153+'COGS + SG&amp;A'!CA181</f>
        <v>0</v>
      </c>
      <c r="CB150" s="28">
        <f>'COGS + SG&amp;A'!CB41+'COGS + SG&amp;A'!CB69+'COGS + SG&amp;A'!CB97+'COGS + SG&amp;A'!CB153+'COGS + SG&amp;A'!CB181</f>
        <v>0</v>
      </c>
      <c r="CC150" s="28">
        <f>'COGS + SG&amp;A'!CC41+'COGS + SG&amp;A'!CC69+'COGS + SG&amp;A'!CC97+'COGS + SG&amp;A'!CC153+'COGS + SG&amp;A'!CC181</f>
        <v>0</v>
      </c>
      <c r="CD150" s="28">
        <f>'COGS + SG&amp;A'!CD41+'COGS + SG&amp;A'!CD69+'COGS + SG&amp;A'!CD97+'COGS + SG&amp;A'!CD153+'COGS + SG&amp;A'!CD181</f>
        <v>0</v>
      </c>
      <c r="CE150" s="28">
        <f>'COGS + SG&amp;A'!CE41+'COGS + SG&amp;A'!CE69+'COGS + SG&amp;A'!CE97+'COGS + SG&amp;A'!CE153+'COGS + SG&amp;A'!CE181</f>
        <v>0</v>
      </c>
      <c r="CF150" s="28">
        <f>'COGS + SG&amp;A'!CF41+'COGS + SG&amp;A'!CF69+'COGS + SG&amp;A'!CF97+'COGS + SG&amp;A'!CF153+'COGS + SG&amp;A'!CF181</f>
        <v>0</v>
      </c>
      <c r="CG150" s="28">
        <f>'COGS + SG&amp;A'!CG41+'COGS + SG&amp;A'!CG69+'COGS + SG&amp;A'!CG97+'COGS + SG&amp;A'!CG153+'COGS + SG&amp;A'!CG181</f>
        <v>0</v>
      </c>
      <c r="CH150" s="28">
        <f>'COGS + SG&amp;A'!CH41+'COGS + SG&amp;A'!CH69+'COGS + SG&amp;A'!CH97+'COGS + SG&amp;A'!CH153+'COGS + SG&amp;A'!CH181</f>
        <v>0</v>
      </c>
      <c r="CI150" s="28">
        <f>'COGS + SG&amp;A'!CI41+'COGS + SG&amp;A'!CI69+'COGS + SG&amp;A'!CI97+'COGS + SG&amp;A'!CI153+'COGS + SG&amp;A'!CI181</f>
        <v>0</v>
      </c>
      <c r="CJ150" s="28">
        <f>'COGS + SG&amp;A'!CJ41+'COGS + SG&amp;A'!CJ69+'COGS + SG&amp;A'!CJ97+'COGS + SG&amp;A'!CJ153+'COGS + SG&amp;A'!CJ181</f>
        <v>0</v>
      </c>
      <c r="CK150" s="28">
        <f>'COGS + SG&amp;A'!CK41+'COGS + SG&amp;A'!CK69+'COGS + SG&amp;A'!CK97+'COGS + SG&amp;A'!CK153+'COGS + SG&amp;A'!CK181</f>
        <v>0</v>
      </c>
      <c r="CL150" s="28">
        <f>'COGS + SG&amp;A'!CL41+'COGS + SG&amp;A'!CL69+'COGS + SG&amp;A'!CL97+'COGS + SG&amp;A'!CL153+'COGS + SG&amp;A'!CL181</f>
        <v>0</v>
      </c>
      <c r="CM150" s="28">
        <f>'COGS + SG&amp;A'!CM41+'COGS + SG&amp;A'!CM69+'COGS + SG&amp;A'!CM97+'COGS + SG&amp;A'!CM153+'COGS + SG&amp;A'!CM181</f>
        <v>0</v>
      </c>
      <c r="CN150" s="28">
        <f>'COGS + SG&amp;A'!CN41+'COGS + SG&amp;A'!CN69+'COGS + SG&amp;A'!CN97+'COGS + SG&amp;A'!CN153+'COGS + SG&amp;A'!CN181</f>
        <v>0</v>
      </c>
      <c r="CO150" s="28">
        <f>'COGS + SG&amp;A'!CO41+'COGS + SG&amp;A'!CO69+'COGS + SG&amp;A'!CO97+'COGS + SG&amp;A'!CO153+'COGS + SG&amp;A'!CO181</f>
        <v>0</v>
      </c>
      <c r="CP150" s="28">
        <f>'COGS + SG&amp;A'!CP41+'COGS + SG&amp;A'!CP69+'COGS + SG&amp;A'!CP97+'COGS + SG&amp;A'!CP153+'COGS + SG&amp;A'!CP181</f>
        <v>0</v>
      </c>
      <c r="CQ150" s="28">
        <f>'COGS + SG&amp;A'!CQ41+'COGS + SG&amp;A'!CQ69+'COGS + SG&amp;A'!CQ97+'COGS + SG&amp;A'!CQ153+'COGS + SG&amp;A'!CQ181</f>
        <v>0</v>
      </c>
      <c r="CR150" s="28">
        <f>'COGS + SG&amp;A'!CR41+'COGS + SG&amp;A'!CR69+'COGS + SG&amp;A'!CR97+'COGS + SG&amp;A'!CR153+'COGS + SG&amp;A'!CR181</f>
        <v>0</v>
      </c>
      <c r="CS150" s="28">
        <f>'COGS + SG&amp;A'!CS41+'COGS + SG&amp;A'!CS69+'COGS + SG&amp;A'!CS97+'COGS + SG&amp;A'!CS153+'COGS + SG&amp;A'!CS181</f>
        <v>0</v>
      </c>
      <c r="CT150" s="28">
        <f>'COGS + SG&amp;A'!CT41+'COGS + SG&amp;A'!CT69+'COGS + SG&amp;A'!CT97+'COGS + SG&amp;A'!CT153+'COGS + SG&amp;A'!CT181</f>
        <v>0</v>
      </c>
      <c r="CU150" s="28">
        <f>'COGS + SG&amp;A'!CU41+'COGS + SG&amp;A'!CU69+'COGS + SG&amp;A'!CU97+'COGS + SG&amp;A'!CU153+'COGS + SG&amp;A'!CU181</f>
        <v>0</v>
      </c>
      <c r="CV150" s="28">
        <f>'COGS + SG&amp;A'!CV41+'COGS + SG&amp;A'!CV69+'COGS + SG&amp;A'!CV97+'COGS + SG&amp;A'!CV153+'COGS + SG&amp;A'!CV181</f>
        <v>0</v>
      </c>
      <c r="CW150" s="28">
        <f>'COGS + SG&amp;A'!CW41+'COGS + SG&amp;A'!CW69+'COGS + SG&amp;A'!CW97+'COGS + SG&amp;A'!CW153+'COGS + SG&amp;A'!CW181</f>
        <v>0</v>
      </c>
      <c r="CX150" s="28">
        <f>'COGS + SG&amp;A'!CX41+'COGS + SG&amp;A'!CX69+'COGS + SG&amp;A'!CX97+'COGS + SG&amp;A'!CX153+'COGS + SG&amp;A'!CX181</f>
        <v>0</v>
      </c>
      <c r="CY150" s="28">
        <f>'COGS + SG&amp;A'!CY41+'COGS + SG&amp;A'!CY69+'COGS + SG&amp;A'!CY97+'COGS + SG&amp;A'!CY153+'COGS + SG&amp;A'!CY181</f>
        <v>0</v>
      </c>
      <c r="CZ150" s="28">
        <f>'COGS + SG&amp;A'!CZ41+'COGS + SG&amp;A'!CZ69+'COGS + SG&amp;A'!CZ97+'COGS + SG&amp;A'!CZ153+'COGS + SG&amp;A'!CZ181</f>
        <v>0</v>
      </c>
      <c r="DA150" s="28">
        <f>'COGS + SG&amp;A'!DA41+'COGS + SG&amp;A'!DA69+'COGS + SG&amp;A'!DA97+'COGS + SG&amp;A'!DA153+'COGS + SG&amp;A'!DA181</f>
        <v>0</v>
      </c>
      <c r="DB150" s="28">
        <f>'COGS + SG&amp;A'!DB41+'COGS + SG&amp;A'!DB69+'COGS + SG&amp;A'!DB97+'COGS + SG&amp;A'!DB153+'COGS + SG&amp;A'!DB181</f>
        <v>0</v>
      </c>
      <c r="DC150" s="28">
        <f>'COGS + SG&amp;A'!DC41+'COGS + SG&amp;A'!DC69+'COGS + SG&amp;A'!DC97+'COGS + SG&amp;A'!DC153+'COGS + SG&amp;A'!DC181</f>
        <v>0</v>
      </c>
      <c r="DD150" s="28">
        <f>'COGS + SG&amp;A'!DD41+'COGS + SG&amp;A'!DD69+'COGS + SG&amp;A'!DD97+'COGS + SG&amp;A'!DD153+'COGS + SG&amp;A'!DD181</f>
        <v>0</v>
      </c>
      <c r="DE150" s="28">
        <f>'COGS + SG&amp;A'!DE41+'COGS + SG&amp;A'!DE69+'COGS + SG&amp;A'!DE97+'COGS + SG&amp;A'!DE153+'COGS + SG&amp;A'!DE181</f>
        <v>0</v>
      </c>
      <c r="DF150" s="28">
        <f>'COGS + SG&amp;A'!DF41+'COGS + SG&amp;A'!DF69+'COGS + SG&amp;A'!DF97+'COGS + SG&amp;A'!DF153+'COGS + SG&amp;A'!DF181</f>
        <v>1.4999999999999999E-2</v>
      </c>
      <c r="DG150" s="28">
        <f>'COGS + SG&amp;A'!DG41+'COGS + SG&amp;A'!DG69+'COGS + SG&amp;A'!DG97+'COGS + SG&amp;A'!DG153+'COGS + SG&amp;A'!DG181</f>
        <v>1.4999999999999999E-2</v>
      </c>
      <c r="DH150" s="28">
        <f>'COGS + SG&amp;A'!DH41+'COGS + SG&amp;A'!DH69+'COGS + SG&amp;A'!DH97+'COGS + SG&amp;A'!DH153+'COGS + SG&amp;A'!DH181</f>
        <v>3.4539999999999997</v>
      </c>
      <c r="DI150" s="28">
        <f>'COGS + SG&amp;A'!DI41+'COGS + SG&amp;A'!DI69+'COGS + SG&amp;A'!DI97+'COGS + SG&amp;A'!DI153+'COGS + SG&amp;A'!DI181</f>
        <v>5.3520000000000003</v>
      </c>
      <c r="DJ150" s="28">
        <f>'COGS + SG&amp;A'!DJ41+'COGS + SG&amp;A'!DJ69+'COGS + SG&amp;A'!DJ97+'COGS + SG&amp;A'!DJ153+'COGS + SG&amp;A'!DJ181</f>
        <v>9.3040000000000003</v>
      </c>
      <c r="DK150" s="28">
        <f>'COGS + SG&amp;A'!DK41+'COGS + SG&amp;A'!DK69+'COGS + SG&amp;A'!DK97+'COGS + SG&amp;A'!DK153+'COGS + SG&amp;A'!DK181</f>
        <v>20.167999999999999</v>
      </c>
      <c r="DL150" s="28">
        <f>'COGS + SG&amp;A'!DL41+'COGS + SG&amp;A'!DL69+'COGS + SG&amp;A'!DL97+'COGS + SG&amp;A'!DL153+'COGS + SG&amp;A'!DL181</f>
        <v>38.277999999999999</v>
      </c>
      <c r="DM150" s="28">
        <f>'COGS + SG&amp;A'!DM41+'COGS + SG&amp;A'!DM69+'COGS + SG&amp;A'!DM97+'COGS + SG&amp;A'!DM153+'COGS + SG&amp;A'!DM181</f>
        <v>17.724</v>
      </c>
      <c r="DN150" s="28">
        <f>'COGS + SG&amp;A'!DN41+'COGS + SG&amp;A'!DN69+'COGS + SG&amp;A'!DN97+'COGS + SG&amp;A'!DN153+'COGS + SG&amp;A'!DN181</f>
        <v>20.997</v>
      </c>
      <c r="DO150" s="28">
        <f>'COGS + SG&amp;A'!DO41+'COGS + SG&amp;A'!DO69+'COGS + SG&amp;A'!DO97+'COGS + SG&amp;A'!DO153+'COGS + SG&amp;A'!DO181</f>
        <v>5.6850000000000005</v>
      </c>
      <c r="DP150" s="28">
        <f>'COGS + SG&amp;A'!DP41+'COGS + SG&amp;A'!DP69+'COGS + SG&amp;A'!DP97+'COGS + SG&amp;A'!DP153+'COGS + SG&amp;A'!DP181</f>
        <v>26.344999999999999</v>
      </c>
      <c r="DQ150" s="28">
        <f>'COGS + SG&amp;A'!DQ41+'COGS + SG&amp;A'!DQ69+'COGS + SG&amp;A'!DQ97+'COGS + SG&amp;A'!DQ153+'COGS + SG&amp;A'!DQ181</f>
        <v>70.751000000000005</v>
      </c>
      <c r="DR150" s="28">
        <f>'COGS + SG&amp;A'!DR41+'COGS + SG&amp;A'!DR69+'COGS + SG&amp;A'!DR97+'COGS + SG&amp;A'!DR153+'COGS + SG&amp;A'!DR181</f>
        <v>19.196000000000002</v>
      </c>
      <c r="DS150" s="28">
        <f>'COGS + SG&amp;A'!DS41+'COGS + SG&amp;A'!DS69+'COGS + SG&amp;A'!DS97+'COGS + SG&amp;A'!DS153+'COGS + SG&amp;A'!DS181</f>
        <v>18.718</v>
      </c>
      <c r="DT150" s="28">
        <f>'COGS + SG&amp;A'!DT41+'COGS + SG&amp;A'!DT69+'COGS + SG&amp;A'!DT97+'COGS + SG&amp;A'!DT153+'COGS + SG&amp;A'!DT181</f>
        <v>19.173999999999999</v>
      </c>
      <c r="DU150" s="28">
        <f>'COGS + SG&amp;A'!DU41+'COGS + SG&amp;A'!DU69+'COGS + SG&amp;A'!DU97+'COGS + SG&amp;A'!DU153+'COGS + SG&amp;A'!DU181</f>
        <v>17.77</v>
      </c>
      <c r="DV150" s="28">
        <f>'COGS + SG&amp;A'!DV41+'COGS + SG&amp;A'!DV69+'COGS + SG&amp;A'!DV97+'COGS + SG&amp;A'!DV153+'COGS + SG&amp;A'!DV181</f>
        <v>74.858000000000004</v>
      </c>
      <c r="DW150" s="28">
        <f>'COGS + SG&amp;A'!DW41+'COGS + SG&amp;A'!DW69+'COGS + SG&amp;A'!DW97+'COGS + SG&amp;A'!DW153+'COGS + SG&amp;A'!DW181</f>
        <v>18.509</v>
      </c>
      <c r="DX150" s="28">
        <f>'COGS + SG&amp;A'!DX41+'COGS + SG&amp;A'!DX69+'COGS + SG&amp;A'!DX97+'COGS + SG&amp;A'!DX153+'COGS + SG&amp;A'!DX181</f>
        <v>19.371117210000001</v>
      </c>
      <c r="DY150" s="28">
        <f>'COGS + SG&amp;A'!DY41+'COGS + SG&amp;A'!DY69+'COGS + SG&amp;A'!DY97+'COGS + SG&amp;A'!DY153+'COGS + SG&amp;A'!DY181</f>
        <v>20.762650749999995</v>
      </c>
      <c r="DZ150" s="28">
        <f>'COGS + SG&amp;A'!DZ41+'COGS + SG&amp;A'!DZ69+'COGS + SG&amp;A'!DZ97+'COGS + SG&amp;A'!DZ153+'COGS + SG&amp;A'!DZ181</f>
        <v>21.024512529999999</v>
      </c>
      <c r="EA150" s="28">
        <f>'COGS + SG&amp;A'!EA41+'COGS + SG&amp;A'!EA69+'COGS + SG&amp;A'!EA97+'COGS + SG&amp;A'!EA153+'COGS + SG&amp;A'!EA181</f>
        <v>79.667280489999996</v>
      </c>
      <c r="EB150" s="28">
        <f>'COGS + SG&amp;A'!EB41+'COGS + SG&amp;A'!EB69+'COGS + SG&amp;A'!EB97+'COGS + SG&amp;A'!EB153+'COGS + SG&amp;A'!EB181</f>
        <v>20.497112649999998</v>
      </c>
      <c r="EC150" s="28">
        <f>'COGS + SG&amp;A'!EC41+'COGS + SG&amp;A'!EC69+'COGS + SG&amp;A'!EC97+'COGS + SG&amp;A'!EC153+'COGS + SG&amp;A'!EC181</f>
        <v>21.20732551</v>
      </c>
      <c r="ED150" s="28">
        <f>'COGS + SG&amp;A'!ED41+'COGS + SG&amp;A'!ED69+'COGS + SG&amp;A'!ED97+'COGS + SG&amp;A'!ED153+'COGS + SG&amp;A'!ED181</f>
        <v>21.788999999999998</v>
      </c>
      <c r="EE150" s="28">
        <f>'COGS + SG&amp;A'!EE41+'COGS + SG&amp;A'!EE69+'COGS + SG&amp;A'!EE97+'COGS + SG&amp;A'!EE153+'COGS + SG&amp;A'!EE181</f>
        <v>15.229822890000001</v>
      </c>
      <c r="EF150" s="28">
        <f>'COGS + SG&amp;A'!EF41+'COGS + SG&amp;A'!EF69+'COGS + SG&amp;A'!EF97+'COGS + SG&amp;A'!EF153+'COGS + SG&amp;A'!EF181</f>
        <v>78.723261049999991</v>
      </c>
      <c r="EG150" s="28">
        <f>'COGS + SG&amp;A'!EG41+'COGS + SG&amp;A'!EG69+'COGS + SG&amp;A'!EG97+'COGS + SG&amp;A'!EG153+'COGS + SG&amp;A'!EG181</f>
        <v>21.480525110000002</v>
      </c>
      <c r="EH150" s="28">
        <f>'COGS + SG&amp;A'!EH41+'COGS + SG&amp;A'!EH69+'COGS + SG&amp;A'!EH97+'COGS + SG&amp;A'!EH153+'COGS + SG&amp;A'!EH181</f>
        <v>21.704672219999999</v>
      </c>
      <c r="EI150" s="28">
        <f>'COGS + SG&amp;A'!EI41+'COGS + SG&amp;A'!EI69+'COGS + SG&amp;A'!EI97+'COGS + SG&amp;A'!EI153+'COGS + SG&amp;A'!EI181</f>
        <v>21.273977960000003</v>
      </c>
    </row>
    <row r="151" spans="1:139" ht="15" thickTop="1" x14ac:dyDescent="0.3">
      <c r="A151" s="1" t="s">
        <v>447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27">
        <f>'COGS + SG&amp;A'!BJ42+'COGS + SG&amp;A'!BJ70+'COGS + SG&amp;A'!BJ98+'COGS + SG&amp;A'!BJ154+'COGS + SG&amp;A'!BJ182</f>
        <v>0</v>
      </c>
      <c r="BK151" s="27">
        <f>'COGS + SG&amp;A'!BK42+'COGS + SG&amp;A'!BK70+'COGS + SG&amp;A'!BK98+'COGS + SG&amp;A'!BK154+'COGS + SG&amp;A'!BK182</f>
        <v>0</v>
      </c>
      <c r="BL151" s="27">
        <f>'COGS + SG&amp;A'!BL42+'COGS + SG&amp;A'!BL70+'COGS + SG&amp;A'!BL98+'COGS + SG&amp;A'!BL154+'COGS + SG&amp;A'!BL182</f>
        <v>0</v>
      </c>
      <c r="BM151" s="27">
        <f>'COGS + SG&amp;A'!BM42+'COGS + SG&amp;A'!BM70+'COGS + SG&amp;A'!BM98+'COGS + SG&amp;A'!BM154+'COGS + SG&amp;A'!BM182</f>
        <v>0</v>
      </c>
      <c r="BN151" s="27">
        <f>'COGS + SG&amp;A'!BN42+'COGS + SG&amp;A'!BN70+'COGS + SG&amp;A'!BN98+'COGS + SG&amp;A'!BN154+'COGS + SG&amp;A'!BN182</f>
        <v>0</v>
      </c>
      <c r="BO151" s="27">
        <f>'COGS + SG&amp;A'!BO42+'COGS + SG&amp;A'!BO70+'COGS + SG&amp;A'!BO98+'COGS + SG&amp;A'!BO154+'COGS + SG&amp;A'!BO182</f>
        <v>0</v>
      </c>
      <c r="BP151" s="27">
        <f>'COGS + SG&amp;A'!BP42+'COGS + SG&amp;A'!BP70+'COGS + SG&amp;A'!BP98+'COGS + SG&amp;A'!BP154+'COGS + SG&amp;A'!BP182</f>
        <v>0</v>
      </c>
      <c r="BQ151" s="27">
        <f>'COGS + SG&amp;A'!BQ42+'COGS + SG&amp;A'!BQ70+'COGS + SG&amp;A'!BQ98+'COGS + SG&amp;A'!BQ154+'COGS + SG&amp;A'!BQ182</f>
        <v>0</v>
      </c>
      <c r="BR151" s="27">
        <f>'COGS + SG&amp;A'!BR42+'COGS + SG&amp;A'!BR70+'COGS + SG&amp;A'!BR98+'COGS + SG&amp;A'!BR154+'COGS + SG&amp;A'!BR182</f>
        <v>0</v>
      </c>
      <c r="BS151" s="27">
        <f>'COGS + SG&amp;A'!BS42+'COGS + SG&amp;A'!BS70+'COGS + SG&amp;A'!BS98+'COGS + SG&amp;A'!BS154+'COGS + SG&amp;A'!BS182</f>
        <v>0</v>
      </c>
      <c r="BT151" s="27">
        <f>'COGS + SG&amp;A'!BT42+'COGS + SG&amp;A'!BT70+'COGS + SG&amp;A'!BT98+'COGS + SG&amp;A'!BT154+'COGS + SG&amp;A'!BT182</f>
        <v>0</v>
      </c>
      <c r="BU151" s="27">
        <f>'COGS + SG&amp;A'!BU42+'COGS + SG&amp;A'!BU70+'COGS + SG&amp;A'!BU98+'COGS + SG&amp;A'!BU154+'COGS + SG&amp;A'!BU182</f>
        <v>0</v>
      </c>
      <c r="BV151" s="27">
        <f>'COGS + SG&amp;A'!BV42+'COGS + SG&amp;A'!BV70+'COGS + SG&amp;A'!BV98+'COGS + SG&amp;A'!BV154+'COGS + SG&amp;A'!BV182</f>
        <v>0</v>
      </c>
      <c r="BW151" s="27">
        <f>'COGS + SG&amp;A'!BW42+'COGS + SG&amp;A'!BW70+'COGS + SG&amp;A'!BW98+'COGS + SG&amp;A'!BW154+'COGS + SG&amp;A'!BW182</f>
        <v>0</v>
      </c>
      <c r="BX151" s="27">
        <f>'COGS + SG&amp;A'!BX42+'COGS + SG&amp;A'!BX70+'COGS + SG&amp;A'!BX98+'COGS + SG&amp;A'!BX154+'COGS + SG&amp;A'!BX182</f>
        <v>0</v>
      </c>
      <c r="BY151" s="27">
        <f>'COGS + SG&amp;A'!BY42+'COGS + SG&amp;A'!BY70+'COGS + SG&amp;A'!BY98+'COGS + SG&amp;A'!BY154+'COGS + SG&amp;A'!BY182</f>
        <v>0</v>
      </c>
      <c r="BZ151" s="27">
        <f>'COGS + SG&amp;A'!BZ42+'COGS + SG&amp;A'!BZ70+'COGS + SG&amp;A'!BZ98+'COGS + SG&amp;A'!BZ154+'COGS + SG&amp;A'!BZ182</f>
        <v>0</v>
      </c>
      <c r="CA151" s="27">
        <f>'COGS + SG&amp;A'!CA42+'COGS + SG&amp;A'!CA70+'COGS + SG&amp;A'!CA98+'COGS + SG&amp;A'!CA154+'COGS + SG&amp;A'!CA182</f>
        <v>0</v>
      </c>
      <c r="CB151" s="27">
        <f>'COGS + SG&amp;A'!CB42+'COGS + SG&amp;A'!CB70+'COGS + SG&amp;A'!CB98+'COGS + SG&amp;A'!CB154+'COGS + SG&amp;A'!CB182</f>
        <v>0</v>
      </c>
      <c r="CC151" s="27">
        <f>'COGS + SG&amp;A'!CC42+'COGS + SG&amp;A'!CC70+'COGS + SG&amp;A'!CC98+'COGS + SG&amp;A'!CC154+'COGS + SG&amp;A'!CC182</f>
        <v>0</v>
      </c>
      <c r="CD151" s="27">
        <f>'COGS + SG&amp;A'!CD42+'COGS + SG&amp;A'!CD70+'COGS + SG&amp;A'!CD98+'COGS + SG&amp;A'!CD154+'COGS + SG&amp;A'!CD182</f>
        <v>0</v>
      </c>
      <c r="CE151" s="27">
        <f>'COGS + SG&amp;A'!CE42+'COGS + SG&amp;A'!CE70+'COGS + SG&amp;A'!CE98+'COGS + SG&amp;A'!CE154+'COGS + SG&amp;A'!CE182</f>
        <v>0</v>
      </c>
      <c r="CF151" s="27">
        <f>'COGS + SG&amp;A'!CF42+'COGS + SG&amp;A'!CF70+'COGS + SG&amp;A'!CF98+'COGS + SG&amp;A'!CF154+'COGS + SG&amp;A'!CF182</f>
        <v>0</v>
      </c>
      <c r="CG151" s="27">
        <f>'COGS + SG&amp;A'!CG42+'COGS + SG&amp;A'!CG70+'COGS + SG&amp;A'!CG98+'COGS + SG&amp;A'!CG154+'COGS + SG&amp;A'!CG182</f>
        <v>0</v>
      </c>
      <c r="CH151" s="27">
        <f>'COGS + SG&amp;A'!CH42+'COGS + SG&amp;A'!CH70+'COGS + SG&amp;A'!CH98+'COGS + SG&amp;A'!CH154+'COGS + SG&amp;A'!CH182</f>
        <v>0</v>
      </c>
      <c r="CI151" s="27">
        <f>'COGS + SG&amp;A'!CI42+'COGS + SG&amp;A'!CI70+'COGS + SG&amp;A'!CI98+'COGS + SG&amp;A'!CI154+'COGS + SG&amp;A'!CI182</f>
        <v>0</v>
      </c>
      <c r="CJ151" s="27">
        <f>'COGS + SG&amp;A'!CJ42+'COGS + SG&amp;A'!CJ70+'COGS + SG&amp;A'!CJ98+'COGS + SG&amp;A'!CJ154+'COGS + SG&amp;A'!CJ182</f>
        <v>0</v>
      </c>
      <c r="CK151" s="27">
        <f>'COGS + SG&amp;A'!CK42+'COGS + SG&amp;A'!CK70+'COGS + SG&amp;A'!CK98+'COGS + SG&amp;A'!CK154+'COGS + SG&amp;A'!CK182</f>
        <v>0</v>
      </c>
      <c r="CL151" s="27">
        <f>'COGS + SG&amp;A'!CL42+'COGS + SG&amp;A'!CL70+'COGS + SG&amp;A'!CL98+'COGS + SG&amp;A'!CL154+'COGS + SG&amp;A'!CL182</f>
        <v>0</v>
      </c>
      <c r="CM151" s="27">
        <f>'COGS + SG&amp;A'!CM42+'COGS + SG&amp;A'!CM70+'COGS + SG&amp;A'!CM98+'COGS + SG&amp;A'!CM154+'COGS + SG&amp;A'!CM182</f>
        <v>0</v>
      </c>
      <c r="CN151" s="27">
        <f>'COGS + SG&amp;A'!CN42+'COGS + SG&amp;A'!CN70+'COGS + SG&amp;A'!CN98+'COGS + SG&amp;A'!CN154+'COGS + SG&amp;A'!CN182</f>
        <v>0</v>
      </c>
      <c r="CO151" s="27">
        <f>'COGS + SG&amp;A'!CO42+'COGS + SG&amp;A'!CO70+'COGS + SG&amp;A'!CO98+'COGS + SG&amp;A'!CO154+'COGS + SG&amp;A'!CO182</f>
        <v>0</v>
      </c>
      <c r="CP151" s="27">
        <f>'COGS + SG&amp;A'!CP42+'COGS + SG&amp;A'!CP70+'COGS + SG&amp;A'!CP98+'COGS + SG&amp;A'!CP154+'COGS + SG&amp;A'!CP182</f>
        <v>0</v>
      </c>
      <c r="CQ151" s="27">
        <f>'COGS + SG&amp;A'!CQ42+'COGS + SG&amp;A'!CQ70+'COGS + SG&amp;A'!CQ98+'COGS + SG&amp;A'!CQ154+'COGS + SG&amp;A'!CQ182</f>
        <v>0</v>
      </c>
      <c r="CR151" s="27">
        <f>'COGS + SG&amp;A'!CR42+'COGS + SG&amp;A'!CR70+'COGS + SG&amp;A'!CR98+'COGS + SG&amp;A'!CR154+'COGS + SG&amp;A'!CR182</f>
        <v>0</v>
      </c>
      <c r="CS151" s="27">
        <f>'COGS + SG&amp;A'!CS42+'COGS + SG&amp;A'!CS70+'COGS + SG&amp;A'!CS98+'COGS + SG&amp;A'!CS154+'COGS + SG&amp;A'!CS182</f>
        <v>0</v>
      </c>
      <c r="CT151" s="27">
        <f>'COGS + SG&amp;A'!CT42+'COGS + SG&amp;A'!CT70+'COGS + SG&amp;A'!CT98+'COGS + SG&amp;A'!CT154+'COGS + SG&amp;A'!CT182</f>
        <v>0</v>
      </c>
      <c r="CU151" s="27">
        <f>'COGS + SG&amp;A'!CU42+'COGS + SG&amp;A'!CU70+'COGS + SG&amp;A'!CU98+'COGS + SG&amp;A'!CU154+'COGS + SG&amp;A'!CU182</f>
        <v>0</v>
      </c>
      <c r="CV151" s="27">
        <f>'COGS + SG&amp;A'!CV42+'COGS + SG&amp;A'!CV70+'COGS + SG&amp;A'!CV98+'COGS + SG&amp;A'!CV154+'COGS + SG&amp;A'!CV182</f>
        <v>0</v>
      </c>
      <c r="CW151" s="27">
        <f>'COGS + SG&amp;A'!CW42+'COGS + SG&amp;A'!CW70+'COGS + SG&amp;A'!CW98+'COGS + SG&amp;A'!CW154+'COGS + SG&amp;A'!CW182</f>
        <v>0</v>
      </c>
      <c r="CX151" s="27">
        <f>'COGS + SG&amp;A'!CX42+'COGS + SG&amp;A'!CX70+'COGS + SG&amp;A'!CX98+'COGS + SG&amp;A'!CX154+'COGS + SG&amp;A'!CX182</f>
        <v>0</v>
      </c>
      <c r="CY151" s="27">
        <f>'COGS + SG&amp;A'!CY42+'COGS + SG&amp;A'!CY70+'COGS + SG&amp;A'!CY98+'COGS + SG&amp;A'!CY154+'COGS + SG&amp;A'!CY182</f>
        <v>0</v>
      </c>
      <c r="CZ151" s="27">
        <f>'COGS + SG&amp;A'!CZ42+'COGS + SG&amp;A'!CZ70+'COGS + SG&amp;A'!CZ98+'COGS + SG&amp;A'!CZ154+'COGS + SG&amp;A'!CZ182</f>
        <v>0</v>
      </c>
      <c r="DA151" s="27">
        <f>'COGS + SG&amp;A'!DA42+'COGS + SG&amp;A'!DA70+'COGS + SG&amp;A'!DA98+'COGS + SG&amp;A'!DA154+'COGS + SG&amp;A'!DA182</f>
        <v>0</v>
      </c>
      <c r="DB151" s="27">
        <f>'COGS + SG&amp;A'!DB42+'COGS + SG&amp;A'!DB70+'COGS + SG&amp;A'!DB98+'COGS + SG&amp;A'!DB154+'COGS + SG&amp;A'!DB182</f>
        <v>0</v>
      </c>
      <c r="DC151" s="27">
        <f>'COGS + SG&amp;A'!DC42+'COGS + SG&amp;A'!DC70+'COGS + SG&amp;A'!DC98+'COGS + SG&amp;A'!DC154+'COGS + SG&amp;A'!DC182</f>
        <v>0</v>
      </c>
      <c r="DD151" s="27">
        <f>'COGS + SG&amp;A'!DD42+'COGS + SG&amp;A'!DD70+'COGS + SG&amp;A'!DD98+'COGS + SG&amp;A'!DD154+'COGS + SG&amp;A'!DD182</f>
        <v>0</v>
      </c>
      <c r="DE151" s="27">
        <f>'COGS + SG&amp;A'!DE42+'COGS + SG&amp;A'!DE70+'COGS + SG&amp;A'!DE98+'COGS + SG&amp;A'!DE154+'COGS + SG&amp;A'!DE182</f>
        <v>0</v>
      </c>
      <c r="DF151" s="27">
        <f>'COGS + SG&amp;A'!DF42+'COGS + SG&amp;A'!DF70+'COGS + SG&amp;A'!DF98+'COGS + SG&amp;A'!DF154+'COGS + SG&amp;A'!DF182</f>
        <v>0</v>
      </c>
      <c r="DG151" s="27">
        <f>'COGS + SG&amp;A'!DG42+'COGS + SG&amp;A'!DG70+'COGS + SG&amp;A'!DG98+'COGS + SG&amp;A'!DG154+'COGS + SG&amp;A'!DG182</f>
        <v>0</v>
      </c>
      <c r="DH151" s="27">
        <f>'COGS + SG&amp;A'!DH42+'COGS + SG&amp;A'!DH70+'COGS + SG&amp;A'!DH98+'COGS + SG&amp;A'!DH154+'COGS + SG&amp;A'!DH182</f>
        <v>0</v>
      </c>
      <c r="DI151" s="27">
        <f>'COGS + SG&amp;A'!DI42+'COGS + SG&amp;A'!DI70+'COGS + SG&amp;A'!DI98+'COGS + SG&amp;A'!DI154+'COGS + SG&amp;A'!DI182</f>
        <v>0</v>
      </c>
      <c r="DJ151" s="27">
        <f>'COGS + SG&amp;A'!DJ42+'COGS + SG&amp;A'!DJ70+'COGS + SG&amp;A'!DJ98+'COGS + SG&amp;A'!DJ154+'COGS + SG&amp;A'!DJ182</f>
        <v>0</v>
      </c>
      <c r="DK151" s="27">
        <f>'COGS + SG&amp;A'!DK42+'COGS + SG&amp;A'!DK70+'COGS + SG&amp;A'!DK98+'COGS + SG&amp;A'!DK154+'COGS + SG&amp;A'!DK182</f>
        <v>0</v>
      </c>
      <c r="DL151" s="27">
        <f>'COGS + SG&amp;A'!DL42+'COGS + SG&amp;A'!DL70+'COGS + SG&amp;A'!DL98+'COGS + SG&amp;A'!DL154+'COGS + SG&amp;A'!DL182</f>
        <v>0</v>
      </c>
      <c r="DM151" s="27">
        <f>'COGS + SG&amp;A'!DM42+'COGS + SG&amp;A'!DM70+'COGS + SG&amp;A'!DM98+'COGS + SG&amp;A'!DM154+'COGS + SG&amp;A'!DM182</f>
        <v>0</v>
      </c>
      <c r="DN151" s="27">
        <f>'COGS + SG&amp;A'!DN42+'COGS + SG&amp;A'!DN70+'COGS + SG&amp;A'!DN98+'COGS + SG&amp;A'!DN154+'COGS + SG&amp;A'!DN182</f>
        <v>0</v>
      </c>
      <c r="DO151" s="27">
        <f>'COGS + SG&amp;A'!DO42+'COGS + SG&amp;A'!DO70+'COGS + SG&amp;A'!DO98+'COGS + SG&amp;A'!DO154+'COGS + SG&amp;A'!DO182</f>
        <v>0.88000000000000012</v>
      </c>
      <c r="DP151" s="27">
        <f>'COGS + SG&amp;A'!DP42+'COGS + SG&amp;A'!DP70+'COGS + SG&amp;A'!DP98+'COGS + SG&amp;A'!DP154+'COGS + SG&amp;A'!DP182</f>
        <v>10.648000000000001</v>
      </c>
      <c r="DQ151" s="27">
        <f>'COGS + SG&amp;A'!DQ42+'COGS + SG&amp;A'!DQ70+'COGS + SG&amp;A'!DQ98+'COGS + SG&amp;A'!DQ154+'COGS + SG&amp;A'!DQ182</f>
        <v>11.527999999999999</v>
      </c>
      <c r="DR151" s="27">
        <f>'COGS + SG&amp;A'!DR42+'COGS + SG&amp;A'!DR70+'COGS + SG&amp;A'!DR98+'COGS + SG&amp;A'!DR154+'COGS + SG&amp;A'!DR182</f>
        <v>11.198</v>
      </c>
      <c r="DS151" s="27">
        <f>'COGS + SG&amp;A'!DS42+'COGS + SG&amp;A'!DS70+'COGS + SG&amp;A'!DS98+'COGS + SG&amp;A'!DS154+'COGS + SG&amp;A'!DS182</f>
        <v>21.116</v>
      </c>
      <c r="DT151" s="27">
        <f>'COGS + SG&amp;A'!DT42+'COGS + SG&amp;A'!DT70+'COGS + SG&amp;A'!DT98+'COGS + SG&amp;A'!DT154+'COGS + SG&amp;A'!DT182</f>
        <v>25.016000000000002</v>
      </c>
      <c r="DU151" s="27">
        <f>'COGS + SG&amp;A'!DU42+'COGS + SG&amp;A'!DU70+'COGS + SG&amp;A'!DU98+'COGS + SG&amp;A'!DU154+'COGS + SG&amp;A'!DU182</f>
        <v>23.869999999999997</v>
      </c>
      <c r="DV151" s="27">
        <f>'COGS + SG&amp;A'!DV42+'COGS + SG&amp;A'!DV70+'COGS + SG&amp;A'!DV98+'COGS + SG&amp;A'!DV154+'COGS + SG&amp;A'!DV182</f>
        <v>81.2</v>
      </c>
      <c r="DW151" s="27">
        <f>'COGS + SG&amp;A'!DW42+'COGS + SG&amp;A'!DW70+'COGS + SG&amp;A'!DW98+'COGS + SG&amp;A'!DW154+'COGS + SG&amp;A'!DW182</f>
        <v>28.211000000000002</v>
      </c>
      <c r="DX151" s="27">
        <f>'COGS + SG&amp;A'!DX42+'COGS + SG&amp;A'!DX70+'COGS + SG&amp;A'!DX98+'COGS + SG&amp;A'!DX154+'COGS + SG&amp;A'!DX182</f>
        <v>36.312088100000004</v>
      </c>
      <c r="DY151" s="27">
        <f>'COGS + SG&amp;A'!DY42+'COGS + SG&amp;A'!DY70+'COGS + SG&amp;A'!DY98+'COGS + SG&amp;A'!DY154+'COGS + SG&amp;A'!DY182</f>
        <v>30.330617880000002</v>
      </c>
      <c r="DZ151" s="27">
        <f>'COGS + SG&amp;A'!DZ42+'COGS + SG&amp;A'!DZ70+'COGS + SG&amp;A'!DZ98+'COGS + SG&amp;A'!DZ154+'COGS + SG&amp;A'!DZ182</f>
        <v>33.681331329999999</v>
      </c>
      <c r="EA151" s="27">
        <f>'COGS + SG&amp;A'!EA42+'COGS + SG&amp;A'!EA70+'COGS + SG&amp;A'!EA98+'COGS + SG&amp;A'!EA154+'COGS + SG&amp;A'!EA182</f>
        <v>128.53503731000001</v>
      </c>
      <c r="EB151" s="27">
        <f>'COGS + SG&amp;A'!EB42+'COGS + SG&amp;A'!EB70+'COGS + SG&amp;A'!EB98+'COGS + SG&amp;A'!EB154+'COGS + SG&amp;A'!EB182</f>
        <v>33.502098109999999</v>
      </c>
      <c r="EC151" s="27">
        <f>'COGS + SG&amp;A'!EC42+'COGS + SG&amp;A'!EC70+'COGS + SG&amp;A'!EC98+'COGS + SG&amp;A'!EC154+'COGS + SG&amp;A'!EC182</f>
        <v>35.150157630000002</v>
      </c>
      <c r="ED151" s="27">
        <f>'COGS + SG&amp;A'!ED42+'COGS + SG&amp;A'!ED70+'COGS + SG&amp;A'!ED98+'COGS + SG&amp;A'!ED154+'COGS + SG&amp;A'!ED182</f>
        <v>36.582000000000001</v>
      </c>
      <c r="EE151" s="27">
        <f>'COGS + SG&amp;A'!EE42+'COGS + SG&amp;A'!EE70+'COGS + SG&amp;A'!EE98+'COGS + SG&amp;A'!EE154+'COGS + SG&amp;A'!EE182</f>
        <v>40.650044970000003</v>
      </c>
      <c r="EF151" s="27">
        <f>'COGS + SG&amp;A'!EF42+'COGS + SG&amp;A'!EF70+'COGS + SG&amp;A'!EF98+'COGS + SG&amp;A'!EF154+'COGS + SG&amp;A'!EF182</f>
        <v>145.88430070999999</v>
      </c>
      <c r="EG151" s="27">
        <f>'COGS + SG&amp;A'!EG42+'COGS + SG&amp;A'!EG70+'COGS + SG&amp;A'!EG98+'COGS + SG&amp;A'!EG154+'COGS + SG&amp;A'!EG182</f>
        <v>31.627984730000001</v>
      </c>
      <c r="EH151" s="27">
        <f>'COGS + SG&amp;A'!EH42+'COGS + SG&amp;A'!EH70+'COGS + SG&amp;A'!EH98+'COGS + SG&amp;A'!EH154+'COGS + SG&amp;A'!EH182</f>
        <v>37.231033330000002</v>
      </c>
      <c r="EI151" s="27">
        <f>'COGS + SG&amp;A'!EI42+'COGS + SG&amp;A'!EI70+'COGS + SG&amp;A'!EI98+'COGS + SG&amp;A'!EI154+'COGS + SG&amp;A'!EI182</f>
        <v>37.488520380000004</v>
      </c>
    </row>
    <row r="152" spans="1:139" ht="15" thickBot="1" x14ac:dyDescent="0.35">
      <c r="A152" s="2" t="s">
        <v>448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28">
        <f>'COGS + SG&amp;A'!BJ43+'COGS + SG&amp;A'!BJ71+'COGS + SG&amp;A'!BJ99+'COGS + SG&amp;A'!BJ155+'COGS + SG&amp;A'!BJ183</f>
        <v>0</v>
      </c>
      <c r="BK152" s="28">
        <f>'COGS + SG&amp;A'!BK43+'COGS + SG&amp;A'!BK71+'COGS + SG&amp;A'!BK99+'COGS + SG&amp;A'!BK155+'COGS + SG&amp;A'!BK183</f>
        <v>0</v>
      </c>
      <c r="BL152" s="28">
        <f>'COGS + SG&amp;A'!BL43+'COGS + SG&amp;A'!BL71+'COGS + SG&amp;A'!BL99+'COGS + SG&amp;A'!BL155+'COGS + SG&amp;A'!BL183</f>
        <v>0</v>
      </c>
      <c r="BM152" s="28">
        <f>'COGS + SG&amp;A'!BM43+'COGS + SG&amp;A'!BM71+'COGS + SG&amp;A'!BM99+'COGS + SG&amp;A'!BM155+'COGS + SG&amp;A'!BM183</f>
        <v>0</v>
      </c>
      <c r="BN152" s="28">
        <f>'COGS + SG&amp;A'!BN43+'COGS + SG&amp;A'!BN71+'COGS + SG&amp;A'!BN99+'COGS + SG&amp;A'!BN155+'COGS + SG&amp;A'!BN183</f>
        <v>0</v>
      </c>
      <c r="BO152" s="28">
        <f>'COGS + SG&amp;A'!BO43+'COGS + SG&amp;A'!BO71+'COGS + SG&amp;A'!BO99+'COGS + SG&amp;A'!BO155+'COGS + SG&amp;A'!BO183</f>
        <v>0</v>
      </c>
      <c r="BP152" s="28">
        <f>'COGS + SG&amp;A'!BP43+'COGS + SG&amp;A'!BP71+'COGS + SG&amp;A'!BP99+'COGS + SG&amp;A'!BP155+'COGS + SG&amp;A'!BP183</f>
        <v>0</v>
      </c>
      <c r="BQ152" s="28">
        <f>'COGS + SG&amp;A'!BQ43+'COGS + SG&amp;A'!BQ71+'COGS + SG&amp;A'!BQ99+'COGS + SG&amp;A'!BQ155+'COGS + SG&amp;A'!BQ183</f>
        <v>0</v>
      </c>
      <c r="BR152" s="28">
        <f>'COGS + SG&amp;A'!BR43+'COGS + SG&amp;A'!BR71+'COGS + SG&amp;A'!BR99+'COGS + SG&amp;A'!BR155+'COGS + SG&amp;A'!BR183</f>
        <v>0</v>
      </c>
      <c r="BS152" s="28">
        <f>'COGS + SG&amp;A'!BS43+'COGS + SG&amp;A'!BS71+'COGS + SG&amp;A'!BS99+'COGS + SG&amp;A'!BS155+'COGS + SG&amp;A'!BS183</f>
        <v>0</v>
      </c>
      <c r="BT152" s="28">
        <f>'COGS + SG&amp;A'!BT43+'COGS + SG&amp;A'!BT71+'COGS + SG&amp;A'!BT99+'COGS + SG&amp;A'!BT155+'COGS + SG&amp;A'!BT183</f>
        <v>0</v>
      </c>
      <c r="BU152" s="28">
        <f>'COGS + SG&amp;A'!BU43+'COGS + SG&amp;A'!BU71+'COGS + SG&amp;A'!BU99+'COGS + SG&amp;A'!BU155+'COGS + SG&amp;A'!BU183</f>
        <v>0</v>
      </c>
      <c r="BV152" s="28">
        <f>'COGS + SG&amp;A'!BV43+'COGS + SG&amp;A'!BV71+'COGS + SG&amp;A'!BV99+'COGS + SG&amp;A'!BV155+'COGS + SG&amp;A'!BV183</f>
        <v>0</v>
      </c>
      <c r="BW152" s="28">
        <f>'COGS + SG&amp;A'!BW43+'COGS + SG&amp;A'!BW71+'COGS + SG&amp;A'!BW99+'COGS + SG&amp;A'!BW155+'COGS + SG&amp;A'!BW183</f>
        <v>0</v>
      </c>
      <c r="BX152" s="28">
        <f>'COGS + SG&amp;A'!BX43+'COGS + SG&amp;A'!BX71+'COGS + SG&amp;A'!BX99+'COGS + SG&amp;A'!BX155+'COGS + SG&amp;A'!BX183</f>
        <v>0</v>
      </c>
      <c r="BY152" s="28">
        <f>'COGS + SG&amp;A'!BY43+'COGS + SG&amp;A'!BY71+'COGS + SG&amp;A'!BY99+'COGS + SG&amp;A'!BY155+'COGS + SG&amp;A'!BY183</f>
        <v>0</v>
      </c>
      <c r="BZ152" s="28">
        <f>'COGS + SG&amp;A'!BZ43+'COGS + SG&amp;A'!BZ71+'COGS + SG&amp;A'!BZ99+'COGS + SG&amp;A'!BZ155+'COGS + SG&amp;A'!BZ183</f>
        <v>0</v>
      </c>
      <c r="CA152" s="28">
        <f>'COGS + SG&amp;A'!CA43+'COGS + SG&amp;A'!CA71+'COGS + SG&amp;A'!CA99+'COGS + SG&amp;A'!CA155+'COGS + SG&amp;A'!CA183</f>
        <v>0</v>
      </c>
      <c r="CB152" s="28">
        <f>'COGS + SG&amp;A'!CB43+'COGS + SG&amp;A'!CB71+'COGS + SG&amp;A'!CB99+'COGS + SG&amp;A'!CB155+'COGS + SG&amp;A'!CB183</f>
        <v>0</v>
      </c>
      <c r="CC152" s="28">
        <f>'COGS + SG&amp;A'!CC43+'COGS + SG&amp;A'!CC71+'COGS + SG&amp;A'!CC99+'COGS + SG&amp;A'!CC155+'COGS + SG&amp;A'!CC183</f>
        <v>0</v>
      </c>
      <c r="CD152" s="28">
        <f>'COGS + SG&amp;A'!CD43+'COGS + SG&amp;A'!CD71+'COGS + SG&amp;A'!CD99+'COGS + SG&amp;A'!CD155+'COGS + SG&amp;A'!CD183</f>
        <v>0</v>
      </c>
      <c r="CE152" s="28">
        <f>'COGS + SG&amp;A'!CE43+'COGS + SG&amp;A'!CE71+'COGS + SG&amp;A'!CE99+'COGS + SG&amp;A'!CE155+'COGS + SG&amp;A'!CE183</f>
        <v>0</v>
      </c>
      <c r="CF152" s="28">
        <f>'COGS + SG&amp;A'!CF43+'COGS + SG&amp;A'!CF71+'COGS + SG&amp;A'!CF99+'COGS + SG&amp;A'!CF155+'COGS + SG&amp;A'!CF183</f>
        <v>0</v>
      </c>
      <c r="CG152" s="28">
        <f>'COGS + SG&amp;A'!CG43+'COGS + SG&amp;A'!CG71+'COGS + SG&amp;A'!CG99+'COGS + SG&amp;A'!CG155+'COGS + SG&amp;A'!CG183</f>
        <v>0</v>
      </c>
      <c r="CH152" s="28">
        <f>'COGS + SG&amp;A'!CH43+'COGS + SG&amp;A'!CH71+'COGS + SG&amp;A'!CH99+'COGS + SG&amp;A'!CH155+'COGS + SG&amp;A'!CH183</f>
        <v>0</v>
      </c>
      <c r="CI152" s="28">
        <f>'COGS + SG&amp;A'!CI43+'COGS + SG&amp;A'!CI71+'COGS + SG&amp;A'!CI99+'COGS + SG&amp;A'!CI155+'COGS + SG&amp;A'!CI183</f>
        <v>0</v>
      </c>
      <c r="CJ152" s="28">
        <f>'COGS + SG&amp;A'!CJ43+'COGS + SG&amp;A'!CJ71+'COGS + SG&amp;A'!CJ99+'COGS + SG&amp;A'!CJ155+'COGS + SG&amp;A'!CJ183</f>
        <v>0</v>
      </c>
      <c r="CK152" s="28">
        <f>'COGS + SG&amp;A'!CK43+'COGS + SG&amp;A'!CK71+'COGS + SG&amp;A'!CK99+'COGS + SG&amp;A'!CK155+'COGS + SG&amp;A'!CK183</f>
        <v>0</v>
      </c>
      <c r="CL152" s="28">
        <f>'COGS + SG&amp;A'!CL43+'COGS + SG&amp;A'!CL71+'COGS + SG&amp;A'!CL99+'COGS + SG&amp;A'!CL155+'COGS + SG&amp;A'!CL183</f>
        <v>0</v>
      </c>
      <c r="CM152" s="28">
        <f>'COGS + SG&amp;A'!CM43+'COGS + SG&amp;A'!CM71+'COGS + SG&amp;A'!CM99+'COGS + SG&amp;A'!CM155+'COGS + SG&amp;A'!CM183</f>
        <v>0</v>
      </c>
      <c r="CN152" s="28">
        <f>'COGS + SG&amp;A'!CN43+'COGS + SG&amp;A'!CN71+'COGS + SG&amp;A'!CN99+'COGS + SG&amp;A'!CN155+'COGS + SG&amp;A'!CN183</f>
        <v>0</v>
      </c>
      <c r="CO152" s="28">
        <f>'COGS + SG&amp;A'!CO43+'COGS + SG&amp;A'!CO71+'COGS + SG&amp;A'!CO99+'COGS + SG&amp;A'!CO155+'COGS + SG&amp;A'!CO183</f>
        <v>0</v>
      </c>
      <c r="CP152" s="28">
        <f>'COGS + SG&amp;A'!CP43+'COGS + SG&amp;A'!CP71+'COGS + SG&amp;A'!CP99+'COGS + SG&amp;A'!CP155+'COGS + SG&amp;A'!CP183</f>
        <v>0</v>
      </c>
      <c r="CQ152" s="28">
        <f>'COGS + SG&amp;A'!CQ43+'COGS + SG&amp;A'!CQ71+'COGS + SG&amp;A'!CQ99+'COGS + SG&amp;A'!CQ155+'COGS + SG&amp;A'!CQ183</f>
        <v>0</v>
      </c>
      <c r="CR152" s="28">
        <f>'COGS + SG&amp;A'!CR43+'COGS + SG&amp;A'!CR71+'COGS + SG&amp;A'!CR99+'COGS + SG&amp;A'!CR155+'COGS + SG&amp;A'!CR183</f>
        <v>0</v>
      </c>
      <c r="CS152" s="28">
        <f>'COGS + SG&amp;A'!CS43+'COGS + SG&amp;A'!CS71+'COGS + SG&amp;A'!CS99+'COGS + SG&amp;A'!CS155+'COGS + SG&amp;A'!CS183</f>
        <v>0</v>
      </c>
      <c r="CT152" s="28">
        <f>'COGS + SG&amp;A'!CT43+'COGS + SG&amp;A'!CT71+'COGS + SG&amp;A'!CT99+'COGS + SG&amp;A'!CT155+'COGS + SG&amp;A'!CT183</f>
        <v>0</v>
      </c>
      <c r="CU152" s="28">
        <f>'COGS + SG&amp;A'!CU43+'COGS + SG&amp;A'!CU71+'COGS + SG&amp;A'!CU99+'COGS + SG&amp;A'!CU155+'COGS + SG&amp;A'!CU183</f>
        <v>0</v>
      </c>
      <c r="CV152" s="28">
        <f>'COGS + SG&amp;A'!CV43+'COGS + SG&amp;A'!CV71+'COGS + SG&amp;A'!CV99+'COGS + SG&amp;A'!CV155+'COGS + SG&amp;A'!CV183</f>
        <v>0</v>
      </c>
      <c r="CW152" s="28">
        <f>'COGS + SG&amp;A'!CW43+'COGS + SG&amp;A'!CW71+'COGS + SG&amp;A'!CW99+'COGS + SG&amp;A'!CW155+'COGS + SG&amp;A'!CW183</f>
        <v>0</v>
      </c>
      <c r="CX152" s="28">
        <f>'COGS + SG&amp;A'!CX43+'COGS + SG&amp;A'!CX71+'COGS + SG&amp;A'!CX99+'COGS + SG&amp;A'!CX155+'COGS + SG&amp;A'!CX183</f>
        <v>0</v>
      </c>
      <c r="CY152" s="28">
        <f>'COGS + SG&amp;A'!CY43+'COGS + SG&amp;A'!CY71+'COGS + SG&amp;A'!CY99+'COGS + SG&amp;A'!CY155+'COGS + SG&amp;A'!CY183</f>
        <v>0</v>
      </c>
      <c r="CZ152" s="28">
        <f>'COGS + SG&amp;A'!CZ43+'COGS + SG&amp;A'!CZ71+'COGS + SG&amp;A'!CZ99+'COGS + SG&amp;A'!CZ155+'COGS + SG&amp;A'!CZ183</f>
        <v>0</v>
      </c>
      <c r="DA152" s="28">
        <f>'COGS + SG&amp;A'!DA43+'COGS + SG&amp;A'!DA71+'COGS + SG&amp;A'!DA99+'COGS + SG&amp;A'!DA155+'COGS + SG&amp;A'!DA183</f>
        <v>0</v>
      </c>
      <c r="DB152" s="28">
        <f>'COGS + SG&amp;A'!DB43+'COGS + SG&amp;A'!DB71+'COGS + SG&amp;A'!DB99+'COGS + SG&amp;A'!DB155+'COGS + SG&amp;A'!DB183</f>
        <v>0</v>
      </c>
      <c r="DC152" s="28">
        <f>'COGS + SG&amp;A'!DC43+'COGS + SG&amp;A'!DC71+'COGS + SG&amp;A'!DC99+'COGS + SG&amp;A'!DC155+'COGS + SG&amp;A'!DC183</f>
        <v>0</v>
      </c>
      <c r="DD152" s="28">
        <f>'COGS + SG&amp;A'!DD43+'COGS + SG&amp;A'!DD71+'COGS + SG&amp;A'!DD99+'COGS + SG&amp;A'!DD155+'COGS + SG&amp;A'!DD183</f>
        <v>0</v>
      </c>
      <c r="DE152" s="28">
        <f>'COGS + SG&amp;A'!DE43+'COGS + SG&amp;A'!DE71+'COGS + SG&amp;A'!DE99+'COGS + SG&amp;A'!DE155+'COGS + SG&amp;A'!DE183</f>
        <v>0</v>
      </c>
      <c r="DF152" s="28">
        <f>'COGS + SG&amp;A'!DF43+'COGS + SG&amp;A'!DF71+'COGS + SG&amp;A'!DF99+'COGS + SG&amp;A'!DF155+'COGS + SG&amp;A'!DF183</f>
        <v>0</v>
      </c>
      <c r="DG152" s="28">
        <f>'COGS + SG&amp;A'!DG43+'COGS + SG&amp;A'!DG71+'COGS + SG&amp;A'!DG99+'COGS + SG&amp;A'!DG155+'COGS + SG&amp;A'!DG183</f>
        <v>0</v>
      </c>
      <c r="DH152" s="28">
        <f>'COGS + SG&amp;A'!DH43+'COGS + SG&amp;A'!DH71+'COGS + SG&amp;A'!DH99+'COGS + SG&amp;A'!DH155+'COGS + SG&amp;A'!DH183</f>
        <v>0</v>
      </c>
      <c r="DI152" s="28">
        <f>'COGS + SG&amp;A'!DI43+'COGS + SG&amp;A'!DI71+'COGS + SG&amp;A'!DI99+'COGS + SG&amp;A'!DI155+'COGS + SG&amp;A'!DI183</f>
        <v>0</v>
      </c>
      <c r="DJ152" s="28">
        <f>'COGS + SG&amp;A'!DJ43+'COGS + SG&amp;A'!DJ71+'COGS + SG&amp;A'!DJ99+'COGS + SG&amp;A'!DJ155+'COGS + SG&amp;A'!DJ183</f>
        <v>0</v>
      </c>
      <c r="DK152" s="28">
        <f>'COGS + SG&amp;A'!DK43+'COGS + SG&amp;A'!DK71+'COGS + SG&amp;A'!DK99+'COGS + SG&amp;A'!DK155+'COGS + SG&amp;A'!DK183</f>
        <v>0</v>
      </c>
      <c r="DL152" s="28">
        <f>'COGS + SG&amp;A'!DL43+'COGS + SG&amp;A'!DL71+'COGS + SG&amp;A'!DL99+'COGS + SG&amp;A'!DL155+'COGS + SG&amp;A'!DL183</f>
        <v>0</v>
      </c>
      <c r="DM152" s="28">
        <f>'COGS + SG&amp;A'!DM43+'COGS + SG&amp;A'!DM71+'COGS + SG&amp;A'!DM99+'COGS + SG&amp;A'!DM155+'COGS + SG&amp;A'!DM183</f>
        <v>0</v>
      </c>
      <c r="DN152" s="28">
        <f>'COGS + SG&amp;A'!DN43+'COGS + SG&amp;A'!DN71+'COGS + SG&amp;A'!DN99+'COGS + SG&amp;A'!DN155+'COGS + SG&amp;A'!DN183</f>
        <v>0</v>
      </c>
      <c r="DO152" s="28">
        <f>'COGS + SG&amp;A'!DO43+'COGS + SG&amp;A'!DO71+'COGS + SG&amp;A'!DO99+'COGS + SG&amp;A'!DO155+'COGS + SG&amp;A'!DO183</f>
        <v>0</v>
      </c>
      <c r="DP152" s="28">
        <f>'COGS + SG&amp;A'!DP43+'COGS + SG&amp;A'!DP71+'COGS + SG&amp;A'!DP99+'COGS + SG&amp;A'!DP155+'COGS + SG&amp;A'!DP183</f>
        <v>0</v>
      </c>
      <c r="DQ152" s="28">
        <f>'COGS + SG&amp;A'!DQ43+'COGS + SG&amp;A'!DQ71+'COGS + SG&amp;A'!DQ99+'COGS + SG&amp;A'!DQ155+'COGS + SG&amp;A'!DQ183</f>
        <v>0</v>
      </c>
      <c r="DR152" s="28">
        <f>'COGS + SG&amp;A'!DR43+'COGS + SG&amp;A'!DR71+'COGS + SG&amp;A'!DR99+'COGS + SG&amp;A'!DR155+'COGS + SG&amp;A'!DR183</f>
        <v>0</v>
      </c>
      <c r="DS152" s="28">
        <f>'COGS + SG&amp;A'!DS43+'COGS + SG&amp;A'!DS71+'COGS + SG&amp;A'!DS99+'COGS + SG&amp;A'!DS155+'COGS + SG&amp;A'!DS183</f>
        <v>0</v>
      </c>
      <c r="DT152" s="28">
        <f>'COGS + SG&amp;A'!DT43+'COGS + SG&amp;A'!DT71+'COGS + SG&amp;A'!DT99+'COGS + SG&amp;A'!DT155+'COGS + SG&amp;A'!DT183</f>
        <v>2.5380000000000003</v>
      </c>
      <c r="DU152" s="28">
        <f>'COGS + SG&amp;A'!DU43+'COGS + SG&amp;A'!DU71+'COGS + SG&amp;A'!DU99+'COGS + SG&amp;A'!DU155+'COGS + SG&amp;A'!DU183</f>
        <v>24.74</v>
      </c>
      <c r="DV152" s="28">
        <f>'COGS + SG&amp;A'!DV43+'COGS + SG&amp;A'!DV71+'COGS + SG&amp;A'!DV99+'COGS + SG&amp;A'!DV155+'COGS + SG&amp;A'!DV183</f>
        <v>27.277999999999999</v>
      </c>
      <c r="DW152" s="28">
        <f>'COGS + SG&amp;A'!DW43+'COGS + SG&amp;A'!DW71+'COGS + SG&amp;A'!DW99+'COGS + SG&amp;A'!DW155+'COGS + SG&amp;A'!DW183</f>
        <v>28.428000000000001</v>
      </c>
      <c r="DX152" s="28">
        <f>'COGS + SG&amp;A'!DX43+'COGS + SG&amp;A'!DX71+'COGS + SG&amp;A'!DX99+'COGS + SG&amp;A'!DX155+'COGS + SG&amp;A'!DX183</f>
        <v>38.950522450000001</v>
      </c>
      <c r="DY152" s="28">
        <f>'COGS + SG&amp;A'!DY43+'COGS + SG&amp;A'!DY71+'COGS + SG&amp;A'!DY99+'COGS + SG&amp;A'!DY155+'COGS + SG&amp;A'!DY183</f>
        <v>41.012425179999994</v>
      </c>
      <c r="DZ152" s="28">
        <f>'COGS + SG&amp;A'!DZ43+'COGS + SG&amp;A'!DZ71+'COGS + SG&amp;A'!DZ99+'COGS + SG&amp;A'!DZ155+'COGS + SG&amp;A'!DZ183</f>
        <v>57.303128270000002</v>
      </c>
      <c r="EA152" s="28">
        <f>'COGS + SG&amp;A'!EA43+'COGS + SG&amp;A'!EA71+'COGS + SG&amp;A'!EA99+'COGS + SG&amp;A'!EA155+'COGS + SG&amp;A'!EA183</f>
        <v>165.69407589999997</v>
      </c>
      <c r="EB152" s="28">
        <f>'COGS + SG&amp;A'!EB43+'COGS + SG&amp;A'!EB71+'COGS + SG&amp;A'!EB99+'COGS + SG&amp;A'!EB155+'COGS + SG&amp;A'!EB183</f>
        <v>68.334842749999993</v>
      </c>
      <c r="EC152" s="28">
        <f>'COGS + SG&amp;A'!EC43+'COGS + SG&amp;A'!EC71+'COGS + SG&amp;A'!EC99+'COGS + SG&amp;A'!EC155+'COGS + SG&amp;A'!EC183</f>
        <v>51.126690799999999</v>
      </c>
      <c r="ED152" s="28">
        <f>'COGS + SG&amp;A'!ED43+'COGS + SG&amp;A'!ED71+'COGS + SG&amp;A'!ED99+'COGS + SG&amp;A'!ED155+'COGS + SG&amp;A'!ED183</f>
        <v>68.98899999999999</v>
      </c>
      <c r="EE152" s="28">
        <f>'COGS + SG&amp;A'!EE43+'COGS + SG&amp;A'!EE71+'COGS + SG&amp;A'!EE99+'COGS + SG&amp;A'!EE155+'COGS + SG&amp;A'!EE183</f>
        <v>64.537570220000006</v>
      </c>
      <c r="EF152" s="28">
        <f>'COGS + SG&amp;A'!EF43+'COGS + SG&amp;A'!EF71+'COGS + SG&amp;A'!EF99+'COGS + SG&amp;A'!EF155+'COGS + SG&amp;A'!EF183</f>
        <v>252.98810376999995</v>
      </c>
      <c r="EG152" s="28">
        <f>'COGS + SG&amp;A'!EG43+'COGS + SG&amp;A'!EG71+'COGS + SG&amp;A'!EG99+'COGS + SG&amp;A'!EG155+'COGS + SG&amp;A'!EG183</f>
        <v>55.151283699999993</v>
      </c>
      <c r="EH152" s="28">
        <f>'COGS + SG&amp;A'!EH43+'COGS + SG&amp;A'!EH71+'COGS + SG&amp;A'!EH99+'COGS + SG&amp;A'!EH155+'COGS + SG&amp;A'!EH183</f>
        <v>60.01708696</v>
      </c>
      <c r="EI152" s="28">
        <f>'COGS + SG&amp;A'!EI43+'COGS + SG&amp;A'!EI71+'COGS + SG&amp;A'!EI99+'COGS + SG&amp;A'!EI155+'COGS + SG&amp;A'!EI183</f>
        <v>57.616337689999995</v>
      </c>
    </row>
    <row r="153" spans="1:139" ht="15" thickTop="1" x14ac:dyDescent="0.3">
      <c r="A153" s="1" t="s">
        <v>449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27">
        <f>'COGS + SG&amp;A'!BJ44+'COGS + SG&amp;A'!BJ72+'COGS + SG&amp;A'!BJ100+'COGS + SG&amp;A'!BJ156+'COGS + SG&amp;A'!BJ184</f>
        <v>0</v>
      </c>
      <c r="BK153" s="27">
        <f>'COGS + SG&amp;A'!BK44+'COGS + SG&amp;A'!BK72+'COGS + SG&amp;A'!BK100+'COGS + SG&amp;A'!BK156+'COGS + SG&amp;A'!BK184</f>
        <v>0</v>
      </c>
      <c r="BL153" s="27">
        <f>'COGS + SG&amp;A'!BL44+'COGS + SG&amp;A'!BL72+'COGS + SG&amp;A'!BL100+'COGS + SG&amp;A'!BL156+'COGS + SG&amp;A'!BL184</f>
        <v>0</v>
      </c>
      <c r="BM153" s="27">
        <f>'COGS + SG&amp;A'!BM44+'COGS + SG&amp;A'!BM72+'COGS + SG&amp;A'!BM100+'COGS + SG&amp;A'!BM156+'COGS + SG&amp;A'!BM184</f>
        <v>0</v>
      </c>
      <c r="BN153" s="27">
        <f>'COGS + SG&amp;A'!BN44+'COGS + SG&amp;A'!BN72+'COGS + SG&amp;A'!BN100+'COGS + SG&amp;A'!BN156+'COGS + SG&amp;A'!BN184</f>
        <v>0</v>
      </c>
      <c r="BO153" s="27">
        <f>'COGS + SG&amp;A'!BO44+'COGS + SG&amp;A'!BO72+'COGS + SG&amp;A'!BO100+'COGS + SG&amp;A'!BO156+'COGS + SG&amp;A'!BO184</f>
        <v>0</v>
      </c>
      <c r="BP153" s="27">
        <f>'COGS + SG&amp;A'!BP44+'COGS + SG&amp;A'!BP72+'COGS + SG&amp;A'!BP100+'COGS + SG&amp;A'!BP156+'COGS + SG&amp;A'!BP184</f>
        <v>0</v>
      </c>
      <c r="BQ153" s="27">
        <f>'COGS + SG&amp;A'!BQ44+'COGS + SG&amp;A'!BQ72+'COGS + SG&amp;A'!BQ100+'COGS + SG&amp;A'!BQ156+'COGS + SG&amp;A'!BQ184</f>
        <v>0</v>
      </c>
      <c r="BR153" s="27">
        <f>'COGS + SG&amp;A'!BR44+'COGS + SG&amp;A'!BR72+'COGS + SG&amp;A'!BR100+'COGS + SG&amp;A'!BR156+'COGS + SG&amp;A'!BR184</f>
        <v>0</v>
      </c>
      <c r="BS153" s="27">
        <f>'COGS + SG&amp;A'!BS44+'COGS + SG&amp;A'!BS72+'COGS + SG&amp;A'!BS100+'COGS + SG&amp;A'!BS156+'COGS + SG&amp;A'!BS184</f>
        <v>0</v>
      </c>
      <c r="BT153" s="27">
        <f>'COGS + SG&amp;A'!BT44+'COGS + SG&amp;A'!BT72+'COGS + SG&amp;A'!BT100+'COGS + SG&amp;A'!BT156+'COGS + SG&amp;A'!BT184</f>
        <v>0</v>
      </c>
      <c r="BU153" s="27">
        <f>'COGS + SG&amp;A'!BU44+'COGS + SG&amp;A'!BU72+'COGS + SG&amp;A'!BU100+'COGS + SG&amp;A'!BU156+'COGS + SG&amp;A'!BU184</f>
        <v>0</v>
      </c>
      <c r="BV153" s="27">
        <f>'COGS + SG&amp;A'!BV44+'COGS + SG&amp;A'!BV72+'COGS + SG&amp;A'!BV100+'COGS + SG&amp;A'!BV156+'COGS + SG&amp;A'!BV184</f>
        <v>0</v>
      </c>
      <c r="BW153" s="27">
        <f>'COGS + SG&amp;A'!BW44+'COGS + SG&amp;A'!BW72+'COGS + SG&amp;A'!BW100+'COGS + SG&amp;A'!BW156+'COGS + SG&amp;A'!BW184</f>
        <v>0</v>
      </c>
      <c r="BX153" s="27">
        <f>'COGS + SG&amp;A'!BX44+'COGS + SG&amp;A'!BX72+'COGS + SG&amp;A'!BX100+'COGS + SG&amp;A'!BX156+'COGS + SG&amp;A'!BX184</f>
        <v>0</v>
      </c>
      <c r="BY153" s="27">
        <f>'COGS + SG&amp;A'!BY44+'COGS + SG&amp;A'!BY72+'COGS + SG&amp;A'!BY100+'COGS + SG&amp;A'!BY156+'COGS + SG&amp;A'!BY184</f>
        <v>0</v>
      </c>
      <c r="BZ153" s="27">
        <f>'COGS + SG&amp;A'!BZ44+'COGS + SG&amp;A'!BZ72+'COGS + SG&amp;A'!BZ100+'COGS + SG&amp;A'!BZ156+'COGS + SG&amp;A'!BZ184</f>
        <v>0</v>
      </c>
      <c r="CA153" s="27">
        <f>'COGS + SG&amp;A'!CA44+'COGS + SG&amp;A'!CA72+'COGS + SG&amp;A'!CA100+'COGS + SG&amp;A'!CA156+'COGS + SG&amp;A'!CA184</f>
        <v>0</v>
      </c>
      <c r="CB153" s="27">
        <f>'COGS + SG&amp;A'!CB44+'COGS + SG&amp;A'!CB72+'COGS + SG&amp;A'!CB100+'COGS + SG&amp;A'!CB156+'COGS + SG&amp;A'!CB184</f>
        <v>0</v>
      </c>
      <c r="CC153" s="27">
        <f>'COGS + SG&amp;A'!CC44+'COGS + SG&amp;A'!CC72+'COGS + SG&amp;A'!CC100+'COGS + SG&amp;A'!CC156+'COGS + SG&amp;A'!CC184</f>
        <v>0</v>
      </c>
      <c r="CD153" s="27">
        <f>'COGS + SG&amp;A'!CD44+'COGS + SG&amp;A'!CD72+'COGS + SG&amp;A'!CD100+'COGS + SG&amp;A'!CD156+'COGS + SG&amp;A'!CD184</f>
        <v>0</v>
      </c>
      <c r="CE153" s="27">
        <f>'COGS + SG&amp;A'!CE44+'COGS + SG&amp;A'!CE72+'COGS + SG&amp;A'!CE100+'COGS + SG&amp;A'!CE156+'COGS + SG&amp;A'!CE184</f>
        <v>0</v>
      </c>
      <c r="CF153" s="27">
        <f>'COGS + SG&amp;A'!CF44+'COGS + SG&amp;A'!CF72+'COGS + SG&amp;A'!CF100+'COGS + SG&amp;A'!CF156+'COGS + SG&amp;A'!CF184</f>
        <v>0</v>
      </c>
      <c r="CG153" s="27">
        <f>'COGS + SG&amp;A'!CG44+'COGS + SG&amp;A'!CG72+'COGS + SG&amp;A'!CG100+'COGS + SG&amp;A'!CG156+'COGS + SG&amp;A'!CG184</f>
        <v>0</v>
      </c>
      <c r="CH153" s="27">
        <f>'COGS + SG&amp;A'!CH44+'COGS + SG&amp;A'!CH72+'COGS + SG&amp;A'!CH100+'COGS + SG&amp;A'!CH156+'COGS + SG&amp;A'!CH184</f>
        <v>0</v>
      </c>
      <c r="CI153" s="27">
        <f>'COGS + SG&amp;A'!CI44+'COGS + SG&amp;A'!CI72+'COGS + SG&amp;A'!CI100+'COGS + SG&amp;A'!CI156+'COGS + SG&amp;A'!CI184</f>
        <v>0</v>
      </c>
      <c r="CJ153" s="27">
        <f>'COGS + SG&amp;A'!CJ44+'COGS + SG&amp;A'!CJ72+'COGS + SG&amp;A'!CJ100+'COGS + SG&amp;A'!CJ156+'COGS + SG&amp;A'!CJ184</f>
        <v>0</v>
      </c>
      <c r="CK153" s="27">
        <f>'COGS + SG&amp;A'!CK44+'COGS + SG&amp;A'!CK72+'COGS + SG&amp;A'!CK100+'COGS + SG&amp;A'!CK156+'COGS + SG&amp;A'!CK184</f>
        <v>0</v>
      </c>
      <c r="CL153" s="27">
        <f>'COGS + SG&amp;A'!CL44+'COGS + SG&amp;A'!CL72+'COGS + SG&amp;A'!CL100+'COGS + SG&amp;A'!CL156+'COGS + SG&amp;A'!CL184</f>
        <v>0</v>
      </c>
      <c r="CM153" s="27">
        <f>'COGS + SG&amp;A'!CM44+'COGS + SG&amp;A'!CM72+'COGS + SG&amp;A'!CM100+'COGS + SG&amp;A'!CM156+'COGS + SG&amp;A'!CM184</f>
        <v>0</v>
      </c>
      <c r="CN153" s="27">
        <f>'COGS + SG&amp;A'!CN44+'COGS + SG&amp;A'!CN72+'COGS + SG&amp;A'!CN100+'COGS + SG&amp;A'!CN156+'COGS + SG&amp;A'!CN184</f>
        <v>0</v>
      </c>
      <c r="CO153" s="27">
        <f>'COGS + SG&amp;A'!CO44+'COGS + SG&amp;A'!CO72+'COGS + SG&amp;A'!CO100+'COGS + SG&amp;A'!CO156+'COGS + SG&amp;A'!CO184</f>
        <v>0</v>
      </c>
      <c r="CP153" s="27">
        <f>'COGS + SG&amp;A'!CP44+'COGS + SG&amp;A'!CP72+'COGS + SG&amp;A'!CP100+'COGS + SG&amp;A'!CP156+'COGS + SG&amp;A'!CP184</f>
        <v>0</v>
      </c>
      <c r="CQ153" s="27">
        <f>'COGS + SG&amp;A'!CQ44+'COGS + SG&amp;A'!CQ72+'COGS + SG&amp;A'!CQ100+'COGS + SG&amp;A'!CQ156+'COGS + SG&amp;A'!CQ184</f>
        <v>0</v>
      </c>
      <c r="CR153" s="27">
        <f>'COGS + SG&amp;A'!CR44+'COGS + SG&amp;A'!CR72+'COGS + SG&amp;A'!CR100+'COGS + SG&amp;A'!CR156+'COGS + SG&amp;A'!CR184</f>
        <v>0</v>
      </c>
      <c r="CS153" s="27">
        <f>'COGS + SG&amp;A'!CS44+'COGS + SG&amp;A'!CS72+'COGS + SG&amp;A'!CS100+'COGS + SG&amp;A'!CS156+'COGS + SG&amp;A'!CS184</f>
        <v>0</v>
      </c>
      <c r="CT153" s="27">
        <f>'COGS + SG&amp;A'!CT44+'COGS + SG&amp;A'!CT72+'COGS + SG&amp;A'!CT100+'COGS + SG&amp;A'!CT156+'COGS + SG&amp;A'!CT184</f>
        <v>0</v>
      </c>
      <c r="CU153" s="27">
        <f>'COGS + SG&amp;A'!CU44+'COGS + SG&amp;A'!CU72+'COGS + SG&amp;A'!CU100+'COGS + SG&amp;A'!CU156+'COGS + SG&amp;A'!CU184</f>
        <v>0</v>
      </c>
      <c r="CV153" s="27">
        <f>'COGS + SG&amp;A'!CV44+'COGS + SG&amp;A'!CV72+'COGS + SG&amp;A'!CV100+'COGS + SG&amp;A'!CV156+'COGS + SG&amp;A'!CV184</f>
        <v>0</v>
      </c>
      <c r="CW153" s="27">
        <f>'COGS + SG&amp;A'!CW44+'COGS + SG&amp;A'!CW72+'COGS + SG&amp;A'!CW100+'COGS + SG&amp;A'!CW156+'COGS + SG&amp;A'!CW184</f>
        <v>0</v>
      </c>
      <c r="CX153" s="27">
        <f>'COGS + SG&amp;A'!CX44+'COGS + SG&amp;A'!CX72+'COGS + SG&amp;A'!CX100+'COGS + SG&amp;A'!CX156+'COGS + SG&amp;A'!CX184</f>
        <v>0</v>
      </c>
      <c r="CY153" s="27">
        <f>'COGS + SG&amp;A'!CY44+'COGS + SG&amp;A'!CY72+'COGS + SG&amp;A'!CY100+'COGS + SG&amp;A'!CY156+'COGS + SG&amp;A'!CY184</f>
        <v>0</v>
      </c>
      <c r="CZ153" s="27">
        <f>'COGS + SG&amp;A'!CZ44+'COGS + SG&amp;A'!CZ72+'COGS + SG&amp;A'!CZ100+'COGS + SG&amp;A'!CZ156+'COGS + SG&amp;A'!CZ184</f>
        <v>0</v>
      </c>
      <c r="DA153" s="27">
        <f>'COGS + SG&amp;A'!DA44+'COGS + SG&amp;A'!DA72+'COGS + SG&amp;A'!DA100+'COGS + SG&amp;A'!DA156+'COGS + SG&amp;A'!DA184</f>
        <v>0</v>
      </c>
      <c r="DB153" s="27">
        <f>'COGS + SG&amp;A'!DB44+'COGS + SG&amp;A'!DB72+'COGS + SG&amp;A'!DB100+'COGS + SG&amp;A'!DB156+'COGS + SG&amp;A'!DB184</f>
        <v>0</v>
      </c>
      <c r="DC153" s="27">
        <f>'COGS + SG&amp;A'!DC44+'COGS + SG&amp;A'!DC72+'COGS + SG&amp;A'!DC100+'COGS + SG&amp;A'!DC156+'COGS + SG&amp;A'!DC184</f>
        <v>0</v>
      </c>
      <c r="DD153" s="27">
        <f>'COGS + SG&amp;A'!DD44+'COGS + SG&amp;A'!DD72+'COGS + SG&amp;A'!DD100+'COGS + SG&amp;A'!DD156+'COGS + SG&amp;A'!DD184</f>
        <v>0</v>
      </c>
      <c r="DE153" s="27">
        <f>'COGS + SG&amp;A'!DE44+'COGS + SG&amp;A'!DE72+'COGS + SG&amp;A'!DE100+'COGS + SG&amp;A'!DE156+'COGS + SG&amp;A'!DE184</f>
        <v>0</v>
      </c>
      <c r="DF153" s="27">
        <f>'COGS + SG&amp;A'!DF44+'COGS + SG&amp;A'!DF72+'COGS + SG&amp;A'!DF100+'COGS + SG&amp;A'!DF156+'COGS + SG&amp;A'!DF184</f>
        <v>0</v>
      </c>
      <c r="DG153" s="27">
        <f>'COGS + SG&amp;A'!DG44+'COGS + SG&amp;A'!DG72+'COGS + SG&amp;A'!DG100+'COGS + SG&amp;A'!DG156+'COGS + SG&amp;A'!DG184</f>
        <v>0</v>
      </c>
      <c r="DH153" s="27">
        <f>'COGS + SG&amp;A'!DH44+'COGS + SG&amp;A'!DH72+'COGS + SG&amp;A'!DH100+'COGS + SG&amp;A'!DH156+'COGS + SG&amp;A'!DH184</f>
        <v>0</v>
      </c>
      <c r="DI153" s="27">
        <f>'COGS + SG&amp;A'!DI44+'COGS + SG&amp;A'!DI72+'COGS + SG&amp;A'!DI100+'COGS + SG&amp;A'!DI156+'COGS + SG&amp;A'!DI184</f>
        <v>0</v>
      </c>
      <c r="DJ153" s="27">
        <f>'COGS + SG&amp;A'!DJ44+'COGS + SG&amp;A'!DJ72+'COGS + SG&amp;A'!DJ100+'COGS + SG&amp;A'!DJ156+'COGS + SG&amp;A'!DJ184</f>
        <v>0</v>
      </c>
      <c r="DK153" s="27">
        <f>'COGS + SG&amp;A'!DK44+'COGS + SG&amp;A'!DK72+'COGS + SG&amp;A'!DK100+'COGS + SG&amp;A'!DK156+'COGS + SG&amp;A'!DK184</f>
        <v>0</v>
      </c>
      <c r="DL153" s="27">
        <f>'COGS + SG&amp;A'!DL44+'COGS + SG&amp;A'!DL72+'COGS + SG&amp;A'!DL100+'COGS + SG&amp;A'!DL156+'COGS + SG&amp;A'!DL184</f>
        <v>0</v>
      </c>
      <c r="DM153" s="27">
        <f>'COGS + SG&amp;A'!DM44+'COGS + SG&amp;A'!DM72+'COGS + SG&amp;A'!DM100+'COGS + SG&amp;A'!DM156+'COGS + SG&amp;A'!DM184</f>
        <v>0</v>
      </c>
      <c r="DN153" s="27">
        <f>'COGS + SG&amp;A'!DN44+'COGS + SG&amp;A'!DN72+'COGS + SG&amp;A'!DN100+'COGS + SG&amp;A'!DN156+'COGS + SG&amp;A'!DN184</f>
        <v>0</v>
      </c>
      <c r="DO153" s="27">
        <f>'COGS + SG&amp;A'!DO44+'COGS + SG&amp;A'!DO72+'COGS + SG&amp;A'!DO100+'COGS + SG&amp;A'!DO156+'COGS + SG&amp;A'!DO184</f>
        <v>0</v>
      </c>
      <c r="DP153" s="27">
        <f>'COGS + SG&amp;A'!DP44+'COGS + SG&amp;A'!DP72+'COGS + SG&amp;A'!DP100+'COGS + SG&amp;A'!DP156+'COGS + SG&amp;A'!DP184</f>
        <v>0</v>
      </c>
      <c r="DQ153" s="27">
        <f>'COGS + SG&amp;A'!DQ44+'COGS + SG&amp;A'!DQ72+'COGS + SG&amp;A'!DQ100+'COGS + SG&amp;A'!DQ156+'COGS + SG&amp;A'!DQ184</f>
        <v>0</v>
      </c>
      <c r="DR153" s="27">
        <f>'COGS + SG&amp;A'!DR44+'COGS + SG&amp;A'!DR72+'COGS + SG&amp;A'!DR100+'COGS + SG&amp;A'!DR156+'COGS + SG&amp;A'!DR184</f>
        <v>0</v>
      </c>
      <c r="DS153" s="27">
        <f>'COGS + SG&amp;A'!DS44+'COGS + SG&amp;A'!DS72+'COGS + SG&amp;A'!DS100+'COGS + SG&amp;A'!DS156+'COGS + SG&amp;A'!DS184</f>
        <v>0</v>
      </c>
      <c r="DT153" s="27">
        <f>'COGS + SG&amp;A'!DT44+'COGS + SG&amp;A'!DT72+'COGS + SG&amp;A'!DT100+'COGS + SG&amp;A'!DT156+'COGS + SG&amp;A'!DT184</f>
        <v>0</v>
      </c>
      <c r="DU153" s="27">
        <f>'COGS + SG&amp;A'!DU44+'COGS + SG&amp;A'!DU72+'COGS + SG&amp;A'!DU100+'COGS + SG&amp;A'!DU156+'COGS + SG&amp;A'!DU184</f>
        <v>0</v>
      </c>
      <c r="DV153" s="27">
        <f>'COGS + SG&amp;A'!DV44+'COGS + SG&amp;A'!DV72+'COGS + SG&amp;A'!DV100+'COGS + SG&amp;A'!DV156+'COGS + SG&amp;A'!DV184</f>
        <v>0</v>
      </c>
      <c r="DW153" s="27">
        <f>'COGS + SG&amp;A'!DW44+'COGS + SG&amp;A'!DW72+'COGS + SG&amp;A'!DW100+'COGS + SG&amp;A'!DW156+'COGS + SG&amp;A'!DW184</f>
        <v>0</v>
      </c>
      <c r="DX153" s="27">
        <f>'COGS + SG&amp;A'!DX44+'COGS + SG&amp;A'!DX72+'COGS + SG&amp;A'!DX100+'COGS + SG&amp;A'!DX156+'COGS + SG&amp;A'!DX184</f>
        <v>13.228548510000001</v>
      </c>
      <c r="DY153" s="27">
        <f>'COGS + SG&amp;A'!DY44+'COGS + SG&amp;A'!DY72+'COGS + SG&amp;A'!DY100+'COGS + SG&amp;A'!DY156+'COGS + SG&amp;A'!DY184</f>
        <v>33.005460320000005</v>
      </c>
      <c r="DZ153" s="27">
        <f>'COGS + SG&amp;A'!DZ44+'COGS + SG&amp;A'!DZ72+'COGS + SG&amp;A'!DZ100+'COGS + SG&amp;A'!DZ156+'COGS + SG&amp;A'!DZ184</f>
        <v>42.364429790000003</v>
      </c>
      <c r="EA153" s="27">
        <f>'COGS + SG&amp;A'!EA44+'COGS + SG&amp;A'!EA72+'COGS + SG&amp;A'!EA100+'COGS + SG&amp;A'!EA156+'COGS + SG&amp;A'!EA184</f>
        <v>88.598438619999996</v>
      </c>
      <c r="EB153" s="27">
        <f>'COGS + SG&amp;A'!EB44+'COGS + SG&amp;A'!EB72+'COGS + SG&amp;A'!EB100+'COGS + SG&amp;A'!EB156+'COGS + SG&amp;A'!EB184</f>
        <v>38.146018209999994</v>
      </c>
      <c r="EC153" s="27">
        <f>'COGS + SG&amp;A'!EC44+'COGS + SG&amp;A'!EC72+'COGS + SG&amp;A'!EC100+'COGS + SG&amp;A'!EC156+'COGS + SG&amp;A'!EC184</f>
        <v>30.6895241</v>
      </c>
      <c r="ED153" s="27">
        <f>'COGS + SG&amp;A'!ED44+'COGS + SG&amp;A'!ED72+'COGS + SG&amp;A'!ED100+'COGS + SG&amp;A'!ED156+'COGS + SG&amp;A'!ED184</f>
        <v>28.016000000000005</v>
      </c>
      <c r="EE153" s="27">
        <f>'COGS + SG&amp;A'!EE44+'COGS + SG&amp;A'!EE72+'COGS + SG&amp;A'!EE100+'COGS + SG&amp;A'!EE156+'COGS + SG&amp;A'!EE184</f>
        <v>39.353346449999989</v>
      </c>
      <c r="EF153" s="27">
        <f>'COGS + SG&amp;A'!EF44+'COGS + SG&amp;A'!EF72+'COGS + SG&amp;A'!EF100+'COGS + SG&amp;A'!EF156+'COGS + SG&amp;A'!EF184</f>
        <v>136.20488875999999</v>
      </c>
      <c r="EG153" s="27">
        <f>'COGS + SG&amp;A'!EG44+'COGS + SG&amp;A'!EG72+'COGS + SG&amp;A'!EG100+'COGS + SG&amp;A'!EG156+'COGS + SG&amp;A'!EG184</f>
        <v>31.028289229999999</v>
      </c>
      <c r="EH153" s="27">
        <f>'COGS + SG&amp;A'!EH44+'COGS + SG&amp;A'!EH72+'COGS + SG&amp;A'!EH100+'COGS + SG&amp;A'!EH156+'COGS + SG&amp;A'!EH184</f>
        <v>36.564829670000002</v>
      </c>
      <c r="EI153" s="27">
        <f>'COGS + SG&amp;A'!EI44+'COGS + SG&amp;A'!EI72+'COGS + SG&amp;A'!EI100+'COGS + SG&amp;A'!EI156+'COGS + SG&amp;A'!EI184</f>
        <v>37.446453869999999</v>
      </c>
    </row>
    <row r="154" spans="1:139" ht="15" thickBot="1" x14ac:dyDescent="0.35">
      <c r="A154" s="2" t="s">
        <v>460</v>
      </c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>
        <f>'COGS + SG&amp;A'!EG45+'COGS + SG&amp;A'!EG73+'COGS + SG&amp;A'!EG101+'COGS + SG&amp;A'!EG157+'COGS + SG&amp;A'!EG185</f>
        <v>9.6681000000000007E-3</v>
      </c>
      <c r="EH154" s="28">
        <f>'COGS + SG&amp;A'!EH45+'COGS + SG&amp;A'!EH73+'COGS + SG&amp;A'!EH101+'COGS + SG&amp;A'!EH157+'COGS + SG&amp;A'!EH185</f>
        <v>17.564174919999999</v>
      </c>
      <c r="EI154" s="28">
        <f>'COGS + SG&amp;A'!EI45+'COGS + SG&amp;A'!EI73+'COGS + SG&amp;A'!EI101+'COGS + SG&amp;A'!EI157+'COGS + SG&amp;A'!EI185</f>
        <v>20.988200639999999</v>
      </c>
    </row>
    <row r="155" spans="1:139" ht="15" thickTop="1" x14ac:dyDescent="0.3">
      <c r="A155" s="1" t="s">
        <v>304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27">
        <f>'COGS + SG&amp;A'!BJ46+'COGS + SG&amp;A'!BJ74+'COGS + SG&amp;A'!BJ102+'COGS + SG&amp;A'!BJ158+'COGS + SG&amp;A'!BJ186</f>
        <v>0</v>
      </c>
      <c r="BK155" s="27">
        <f>'COGS + SG&amp;A'!BK46+'COGS + SG&amp;A'!BK74+'COGS + SG&amp;A'!BK102+'COGS + SG&amp;A'!BK158+'COGS + SG&amp;A'!BK186</f>
        <v>0</v>
      </c>
      <c r="BL155" s="27">
        <f>'COGS + SG&amp;A'!BL46+'COGS + SG&amp;A'!BL74+'COGS + SG&amp;A'!BL102+'COGS + SG&amp;A'!BL158+'COGS + SG&amp;A'!BL186</f>
        <v>0</v>
      </c>
      <c r="BM155" s="27">
        <f>'COGS + SG&amp;A'!BM46+'COGS + SG&amp;A'!BM74+'COGS + SG&amp;A'!BM102+'COGS + SG&amp;A'!BM158+'COGS + SG&amp;A'!BM186</f>
        <v>0</v>
      </c>
      <c r="BN155" s="27">
        <f>'COGS + SG&amp;A'!BN46+'COGS + SG&amp;A'!BN74+'COGS + SG&amp;A'!BN102+'COGS + SG&amp;A'!BN158+'COGS + SG&amp;A'!BN186</f>
        <v>0</v>
      </c>
      <c r="BO155" s="27">
        <f>'COGS + SG&amp;A'!BO46+'COGS + SG&amp;A'!BO74+'COGS + SG&amp;A'!BO102+'COGS + SG&amp;A'!BO158+'COGS + SG&amp;A'!BO186</f>
        <v>0</v>
      </c>
      <c r="BP155" s="27">
        <f>'COGS + SG&amp;A'!BP46+'COGS + SG&amp;A'!BP74+'COGS + SG&amp;A'!BP102+'COGS + SG&amp;A'!BP158+'COGS + SG&amp;A'!BP186</f>
        <v>0</v>
      </c>
      <c r="BQ155" s="27">
        <f>'COGS + SG&amp;A'!BQ46+'COGS + SG&amp;A'!BQ74+'COGS + SG&amp;A'!BQ102+'COGS + SG&amp;A'!BQ158+'COGS + SG&amp;A'!BQ186</f>
        <v>0</v>
      </c>
      <c r="BR155" s="27">
        <f>'COGS + SG&amp;A'!BR46+'COGS + SG&amp;A'!BR74+'COGS + SG&amp;A'!BR102+'COGS + SG&amp;A'!BR158+'COGS + SG&amp;A'!BR186</f>
        <v>0</v>
      </c>
      <c r="BS155" s="27">
        <f>'COGS + SG&amp;A'!BS46+'COGS + SG&amp;A'!BS74+'COGS + SG&amp;A'!BS102+'COGS + SG&amp;A'!BS158+'COGS + SG&amp;A'!BS186</f>
        <v>0</v>
      </c>
      <c r="BT155" s="27">
        <f>'COGS + SG&amp;A'!BT46+'COGS + SG&amp;A'!BT74+'COGS + SG&amp;A'!BT102+'COGS + SG&amp;A'!BT158+'COGS + SG&amp;A'!BT186</f>
        <v>0</v>
      </c>
      <c r="BU155" s="27">
        <f>'COGS + SG&amp;A'!BU46+'COGS + SG&amp;A'!BU74+'COGS + SG&amp;A'!BU102+'COGS + SG&amp;A'!BU158+'COGS + SG&amp;A'!BU186</f>
        <v>33.299973630000011</v>
      </c>
      <c r="BV155" s="27">
        <f>'COGS + SG&amp;A'!BV46+'COGS + SG&amp;A'!BV74+'COGS + SG&amp;A'!BV102+'COGS + SG&amp;A'!BV158+'COGS + SG&amp;A'!BV186</f>
        <v>89.989059240000003</v>
      </c>
      <c r="BW155" s="27">
        <f>'COGS + SG&amp;A'!BW46+'COGS + SG&amp;A'!BW74+'COGS + SG&amp;A'!BW102+'COGS + SG&amp;A'!BW158+'COGS + SG&amp;A'!BW186</f>
        <v>157.36059307000002</v>
      </c>
      <c r="BX155" s="27">
        <f>'COGS + SG&amp;A'!BX46+'COGS + SG&amp;A'!BX74+'COGS + SG&amp;A'!BX102+'COGS + SG&amp;A'!BX158+'COGS + SG&amp;A'!BX186</f>
        <v>280.64962594000002</v>
      </c>
      <c r="BY155" s="27">
        <f>'COGS + SG&amp;A'!BY46+'COGS + SG&amp;A'!BY74+'COGS + SG&amp;A'!BY102+'COGS + SG&amp;A'!BY158+'COGS + SG&amp;A'!BY186</f>
        <v>89.516116839999995</v>
      </c>
      <c r="BZ155" s="27">
        <f>'COGS + SG&amp;A'!BZ46+'COGS + SG&amp;A'!BZ74+'COGS + SG&amp;A'!BZ102+'COGS + SG&amp;A'!BZ158+'COGS + SG&amp;A'!BZ186</f>
        <v>93.038922150000005</v>
      </c>
      <c r="CA155" s="27">
        <f>'COGS + SG&amp;A'!CA46+'COGS + SG&amp;A'!CA74+'COGS + SG&amp;A'!CA102+'COGS + SG&amp;A'!CA158+'COGS + SG&amp;A'!CA186</f>
        <v>109.84593425999996</v>
      </c>
      <c r="CB155" s="27">
        <f>'COGS + SG&amp;A'!CB46+'COGS + SG&amp;A'!CB74+'COGS + SG&amp;A'!CB102+'COGS + SG&amp;A'!CB158+'COGS + SG&amp;A'!CB186</f>
        <v>140.91468030000001</v>
      </c>
      <c r="CC155" s="27">
        <f>'COGS + SG&amp;A'!CC46+'COGS + SG&amp;A'!CC74+'COGS + SG&amp;A'!CC102+'COGS + SG&amp;A'!CC158+'COGS + SG&amp;A'!CC186</f>
        <v>433.31565354999998</v>
      </c>
      <c r="CD155" s="27">
        <f>'COGS + SG&amp;A'!CD46+'COGS + SG&amp;A'!CD74+'COGS + SG&amp;A'!CD102+'COGS + SG&amp;A'!CD158+'COGS + SG&amp;A'!CD186</f>
        <v>82.723552370000007</v>
      </c>
      <c r="CE155" s="27">
        <f>'COGS + SG&amp;A'!CE46+'COGS + SG&amp;A'!CE74+'COGS + SG&amp;A'!CE102+'COGS + SG&amp;A'!CE158+'COGS + SG&amp;A'!CE186</f>
        <v>92.453322039999989</v>
      </c>
      <c r="CF155" s="27">
        <f>'COGS + SG&amp;A'!CF46+'COGS + SG&amp;A'!CF74+'COGS + SG&amp;A'!CF102+'COGS + SG&amp;A'!CF158+'COGS + SG&amp;A'!CF186</f>
        <v>91.273462340000023</v>
      </c>
      <c r="CG155" s="27">
        <f>'COGS + SG&amp;A'!CG46+'COGS + SG&amp;A'!CG74+'COGS + SG&amp;A'!CG102+'COGS + SG&amp;A'!CG158+'COGS + SG&amp;A'!CG186</f>
        <v>85.101120049999977</v>
      </c>
      <c r="CH155" s="27">
        <f>'COGS + SG&amp;A'!CH46+'COGS + SG&amp;A'!CH74+'COGS + SG&amp;A'!CH102+'COGS + SG&amp;A'!CH158+'COGS + SG&amp;A'!CH186</f>
        <v>351.55145679999993</v>
      </c>
      <c r="CI155" s="27">
        <f>'COGS + SG&amp;A'!CI46+'COGS + SG&amp;A'!CI74+'COGS + SG&amp;A'!CI102+'COGS + SG&amp;A'!CI158+'COGS + SG&amp;A'!CI186</f>
        <v>85.24349187</v>
      </c>
      <c r="CJ155" s="27">
        <f>'COGS + SG&amp;A'!CJ46+'COGS + SG&amp;A'!CJ74+'COGS + SG&amp;A'!CJ102+'COGS + SG&amp;A'!CJ158+'COGS + SG&amp;A'!CJ186</f>
        <v>87.299588290000017</v>
      </c>
      <c r="CK155" s="27">
        <f>'COGS + SG&amp;A'!CK46+'COGS + SG&amp;A'!CK74+'COGS + SG&amp;A'!CK102+'COGS + SG&amp;A'!CK158+'COGS + SG&amp;A'!CK186</f>
        <v>79.279664999999994</v>
      </c>
      <c r="CL155" s="27">
        <f>'COGS + SG&amp;A'!CL46+'COGS + SG&amp;A'!CL74+'COGS + SG&amp;A'!CL102+'COGS + SG&amp;A'!CL158+'COGS + SG&amp;A'!CL186</f>
        <v>66.928084279999979</v>
      </c>
      <c r="CM155" s="27">
        <f>'COGS + SG&amp;A'!CM46+'COGS + SG&amp;A'!CM74+'COGS + SG&amp;A'!CM102+'COGS + SG&amp;A'!CM158+'COGS + SG&amp;A'!CM186</f>
        <v>318.75082944000002</v>
      </c>
      <c r="CN155" s="27">
        <f>'COGS + SG&amp;A'!CN46+'COGS + SG&amp;A'!CN74+'COGS + SG&amp;A'!CN102+'COGS + SG&amp;A'!CN158+'COGS + SG&amp;A'!CN186</f>
        <v>60.666765179999999</v>
      </c>
      <c r="CO155" s="27">
        <f>'COGS + SG&amp;A'!CO46+'COGS + SG&amp;A'!CO74+'COGS + SG&amp;A'!CO102+'COGS + SG&amp;A'!CO158+'COGS + SG&amp;A'!CO186</f>
        <v>74.918434629999993</v>
      </c>
      <c r="CP155" s="27">
        <f>'COGS + SG&amp;A'!CP46+'COGS + SG&amp;A'!CP74+'COGS + SG&amp;A'!CP102+'COGS + SG&amp;A'!CP158+'COGS + SG&amp;A'!CP186</f>
        <v>74.863511840000001</v>
      </c>
      <c r="CQ155" s="27">
        <f>'COGS + SG&amp;A'!CQ46+'COGS + SG&amp;A'!CQ74+'COGS + SG&amp;A'!CQ102+'COGS + SG&amp;A'!CQ158+'COGS + SG&amp;A'!CQ186</f>
        <v>81.350288350000014</v>
      </c>
      <c r="CR155" s="27">
        <f>'COGS + SG&amp;A'!CR46+'COGS + SG&amp;A'!CR74+'COGS + SG&amp;A'!CR102+'COGS + SG&amp;A'!CR158+'COGS + SG&amp;A'!CR186</f>
        <v>291.79900000000004</v>
      </c>
      <c r="CS155" s="27">
        <f>'COGS + SG&amp;A'!CS46+'COGS + SG&amp;A'!CS74+'COGS + SG&amp;A'!CS102+'COGS + SG&amp;A'!CS158+'COGS + SG&amp;A'!CS186</f>
        <v>29.918743979999999</v>
      </c>
      <c r="CT155" s="27">
        <f>'COGS + SG&amp;A'!CT46+'COGS + SG&amp;A'!CT74+'COGS + SG&amp;A'!CT102+'COGS + SG&amp;A'!CT158+'COGS + SG&amp;A'!CT186</f>
        <v>31.78325602000001</v>
      </c>
      <c r="CU155" s="27">
        <f>'COGS + SG&amp;A'!CU46+'COGS + SG&amp;A'!CU74+'COGS + SG&amp;A'!CU102+'COGS + SG&amp;A'!CU158+'COGS + SG&amp;A'!CU186</f>
        <v>31.093</v>
      </c>
      <c r="CV155" s="27">
        <f>'COGS + SG&amp;A'!CV46+'COGS + SG&amp;A'!CV74+'COGS + SG&amp;A'!CV102+'COGS + SG&amp;A'!CV158+'COGS + SG&amp;A'!CV186</f>
        <v>36.927999999999997</v>
      </c>
      <c r="CW155" s="27">
        <f>'COGS + SG&amp;A'!CW46+'COGS + SG&amp;A'!CW74+'COGS + SG&amp;A'!CW102+'COGS + SG&amp;A'!CW158+'COGS + SG&amp;A'!CW186</f>
        <v>129.72300000000001</v>
      </c>
      <c r="CX155" s="27">
        <f>'COGS + SG&amp;A'!CX46+'COGS + SG&amp;A'!CX74+'COGS + SG&amp;A'!CX102+'COGS + SG&amp;A'!CX158+'COGS + SG&amp;A'!CX186</f>
        <v>30.13</v>
      </c>
      <c r="CY155" s="27">
        <f>'COGS + SG&amp;A'!CY46+'COGS + SG&amp;A'!CY74+'COGS + SG&amp;A'!CY102+'COGS + SG&amp;A'!CY158+'COGS + SG&amp;A'!CY186</f>
        <v>34.822000000000003</v>
      </c>
      <c r="CZ155" s="27">
        <f>'COGS + SG&amp;A'!CZ46+'COGS + SG&amp;A'!CZ74+'COGS + SG&amp;A'!CZ102+'COGS + SG&amp;A'!CZ158+'COGS + SG&amp;A'!CZ186</f>
        <v>32.954099999999997</v>
      </c>
      <c r="DA155" s="27">
        <f>'COGS + SG&amp;A'!DA46+'COGS + SG&amp;A'!DA74+'COGS + SG&amp;A'!DA102+'COGS + SG&amp;A'!DA158+'COGS + SG&amp;A'!DA186</f>
        <v>34.803000000000004</v>
      </c>
      <c r="DB155" s="27">
        <f>'COGS + SG&amp;A'!DB46+'COGS + SG&amp;A'!DB74+'COGS + SG&amp;A'!DB102+'COGS + SG&amp;A'!DB158+'COGS + SG&amp;A'!DB186</f>
        <v>132.70909999999998</v>
      </c>
      <c r="DC155" s="27">
        <f>'COGS + SG&amp;A'!DC46+'COGS + SG&amp;A'!DC74+'COGS + SG&amp;A'!DC102+'COGS + SG&amp;A'!DC158+'COGS + SG&amp;A'!DC186</f>
        <v>35.971000000000004</v>
      </c>
      <c r="DD155" s="27">
        <f>'COGS + SG&amp;A'!DD46+'COGS + SG&amp;A'!DD74+'COGS + SG&amp;A'!DD102+'COGS + SG&amp;A'!DD158+'COGS + SG&amp;A'!DD186</f>
        <v>42.160000000000004</v>
      </c>
      <c r="DE155" s="27">
        <f>'COGS + SG&amp;A'!DE46+'COGS + SG&amp;A'!DE74+'COGS + SG&amp;A'!DE102+'COGS + SG&amp;A'!DE158+'COGS + SG&amp;A'!DE186</f>
        <v>39.501999999999995</v>
      </c>
      <c r="DF155" s="27">
        <f>'COGS + SG&amp;A'!DF46+'COGS + SG&amp;A'!DF74+'COGS + SG&amp;A'!DF102+'COGS + SG&amp;A'!DF158+'COGS + SG&amp;A'!DF186</f>
        <v>50.581000000000003</v>
      </c>
      <c r="DG155" s="27">
        <f>'COGS + SG&amp;A'!DG46+'COGS + SG&amp;A'!DG74+'COGS + SG&amp;A'!DG102+'COGS + SG&amp;A'!DG158+'COGS + SG&amp;A'!DG186</f>
        <v>168.214</v>
      </c>
      <c r="DH155" s="27">
        <f>'COGS + SG&amp;A'!DH46+'COGS + SG&amp;A'!DH74+'COGS + SG&amp;A'!DH102+'COGS + SG&amp;A'!DH158+'COGS + SG&amp;A'!DH186</f>
        <v>36.832000000000001</v>
      </c>
      <c r="DI155" s="27">
        <f>'COGS + SG&amp;A'!DI46+'COGS + SG&amp;A'!DI74+'COGS + SG&amp;A'!DI102+'COGS + SG&amp;A'!DI158+'COGS + SG&amp;A'!DI186</f>
        <v>34.997999999999998</v>
      </c>
      <c r="DJ155" s="27">
        <f>'COGS + SG&amp;A'!DJ46+'COGS + SG&amp;A'!DJ74+'COGS + SG&amp;A'!DJ102+'COGS + SG&amp;A'!DJ158+'COGS + SG&amp;A'!DJ186</f>
        <v>37.463000000000001</v>
      </c>
      <c r="DK155" s="27">
        <f>'COGS + SG&amp;A'!DK46+'COGS + SG&amp;A'!DK74+'COGS + SG&amp;A'!DK102+'COGS + SG&amp;A'!DK158+'COGS + SG&amp;A'!DK186</f>
        <v>44.1</v>
      </c>
      <c r="DL155" s="27">
        <f>'COGS + SG&amp;A'!DL46+'COGS + SG&amp;A'!DL74+'COGS + SG&amp;A'!DL102+'COGS + SG&amp;A'!DL158+'COGS + SG&amp;A'!DL186</f>
        <v>153.393</v>
      </c>
      <c r="DM155" s="27">
        <f>'COGS + SG&amp;A'!DM46+'COGS + SG&amp;A'!DM74+'COGS + SG&amp;A'!DM102+'COGS + SG&amp;A'!DM158+'COGS + SG&amp;A'!DM186</f>
        <v>46.022000000000006</v>
      </c>
      <c r="DN155" s="27">
        <f>'COGS + SG&amp;A'!DN46+'COGS + SG&amp;A'!DN74+'COGS + SG&amp;A'!DN102+'COGS + SG&amp;A'!DN158+'COGS + SG&amp;A'!DN186</f>
        <v>46.902000000000001</v>
      </c>
      <c r="DO155" s="27">
        <f>'COGS + SG&amp;A'!DO46+'COGS + SG&amp;A'!DO74+'COGS + SG&amp;A'!DO102+'COGS + SG&amp;A'!DO158+'COGS + SG&amp;A'!DO186</f>
        <v>51.106000000000002</v>
      </c>
      <c r="DP155" s="27">
        <f>'COGS + SG&amp;A'!DP46+'COGS + SG&amp;A'!DP74+'COGS + SG&amp;A'!DP102+'COGS + SG&amp;A'!DP158+'COGS + SG&amp;A'!DP186</f>
        <v>49.405000000000008</v>
      </c>
      <c r="DQ155" s="27">
        <f>'COGS + SG&amp;A'!DQ46+'COGS + SG&amp;A'!DQ74+'COGS + SG&amp;A'!DQ102+'COGS + SG&amp;A'!DQ158+'COGS + SG&amp;A'!DQ186</f>
        <v>193.43500000000003</v>
      </c>
      <c r="DR155" s="27">
        <f>'COGS + SG&amp;A'!DR46+'COGS + SG&amp;A'!DR74+'COGS + SG&amp;A'!DR102+'COGS + SG&amp;A'!DR158+'COGS + SG&amp;A'!DR186</f>
        <v>52.042000000000002</v>
      </c>
      <c r="DS155" s="27">
        <f>'COGS + SG&amp;A'!DS46+'COGS + SG&amp;A'!DS74+'COGS + SG&amp;A'!DS102+'COGS + SG&amp;A'!DS158+'COGS + SG&amp;A'!DS186</f>
        <v>59.815000000000005</v>
      </c>
      <c r="DT155" s="27">
        <f>'COGS + SG&amp;A'!DT46+'COGS + SG&amp;A'!DT74+'COGS + SG&amp;A'!DT102+'COGS + SG&amp;A'!DT158+'COGS + SG&amp;A'!DT186</f>
        <v>66.923000000000002</v>
      </c>
      <c r="DU155" s="27">
        <f>'COGS + SG&amp;A'!DU46+'COGS + SG&amp;A'!DU74+'COGS + SG&amp;A'!DU102+'COGS + SG&amp;A'!DU158+'COGS + SG&amp;A'!DU186</f>
        <v>76.25</v>
      </c>
      <c r="DV155" s="27">
        <f>'COGS + SG&amp;A'!DV46+'COGS + SG&amp;A'!DV74+'COGS + SG&amp;A'!DV102+'COGS + SG&amp;A'!DV158+'COGS + SG&amp;A'!DV186</f>
        <v>255.03</v>
      </c>
      <c r="DW155" s="27">
        <f>'COGS + SG&amp;A'!DW46+'COGS + SG&amp;A'!DW74+'COGS + SG&amp;A'!DW102+'COGS + SG&amp;A'!DW158+'COGS + SG&amp;A'!DW186</f>
        <v>64.594999999999999</v>
      </c>
      <c r="DX155" s="27">
        <f>'COGS + SG&amp;A'!DX46+'COGS + SG&amp;A'!DX74+'COGS + SG&amp;A'!DX102+'COGS + SG&amp;A'!DX158+'COGS + SG&amp;A'!DX186</f>
        <v>61.477151550000002</v>
      </c>
      <c r="DY155" s="27">
        <f>'COGS + SG&amp;A'!DY46+'COGS + SG&amp;A'!DY74+'COGS + SG&amp;A'!DY102+'COGS + SG&amp;A'!DY158+'COGS + SG&amp;A'!DY186</f>
        <v>67.036532780000002</v>
      </c>
      <c r="DZ155" s="27">
        <f>'COGS + SG&amp;A'!DZ46+'COGS + SG&amp;A'!DZ74+'COGS + SG&amp;A'!DZ102+'COGS + SG&amp;A'!DZ158+'COGS + SG&amp;A'!DZ186</f>
        <v>60.830304320000018</v>
      </c>
      <c r="EA155" s="27">
        <f>'COGS + SG&amp;A'!EA46+'COGS + SG&amp;A'!EA74+'COGS + SG&amp;A'!EA102+'COGS + SG&amp;A'!EA158+'COGS + SG&amp;A'!EA186</f>
        <v>253.93898865000003</v>
      </c>
      <c r="EB155" s="27">
        <f>'COGS + SG&amp;A'!EB46+'COGS + SG&amp;A'!EB74+'COGS + SG&amp;A'!EB102+'COGS + SG&amp;A'!EB158+'COGS + SG&amp;A'!EB186</f>
        <v>62.197036079999997</v>
      </c>
      <c r="EC155" s="27">
        <f>'COGS + SG&amp;A'!EC46+'COGS + SG&amp;A'!EC74+'COGS + SG&amp;A'!EC102+'COGS + SG&amp;A'!EC158+'COGS + SG&amp;A'!EC186</f>
        <v>65.212772999999999</v>
      </c>
      <c r="ED155" s="27">
        <f>'COGS + SG&amp;A'!ED46+'COGS + SG&amp;A'!ED74+'COGS + SG&amp;A'!ED102+'COGS + SG&amp;A'!ED158+'COGS + SG&amp;A'!ED186</f>
        <v>65.86099999999999</v>
      </c>
      <c r="EE155" s="27">
        <f>'COGS + SG&amp;A'!EE46+'COGS + SG&amp;A'!EE74+'COGS + SG&amp;A'!EE102+'COGS + SG&amp;A'!EE158+'COGS + SG&amp;A'!EE186</f>
        <v>79.524425479999991</v>
      </c>
      <c r="EF155" s="27">
        <f>'COGS + SG&amp;A'!EF46+'COGS + SG&amp;A'!EF74+'COGS + SG&amp;A'!EF102+'COGS + SG&amp;A'!EF158+'COGS + SG&amp;A'!EF186</f>
        <v>272.79523455999998</v>
      </c>
      <c r="EG155" s="27">
        <f>'COGS + SG&amp;A'!EG46+'COGS + SG&amp;A'!EG74+'COGS + SG&amp;A'!EG102+'COGS + SG&amp;A'!EG158+'COGS + SG&amp;A'!EG186</f>
        <v>72.223237699999999</v>
      </c>
      <c r="EH155" s="27">
        <f>'COGS + SG&amp;A'!EH46+'COGS + SG&amp;A'!EH74+'COGS + SG&amp;A'!EH102+'COGS + SG&amp;A'!EH158+'COGS + SG&amp;A'!EH186</f>
        <v>70.450957160000002</v>
      </c>
      <c r="EI155" s="27">
        <f>'COGS + SG&amp;A'!EI46+'COGS + SG&amp;A'!EI74+'COGS + SG&amp;A'!EI102+'COGS + SG&amp;A'!EI158+'COGS + SG&amp;A'!EI186</f>
        <v>72.802941810000007</v>
      </c>
    </row>
    <row r="156" spans="1:139" ht="15" thickBot="1" x14ac:dyDescent="0.35">
      <c r="A156" s="2" t="s">
        <v>305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28">
        <f>'COGS + SG&amp;A'!BJ47+'COGS + SG&amp;A'!BJ75+'COGS + SG&amp;A'!BJ103+'COGS + SG&amp;A'!BJ159+'COGS + SG&amp;A'!BJ187</f>
        <v>0</v>
      </c>
      <c r="BK156" s="28">
        <f>'COGS + SG&amp;A'!BK47+'COGS + SG&amp;A'!BK75+'COGS + SG&amp;A'!BK103+'COGS + SG&amp;A'!BK159+'COGS + SG&amp;A'!BK187</f>
        <v>0</v>
      </c>
      <c r="BL156" s="28">
        <f>'COGS + SG&amp;A'!BL47+'COGS + SG&amp;A'!BL75+'COGS + SG&amp;A'!BL103+'COGS + SG&amp;A'!BL159+'COGS + SG&amp;A'!BL187</f>
        <v>0</v>
      </c>
      <c r="BM156" s="28">
        <f>'COGS + SG&amp;A'!BM47+'COGS + SG&amp;A'!BM75+'COGS + SG&amp;A'!BM103+'COGS + SG&amp;A'!BM159+'COGS + SG&amp;A'!BM187</f>
        <v>0</v>
      </c>
      <c r="BN156" s="28">
        <f>'COGS + SG&amp;A'!BN47+'COGS + SG&amp;A'!BN75+'COGS + SG&amp;A'!BN103+'COGS + SG&amp;A'!BN159+'COGS + SG&amp;A'!BN187</f>
        <v>0</v>
      </c>
      <c r="BO156" s="28">
        <f>'COGS + SG&amp;A'!BO47+'COGS + SG&amp;A'!BO75+'COGS + SG&amp;A'!BO103+'COGS + SG&amp;A'!BO159+'COGS + SG&amp;A'!BO187</f>
        <v>0</v>
      </c>
      <c r="BP156" s="28">
        <f>'COGS + SG&amp;A'!BP47+'COGS + SG&amp;A'!BP75+'COGS + SG&amp;A'!BP103+'COGS + SG&amp;A'!BP159+'COGS + SG&amp;A'!BP187</f>
        <v>0</v>
      </c>
      <c r="BQ156" s="28">
        <f>'COGS + SG&amp;A'!BQ47+'COGS + SG&amp;A'!BQ75+'COGS + SG&amp;A'!BQ103+'COGS + SG&amp;A'!BQ159+'COGS + SG&amp;A'!BQ187</f>
        <v>0</v>
      </c>
      <c r="BR156" s="28">
        <f>'COGS + SG&amp;A'!BR47+'COGS + SG&amp;A'!BR75+'COGS + SG&amp;A'!BR103+'COGS + SG&amp;A'!BR159+'COGS + SG&amp;A'!BR187</f>
        <v>0</v>
      </c>
      <c r="BS156" s="28">
        <f>'COGS + SG&amp;A'!BS47+'COGS + SG&amp;A'!BS75+'COGS + SG&amp;A'!BS103+'COGS + SG&amp;A'!BS159+'COGS + SG&amp;A'!BS187</f>
        <v>0</v>
      </c>
      <c r="BT156" s="28">
        <f>'COGS + SG&amp;A'!BT47+'COGS + SG&amp;A'!BT75+'COGS + SG&amp;A'!BT103+'COGS + SG&amp;A'!BT159+'COGS + SG&amp;A'!BT187</f>
        <v>0</v>
      </c>
      <c r="BU156" s="28">
        <f>'COGS + SG&amp;A'!BU47+'COGS + SG&amp;A'!BU75+'COGS + SG&amp;A'!BU103+'COGS + SG&amp;A'!BU159+'COGS + SG&amp;A'!BU187</f>
        <v>0</v>
      </c>
      <c r="BV156" s="28">
        <f>'COGS + SG&amp;A'!BV47+'COGS + SG&amp;A'!BV75+'COGS + SG&amp;A'!BV103+'COGS + SG&amp;A'!BV159+'COGS + SG&amp;A'!BV187</f>
        <v>0</v>
      </c>
      <c r="BW156" s="28">
        <f>'COGS + SG&amp;A'!BW47+'COGS + SG&amp;A'!BW75+'COGS + SG&amp;A'!BW103+'COGS + SG&amp;A'!BW159+'COGS + SG&amp;A'!BW187</f>
        <v>0</v>
      </c>
      <c r="BX156" s="28">
        <f>'COGS + SG&amp;A'!BX47+'COGS + SG&amp;A'!BX75+'COGS + SG&amp;A'!BX103+'COGS + SG&amp;A'!BX159+'COGS + SG&amp;A'!BX187</f>
        <v>0</v>
      </c>
      <c r="BY156" s="28">
        <f>'COGS + SG&amp;A'!BY47+'COGS + SG&amp;A'!BY75+'COGS + SG&amp;A'!BY103+'COGS + SG&amp;A'!BY159+'COGS + SG&amp;A'!BY187</f>
        <v>0</v>
      </c>
      <c r="BZ156" s="28">
        <f>'COGS + SG&amp;A'!BZ47+'COGS + SG&amp;A'!BZ75+'COGS + SG&amp;A'!BZ103+'COGS + SG&amp;A'!BZ159+'COGS + SG&amp;A'!BZ187</f>
        <v>0</v>
      </c>
      <c r="CA156" s="28">
        <f>'COGS + SG&amp;A'!CA47+'COGS + SG&amp;A'!CA75+'COGS + SG&amp;A'!CA103+'COGS + SG&amp;A'!CA159+'COGS + SG&amp;A'!CA187</f>
        <v>0</v>
      </c>
      <c r="CB156" s="28">
        <f>'COGS + SG&amp;A'!CB47+'COGS + SG&amp;A'!CB75+'COGS + SG&amp;A'!CB103+'COGS + SG&amp;A'!CB159+'COGS + SG&amp;A'!CB187</f>
        <v>0</v>
      </c>
      <c r="CC156" s="28">
        <f>'COGS + SG&amp;A'!CC47+'COGS + SG&amp;A'!CC75+'COGS + SG&amp;A'!CC103+'COGS + SG&amp;A'!CC159+'COGS + SG&amp;A'!CC187</f>
        <v>0</v>
      </c>
      <c r="CD156" s="28">
        <f>'COGS + SG&amp;A'!CD47+'COGS + SG&amp;A'!CD75+'COGS + SG&amp;A'!CD103+'COGS + SG&amp;A'!CD159+'COGS + SG&amp;A'!CD187</f>
        <v>0</v>
      </c>
      <c r="CE156" s="28">
        <f>'COGS + SG&amp;A'!CE47+'COGS + SG&amp;A'!CE75+'COGS + SG&amp;A'!CE103+'COGS + SG&amp;A'!CE159+'COGS + SG&amp;A'!CE187</f>
        <v>0</v>
      </c>
      <c r="CF156" s="28">
        <f>'COGS + SG&amp;A'!CF47+'COGS + SG&amp;A'!CF75+'COGS + SG&amp;A'!CF103+'COGS + SG&amp;A'!CF159+'COGS + SG&amp;A'!CF187</f>
        <v>0</v>
      </c>
      <c r="CG156" s="28">
        <f>'COGS + SG&amp;A'!CG47+'COGS + SG&amp;A'!CG75+'COGS + SG&amp;A'!CG103+'COGS + SG&amp;A'!CG159+'COGS + SG&amp;A'!CG187</f>
        <v>0</v>
      </c>
      <c r="CH156" s="28">
        <f>'COGS + SG&amp;A'!CH47+'COGS + SG&amp;A'!CH75+'COGS + SG&amp;A'!CH103+'COGS + SG&amp;A'!CH159+'COGS + SG&amp;A'!CH187</f>
        <v>0</v>
      </c>
      <c r="CI156" s="28">
        <f>'COGS + SG&amp;A'!CI47+'COGS + SG&amp;A'!CI75+'COGS + SG&amp;A'!CI103+'COGS + SG&amp;A'!CI159+'COGS + SG&amp;A'!CI187</f>
        <v>0</v>
      </c>
      <c r="CJ156" s="28">
        <f>'COGS + SG&amp;A'!CJ47+'COGS + SG&amp;A'!CJ75+'COGS + SG&amp;A'!CJ103+'COGS + SG&amp;A'!CJ159+'COGS + SG&amp;A'!CJ187</f>
        <v>0</v>
      </c>
      <c r="CK156" s="28">
        <f>'COGS + SG&amp;A'!CK47+'COGS + SG&amp;A'!CK75+'COGS + SG&amp;A'!CK103+'COGS + SG&amp;A'!CK159+'COGS + SG&amp;A'!CK187</f>
        <v>0</v>
      </c>
      <c r="CL156" s="28">
        <f>'COGS + SG&amp;A'!CL47+'COGS + SG&amp;A'!CL75+'COGS + SG&amp;A'!CL103+'COGS + SG&amp;A'!CL159+'COGS + SG&amp;A'!CL187</f>
        <v>0</v>
      </c>
      <c r="CM156" s="28">
        <f>'COGS + SG&amp;A'!CM47+'COGS + SG&amp;A'!CM75+'COGS + SG&amp;A'!CM103+'COGS + SG&amp;A'!CM159+'COGS + SG&amp;A'!CM187</f>
        <v>0</v>
      </c>
      <c r="CN156" s="28">
        <f>'COGS + SG&amp;A'!CN47+'COGS + SG&amp;A'!CN75+'COGS + SG&amp;A'!CN103+'COGS + SG&amp;A'!CN159+'COGS + SG&amp;A'!CN187</f>
        <v>0</v>
      </c>
      <c r="CO156" s="28">
        <f>'COGS + SG&amp;A'!CO47+'COGS + SG&amp;A'!CO75+'COGS + SG&amp;A'!CO103+'COGS + SG&amp;A'!CO159+'COGS + SG&amp;A'!CO187</f>
        <v>0</v>
      </c>
      <c r="CP156" s="28">
        <f>'COGS + SG&amp;A'!CP47+'COGS + SG&amp;A'!CP75+'COGS + SG&amp;A'!CP103+'COGS + SG&amp;A'!CP159+'COGS + SG&amp;A'!CP187</f>
        <v>0</v>
      </c>
      <c r="CQ156" s="28">
        <f>'COGS + SG&amp;A'!CQ47+'COGS + SG&amp;A'!CQ75+'COGS + SG&amp;A'!CQ103+'COGS + SG&amp;A'!CQ159+'COGS + SG&amp;A'!CQ187</f>
        <v>0</v>
      </c>
      <c r="CR156" s="28">
        <f>'COGS + SG&amp;A'!CR47+'COGS + SG&amp;A'!CR75+'COGS + SG&amp;A'!CR103+'COGS + SG&amp;A'!CR159+'COGS + SG&amp;A'!CR187</f>
        <v>0</v>
      </c>
      <c r="CS156" s="28">
        <f>'COGS + SG&amp;A'!CS47+'COGS + SG&amp;A'!CS75+'COGS + SG&amp;A'!CS103+'COGS + SG&amp;A'!CS159+'COGS + SG&amp;A'!CS187</f>
        <v>0</v>
      </c>
      <c r="CT156" s="28">
        <f>'COGS + SG&amp;A'!CT47+'COGS + SG&amp;A'!CT75+'COGS + SG&amp;A'!CT103+'COGS + SG&amp;A'!CT159+'COGS + SG&amp;A'!CT187</f>
        <v>0</v>
      </c>
      <c r="CU156" s="28">
        <f>'COGS + SG&amp;A'!CU47+'COGS + SG&amp;A'!CU75+'COGS + SG&amp;A'!CU103+'COGS + SG&amp;A'!CU159+'COGS + SG&amp;A'!CU187</f>
        <v>0</v>
      </c>
      <c r="CV156" s="28">
        <f>'COGS + SG&amp;A'!CV47+'COGS + SG&amp;A'!CV75+'COGS + SG&amp;A'!CV103+'COGS + SG&amp;A'!CV159+'COGS + SG&amp;A'!CV187</f>
        <v>0</v>
      </c>
      <c r="CW156" s="28">
        <f>'COGS + SG&amp;A'!CW47+'COGS + SG&amp;A'!CW75+'COGS + SG&amp;A'!CW103+'COGS + SG&amp;A'!CW159+'COGS + SG&amp;A'!CW187</f>
        <v>0</v>
      </c>
      <c r="CX156" s="28">
        <f>'COGS + SG&amp;A'!CX47+'COGS + SG&amp;A'!CX75+'COGS + SG&amp;A'!CX103+'COGS + SG&amp;A'!CX159+'COGS + SG&amp;A'!CX187</f>
        <v>0</v>
      </c>
      <c r="CY156" s="28">
        <f>'COGS + SG&amp;A'!CY47+'COGS + SG&amp;A'!CY75+'COGS + SG&amp;A'!CY103+'COGS + SG&amp;A'!CY159+'COGS + SG&amp;A'!CY187</f>
        <v>0</v>
      </c>
      <c r="CZ156" s="28">
        <f>'COGS + SG&amp;A'!CZ47+'COGS + SG&amp;A'!CZ75+'COGS + SG&amp;A'!CZ103+'COGS + SG&amp;A'!CZ159+'COGS + SG&amp;A'!CZ187</f>
        <v>0</v>
      </c>
      <c r="DA156" s="28">
        <f>'COGS + SG&amp;A'!DA47+'COGS + SG&amp;A'!DA75+'COGS + SG&amp;A'!DA103+'COGS + SG&amp;A'!DA159+'COGS + SG&amp;A'!DA187</f>
        <v>0</v>
      </c>
      <c r="DB156" s="28">
        <f>'COGS + SG&amp;A'!DB47+'COGS + SG&amp;A'!DB75+'COGS + SG&amp;A'!DB103+'COGS + SG&amp;A'!DB159+'COGS + SG&amp;A'!DB187</f>
        <v>0</v>
      </c>
      <c r="DC156" s="28">
        <f>'COGS + SG&amp;A'!DC47+'COGS + SG&amp;A'!DC75+'COGS + SG&amp;A'!DC103+'COGS + SG&amp;A'!DC159+'COGS + SG&amp;A'!DC187</f>
        <v>5.3369999999999997</v>
      </c>
      <c r="DD156" s="28">
        <f>'COGS + SG&amp;A'!DD47+'COGS + SG&amp;A'!DD75+'COGS + SG&amp;A'!DD103+'COGS + SG&amp;A'!DD159+'COGS + SG&amp;A'!DD187</f>
        <v>4.056</v>
      </c>
      <c r="DE156" s="28">
        <f>'COGS + SG&amp;A'!DE47+'COGS + SG&amp;A'!DE75+'COGS + SG&amp;A'!DE103+'COGS + SG&amp;A'!DE159+'COGS + SG&amp;A'!DE187</f>
        <v>3.3580000000000005</v>
      </c>
      <c r="DF156" s="28">
        <f>'COGS + SG&amp;A'!DF47+'COGS + SG&amp;A'!DF75+'COGS + SG&amp;A'!DF103+'COGS + SG&amp;A'!DF159+'COGS + SG&amp;A'!DF187</f>
        <v>3.0239999999999996</v>
      </c>
      <c r="DG156" s="28">
        <f>'COGS + SG&amp;A'!DG47+'COGS + SG&amp;A'!DG75+'COGS + SG&amp;A'!DG103+'COGS + SG&amp;A'!DG159+'COGS + SG&amp;A'!DG187</f>
        <v>15.774999999999999</v>
      </c>
      <c r="DH156" s="28">
        <f>'COGS + SG&amp;A'!DH47+'COGS + SG&amp;A'!DH75+'COGS + SG&amp;A'!DH103+'COGS + SG&amp;A'!DH159+'COGS + SG&amp;A'!DH187</f>
        <v>3.0149999999999997</v>
      </c>
      <c r="DI156" s="28">
        <f>'COGS + SG&amp;A'!DI47+'COGS + SG&amp;A'!DI75+'COGS + SG&amp;A'!DI103+'COGS + SG&amp;A'!DI159+'COGS + SG&amp;A'!DI187</f>
        <v>4.7670000000000003</v>
      </c>
      <c r="DJ156" s="28">
        <f>'COGS + SG&amp;A'!DJ47+'COGS + SG&amp;A'!DJ75+'COGS + SG&amp;A'!DJ103+'COGS + SG&amp;A'!DJ159+'COGS + SG&amp;A'!DJ187</f>
        <v>4.8099999999999996</v>
      </c>
      <c r="DK156" s="28">
        <f>'COGS + SG&amp;A'!DK47+'COGS + SG&amp;A'!DK75+'COGS + SG&amp;A'!DK103+'COGS + SG&amp;A'!DK159+'COGS + SG&amp;A'!DK187</f>
        <v>4.2490000000000006</v>
      </c>
      <c r="DL156" s="28">
        <f>'COGS + SG&amp;A'!DL47+'COGS + SG&amp;A'!DL75+'COGS + SG&amp;A'!DL103+'COGS + SG&amp;A'!DL159+'COGS + SG&amp;A'!DL187</f>
        <v>16.840999999999998</v>
      </c>
      <c r="DM156" s="28">
        <f>'COGS + SG&amp;A'!DM47+'COGS + SG&amp;A'!DM75+'COGS + SG&amp;A'!DM103+'COGS + SG&amp;A'!DM159+'COGS + SG&amp;A'!DM187</f>
        <v>4.1779999999999999</v>
      </c>
      <c r="DN156" s="28">
        <f>'COGS + SG&amp;A'!DN47+'COGS + SG&amp;A'!DN75+'COGS + SG&amp;A'!DN103+'COGS + SG&amp;A'!DN159+'COGS + SG&amp;A'!DN187</f>
        <v>5.1050000000000004</v>
      </c>
      <c r="DO156" s="28">
        <f>'COGS + SG&amp;A'!DO47+'COGS + SG&amp;A'!DO75+'COGS + SG&amp;A'!DO103+'COGS + SG&amp;A'!DO159+'COGS + SG&amp;A'!DO187</f>
        <v>4.4160000000000004</v>
      </c>
      <c r="DP156" s="28">
        <f>'COGS + SG&amp;A'!DP47+'COGS + SG&amp;A'!DP75+'COGS + SG&amp;A'!DP103+'COGS + SG&amp;A'!DP159+'COGS + SG&amp;A'!DP187</f>
        <v>3.6379999999999999</v>
      </c>
      <c r="DQ156" s="28">
        <f>'COGS + SG&amp;A'!DQ47+'COGS + SG&amp;A'!DQ75+'COGS + SG&amp;A'!DQ103+'COGS + SG&amp;A'!DQ159+'COGS + SG&amp;A'!DQ187</f>
        <v>17.337</v>
      </c>
      <c r="DR156" s="28">
        <f>'COGS + SG&amp;A'!DR47+'COGS + SG&amp;A'!DR75+'COGS + SG&amp;A'!DR103+'COGS + SG&amp;A'!DR159+'COGS + SG&amp;A'!DR187</f>
        <v>3.8679999999999994</v>
      </c>
      <c r="DS156" s="28">
        <f>'COGS + SG&amp;A'!DS47+'COGS + SG&amp;A'!DS75+'COGS + SG&amp;A'!DS103+'COGS + SG&amp;A'!DS159+'COGS + SG&amp;A'!DS187</f>
        <v>4.9020000000000001</v>
      </c>
      <c r="DT156" s="28">
        <f>'COGS + SG&amp;A'!DT47+'COGS + SG&amp;A'!DT75+'COGS + SG&amp;A'!DT103+'COGS + SG&amp;A'!DT159+'COGS + SG&amp;A'!DT187</f>
        <v>4.4219999999999997</v>
      </c>
      <c r="DU156" s="28">
        <f>'COGS + SG&amp;A'!DU47+'COGS + SG&amp;A'!DU75+'COGS + SG&amp;A'!DU103+'COGS + SG&amp;A'!DU159+'COGS + SG&amp;A'!DU187</f>
        <v>4.032</v>
      </c>
      <c r="DV156" s="28">
        <f>'COGS + SG&amp;A'!DV47+'COGS + SG&amp;A'!DV75+'COGS + SG&amp;A'!DV103+'COGS + SG&amp;A'!DV159+'COGS + SG&amp;A'!DV187</f>
        <v>17.224</v>
      </c>
      <c r="DW156" s="28">
        <f>'COGS + SG&amp;A'!DW47+'COGS + SG&amp;A'!DW75+'COGS + SG&amp;A'!DW103+'COGS + SG&amp;A'!DW159+'COGS + SG&amp;A'!DW187</f>
        <v>4.1890000000000001</v>
      </c>
      <c r="DX156" s="28">
        <f>'COGS + SG&amp;A'!DX47+'COGS + SG&amp;A'!DX75+'COGS + SG&amp;A'!DX103+'COGS + SG&amp;A'!DX159+'COGS + SG&amp;A'!DX187</f>
        <v>5.0587997699999994</v>
      </c>
      <c r="DY156" s="28">
        <f>'COGS + SG&amp;A'!DY47+'COGS + SG&amp;A'!DY75+'COGS + SG&amp;A'!DY103+'COGS + SG&amp;A'!DY159+'COGS + SG&amp;A'!DY187</f>
        <v>5.5680638799999995</v>
      </c>
      <c r="DZ156" s="28">
        <f>'COGS + SG&amp;A'!DZ47+'COGS + SG&amp;A'!DZ75+'COGS + SG&amp;A'!DZ103+'COGS + SG&amp;A'!DZ159+'COGS + SG&amp;A'!DZ187</f>
        <v>5.8308328399999994</v>
      </c>
      <c r="EA156" s="28">
        <f>'COGS + SG&amp;A'!EA47+'COGS + SG&amp;A'!EA75+'COGS + SG&amp;A'!EA103+'COGS + SG&amp;A'!EA159+'COGS + SG&amp;A'!EA187</f>
        <v>20.64669649</v>
      </c>
      <c r="EB156" s="28">
        <f>'COGS + SG&amp;A'!EB47+'COGS + SG&amp;A'!EB75+'COGS + SG&amp;A'!EB103+'COGS + SG&amp;A'!EB159+'COGS + SG&amp;A'!EB187</f>
        <v>5.6197463499999998</v>
      </c>
      <c r="EC156" s="28">
        <f>'COGS + SG&amp;A'!EC47+'COGS + SG&amp;A'!EC75+'COGS + SG&amp;A'!EC103+'COGS + SG&amp;A'!EC159+'COGS + SG&amp;A'!EC187</f>
        <v>6.4601523100000007</v>
      </c>
      <c r="ED156" s="28">
        <f>'COGS + SG&amp;A'!ED47+'COGS + SG&amp;A'!ED75+'COGS + SG&amp;A'!ED103+'COGS + SG&amp;A'!ED159+'COGS + SG&amp;A'!ED187</f>
        <v>6.331999999999999</v>
      </c>
      <c r="EE156" s="28">
        <f>'COGS + SG&amp;A'!EE47+'COGS + SG&amp;A'!EE75+'COGS + SG&amp;A'!EE103+'COGS + SG&amp;A'!EE159+'COGS + SG&amp;A'!EE187</f>
        <v>29.83524431</v>
      </c>
      <c r="EF156" s="28">
        <f>'COGS + SG&amp;A'!EF47+'COGS + SG&amp;A'!EF75+'COGS + SG&amp;A'!EF103+'COGS + SG&amp;A'!EF159+'COGS + SG&amp;A'!EF187</f>
        <v>48.247142969999999</v>
      </c>
      <c r="EG156" s="28">
        <f>'COGS + SG&amp;A'!EG47+'COGS + SG&amp;A'!EG75+'COGS + SG&amp;A'!EG103+'COGS + SG&amp;A'!EG159+'COGS + SG&amp;A'!EG187</f>
        <v>5.9183652300000009</v>
      </c>
      <c r="EH156" s="28">
        <f>'COGS + SG&amp;A'!EH47+'COGS + SG&amp;A'!EH75+'COGS + SG&amp;A'!EH103+'COGS + SG&amp;A'!EH159+'COGS + SG&amp;A'!EH187</f>
        <v>7.0970801700000008</v>
      </c>
      <c r="EI156" s="28">
        <f>'COGS + SG&amp;A'!EI47+'COGS + SG&amp;A'!EI75+'COGS + SG&amp;A'!EI103+'COGS + SG&amp;A'!EI159+'COGS + SG&amp;A'!EI187</f>
        <v>6.9194783599999994</v>
      </c>
    </row>
    <row r="157" spans="1:139" ht="15" thickTop="1" x14ac:dyDescent="0.3">
      <c r="A157" s="1" t="s">
        <v>306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27">
        <f>'COGS + SG&amp;A'!BJ48+'COGS + SG&amp;A'!BJ76+'COGS + SG&amp;A'!BJ104+'COGS + SG&amp;A'!BJ160+'COGS + SG&amp;A'!BJ188</f>
        <v>8.8016147900000004</v>
      </c>
      <c r="BK157" s="27">
        <f>'COGS + SG&amp;A'!BK48+'COGS + SG&amp;A'!BK76+'COGS + SG&amp;A'!BK104+'COGS + SG&amp;A'!BK160+'COGS + SG&amp;A'!BK188</f>
        <v>9.1255289200000007</v>
      </c>
      <c r="BL157" s="27">
        <f>'COGS + SG&amp;A'!BL48+'COGS + SG&amp;A'!BL76+'COGS + SG&amp;A'!BL104+'COGS + SG&amp;A'!BL160+'COGS + SG&amp;A'!BL188</f>
        <v>10.13720462</v>
      </c>
      <c r="BM157" s="27">
        <f>'COGS + SG&amp;A'!BM48+'COGS + SG&amp;A'!BM76+'COGS + SG&amp;A'!BM104+'COGS + SG&amp;A'!BM160+'COGS + SG&amp;A'!BM188</f>
        <v>10.503662809999994</v>
      </c>
      <c r="BN157" s="27">
        <f>'COGS + SG&amp;A'!BN48+'COGS + SG&amp;A'!BN76+'COGS + SG&amp;A'!BN104+'COGS + SG&amp;A'!BN160+'COGS + SG&amp;A'!BN188</f>
        <v>38.568011139999996</v>
      </c>
      <c r="BO157" s="27">
        <f>'COGS + SG&amp;A'!BO48+'COGS + SG&amp;A'!BO76+'COGS + SG&amp;A'!BO104+'COGS + SG&amp;A'!BO160+'COGS + SG&amp;A'!BO188</f>
        <v>11.0289559</v>
      </c>
      <c r="BP157" s="27">
        <f>'COGS + SG&amp;A'!BP48+'COGS + SG&amp;A'!BP76+'COGS + SG&amp;A'!BP104+'COGS + SG&amp;A'!BP160+'COGS + SG&amp;A'!BP188</f>
        <v>11.722671540000002</v>
      </c>
      <c r="BQ157" s="27">
        <f>'COGS + SG&amp;A'!BQ48+'COGS + SG&amp;A'!BQ76+'COGS + SG&amp;A'!BQ104+'COGS + SG&amp;A'!BQ160+'COGS + SG&amp;A'!BQ188</f>
        <v>11.31301695</v>
      </c>
      <c r="BR157" s="27">
        <f>'COGS + SG&amp;A'!BR48+'COGS + SG&amp;A'!BR76+'COGS + SG&amp;A'!BR104+'COGS + SG&amp;A'!BR160+'COGS + SG&amp;A'!BR188</f>
        <v>13.048186620000005</v>
      </c>
      <c r="BS157" s="27">
        <f>'COGS + SG&amp;A'!BS48+'COGS + SG&amp;A'!BS76+'COGS + SG&amp;A'!BS104+'COGS + SG&amp;A'!BS160+'COGS + SG&amp;A'!BS188</f>
        <v>47.112831010000001</v>
      </c>
      <c r="BT157" s="27">
        <f>'COGS + SG&amp;A'!BT48+'COGS + SG&amp;A'!BT76+'COGS + SG&amp;A'!BT104+'COGS + SG&amp;A'!BT160+'COGS + SG&amp;A'!BT188</f>
        <v>13.21939076</v>
      </c>
      <c r="BU157" s="27">
        <f>'COGS + SG&amp;A'!BU48+'COGS + SG&amp;A'!BU76+'COGS + SG&amp;A'!BU104+'COGS + SG&amp;A'!BU160+'COGS + SG&amp;A'!BU188</f>
        <v>12.699137490000002</v>
      </c>
      <c r="BV157" s="27">
        <f>'COGS + SG&amp;A'!BV48+'COGS + SG&amp;A'!BV76+'COGS + SG&amp;A'!BV104+'COGS + SG&amp;A'!BV160+'COGS + SG&amp;A'!BV188</f>
        <v>14.597811840000002</v>
      </c>
      <c r="BW157" s="27">
        <f>'COGS + SG&amp;A'!BW48+'COGS + SG&amp;A'!BW76+'COGS + SG&amp;A'!BW104+'COGS + SG&amp;A'!BW160+'COGS + SG&amp;A'!BW188</f>
        <v>16.627489430000004</v>
      </c>
      <c r="BX157" s="27">
        <f>'COGS + SG&amp;A'!BX48+'COGS + SG&amp;A'!BX76+'COGS + SG&amp;A'!BX104+'COGS + SG&amp;A'!BX160+'COGS + SG&amp;A'!BX188</f>
        <v>57.143829520000004</v>
      </c>
      <c r="BY157" s="27">
        <f>'COGS + SG&amp;A'!BY48+'COGS + SG&amp;A'!BY76+'COGS + SG&amp;A'!BY104+'COGS + SG&amp;A'!BY160+'COGS + SG&amp;A'!BY188</f>
        <v>15.44387835</v>
      </c>
      <c r="BZ157" s="27">
        <f>'COGS + SG&amp;A'!BZ48+'COGS + SG&amp;A'!BZ76+'COGS + SG&amp;A'!BZ104+'COGS + SG&amp;A'!BZ160+'COGS + SG&amp;A'!BZ188</f>
        <v>17.012597830000004</v>
      </c>
      <c r="CA157" s="27">
        <f>'COGS + SG&amp;A'!CA48+'COGS + SG&amp;A'!CA76+'COGS + SG&amp;A'!CA104+'COGS + SG&amp;A'!CA160+'COGS + SG&amp;A'!CA188</f>
        <v>17.731332269999996</v>
      </c>
      <c r="CB157" s="27">
        <f>'COGS + SG&amp;A'!CB48+'COGS + SG&amp;A'!CB76+'COGS + SG&amp;A'!CB104+'COGS + SG&amp;A'!CB160+'COGS + SG&amp;A'!CB188</f>
        <v>26.347965089999999</v>
      </c>
      <c r="CC157" s="27">
        <f>'COGS + SG&amp;A'!CC48+'COGS + SG&amp;A'!CC76+'COGS + SG&amp;A'!CC104+'COGS + SG&amp;A'!CC160+'COGS + SG&amp;A'!CC188</f>
        <v>76.535773539999994</v>
      </c>
      <c r="CD157" s="27">
        <f>'COGS + SG&amp;A'!CD48+'COGS + SG&amp;A'!CD76+'COGS + SG&amp;A'!CD104+'COGS + SG&amp;A'!CD160+'COGS + SG&amp;A'!CD188</f>
        <v>20.225615810000004</v>
      </c>
      <c r="CE157" s="27">
        <f>'COGS + SG&amp;A'!CE48+'COGS + SG&amp;A'!CE76+'COGS + SG&amp;A'!CE104+'COGS + SG&amp;A'!CE160+'COGS + SG&amp;A'!CE188</f>
        <v>29.13305862</v>
      </c>
      <c r="CF157" s="27">
        <f>'COGS + SG&amp;A'!CF48+'COGS + SG&amp;A'!CF76+'COGS + SG&amp;A'!CF104+'COGS + SG&amp;A'!CF160+'COGS + SG&amp;A'!CF188</f>
        <v>31.596126000000005</v>
      </c>
      <c r="CG157" s="27">
        <f>'COGS + SG&amp;A'!CG48+'COGS + SG&amp;A'!CG76+'COGS + SG&amp;A'!CG104+'COGS + SG&amp;A'!CG160+'COGS + SG&amp;A'!CG188</f>
        <v>36.972876589999998</v>
      </c>
      <c r="CH157" s="27">
        <f>'COGS + SG&amp;A'!CH48+'COGS + SG&amp;A'!CH76+'COGS + SG&amp;A'!CH104+'COGS + SG&amp;A'!CH160+'COGS + SG&amp;A'!CH188</f>
        <v>117.92767702</v>
      </c>
      <c r="CI157" s="27">
        <f>'COGS + SG&amp;A'!CI48+'COGS + SG&amp;A'!CI76+'COGS + SG&amp;A'!CI104+'COGS + SG&amp;A'!CI160+'COGS + SG&amp;A'!CI188</f>
        <v>27.995263400000002</v>
      </c>
      <c r="CJ157" s="27">
        <f>'COGS + SG&amp;A'!CJ48+'COGS + SG&amp;A'!CJ76+'COGS + SG&amp;A'!CJ104+'COGS + SG&amp;A'!CJ160+'COGS + SG&amp;A'!CJ188</f>
        <v>31.908439050000005</v>
      </c>
      <c r="CK157" s="27">
        <f>'COGS + SG&amp;A'!CK48+'COGS + SG&amp;A'!CK76+'COGS + SG&amp;A'!CK104+'COGS + SG&amp;A'!CK160+'COGS + SG&amp;A'!CK188</f>
        <v>32.458448459999993</v>
      </c>
      <c r="CL157" s="27">
        <f>'COGS + SG&amp;A'!CL48+'COGS + SG&amp;A'!CL76+'COGS + SG&amp;A'!CL104+'COGS + SG&amp;A'!CL160+'COGS + SG&amp;A'!CL188</f>
        <v>33.10154106000001</v>
      </c>
      <c r="CM157" s="27">
        <f>'COGS + SG&amp;A'!CM48+'COGS + SG&amp;A'!CM76+'COGS + SG&amp;A'!CM104+'COGS + SG&amp;A'!CM160+'COGS + SG&amp;A'!CM188</f>
        <v>125.46369197000001</v>
      </c>
      <c r="CN157" s="27">
        <f>'COGS + SG&amp;A'!CN48+'COGS + SG&amp;A'!CN76+'COGS + SG&amp;A'!CN104+'COGS + SG&amp;A'!CN160+'COGS + SG&amp;A'!CN188</f>
        <v>25.112297129999998</v>
      </c>
      <c r="CO157" s="27">
        <f>'COGS + SG&amp;A'!CO48+'COGS + SG&amp;A'!CO76+'COGS + SG&amp;A'!CO104+'COGS + SG&amp;A'!CO160+'COGS + SG&amp;A'!CO188</f>
        <v>27.527690020000001</v>
      </c>
      <c r="CP157" s="27">
        <f>'COGS + SG&amp;A'!CP48+'COGS + SG&amp;A'!CP76+'COGS + SG&amp;A'!CP104+'COGS + SG&amp;A'!CP160+'COGS + SG&amp;A'!CP188</f>
        <v>31.536262860000001</v>
      </c>
      <c r="CQ157" s="27">
        <f>'COGS + SG&amp;A'!CQ48+'COGS + SG&amp;A'!CQ76+'COGS + SG&amp;A'!CQ104+'COGS + SG&amp;A'!CQ160+'COGS + SG&amp;A'!CQ188</f>
        <v>39.44074999</v>
      </c>
      <c r="CR157" s="27">
        <f>'COGS + SG&amp;A'!CR48+'COGS + SG&amp;A'!CR76+'COGS + SG&amp;A'!CR104+'COGS + SG&amp;A'!CR160+'COGS + SG&amp;A'!CR188</f>
        <v>123.61699999999999</v>
      </c>
      <c r="CS157" s="27">
        <f>'COGS + SG&amp;A'!CS48+'COGS + SG&amp;A'!CS76+'COGS + SG&amp;A'!CS104+'COGS + SG&amp;A'!CS160+'COGS + SG&amp;A'!CS188</f>
        <v>36.262929190000001</v>
      </c>
      <c r="CT157" s="27">
        <f>'COGS + SG&amp;A'!CT48+'COGS + SG&amp;A'!CT76+'COGS + SG&amp;A'!CT104+'COGS + SG&amp;A'!CT160+'COGS + SG&amp;A'!CT188</f>
        <v>37.782232709999995</v>
      </c>
      <c r="CU157" s="27">
        <f>'COGS + SG&amp;A'!CU48+'COGS + SG&amp;A'!CU76+'COGS + SG&amp;A'!CU104+'COGS + SG&amp;A'!CU160+'COGS + SG&amp;A'!CU188</f>
        <v>37.85170686</v>
      </c>
      <c r="CV157" s="27">
        <f>'COGS + SG&amp;A'!CV48+'COGS + SG&amp;A'!CV76+'COGS + SG&amp;A'!CV104+'COGS + SG&amp;A'!CV160+'COGS + SG&amp;A'!CV188</f>
        <v>39.677596059999985</v>
      </c>
      <c r="CW157" s="27">
        <f>'COGS + SG&amp;A'!CW48+'COGS + SG&amp;A'!CW76+'COGS + SG&amp;A'!CW104+'COGS + SG&amp;A'!CW160+'COGS + SG&amp;A'!CW188</f>
        <v>151.57446482</v>
      </c>
      <c r="CX157" s="27">
        <f>'COGS + SG&amp;A'!CX48+'COGS + SG&amp;A'!CX76+'COGS + SG&amp;A'!CX104+'COGS + SG&amp;A'!CX160+'COGS + SG&amp;A'!CX188</f>
        <v>31.18</v>
      </c>
      <c r="CY157" s="27">
        <f>'COGS + SG&amp;A'!CY48+'COGS + SG&amp;A'!CY76+'COGS + SG&amp;A'!CY104+'COGS + SG&amp;A'!CY160+'COGS + SG&amp;A'!CY188</f>
        <v>33.064999999999998</v>
      </c>
      <c r="CZ157" s="27">
        <f>'COGS + SG&amp;A'!CZ48+'COGS + SG&amp;A'!CZ76+'COGS + SG&amp;A'!CZ104+'COGS + SG&amp;A'!CZ160+'COGS + SG&amp;A'!CZ188</f>
        <v>35.545999999999999</v>
      </c>
      <c r="DA157" s="27">
        <f>'COGS + SG&amp;A'!DA48+'COGS + SG&amp;A'!DA76+'COGS + SG&amp;A'!DA104+'COGS + SG&amp;A'!DA160+'COGS + SG&amp;A'!DA188</f>
        <v>49.104000000000006</v>
      </c>
      <c r="DB157" s="27">
        <f>'COGS + SG&amp;A'!DB48+'COGS + SG&amp;A'!DB76+'COGS + SG&amp;A'!DB104+'COGS + SG&amp;A'!DB160+'COGS + SG&amp;A'!DB188</f>
        <v>148.89500000000001</v>
      </c>
      <c r="DC157" s="27">
        <f>'COGS + SG&amp;A'!DC48+'COGS + SG&amp;A'!DC76+'COGS + SG&amp;A'!DC104+'COGS + SG&amp;A'!DC160+'COGS + SG&amp;A'!DC188</f>
        <v>38.835000000000001</v>
      </c>
      <c r="DD157" s="27">
        <f>'COGS + SG&amp;A'!DD48+'COGS + SG&amp;A'!DD76+'COGS + SG&amp;A'!DD104+'COGS + SG&amp;A'!DD160+'COGS + SG&amp;A'!DD188</f>
        <v>37.159599999999998</v>
      </c>
      <c r="DE157" s="27">
        <f>'COGS + SG&amp;A'!DE48+'COGS + SG&amp;A'!DE76+'COGS + SG&amp;A'!DE104+'COGS + SG&amp;A'!DE160+'COGS + SG&amp;A'!DE188</f>
        <v>44.513999999999996</v>
      </c>
      <c r="DF157" s="27">
        <f>'COGS + SG&amp;A'!DF48+'COGS + SG&amp;A'!DF76+'COGS + SG&amp;A'!DF104+'COGS + SG&amp;A'!DF160+'COGS + SG&amp;A'!DF188</f>
        <v>50.796999999999997</v>
      </c>
      <c r="DG157" s="27">
        <f>'COGS + SG&amp;A'!DG48+'COGS + SG&amp;A'!DG76+'COGS + SG&amp;A'!DG104+'COGS + SG&amp;A'!DG160+'COGS + SG&amp;A'!DG188</f>
        <v>171.3056</v>
      </c>
      <c r="DH157" s="27">
        <f>'COGS + SG&amp;A'!DH48+'COGS + SG&amp;A'!DH76+'COGS + SG&amp;A'!DH104+'COGS + SG&amp;A'!DH160+'COGS + SG&amp;A'!DH188</f>
        <v>48.631</v>
      </c>
      <c r="DI157" s="27">
        <f>'COGS + SG&amp;A'!DI48+'COGS + SG&amp;A'!DI76+'COGS + SG&amp;A'!DI104+'COGS + SG&amp;A'!DI160+'COGS + SG&amp;A'!DI188</f>
        <v>45.615000000000009</v>
      </c>
      <c r="DJ157" s="27">
        <f>'COGS + SG&amp;A'!DJ48+'COGS + SG&amp;A'!DJ76+'COGS + SG&amp;A'!DJ104+'COGS + SG&amp;A'!DJ160+'COGS + SG&amp;A'!DJ188</f>
        <v>53.150999999999996</v>
      </c>
      <c r="DK157" s="27">
        <f>'COGS + SG&amp;A'!DK48+'COGS + SG&amp;A'!DK76+'COGS + SG&amp;A'!DK104+'COGS + SG&amp;A'!DK160+'COGS + SG&amp;A'!DK188</f>
        <v>50.079000000000001</v>
      </c>
      <c r="DL157" s="27">
        <f>'COGS + SG&amp;A'!DL48+'COGS + SG&amp;A'!DL76+'COGS + SG&amp;A'!DL104+'COGS + SG&amp;A'!DL160+'COGS + SG&amp;A'!DL188</f>
        <v>197.476</v>
      </c>
      <c r="DM157" s="27">
        <f>'COGS + SG&amp;A'!DM48+'COGS + SG&amp;A'!DM76+'COGS + SG&amp;A'!DM104+'COGS + SG&amp;A'!DM160+'COGS + SG&amp;A'!DM188</f>
        <v>48.800999999999995</v>
      </c>
      <c r="DN157" s="27">
        <f>'COGS + SG&amp;A'!DN48+'COGS + SG&amp;A'!DN76+'COGS + SG&amp;A'!DN104+'COGS + SG&amp;A'!DN160+'COGS + SG&amp;A'!DN188</f>
        <v>47.71</v>
      </c>
      <c r="DO157" s="27">
        <f>'COGS + SG&amp;A'!DO48+'COGS + SG&amp;A'!DO76+'COGS + SG&amp;A'!DO104+'COGS + SG&amp;A'!DO160+'COGS + SG&amp;A'!DO188</f>
        <v>59.456999999999994</v>
      </c>
      <c r="DP157" s="27">
        <f>'COGS + SG&amp;A'!DP48+'COGS + SG&amp;A'!DP76+'COGS + SG&amp;A'!DP104+'COGS + SG&amp;A'!DP160+'COGS + SG&amp;A'!DP188</f>
        <v>72.266000000000005</v>
      </c>
      <c r="DQ157" s="27">
        <f>'COGS + SG&amp;A'!DQ48+'COGS + SG&amp;A'!DQ76+'COGS + SG&amp;A'!DQ104+'COGS + SG&amp;A'!DQ160+'COGS + SG&amp;A'!DQ188</f>
        <v>228.23399999999998</v>
      </c>
      <c r="DR157" s="27">
        <f>'COGS + SG&amp;A'!DR48+'COGS + SG&amp;A'!DR76+'COGS + SG&amp;A'!DR104+'COGS + SG&amp;A'!DR160+'COGS + SG&amp;A'!DR188</f>
        <v>66.097999999999999</v>
      </c>
      <c r="DS157" s="27">
        <f>'COGS + SG&amp;A'!DS48+'COGS + SG&amp;A'!DS76+'COGS + SG&amp;A'!DS104+'COGS + SG&amp;A'!DS160+'COGS + SG&amp;A'!DS188</f>
        <v>63.512999999999991</v>
      </c>
      <c r="DT157" s="27">
        <f>'COGS + SG&amp;A'!DT48+'COGS + SG&amp;A'!DT76+'COGS + SG&amp;A'!DT104+'COGS + SG&amp;A'!DT160+'COGS + SG&amp;A'!DT188</f>
        <v>58.629999999999995</v>
      </c>
      <c r="DU157" s="27">
        <f>'COGS + SG&amp;A'!DU48+'COGS + SG&amp;A'!DU76+'COGS + SG&amp;A'!DU104+'COGS + SG&amp;A'!DU160+'COGS + SG&amp;A'!DU188</f>
        <v>85.153999999999996</v>
      </c>
      <c r="DV157" s="27">
        <f>'COGS + SG&amp;A'!DV48+'COGS + SG&amp;A'!DV76+'COGS + SG&amp;A'!DV104+'COGS + SG&amp;A'!DV160+'COGS + SG&amp;A'!DV188</f>
        <v>273.39499999999998</v>
      </c>
      <c r="DW157" s="27">
        <f>'COGS + SG&amp;A'!DW48+'COGS + SG&amp;A'!DW76+'COGS + SG&amp;A'!DW104+'COGS + SG&amp;A'!DW160+'COGS + SG&amp;A'!DW188</f>
        <v>65.334000000000003</v>
      </c>
      <c r="DX157" s="27">
        <f>'COGS + SG&amp;A'!DX48+'COGS + SG&amp;A'!DX76+'COGS + SG&amp;A'!DX104+'COGS + SG&amp;A'!DX160+'COGS + SG&amp;A'!DX188</f>
        <v>55.932700859999997</v>
      </c>
      <c r="DY157" s="27">
        <f>'COGS + SG&amp;A'!DY48+'COGS + SG&amp;A'!DY76+'COGS + SG&amp;A'!DY104+'COGS + SG&amp;A'!DY160+'COGS + SG&amp;A'!DY188</f>
        <v>67.316490579999993</v>
      </c>
      <c r="DZ157" s="27">
        <f>'COGS + SG&amp;A'!DZ48+'COGS + SG&amp;A'!DZ76+'COGS + SG&amp;A'!DZ104+'COGS + SG&amp;A'!DZ160+'COGS + SG&amp;A'!DZ188</f>
        <v>71.735715859999999</v>
      </c>
      <c r="EA157" s="27">
        <f>'COGS + SG&amp;A'!EA48+'COGS + SG&amp;A'!EA76+'COGS + SG&amp;A'!EA104+'COGS + SG&amp;A'!EA160+'COGS + SG&amp;A'!EA188</f>
        <v>260.31890730000003</v>
      </c>
      <c r="EB157" s="27">
        <f>'COGS + SG&amp;A'!EB48+'COGS + SG&amp;A'!EB76+'COGS + SG&amp;A'!EB104+'COGS + SG&amp;A'!EB160+'COGS + SG&amp;A'!EB188</f>
        <v>71.657119209999991</v>
      </c>
      <c r="EC157" s="27">
        <f>'COGS + SG&amp;A'!EC48+'COGS + SG&amp;A'!EC76+'COGS + SG&amp;A'!EC104+'COGS + SG&amp;A'!EC160+'COGS + SG&amp;A'!EC188</f>
        <v>73.616473889999995</v>
      </c>
      <c r="ED157" s="27">
        <f>'COGS + SG&amp;A'!ED48+'COGS + SG&amp;A'!ED76+'COGS + SG&amp;A'!ED104+'COGS + SG&amp;A'!ED160+'COGS + SG&amp;A'!ED188</f>
        <v>81.722999999999999</v>
      </c>
      <c r="EE157" s="27">
        <f>'COGS + SG&amp;A'!EE48+'COGS + SG&amp;A'!EE76+'COGS + SG&amp;A'!EE104+'COGS + SG&amp;A'!EE160+'COGS + SG&amp;A'!EE188</f>
        <v>80.044864999999987</v>
      </c>
      <c r="EF157" s="27">
        <f>'COGS + SG&amp;A'!EF48+'COGS + SG&amp;A'!EF76+'COGS + SG&amp;A'!EF104+'COGS + SG&amp;A'!EF160+'COGS + SG&amp;A'!EF188</f>
        <v>307.0414581</v>
      </c>
      <c r="EG157" s="27">
        <f>'COGS + SG&amp;A'!EG48+'COGS + SG&amp;A'!EG76+'COGS + SG&amp;A'!EG104+'COGS + SG&amp;A'!EG160+'COGS + SG&amp;A'!EG188</f>
        <v>77.282453809999993</v>
      </c>
      <c r="EH157" s="27">
        <f>'COGS + SG&amp;A'!EH48+'COGS + SG&amp;A'!EH76+'COGS + SG&amp;A'!EH104+'COGS + SG&amp;A'!EH160+'COGS + SG&amp;A'!EH188</f>
        <v>81.823572779999992</v>
      </c>
      <c r="EI157" s="27">
        <f>'COGS + SG&amp;A'!EI48+'COGS + SG&amp;A'!EI76+'COGS + SG&amp;A'!EI104+'COGS + SG&amp;A'!EI160+'COGS + SG&amp;A'!EI188</f>
        <v>86.144868700000004</v>
      </c>
    </row>
    <row r="158" spans="1:139" ht="15" thickBot="1" x14ac:dyDescent="0.35">
      <c r="A158" s="2" t="s">
        <v>323</v>
      </c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28">
        <f>'COGS + SG&amp;A'!BJ49+'COGS + SG&amp;A'!BJ77+'COGS + SG&amp;A'!BJ105+'COGS + SG&amp;A'!BJ161+'COGS + SG&amp;A'!BJ189</f>
        <v>0</v>
      </c>
      <c r="BK158" s="28">
        <f>'COGS + SG&amp;A'!BK49+'COGS + SG&amp;A'!BK77+'COGS + SG&amp;A'!BK105+'COGS + SG&amp;A'!BK161+'COGS + SG&amp;A'!BK189</f>
        <v>0</v>
      </c>
      <c r="BL158" s="28">
        <f>'COGS + SG&amp;A'!BL49+'COGS + SG&amp;A'!BL77+'COGS + SG&amp;A'!BL105+'COGS + SG&amp;A'!BL161+'COGS + SG&amp;A'!BL189</f>
        <v>0</v>
      </c>
      <c r="BM158" s="28">
        <f>'COGS + SG&amp;A'!BM49+'COGS + SG&amp;A'!BM77+'COGS + SG&amp;A'!BM105+'COGS + SG&amp;A'!BM161+'COGS + SG&amp;A'!BM189</f>
        <v>0</v>
      </c>
      <c r="BN158" s="28">
        <f>'COGS + SG&amp;A'!BN49+'COGS + SG&amp;A'!BN77+'COGS + SG&amp;A'!BN105+'COGS + SG&amp;A'!BN161+'COGS + SG&amp;A'!BN189</f>
        <v>0</v>
      </c>
      <c r="BO158" s="28">
        <f>'COGS + SG&amp;A'!BO49+'COGS + SG&amp;A'!BO77+'COGS + SG&amp;A'!BO105+'COGS + SG&amp;A'!BO161+'COGS + SG&amp;A'!BO189</f>
        <v>0</v>
      </c>
      <c r="BP158" s="28">
        <f>'COGS + SG&amp;A'!BP49+'COGS + SG&amp;A'!BP77+'COGS + SG&amp;A'!BP105+'COGS + SG&amp;A'!BP161+'COGS + SG&amp;A'!BP189</f>
        <v>0</v>
      </c>
      <c r="BQ158" s="28">
        <f>'COGS + SG&amp;A'!BQ49+'COGS + SG&amp;A'!BQ77+'COGS + SG&amp;A'!BQ105+'COGS + SG&amp;A'!BQ161+'COGS + SG&amp;A'!BQ189</f>
        <v>0</v>
      </c>
      <c r="BR158" s="28">
        <f>'COGS + SG&amp;A'!BR49+'COGS + SG&amp;A'!BR77+'COGS + SG&amp;A'!BR105+'COGS + SG&amp;A'!BR161+'COGS + SG&amp;A'!BR189</f>
        <v>0</v>
      </c>
      <c r="BS158" s="28">
        <f>'COGS + SG&amp;A'!BS49+'COGS + SG&amp;A'!BS77+'COGS + SG&amp;A'!BS105+'COGS + SG&amp;A'!BS161+'COGS + SG&amp;A'!BS189</f>
        <v>0</v>
      </c>
      <c r="BT158" s="28">
        <f>'COGS + SG&amp;A'!BT49+'COGS + SG&amp;A'!BT77+'COGS + SG&amp;A'!BT105+'COGS + SG&amp;A'!BT161+'COGS + SG&amp;A'!BT189</f>
        <v>0</v>
      </c>
      <c r="BU158" s="28">
        <f>'COGS + SG&amp;A'!BU49+'COGS + SG&amp;A'!BU77+'COGS + SG&amp;A'!BU105+'COGS + SG&amp;A'!BU161+'COGS + SG&amp;A'!BU189</f>
        <v>0</v>
      </c>
      <c r="BV158" s="28">
        <f>'COGS + SG&amp;A'!BV49+'COGS + SG&amp;A'!BV77+'COGS + SG&amp;A'!BV105+'COGS + SG&amp;A'!BV161+'COGS + SG&amp;A'!BV189</f>
        <v>0</v>
      </c>
      <c r="BW158" s="28">
        <f>'COGS + SG&amp;A'!BW49+'COGS + SG&amp;A'!BW77+'COGS + SG&amp;A'!BW105+'COGS + SG&amp;A'!BW161+'COGS + SG&amp;A'!BW189</f>
        <v>0</v>
      </c>
      <c r="BX158" s="28">
        <f>'COGS + SG&amp;A'!BX49+'COGS + SG&amp;A'!BX77+'COGS + SG&amp;A'!BX105+'COGS + SG&amp;A'!BX161+'COGS + SG&amp;A'!BX189</f>
        <v>0</v>
      </c>
      <c r="BY158" s="28">
        <f>'COGS + SG&amp;A'!BY49+'COGS + SG&amp;A'!BY77+'COGS + SG&amp;A'!BY105+'COGS + SG&amp;A'!BY161+'COGS + SG&amp;A'!BY189</f>
        <v>0</v>
      </c>
      <c r="BZ158" s="28">
        <f>'COGS + SG&amp;A'!BZ49+'COGS + SG&amp;A'!BZ77+'COGS + SG&amp;A'!BZ105+'COGS + SG&amp;A'!BZ161+'COGS + SG&amp;A'!BZ189</f>
        <v>0</v>
      </c>
      <c r="CA158" s="28">
        <f>'COGS + SG&amp;A'!CA49+'COGS + SG&amp;A'!CA77+'COGS + SG&amp;A'!CA105+'COGS + SG&amp;A'!CA161+'COGS + SG&amp;A'!CA189</f>
        <v>0</v>
      </c>
      <c r="CB158" s="28">
        <f>'COGS + SG&amp;A'!CB49+'COGS + SG&amp;A'!CB77+'COGS + SG&amp;A'!CB105+'COGS + SG&amp;A'!CB161+'COGS + SG&amp;A'!CB189</f>
        <v>0</v>
      </c>
      <c r="CC158" s="28">
        <f>'COGS + SG&amp;A'!CC49+'COGS + SG&amp;A'!CC77+'COGS + SG&amp;A'!CC105+'COGS + SG&amp;A'!CC161+'COGS + SG&amp;A'!CC189</f>
        <v>0</v>
      </c>
      <c r="CD158" s="28">
        <f>'COGS + SG&amp;A'!CD49+'COGS + SG&amp;A'!CD77+'COGS + SG&amp;A'!CD105+'COGS + SG&amp;A'!CD161+'COGS + SG&amp;A'!CD189</f>
        <v>0</v>
      </c>
      <c r="CE158" s="28">
        <f>'COGS + SG&amp;A'!CE49+'COGS + SG&amp;A'!CE77+'COGS + SG&amp;A'!CE105+'COGS + SG&amp;A'!CE161+'COGS + SG&amp;A'!CE189</f>
        <v>0</v>
      </c>
      <c r="CF158" s="28">
        <f>'COGS + SG&amp;A'!CF49+'COGS + SG&amp;A'!CF77+'COGS + SG&amp;A'!CF105+'COGS + SG&amp;A'!CF161+'COGS + SG&amp;A'!CF189</f>
        <v>0</v>
      </c>
      <c r="CG158" s="28">
        <f>'COGS + SG&amp;A'!CG49+'COGS + SG&amp;A'!CG77+'COGS + SG&amp;A'!CG105+'COGS + SG&amp;A'!CG161+'COGS + SG&amp;A'!CG189</f>
        <v>0</v>
      </c>
      <c r="CH158" s="28">
        <f>'COGS + SG&amp;A'!CH49+'COGS + SG&amp;A'!CH77+'COGS + SG&amp;A'!CH105+'COGS + SG&amp;A'!CH161+'COGS + SG&amp;A'!CH189</f>
        <v>0</v>
      </c>
      <c r="CI158" s="28">
        <f>'COGS + SG&amp;A'!CI49+'COGS + SG&amp;A'!CI77+'COGS + SG&amp;A'!CI105+'COGS + SG&amp;A'!CI161+'COGS + SG&amp;A'!CI189</f>
        <v>0</v>
      </c>
      <c r="CJ158" s="28">
        <f>'COGS + SG&amp;A'!CJ49+'COGS + SG&amp;A'!CJ77+'COGS + SG&amp;A'!CJ105+'COGS + SG&amp;A'!CJ161+'COGS + SG&amp;A'!CJ189</f>
        <v>0</v>
      </c>
      <c r="CK158" s="28">
        <f>'COGS + SG&amp;A'!CK49+'COGS + SG&amp;A'!CK77+'COGS + SG&amp;A'!CK105+'COGS + SG&amp;A'!CK161+'COGS + SG&amp;A'!CK189</f>
        <v>0</v>
      </c>
      <c r="CL158" s="28">
        <f>'COGS + SG&amp;A'!CL49+'COGS + SG&amp;A'!CL77+'COGS + SG&amp;A'!CL105+'COGS + SG&amp;A'!CL161+'COGS + SG&amp;A'!CL189</f>
        <v>0</v>
      </c>
      <c r="CM158" s="28">
        <f>'COGS + SG&amp;A'!CM49+'COGS + SG&amp;A'!CM77+'COGS + SG&amp;A'!CM105+'COGS + SG&amp;A'!CM161+'COGS + SG&amp;A'!CM189</f>
        <v>0</v>
      </c>
      <c r="CN158" s="28">
        <f>'COGS + SG&amp;A'!CN49+'COGS + SG&amp;A'!CN77+'COGS + SG&amp;A'!CN105+'COGS + SG&amp;A'!CN161+'COGS + SG&amp;A'!CN189</f>
        <v>0</v>
      </c>
      <c r="CO158" s="28">
        <f>'COGS + SG&amp;A'!CO49+'COGS + SG&amp;A'!CO77+'COGS + SG&amp;A'!CO105+'COGS + SG&amp;A'!CO161+'COGS + SG&amp;A'!CO189</f>
        <v>0</v>
      </c>
      <c r="CP158" s="28">
        <f>'COGS + SG&amp;A'!CP49+'COGS + SG&amp;A'!CP77+'COGS + SG&amp;A'!CP105+'COGS + SG&amp;A'!CP161+'COGS + SG&amp;A'!CP189</f>
        <v>0</v>
      </c>
      <c r="CQ158" s="28">
        <f>'COGS + SG&amp;A'!CQ49+'COGS + SG&amp;A'!CQ77+'COGS + SG&amp;A'!CQ105+'COGS + SG&amp;A'!CQ161+'COGS + SG&amp;A'!CQ189</f>
        <v>0</v>
      </c>
      <c r="CR158" s="28">
        <f>'COGS + SG&amp;A'!CR49+'COGS + SG&amp;A'!CR77+'COGS + SG&amp;A'!CR105+'COGS + SG&amp;A'!CR161+'COGS + SG&amp;A'!CR189</f>
        <v>0</v>
      </c>
      <c r="CS158" s="28">
        <f>'COGS + SG&amp;A'!CS49+'COGS + SG&amp;A'!CS77+'COGS + SG&amp;A'!CS105+'COGS + SG&amp;A'!CS161+'COGS + SG&amp;A'!CS189</f>
        <v>0</v>
      </c>
      <c r="CT158" s="28">
        <f>'COGS + SG&amp;A'!CT49+'COGS + SG&amp;A'!CT77+'COGS + SG&amp;A'!CT105+'COGS + SG&amp;A'!CT161+'COGS + SG&amp;A'!CT189</f>
        <v>0</v>
      </c>
      <c r="CU158" s="28">
        <f>'COGS + SG&amp;A'!CU49+'COGS + SG&amp;A'!CU77+'COGS + SG&amp;A'!CU105+'COGS + SG&amp;A'!CU161+'COGS + SG&amp;A'!CU189</f>
        <v>0</v>
      </c>
      <c r="CV158" s="28">
        <f>'COGS + SG&amp;A'!CV49+'COGS + SG&amp;A'!CV77+'COGS + SG&amp;A'!CV105+'COGS + SG&amp;A'!CV161+'COGS + SG&amp;A'!CV189</f>
        <v>0</v>
      </c>
      <c r="CW158" s="28">
        <f>'COGS + SG&amp;A'!CW49+'COGS + SG&amp;A'!CW77+'COGS + SG&amp;A'!CW105+'COGS + SG&amp;A'!CW161+'COGS + SG&amp;A'!CW189</f>
        <v>0</v>
      </c>
      <c r="CX158" s="28">
        <f>'COGS + SG&amp;A'!CX49+'COGS + SG&amp;A'!CX77+'COGS + SG&amp;A'!CX105+'COGS + SG&amp;A'!CX161+'COGS + SG&amp;A'!CX189</f>
        <v>0</v>
      </c>
      <c r="CY158" s="28">
        <f>'COGS + SG&amp;A'!CY49+'COGS + SG&amp;A'!CY77+'COGS + SG&amp;A'!CY105+'COGS + SG&amp;A'!CY161+'COGS + SG&amp;A'!CY189</f>
        <v>0</v>
      </c>
      <c r="CZ158" s="28">
        <f>'COGS + SG&amp;A'!CZ49+'COGS + SG&amp;A'!CZ77+'COGS + SG&amp;A'!CZ105+'COGS + SG&amp;A'!CZ161+'COGS + SG&amp;A'!CZ189</f>
        <v>0</v>
      </c>
      <c r="DA158" s="28">
        <f>'COGS + SG&amp;A'!DA49+'COGS + SG&amp;A'!DA77+'COGS + SG&amp;A'!DA105+'COGS + SG&amp;A'!DA161+'COGS + SG&amp;A'!DA189</f>
        <v>0</v>
      </c>
      <c r="DB158" s="28">
        <f>'COGS + SG&amp;A'!DB49+'COGS + SG&amp;A'!DB77+'COGS + SG&amp;A'!DB105+'COGS + SG&amp;A'!DB161+'COGS + SG&amp;A'!DB189</f>
        <v>0</v>
      </c>
      <c r="DC158" s="28">
        <f>'COGS + SG&amp;A'!DC49+'COGS + SG&amp;A'!DC77+'COGS + SG&amp;A'!DC105+'COGS + SG&amp;A'!DC161+'COGS + SG&amp;A'!DC189</f>
        <v>0</v>
      </c>
      <c r="DD158" s="28">
        <f>'COGS + SG&amp;A'!DD49+'COGS + SG&amp;A'!DD77+'COGS + SG&amp;A'!DD105+'COGS + SG&amp;A'!DD161+'COGS + SG&amp;A'!DD189</f>
        <v>0</v>
      </c>
      <c r="DE158" s="28">
        <f>'COGS + SG&amp;A'!DE49+'COGS + SG&amp;A'!DE77+'COGS + SG&amp;A'!DE105+'COGS + SG&amp;A'!DE161+'COGS + SG&amp;A'!DE189</f>
        <v>0</v>
      </c>
      <c r="DF158" s="28">
        <f>'COGS + SG&amp;A'!DF49+'COGS + SG&amp;A'!DF77+'COGS + SG&amp;A'!DF105+'COGS + SG&amp;A'!DF161+'COGS + SG&amp;A'!DF189</f>
        <v>0</v>
      </c>
      <c r="DG158" s="28">
        <f>'COGS + SG&amp;A'!DG49+'COGS + SG&amp;A'!DG77+'COGS + SG&amp;A'!DG105+'COGS + SG&amp;A'!DG161+'COGS + SG&amp;A'!DG189</f>
        <v>0</v>
      </c>
      <c r="DH158" s="28">
        <f>'COGS + SG&amp;A'!DH49+'COGS + SG&amp;A'!DH77+'COGS + SG&amp;A'!DH105+'COGS + SG&amp;A'!DH161+'COGS + SG&amp;A'!DH189</f>
        <v>0</v>
      </c>
      <c r="DI158" s="28">
        <f>'COGS + SG&amp;A'!DI49+'COGS + SG&amp;A'!DI77+'COGS + SG&amp;A'!DI105+'COGS + SG&amp;A'!DI161+'COGS + SG&amp;A'!DI189</f>
        <v>2.3E-2</v>
      </c>
      <c r="DJ158" s="28">
        <f>'COGS + SG&amp;A'!DJ49+'COGS + SG&amp;A'!DJ77+'COGS + SG&amp;A'!DJ105+'COGS + SG&amp;A'!DJ161+'COGS + SG&amp;A'!DJ189</f>
        <v>-5.0000000000000001E-3</v>
      </c>
      <c r="DK158" s="28">
        <f>'COGS + SG&amp;A'!DK49+'COGS + SG&amp;A'!DK77+'COGS + SG&amp;A'!DK105+'COGS + SG&amp;A'!DK161+'COGS + SG&amp;A'!DK189</f>
        <v>0</v>
      </c>
      <c r="DL158" s="28">
        <f>'COGS + SG&amp;A'!DL49+'COGS + SG&amp;A'!DL77+'COGS + SG&amp;A'!DL105+'COGS + SG&amp;A'!DL161+'COGS + SG&amp;A'!DL189</f>
        <v>1.7999999999999999E-2</v>
      </c>
      <c r="DM158" s="28">
        <f>'COGS + SG&amp;A'!DM49+'COGS + SG&amp;A'!DM77+'COGS + SG&amp;A'!DM105+'COGS + SG&amp;A'!DM161+'COGS + SG&amp;A'!DM189</f>
        <v>1.4E-2</v>
      </c>
      <c r="DN158" s="28">
        <f>'COGS + SG&amp;A'!DN49+'COGS + SG&amp;A'!DN77+'COGS + SG&amp;A'!DN105+'COGS + SG&amp;A'!DN161+'COGS + SG&amp;A'!DN189</f>
        <v>3.0000000000000001E-3</v>
      </c>
      <c r="DO158" s="28">
        <f>'COGS + SG&amp;A'!DO49+'COGS + SG&amp;A'!DO77+'COGS + SG&amp;A'!DO105+'COGS + SG&amp;A'!DO161+'COGS + SG&amp;A'!DO189</f>
        <v>1E-3</v>
      </c>
      <c r="DP158" s="28">
        <f>'COGS + SG&amp;A'!DP49+'COGS + SG&amp;A'!DP77+'COGS + SG&amp;A'!DP105+'COGS + SG&amp;A'!DP161+'COGS + SG&amp;A'!DP189</f>
        <v>-4.3000000000000003E-2</v>
      </c>
      <c r="DQ158" s="28">
        <f>'COGS + SG&amp;A'!DQ49+'COGS + SG&amp;A'!DQ77+'COGS + SG&amp;A'!DQ105+'COGS + SG&amp;A'!DQ161+'COGS + SG&amp;A'!DQ189</f>
        <v>-2.5000000000000001E-2</v>
      </c>
      <c r="DR158" s="28">
        <f>'COGS + SG&amp;A'!DR49+'COGS + SG&amp;A'!DR77+'COGS + SG&amp;A'!DR105+'COGS + SG&amp;A'!DR161+'COGS + SG&amp;A'!DR189</f>
        <v>1.0999999999999999E-2</v>
      </c>
      <c r="DS158" s="28">
        <f>'COGS + SG&amp;A'!DS49+'COGS + SG&amp;A'!DS77+'COGS + SG&amp;A'!DS105+'COGS + SG&amp;A'!DS161+'COGS + SG&amp;A'!DS189</f>
        <v>3.0000000000000001E-3</v>
      </c>
      <c r="DT158" s="28">
        <f>'COGS + SG&amp;A'!DT49+'COGS + SG&amp;A'!DT77+'COGS + SG&amp;A'!DT105+'COGS + SG&amp;A'!DT161+'COGS + SG&amp;A'!DT189</f>
        <v>6.0000000000000001E-3</v>
      </c>
      <c r="DU158" s="28">
        <f>'COGS + SG&amp;A'!DU49+'COGS + SG&amp;A'!DU77+'COGS + SG&amp;A'!DU105+'COGS + SG&amp;A'!DU161+'COGS + SG&amp;A'!DU189</f>
        <v>0</v>
      </c>
      <c r="DV158" s="28">
        <f>'COGS + SG&amp;A'!DV49+'COGS + SG&amp;A'!DV77+'COGS + SG&amp;A'!DV105+'COGS + SG&amp;A'!DV161+'COGS + SG&amp;A'!DV189</f>
        <v>0.02</v>
      </c>
      <c r="DW158" s="28">
        <f>'COGS + SG&amp;A'!DW49+'COGS + SG&amp;A'!DW77+'COGS + SG&amp;A'!DW105+'COGS + SG&amp;A'!DW161+'COGS + SG&amp;A'!DW189</f>
        <v>0</v>
      </c>
      <c r="DX158" s="28">
        <f>'COGS + SG&amp;A'!DX49+'COGS + SG&amp;A'!DX77+'COGS + SG&amp;A'!DX105+'COGS + SG&amp;A'!DX161+'COGS + SG&amp;A'!DX189</f>
        <v>2.2400000000000002E-3</v>
      </c>
      <c r="DY158" s="28">
        <f>'COGS + SG&amp;A'!DY49+'COGS + SG&amp;A'!DY77+'COGS + SG&amp;A'!DY105+'COGS + SG&amp;A'!DY161+'COGS + SG&amp;A'!DY189</f>
        <v>2.8200399999999998E-3</v>
      </c>
      <c r="DZ158" s="28">
        <f>'COGS + SG&amp;A'!DZ49+'COGS + SG&amp;A'!DZ77+'COGS + SG&amp;A'!DZ105+'COGS + SG&amp;A'!DZ161+'COGS + SG&amp;A'!DZ189</f>
        <v>5.6647499999999996E-3</v>
      </c>
      <c r="EA158" s="28">
        <f>'COGS + SG&amp;A'!EA49+'COGS + SG&amp;A'!EA77+'COGS + SG&amp;A'!EA105+'COGS + SG&amp;A'!EA161+'COGS + SG&amp;A'!EA189</f>
        <v>1.072479E-2</v>
      </c>
      <c r="EB158" s="28">
        <f>'COGS + SG&amp;A'!EB49+'COGS + SG&amp;A'!EB77+'COGS + SG&amp;A'!EB105+'COGS + SG&amp;A'!EB161+'COGS + SG&amp;A'!EB189</f>
        <v>1.31545E-2</v>
      </c>
      <c r="EC158" s="28">
        <f>'COGS + SG&amp;A'!EC49+'COGS + SG&amp;A'!EC77+'COGS + SG&amp;A'!EC105+'COGS + SG&amp;A'!EC161+'COGS + SG&amp;A'!EC189</f>
        <v>0</v>
      </c>
      <c r="ED158" s="28">
        <f>'COGS + SG&amp;A'!ED49+'COGS + SG&amp;A'!ED77+'COGS + SG&amp;A'!ED105+'COGS + SG&amp;A'!ED161+'COGS + SG&amp;A'!ED189</f>
        <v>0</v>
      </c>
      <c r="EE158" s="28">
        <f>'COGS + SG&amp;A'!EE49+'COGS + SG&amp;A'!EE77+'COGS + SG&amp;A'!EE105+'COGS + SG&amp;A'!EE161+'COGS + SG&amp;A'!EE189</f>
        <v>2.3282500000000009E-3</v>
      </c>
      <c r="EF158" s="28">
        <f>'COGS + SG&amp;A'!EF49+'COGS + SG&amp;A'!EF77+'COGS + SG&amp;A'!EF105+'COGS + SG&amp;A'!EF161+'COGS + SG&amp;A'!EF189</f>
        <v>1.548275E-2</v>
      </c>
      <c r="EG158" s="28">
        <f>'COGS + SG&amp;A'!EG49+'COGS + SG&amp;A'!EG77+'COGS + SG&amp;A'!EG105+'COGS + SG&amp;A'!EG161+'COGS + SG&amp;A'!EG189</f>
        <v>1.0723999999999999E-2</v>
      </c>
      <c r="EH158" s="28">
        <f>'COGS + SG&amp;A'!EH49+'COGS + SG&amp;A'!EH77+'COGS + SG&amp;A'!EH105+'COGS + SG&amp;A'!EH161+'COGS + SG&amp;A'!EH189</f>
        <v>8.9326300000000004E-3</v>
      </c>
      <c r="EI158" s="28">
        <f>'COGS + SG&amp;A'!EI49+'COGS + SG&amp;A'!EI77+'COGS + SG&amp;A'!EI105+'COGS + SG&amp;A'!EI161+'COGS + SG&amp;A'!EI189</f>
        <v>0</v>
      </c>
    </row>
    <row r="159" spans="1:139" ht="15" thickTop="1" x14ac:dyDescent="0.3">
      <c r="A159" s="1" t="s">
        <v>322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27">
        <f>'COGS + SG&amp;A'!BJ50+'COGS + SG&amp;A'!BJ78+'COGS + SG&amp;A'!BJ106+'COGS + SG&amp;A'!BJ162+'COGS + SG&amp;A'!BJ190</f>
        <v>0</v>
      </c>
      <c r="BK159" s="27">
        <f>'COGS + SG&amp;A'!BK50+'COGS + SG&amp;A'!BK78+'COGS + SG&amp;A'!BK106+'COGS + SG&amp;A'!BK162+'COGS + SG&amp;A'!BK190</f>
        <v>0</v>
      </c>
      <c r="BL159" s="27">
        <f>'COGS + SG&amp;A'!BL50+'COGS + SG&amp;A'!BL78+'COGS + SG&amp;A'!BL106+'COGS + SG&amp;A'!BL162+'COGS + SG&amp;A'!BL190</f>
        <v>0</v>
      </c>
      <c r="BM159" s="27">
        <f>'COGS + SG&amp;A'!BM50+'COGS + SG&amp;A'!BM78+'COGS + SG&amp;A'!BM106+'COGS + SG&amp;A'!BM162+'COGS + SG&amp;A'!BM190</f>
        <v>0</v>
      </c>
      <c r="BN159" s="27">
        <f>'COGS + SG&amp;A'!BN50+'COGS + SG&amp;A'!BN78+'COGS + SG&amp;A'!BN106+'COGS + SG&amp;A'!BN162+'COGS + SG&amp;A'!BN190</f>
        <v>0</v>
      </c>
      <c r="BO159" s="27">
        <f>'COGS + SG&amp;A'!BO50+'COGS + SG&amp;A'!BO78+'COGS + SG&amp;A'!BO106+'COGS + SG&amp;A'!BO162+'COGS + SG&amp;A'!BO190</f>
        <v>0</v>
      </c>
      <c r="BP159" s="27">
        <f>'COGS + SG&amp;A'!BP50+'COGS + SG&amp;A'!BP78+'COGS + SG&amp;A'!BP106+'COGS + SG&amp;A'!BP162+'COGS + SG&amp;A'!BP190</f>
        <v>0</v>
      </c>
      <c r="BQ159" s="27">
        <f>'COGS + SG&amp;A'!BQ50+'COGS + SG&amp;A'!BQ78+'COGS + SG&amp;A'!BQ106+'COGS + SG&amp;A'!BQ162+'COGS + SG&amp;A'!BQ190</f>
        <v>0</v>
      </c>
      <c r="BR159" s="27">
        <f>'COGS + SG&amp;A'!BR50+'COGS + SG&amp;A'!BR78+'COGS + SG&amp;A'!BR106+'COGS + SG&amp;A'!BR162+'COGS + SG&amp;A'!BR190</f>
        <v>0</v>
      </c>
      <c r="BS159" s="27">
        <f>'COGS + SG&amp;A'!BS50+'COGS + SG&amp;A'!BS78+'COGS + SG&amp;A'!BS106+'COGS + SG&amp;A'!BS162+'COGS + SG&amp;A'!BS190</f>
        <v>0</v>
      </c>
      <c r="BT159" s="27">
        <f>'COGS + SG&amp;A'!BT50+'COGS + SG&amp;A'!BT78+'COGS + SG&amp;A'!BT106+'COGS + SG&amp;A'!BT162+'COGS + SG&amp;A'!BT190</f>
        <v>0</v>
      </c>
      <c r="BU159" s="27">
        <f>'COGS + SG&amp;A'!BU50+'COGS + SG&amp;A'!BU78+'COGS + SG&amp;A'!BU106+'COGS + SG&amp;A'!BU162+'COGS + SG&amp;A'!BU190</f>
        <v>0</v>
      </c>
      <c r="BV159" s="27">
        <f>'COGS + SG&amp;A'!BV50+'COGS + SG&amp;A'!BV78+'COGS + SG&amp;A'!BV106+'COGS + SG&amp;A'!BV162+'COGS + SG&amp;A'!BV190</f>
        <v>0</v>
      </c>
      <c r="BW159" s="27">
        <f>'COGS + SG&amp;A'!BW50+'COGS + SG&amp;A'!BW78+'COGS + SG&amp;A'!BW106+'COGS + SG&amp;A'!BW162+'COGS + SG&amp;A'!BW190</f>
        <v>0</v>
      </c>
      <c r="BX159" s="27">
        <f>'COGS + SG&amp;A'!BX50+'COGS + SG&amp;A'!BX78+'COGS + SG&amp;A'!BX106+'COGS + SG&amp;A'!BX162+'COGS + SG&amp;A'!BX190</f>
        <v>0</v>
      </c>
      <c r="BY159" s="27">
        <f>'COGS + SG&amp;A'!BY50+'COGS + SG&amp;A'!BY78+'COGS + SG&amp;A'!BY106+'COGS + SG&amp;A'!BY162+'COGS + SG&amp;A'!BY190</f>
        <v>0</v>
      </c>
      <c r="BZ159" s="27">
        <f>'COGS + SG&amp;A'!BZ50+'COGS + SG&amp;A'!BZ78+'COGS + SG&amp;A'!BZ106+'COGS + SG&amp;A'!BZ162+'COGS + SG&amp;A'!BZ190</f>
        <v>0</v>
      </c>
      <c r="CA159" s="27">
        <f>'COGS + SG&amp;A'!CA50+'COGS + SG&amp;A'!CA78+'COGS + SG&amp;A'!CA106+'COGS + SG&amp;A'!CA162+'COGS + SG&amp;A'!CA190</f>
        <v>0</v>
      </c>
      <c r="CB159" s="27">
        <f>'COGS + SG&amp;A'!CB50+'COGS + SG&amp;A'!CB78+'COGS + SG&amp;A'!CB106+'COGS + SG&amp;A'!CB162+'COGS + SG&amp;A'!CB190</f>
        <v>0</v>
      </c>
      <c r="CC159" s="27">
        <f>'COGS + SG&amp;A'!CC50+'COGS + SG&amp;A'!CC78+'COGS + SG&amp;A'!CC106+'COGS + SG&amp;A'!CC162+'COGS + SG&amp;A'!CC190</f>
        <v>0</v>
      </c>
      <c r="CD159" s="27">
        <f>'COGS + SG&amp;A'!CD50+'COGS + SG&amp;A'!CD78+'COGS + SG&amp;A'!CD106+'COGS + SG&amp;A'!CD162+'COGS + SG&amp;A'!CD190</f>
        <v>0</v>
      </c>
      <c r="CE159" s="27">
        <f>'COGS + SG&amp;A'!CE50+'COGS + SG&amp;A'!CE78+'COGS + SG&amp;A'!CE106+'COGS + SG&amp;A'!CE162+'COGS + SG&amp;A'!CE190</f>
        <v>0</v>
      </c>
      <c r="CF159" s="27">
        <f>'COGS + SG&amp;A'!CF50+'COGS + SG&amp;A'!CF78+'COGS + SG&amp;A'!CF106+'COGS + SG&amp;A'!CF162+'COGS + SG&amp;A'!CF190</f>
        <v>0</v>
      </c>
      <c r="CG159" s="27">
        <f>'COGS + SG&amp;A'!CG50+'COGS + SG&amp;A'!CG78+'COGS + SG&amp;A'!CG106+'COGS + SG&amp;A'!CG162+'COGS + SG&amp;A'!CG190</f>
        <v>0</v>
      </c>
      <c r="CH159" s="27">
        <f>'COGS + SG&amp;A'!CH50+'COGS + SG&amp;A'!CH78+'COGS + SG&amp;A'!CH106+'COGS + SG&amp;A'!CH162+'COGS + SG&amp;A'!CH190</f>
        <v>0</v>
      </c>
      <c r="CI159" s="27">
        <f>'COGS + SG&amp;A'!CI50+'COGS + SG&amp;A'!CI78+'COGS + SG&amp;A'!CI106+'COGS + SG&amp;A'!CI162+'COGS + SG&amp;A'!CI190</f>
        <v>0</v>
      </c>
      <c r="CJ159" s="27">
        <f>'COGS + SG&amp;A'!CJ50+'COGS + SG&amp;A'!CJ78+'COGS + SG&amp;A'!CJ106+'COGS + SG&amp;A'!CJ162+'COGS + SG&amp;A'!CJ190</f>
        <v>0</v>
      </c>
      <c r="CK159" s="27">
        <f>'COGS + SG&amp;A'!CK50+'COGS + SG&amp;A'!CK78+'COGS + SG&amp;A'!CK106+'COGS + SG&amp;A'!CK162+'COGS + SG&amp;A'!CK190</f>
        <v>0</v>
      </c>
      <c r="CL159" s="27">
        <f>'COGS + SG&amp;A'!CL50+'COGS + SG&amp;A'!CL78+'COGS + SG&amp;A'!CL106+'COGS + SG&amp;A'!CL162+'COGS + SG&amp;A'!CL190</f>
        <v>0</v>
      </c>
      <c r="CM159" s="27">
        <f>'COGS + SG&amp;A'!CM50+'COGS + SG&amp;A'!CM78+'COGS + SG&amp;A'!CM106+'COGS + SG&amp;A'!CM162+'COGS + SG&amp;A'!CM190</f>
        <v>0</v>
      </c>
      <c r="CN159" s="27">
        <f>'COGS + SG&amp;A'!CN50+'COGS + SG&amp;A'!CN78+'COGS + SG&amp;A'!CN106+'COGS + SG&amp;A'!CN162+'COGS + SG&amp;A'!CN190</f>
        <v>0</v>
      </c>
      <c r="CO159" s="27">
        <f>'COGS + SG&amp;A'!CO50+'COGS + SG&amp;A'!CO78+'COGS + SG&amp;A'!CO106+'COGS + SG&amp;A'!CO162+'COGS + SG&amp;A'!CO190</f>
        <v>0</v>
      </c>
      <c r="CP159" s="27">
        <f>'COGS + SG&amp;A'!CP50+'COGS + SG&amp;A'!CP78+'COGS + SG&amp;A'!CP106+'COGS + SG&amp;A'!CP162+'COGS + SG&amp;A'!CP190</f>
        <v>0</v>
      </c>
      <c r="CQ159" s="27">
        <f>'COGS + SG&amp;A'!CQ50+'COGS + SG&amp;A'!CQ78+'COGS + SG&amp;A'!CQ106+'COGS + SG&amp;A'!CQ162+'COGS + SG&amp;A'!CQ190</f>
        <v>0</v>
      </c>
      <c r="CR159" s="27">
        <f>'COGS + SG&amp;A'!CR50+'COGS + SG&amp;A'!CR78+'COGS + SG&amp;A'!CR106+'COGS + SG&amp;A'!CR162+'COGS + SG&amp;A'!CR190</f>
        <v>0</v>
      </c>
      <c r="CS159" s="27">
        <f>'COGS + SG&amp;A'!CS50+'COGS + SG&amp;A'!CS78+'COGS + SG&amp;A'!CS106+'COGS + SG&amp;A'!CS162+'COGS + SG&amp;A'!CS190</f>
        <v>0</v>
      </c>
      <c r="CT159" s="27">
        <f>'COGS + SG&amp;A'!CT50+'COGS + SG&amp;A'!CT78+'COGS + SG&amp;A'!CT106+'COGS + SG&amp;A'!CT162+'COGS + SG&amp;A'!CT190</f>
        <v>0</v>
      </c>
      <c r="CU159" s="27">
        <f>'COGS + SG&amp;A'!CU50+'COGS + SG&amp;A'!CU78+'COGS + SG&amp;A'!CU106+'COGS + SG&amp;A'!CU162+'COGS + SG&amp;A'!CU190</f>
        <v>0</v>
      </c>
      <c r="CV159" s="27">
        <f>'COGS + SG&amp;A'!CV50+'COGS + SG&amp;A'!CV78+'COGS + SG&amp;A'!CV106+'COGS + SG&amp;A'!CV162+'COGS + SG&amp;A'!CV190</f>
        <v>0</v>
      </c>
      <c r="CW159" s="27">
        <f>'COGS + SG&amp;A'!CW50+'COGS + SG&amp;A'!CW78+'COGS + SG&amp;A'!CW106+'COGS + SG&amp;A'!CW162+'COGS + SG&amp;A'!CW190</f>
        <v>0</v>
      </c>
      <c r="CX159" s="27">
        <f>'COGS + SG&amp;A'!CX50+'COGS + SG&amp;A'!CX78+'COGS + SG&amp;A'!CX106+'COGS + SG&amp;A'!CX162+'COGS + SG&amp;A'!CX190</f>
        <v>0</v>
      </c>
      <c r="CY159" s="27">
        <f>'COGS + SG&amp;A'!CY50+'COGS + SG&amp;A'!CY78+'COGS + SG&amp;A'!CY106+'COGS + SG&amp;A'!CY162+'COGS + SG&amp;A'!CY190</f>
        <v>0</v>
      </c>
      <c r="CZ159" s="27">
        <f>'COGS + SG&amp;A'!CZ50+'COGS + SG&amp;A'!CZ78+'COGS + SG&amp;A'!CZ106+'COGS + SG&amp;A'!CZ162+'COGS + SG&amp;A'!CZ190</f>
        <v>0</v>
      </c>
      <c r="DA159" s="27">
        <f>'COGS + SG&amp;A'!DA50+'COGS + SG&amp;A'!DA78+'COGS + SG&amp;A'!DA106+'COGS + SG&amp;A'!DA162+'COGS + SG&amp;A'!DA190</f>
        <v>0</v>
      </c>
      <c r="DB159" s="27">
        <f>'COGS + SG&amp;A'!DB50+'COGS + SG&amp;A'!DB78+'COGS + SG&amp;A'!DB106+'COGS + SG&amp;A'!DB162+'COGS + SG&amp;A'!DB190</f>
        <v>0</v>
      </c>
      <c r="DC159" s="27">
        <f>'COGS + SG&amp;A'!DC50+'COGS + SG&amp;A'!DC78+'COGS + SG&amp;A'!DC106+'COGS + SG&amp;A'!DC162+'COGS + SG&amp;A'!DC190</f>
        <v>0</v>
      </c>
      <c r="DD159" s="27">
        <f>'COGS + SG&amp;A'!DD50+'COGS + SG&amp;A'!DD78+'COGS + SG&amp;A'!DD106+'COGS + SG&amp;A'!DD162+'COGS + SG&amp;A'!DD190</f>
        <v>0</v>
      </c>
      <c r="DE159" s="27">
        <f>'COGS + SG&amp;A'!DE50+'COGS + SG&amp;A'!DE78+'COGS + SG&amp;A'!DE106+'COGS + SG&amp;A'!DE162+'COGS + SG&amp;A'!DE190</f>
        <v>0</v>
      </c>
      <c r="DF159" s="27">
        <f>'COGS + SG&amp;A'!DF50+'COGS + SG&amp;A'!DF78+'COGS + SG&amp;A'!DF106+'COGS + SG&amp;A'!DF162+'COGS + SG&amp;A'!DF190</f>
        <v>0</v>
      </c>
      <c r="DG159" s="27">
        <f>'COGS + SG&amp;A'!DG50+'COGS + SG&amp;A'!DG78+'COGS + SG&amp;A'!DG106+'COGS + SG&amp;A'!DG162+'COGS + SG&amp;A'!DG190</f>
        <v>0</v>
      </c>
      <c r="DH159" s="27">
        <f>'COGS + SG&amp;A'!DH50+'COGS + SG&amp;A'!DH78+'COGS + SG&amp;A'!DH106+'COGS + SG&amp;A'!DH162+'COGS + SG&amp;A'!DH190</f>
        <v>0</v>
      </c>
      <c r="DI159" s="27">
        <f>'COGS + SG&amp;A'!DI50+'COGS + SG&amp;A'!DI78+'COGS + SG&amp;A'!DI106+'COGS + SG&amp;A'!DI162+'COGS + SG&amp;A'!DI190</f>
        <v>0</v>
      </c>
      <c r="DJ159" s="27">
        <f>'COGS + SG&amp;A'!DJ50+'COGS + SG&amp;A'!DJ78+'COGS + SG&amp;A'!DJ106+'COGS + SG&amp;A'!DJ162+'COGS + SG&amp;A'!DJ190</f>
        <v>0</v>
      </c>
      <c r="DK159" s="27">
        <f>'COGS + SG&amp;A'!DK50+'COGS + SG&amp;A'!DK78+'COGS + SG&amp;A'!DK106+'COGS + SG&amp;A'!DK162+'COGS + SG&amp;A'!DK190</f>
        <v>0</v>
      </c>
      <c r="DL159" s="27">
        <f>'COGS + SG&amp;A'!DL50+'COGS + SG&amp;A'!DL78+'COGS + SG&amp;A'!DL106+'COGS + SG&amp;A'!DL162+'COGS + SG&amp;A'!DL190</f>
        <v>0</v>
      </c>
      <c r="DM159" s="27">
        <f>'COGS + SG&amp;A'!DM50+'COGS + SG&amp;A'!DM78+'COGS + SG&amp;A'!DM106+'COGS + SG&amp;A'!DM162+'COGS + SG&amp;A'!DM190</f>
        <v>0</v>
      </c>
      <c r="DN159" s="27">
        <f>'COGS + SG&amp;A'!DN50+'COGS + SG&amp;A'!DN78+'COGS + SG&amp;A'!DN106+'COGS + SG&amp;A'!DN162+'COGS + SG&amp;A'!DN190</f>
        <v>0</v>
      </c>
      <c r="DO159" s="27">
        <f>'COGS + SG&amp;A'!DO50+'COGS + SG&amp;A'!DO78+'COGS + SG&amp;A'!DO106+'COGS + SG&amp;A'!DO162+'COGS + SG&amp;A'!DO190</f>
        <v>0.28399999999999997</v>
      </c>
      <c r="DP159" s="27">
        <f>'COGS + SG&amp;A'!DP50+'COGS + SG&amp;A'!DP78+'COGS + SG&amp;A'!DP106+'COGS + SG&amp;A'!DP162+'COGS + SG&amp;A'!DP190</f>
        <v>0.61799999999999999</v>
      </c>
      <c r="DQ159" s="27">
        <f>'COGS + SG&amp;A'!DQ50+'COGS + SG&amp;A'!DQ78+'COGS + SG&amp;A'!DQ106+'COGS + SG&amp;A'!DQ162+'COGS + SG&amp;A'!DQ190</f>
        <v>0.84399999999999997</v>
      </c>
      <c r="DR159" s="27">
        <f>'COGS + SG&amp;A'!DR50+'COGS + SG&amp;A'!DR78+'COGS + SG&amp;A'!DR106+'COGS + SG&amp;A'!DR162+'COGS + SG&amp;A'!DR190</f>
        <v>0.38700000000000001</v>
      </c>
      <c r="DS159" s="27">
        <f>'COGS + SG&amp;A'!DS50+'COGS + SG&amp;A'!DS78+'COGS + SG&amp;A'!DS106+'COGS + SG&amp;A'!DS162+'COGS + SG&amp;A'!DS190</f>
        <v>0.23500000000000001</v>
      </c>
      <c r="DT159" s="27">
        <f>'COGS + SG&amp;A'!DT50+'COGS + SG&amp;A'!DT78+'COGS + SG&amp;A'!DT106+'COGS + SG&amp;A'!DT162+'COGS + SG&amp;A'!DT190</f>
        <v>0.17400000000000002</v>
      </c>
      <c r="DU159" s="27">
        <f>'COGS + SG&amp;A'!DU50+'COGS + SG&amp;A'!DU78+'COGS + SG&amp;A'!DU106+'COGS + SG&amp;A'!DU162+'COGS + SG&amp;A'!DU190</f>
        <v>0.186</v>
      </c>
      <c r="DV159" s="27">
        <f>'COGS + SG&amp;A'!DV50+'COGS + SG&amp;A'!DV78+'COGS + SG&amp;A'!DV106+'COGS + SG&amp;A'!DV162+'COGS + SG&amp;A'!DV190</f>
        <v>0.94800000000000006</v>
      </c>
      <c r="DW159" s="27">
        <f>'COGS + SG&amp;A'!DW50+'COGS + SG&amp;A'!DW78+'COGS + SG&amp;A'!DW106+'COGS + SG&amp;A'!DW162+'COGS + SG&amp;A'!DW190</f>
        <v>0.2205</v>
      </c>
      <c r="DX159" s="27">
        <f>'COGS + SG&amp;A'!DX50+'COGS + SG&amp;A'!DX78+'COGS + SG&amp;A'!DX106+'COGS + SG&amp;A'!DX162+'COGS + SG&amp;A'!DX190</f>
        <v>0.21192511999999999</v>
      </c>
      <c r="DY159" s="27">
        <f>'COGS + SG&amp;A'!DY50+'COGS + SG&amp;A'!DY78+'COGS + SG&amp;A'!DY106+'COGS + SG&amp;A'!DY162+'COGS + SG&amp;A'!DY190</f>
        <v>0.19152461000000001</v>
      </c>
      <c r="DZ159" s="27">
        <f>'COGS + SG&amp;A'!DZ50+'COGS + SG&amp;A'!DZ78+'COGS + SG&amp;A'!DZ106+'COGS + SG&amp;A'!DZ162+'COGS + SG&amp;A'!DZ190</f>
        <v>0.19016936000000007</v>
      </c>
      <c r="EA159" s="27">
        <f>'COGS + SG&amp;A'!EA50+'COGS + SG&amp;A'!EA78+'COGS + SG&amp;A'!EA106+'COGS + SG&amp;A'!EA162+'COGS + SG&amp;A'!EA190</f>
        <v>0.77919908999999998</v>
      </c>
      <c r="EB159" s="27">
        <f>'COGS + SG&amp;A'!EB50+'COGS + SG&amp;A'!EB78+'COGS + SG&amp;A'!EB106+'COGS + SG&amp;A'!EB162+'COGS + SG&amp;A'!EB190</f>
        <v>0.23195170000000001</v>
      </c>
      <c r="EC159" s="27">
        <f>'COGS + SG&amp;A'!EC50+'COGS + SG&amp;A'!EC78+'COGS + SG&amp;A'!EC106+'COGS + SG&amp;A'!EC162+'COGS + SG&amp;A'!EC190</f>
        <v>0.22861465000000006</v>
      </c>
      <c r="ED159" s="27">
        <f>'COGS + SG&amp;A'!ED50+'COGS + SG&amp;A'!ED78+'COGS + SG&amp;A'!ED106+'COGS + SG&amp;A'!ED162+'COGS + SG&amp;A'!ED190</f>
        <v>0.20900000000000002</v>
      </c>
      <c r="EE159" s="27">
        <f>'COGS + SG&amp;A'!EE50+'COGS + SG&amp;A'!EE78+'COGS + SG&amp;A'!EE106+'COGS + SG&amp;A'!EE162+'COGS + SG&amp;A'!EE190</f>
        <v>0.21820985999999995</v>
      </c>
      <c r="EF159" s="27">
        <f>'COGS + SG&amp;A'!EF50+'COGS + SG&amp;A'!EF78+'COGS + SG&amp;A'!EF106+'COGS + SG&amp;A'!EF162+'COGS + SG&amp;A'!EF190</f>
        <v>0.85101258000000002</v>
      </c>
      <c r="EG159" s="27">
        <f>'COGS + SG&amp;A'!EG50+'COGS + SG&amp;A'!EG78+'COGS + SG&amp;A'!EG106+'COGS + SG&amp;A'!EG162+'COGS + SG&amp;A'!EG190</f>
        <v>0.22522325000000001</v>
      </c>
      <c r="EH159" s="27">
        <f>'COGS + SG&amp;A'!EH50+'COGS + SG&amp;A'!EH78+'COGS + SG&amp;A'!EH106+'COGS + SG&amp;A'!EH162+'COGS + SG&amp;A'!EH190</f>
        <v>0.22239880000000001</v>
      </c>
      <c r="EI159" s="27">
        <f>'COGS + SG&amp;A'!EI50+'COGS + SG&amp;A'!EI78+'COGS + SG&amp;A'!EI106+'COGS + SG&amp;A'!EI162+'COGS + SG&amp;A'!EI190</f>
        <v>-0.16684362</v>
      </c>
    </row>
    <row r="160" spans="1:139" ht="15" thickBot="1" x14ac:dyDescent="0.35">
      <c r="A160" s="2" t="s">
        <v>370</v>
      </c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28">
        <f>'COGS + SG&amp;A'!BJ51+'COGS + SG&amp;A'!BJ79+'COGS + SG&amp;A'!BJ107+'COGS + SG&amp;A'!BJ163+'COGS + SG&amp;A'!BJ191</f>
        <v>4.0147628099999997</v>
      </c>
      <c r="BK160" s="28">
        <f>'COGS + SG&amp;A'!BK51+'COGS + SG&amp;A'!BK79+'COGS + SG&amp;A'!BK107+'COGS + SG&amp;A'!BK163+'COGS + SG&amp;A'!BK191</f>
        <v>4.9906206999999991</v>
      </c>
      <c r="BL160" s="28">
        <f>'COGS + SG&amp;A'!BL51+'COGS + SG&amp;A'!BL79+'COGS + SG&amp;A'!BL107+'COGS + SG&amp;A'!BL163+'COGS + SG&amp;A'!BL191</f>
        <v>9.8563579900000029</v>
      </c>
      <c r="BM160" s="28">
        <f>'COGS + SG&amp;A'!BM51+'COGS + SG&amp;A'!BM79+'COGS + SG&amp;A'!BM107+'COGS + SG&amp;A'!BM163+'COGS + SG&amp;A'!BM191</f>
        <v>7.8803080999999988</v>
      </c>
      <c r="BN160" s="28">
        <f>'COGS + SG&amp;A'!BN51+'COGS + SG&amp;A'!BN79+'COGS + SG&amp;A'!BN107+'COGS + SG&amp;A'!BN163+'COGS + SG&amp;A'!BN191</f>
        <v>26.742049600000001</v>
      </c>
      <c r="BO160" s="28">
        <f>'COGS + SG&amp;A'!BO51+'COGS + SG&amp;A'!BO79+'COGS + SG&amp;A'!BO107+'COGS + SG&amp;A'!BO163+'COGS + SG&amp;A'!BO191</f>
        <v>58.230664060000002</v>
      </c>
      <c r="BP160" s="28">
        <f>'COGS + SG&amp;A'!BP51+'COGS + SG&amp;A'!BP79+'COGS + SG&amp;A'!BP107+'COGS + SG&amp;A'!BP163+'COGS + SG&amp;A'!BP191</f>
        <v>58.813044339999998</v>
      </c>
      <c r="BQ160" s="28">
        <f>'COGS + SG&amp;A'!BQ51+'COGS + SG&amp;A'!BQ79+'COGS + SG&amp;A'!BQ107+'COGS + SG&amp;A'!BQ163+'COGS + SG&amp;A'!BQ191</f>
        <v>68.855219519999991</v>
      </c>
      <c r="BR160" s="28">
        <f>'COGS + SG&amp;A'!BR51+'COGS + SG&amp;A'!BR79+'COGS + SG&amp;A'!BR107+'COGS + SG&amp;A'!BR163+'COGS + SG&amp;A'!BR191</f>
        <v>66.991285669999982</v>
      </c>
      <c r="BS160" s="28">
        <f>'COGS + SG&amp;A'!BS51+'COGS + SG&amp;A'!BS79+'COGS + SG&amp;A'!BS107+'COGS + SG&amp;A'!BS163+'COGS + SG&amp;A'!BS191</f>
        <v>252.89021358999997</v>
      </c>
      <c r="BT160" s="28">
        <f>'COGS + SG&amp;A'!BT51+'COGS + SG&amp;A'!BT79+'COGS + SG&amp;A'!BT107+'COGS + SG&amp;A'!BT163+'COGS + SG&amp;A'!BT191</f>
        <v>0</v>
      </c>
      <c r="BU160" s="28">
        <f>'COGS + SG&amp;A'!BU51+'COGS + SG&amp;A'!BU79+'COGS + SG&amp;A'!BU107+'COGS + SG&amp;A'!BU163+'COGS + SG&amp;A'!BU191</f>
        <v>0</v>
      </c>
      <c r="BV160" s="28">
        <f>'COGS + SG&amp;A'!BV51+'COGS + SG&amp;A'!BV79+'COGS + SG&amp;A'!BV107+'COGS + SG&amp;A'!BV163+'COGS + SG&amp;A'!BV191</f>
        <v>0</v>
      </c>
      <c r="BW160" s="28">
        <f>'COGS + SG&amp;A'!BW51+'COGS + SG&amp;A'!BW79+'COGS + SG&amp;A'!BW107+'COGS + SG&amp;A'!BW163+'COGS + SG&amp;A'!BW191</f>
        <v>0</v>
      </c>
      <c r="BX160" s="28">
        <f>'COGS + SG&amp;A'!BX51+'COGS + SG&amp;A'!BX79+'COGS + SG&amp;A'!BX107+'COGS + SG&amp;A'!BX163+'COGS + SG&amp;A'!BX191</f>
        <v>0</v>
      </c>
      <c r="BY160" s="28">
        <f>'COGS + SG&amp;A'!BY51+'COGS + SG&amp;A'!BY79+'COGS + SG&amp;A'!BY107+'COGS + SG&amp;A'!BY163+'COGS + SG&amp;A'!BY191</f>
        <v>0</v>
      </c>
      <c r="BZ160" s="28">
        <f>'COGS + SG&amp;A'!BZ51+'COGS + SG&amp;A'!BZ79+'COGS + SG&amp;A'!BZ107+'COGS + SG&amp;A'!BZ163+'COGS + SG&amp;A'!BZ191</f>
        <v>0</v>
      </c>
      <c r="CA160" s="28">
        <f>'COGS + SG&amp;A'!CA51+'COGS + SG&amp;A'!CA79+'COGS + SG&amp;A'!CA107+'COGS + SG&amp;A'!CA163+'COGS + SG&amp;A'!CA191</f>
        <v>0</v>
      </c>
      <c r="CB160" s="28">
        <f>'COGS + SG&amp;A'!CB51+'COGS + SG&amp;A'!CB79+'COGS + SG&amp;A'!CB107+'COGS + SG&amp;A'!CB163+'COGS + SG&amp;A'!CB191</f>
        <v>0</v>
      </c>
      <c r="CC160" s="28">
        <f>'COGS + SG&amp;A'!CC51+'COGS + SG&amp;A'!CC79+'COGS + SG&amp;A'!CC107+'COGS + SG&amp;A'!CC163+'COGS + SG&amp;A'!CC191</f>
        <v>0</v>
      </c>
      <c r="CD160" s="28">
        <f>'COGS + SG&amp;A'!CD51+'COGS + SG&amp;A'!CD79+'COGS + SG&amp;A'!CD107+'COGS + SG&amp;A'!CD163+'COGS + SG&amp;A'!CD191</f>
        <v>0</v>
      </c>
      <c r="CE160" s="28">
        <f>'COGS + SG&amp;A'!CE51+'COGS + SG&amp;A'!CE79+'COGS + SG&amp;A'!CE107+'COGS + SG&amp;A'!CE163+'COGS + SG&amp;A'!CE191</f>
        <v>0</v>
      </c>
      <c r="CF160" s="28">
        <f>'COGS + SG&amp;A'!CF51+'COGS + SG&amp;A'!CF79+'COGS + SG&amp;A'!CF107+'COGS + SG&amp;A'!CF163+'COGS + SG&amp;A'!CF191</f>
        <v>0</v>
      </c>
      <c r="CG160" s="28">
        <f>'COGS + SG&amp;A'!CG51+'COGS + SG&amp;A'!CG79+'COGS + SG&amp;A'!CG107+'COGS + SG&amp;A'!CG163+'COGS + SG&amp;A'!CG191</f>
        <v>0</v>
      </c>
      <c r="CH160" s="28">
        <f>'COGS + SG&amp;A'!CH51+'COGS + SG&amp;A'!CH79+'COGS + SG&amp;A'!CH107+'COGS + SG&amp;A'!CH163+'COGS + SG&amp;A'!CH191</f>
        <v>0</v>
      </c>
      <c r="CI160" s="28">
        <f>'COGS + SG&amp;A'!CI51+'COGS + SG&amp;A'!CI79+'COGS + SG&amp;A'!CI107+'COGS + SG&amp;A'!CI163+'COGS + SG&amp;A'!CI191</f>
        <v>0</v>
      </c>
      <c r="CJ160" s="28">
        <f>'COGS + SG&amp;A'!CJ51+'COGS + SG&amp;A'!CJ79+'COGS + SG&amp;A'!CJ107+'COGS + SG&amp;A'!CJ163+'COGS + SG&amp;A'!CJ191</f>
        <v>0</v>
      </c>
      <c r="CK160" s="28">
        <f>'COGS + SG&amp;A'!CK51+'COGS + SG&amp;A'!CK79+'COGS + SG&amp;A'!CK107+'COGS + SG&amp;A'!CK163+'COGS + SG&amp;A'!CK191</f>
        <v>0</v>
      </c>
      <c r="CL160" s="28">
        <f>'COGS + SG&amp;A'!CL51+'COGS + SG&amp;A'!CL79+'COGS + SG&amp;A'!CL107+'COGS + SG&amp;A'!CL163+'COGS + SG&amp;A'!CL191</f>
        <v>0</v>
      </c>
      <c r="CM160" s="28">
        <f>'COGS + SG&amp;A'!CM51+'COGS + SG&amp;A'!CM79+'COGS + SG&amp;A'!CM107+'COGS + SG&amp;A'!CM163+'COGS + SG&amp;A'!CM191</f>
        <v>0</v>
      </c>
      <c r="CN160" s="28">
        <f>'COGS + SG&amp;A'!CN51+'COGS + SG&amp;A'!CN79+'COGS + SG&amp;A'!CN107+'COGS + SG&amp;A'!CN163+'COGS + SG&amp;A'!CN191</f>
        <v>0</v>
      </c>
      <c r="CO160" s="28">
        <f>'COGS + SG&amp;A'!CO51+'COGS + SG&amp;A'!CO79+'COGS + SG&amp;A'!CO107+'COGS + SG&amp;A'!CO163+'COGS + SG&amp;A'!CO191</f>
        <v>0</v>
      </c>
      <c r="CP160" s="28">
        <f>'COGS + SG&amp;A'!CP51+'COGS + SG&amp;A'!CP79+'COGS + SG&amp;A'!CP107+'COGS + SG&amp;A'!CP163+'COGS + SG&amp;A'!CP191</f>
        <v>0</v>
      </c>
      <c r="CQ160" s="28">
        <f>'COGS + SG&amp;A'!CQ51+'COGS + SG&amp;A'!CQ79+'COGS + SG&amp;A'!CQ107+'COGS + SG&amp;A'!CQ163+'COGS + SG&amp;A'!CQ191</f>
        <v>0</v>
      </c>
      <c r="CR160" s="28">
        <f>'COGS + SG&amp;A'!CR51+'COGS + SG&amp;A'!CR79+'COGS + SG&amp;A'!CR107+'COGS + SG&amp;A'!CR163+'COGS + SG&amp;A'!CR191</f>
        <v>0</v>
      </c>
      <c r="CS160" s="28">
        <f>'COGS + SG&amp;A'!CS51+'COGS + SG&amp;A'!CS79+'COGS + SG&amp;A'!CS107+'COGS + SG&amp;A'!CS163+'COGS + SG&amp;A'!CS191</f>
        <v>0</v>
      </c>
      <c r="CT160" s="28">
        <f>'COGS + SG&amp;A'!CT51+'COGS + SG&amp;A'!CT79+'COGS + SG&amp;A'!CT107+'COGS + SG&amp;A'!CT163+'COGS + SG&amp;A'!CT191</f>
        <v>0</v>
      </c>
      <c r="CU160" s="28">
        <f>'COGS + SG&amp;A'!CU51+'COGS + SG&amp;A'!CU79+'COGS + SG&amp;A'!CU107+'COGS + SG&amp;A'!CU163+'COGS + SG&amp;A'!CU191</f>
        <v>0</v>
      </c>
      <c r="CV160" s="28">
        <f>'COGS + SG&amp;A'!CV51+'COGS + SG&amp;A'!CV79+'COGS + SG&amp;A'!CV107+'COGS + SG&amp;A'!CV163+'COGS + SG&amp;A'!CV191</f>
        <v>0</v>
      </c>
      <c r="CW160" s="28">
        <f>'COGS + SG&amp;A'!CW51+'COGS + SG&amp;A'!CW79+'COGS + SG&amp;A'!CW107+'COGS + SG&amp;A'!CW163+'COGS + SG&amp;A'!CW191</f>
        <v>0</v>
      </c>
      <c r="CX160" s="28">
        <f>'COGS + SG&amp;A'!CX51+'COGS + SG&amp;A'!CX79+'COGS + SG&amp;A'!CX107+'COGS + SG&amp;A'!CX163+'COGS + SG&amp;A'!CX191</f>
        <v>0</v>
      </c>
      <c r="CY160" s="28">
        <f>'COGS + SG&amp;A'!CY51+'COGS + SG&amp;A'!CY79+'COGS + SG&amp;A'!CY107+'COGS + SG&amp;A'!CY163+'COGS + SG&amp;A'!CY191</f>
        <v>0</v>
      </c>
      <c r="CZ160" s="28">
        <f>'COGS + SG&amp;A'!CZ51+'COGS + SG&amp;A'!CZ79+'COGS + SG&amp;A'!CZ107+'COGS + SG&amp;A'!CZ163+'COGS + SG&amp;A'!CZ191</f>
        <v>0</v>
      </c>
      <c r="DA160" s="28">
        <f>'COGS + SG&amp;A'!DA51+'COGS + SG&amp;A'!DA79+'COGS + SG&amp;A'!DA107+'COGS + SG&amp;A'!DA163+'COGS + SG&amp;A'!DA191</f>
        <v>0</v>
      </c>
      <c r="DB160" s="28">
        <f>'COGS + SG&amp;A'!DB51+'COGS + SG&amp;A'!DB79+'COGS + SG&amp;A'!DB107+'COGS + SG&amp;A'!DB163+'COGS + SG&amp;A'!DB191</f>
        <v>0</v>
      </c>
      <c r="DC160" s="28">
        <f>'COGS + SG&amp;A'!DC51+'COGS + SG&amp;A'!DC79+'COGS + SG&amp;A'!DC107+'COGS + SG&amp;A'!DC163+'COGS + SG&amp;A'!DC191</f>
        <v>0</v>
      </c>
      <c r="DD160" s="28">
        <f>'COGS + SG&amp;A'!DD51+'COGS + SG&amp;A'!DD79+'COGS + SG&amp;A'!DD107+'COGS + SG&amp;A'!DD163+'COGS + SG&amp;A'!DD191</f>
        <v>0</v>
      </c>
      <c r="DE160" s="28">
        <f>'COGS + SG&amp;A'!DE51+'COGS + SG&amp;A'!DE79+'COGS + SG&amp;A'!DE107+'COGS + SG&amp;A'!DE163+'COGS + SG&amp;A'!DE191</f>
        <v>0</v>
      </c>
      <c r="DF160" s="28">
        <f>'COGS + SG&amp;A'!DF51+'COGS + SG&amp;A'!DF79+'COGS + SG&amp;A'!DF107+'COGS + SG&amp;A'!DF163+'COGS + SG&amp;A'!DF191</f>
        <v>0</v>
      </c>
      <c r="DG160" s="28">
        <f>'COGS + SG&amp;A'!DG51+'COGS + SG&amp;A'!DG79+'COGS + SG&amp;A'!DG107+'COGS + SG&amp;A'!DG163+'COGS + SG&amp;A'!DG191</f>
        <v>0</v>
      </c>
      <c r="DH160" s="28">
        <f>'COGS + SG&amp;A'!DH51+'COGS + SG&amp;A'!DH79+'COGS + SG&amp;A'!DH107+'COGS + SG&amp;A'!DH163+'COGS + SG&amp;A'!DH191</f>
        <v>0</v>
      </c>
      <c r="DI160" s="28">
        <f>'COGS + SG&amp;A'!DI51+'COGS + SG&amp;A'!DI79+'COGS + SG&amp;A'!DI107+'COGS + SG&amp;A'!DI163+'COGS + SG&amp;A'!DI191</f>
        <v>0</v>
      </c>
      <c r="DJ160" s="28">
        <f>'COGS + SG&amp;A'!DJ51+'COGS + SG&amp;A'!DJ79+'COGS + SG&amp;A'!DJ107+'COGS + SG&amp;A'!DJ163+'COGS + SG&amp;A'!DJ191</f>
        <v>0</v>
      </c>
      <c r="DK160" s="28">
        <f>'COGS + SG&amp;A'!DK51+'COGS + SG&amp;A'!DK79+'COGS + SG&amp;A'!DK107+'COGS + SG&amp;A'!DK163+'COGS + SG&amp;A'!DK191</f>
        <v>0</v>
      </c>
      <c r="DL160" s="28">
        <f>'COGS + SG&amp;A'!DL51+'COGS + SG&amp;A'!DL79+'COGS + SG&amp;A'!DL107+'COGS + SG&amp;A'!DL163+'COGS + SG&amp;A'!DL191</f>
        <v>0</v>
      </c>
      <c r="DM160" s="28">
        <f>'COGS + SG&amp;A'!DM51+'COGS + SG&amp;A'!DM79+'COGS + SG&amp;A'!DM107+'COGS + SG&amp;A'!DM163+'COGS + SG&amp;A'!DM191</f>
        <v>0</v>
      </c>
      <c r="DN160" s="28">
        <f>'COGS + SG&amp;A'!DN51+'COGS + SG&amp;A'!DN79+'COGS + SG&amp;A'!DN107+'COGS + SG&amp;A'!DN163+'COGS + SG&amp;A'!DN191</f>
        <v>0</v>
      </c>
      <c r="DO160" s="28">
        <f>'COGS + SG&amp;A'!DO51+'COGS + SG&amp;A'!DO79+'COGS + SG&amp;A'!DO107+'COGS + SG&amp;A'!DO163+'COGS + SG&amp;A'!DO191</f>
        <v>0</v>
      </c>
      <c r="DP160" s="28">
        <f>'COGS + SG&amp;A'!DP51+'COGS + SG&amp;A'!DP79+'COGS + SG&amp;A'!DP107+'COGS + SG&amp;A'!DP163+'COGS + SG&amp;A'!DP191</f>
        <v>0</v>
      </c>
      <c r="DQ160" s="28">
        <f>'COGS + SG&amp;A'!DQ51+'COGS + SG&amp;A'!DQ79+'COGS + SG&amp;A'!DQ107+'COGS + SG&amp;A'!DQ163+'COGS + SG&amp;A'!DQ191</f>
        <v>0</v>
      </c>
      <c r="DR160" s="28">
        <f>'COGS + SG&amp;A'!DR51+'COGS + SG&amp;A'!DR79+'COGS + SG&amp;A'!DR107+'COGS + SG&amp;A'!DR163+'COGS + SG&amp;A'!DR191</f>
        <v>0</v>
      </c>
      <c r="DS160" s="28">
        <f>'COGS + SG&amp;A'!DS51+'COGS + SG&amp;A'!DS79+'COGS + SG&amp;A'!DS107+'COGS + SG&amp;A'!DS163+'COGS + SG&amp;A'!DS191</f>
        <v>0</v>
      </c>
      <c r="DT160" s="28">
        <f>'COGS + SG&amp;A'!DT51+'COGS + SG&amp;A'!DT79+'COGS + SG&amp;A'!DT107+'COGS + SG&amp;A'!DT163+'COGS + SG&amp;A'!DT191</f>
        <v>0</v>
      </c>
      <c r="DU160" s="28">
        <f>'COGS + SG&amp;A'!DU51+'COGS + SG&amp;A'!DU79+'COGS + SG&amp;A'!DU107+'COGS + SG&amp;A'!DU163+'COGS + SG&amp;A'!DU191</f>
        <v>0</v>
      </c>
      <c r="DV160" s="28">
        <f>'COGS + SG&amp;A'!DV51+'COGS + SG&amp;A'!DV79+'COGS + SG&amp;A'!DV107+'COGS + SG&amp;A'!DV163+'COGS + SG&amp;A'!DV191</f>
        <v>0</v>
      </c>
      <c r="DW160" s="28">
        <f>'COGS + SG&amp;A'!DW51+'COGS + SG&amp;A'!DW79+'COGS + SG&amp;A'!DW107+'COGS + SG&amp;A'!DW163+'COGS + SG&amp;A'!DW191</f>
        <v>0</v>
      </c>
      <c r="DX160" s="28">
        <f>'COGS + SG&amp;A'!DX51+'COGS + SG&amp;A'!DX79+'COGS + SG&amp;A'!DX107+'COGS + SG&amp;A'!DX163+'COGS + SG&amp;A'!DX191</f>
        <v>0</v>
      </c>
      <c r="DY160" s="28">
        <f>'COGS + SG&amp;A'!DY51+'COGS + SG&amp;A'!DY79+'COGS + SG&amp;A'!DY107+'COGS + SG&amp;A'!DY163+'COGS + SG&amp;A'!DY191</f>
        <v>0</v>
      </c>
      <c r="DZ160" s="28">
        <f>'COGS + SG&amp;A'!DZ51+'COGS + SG&amp;A'!DZ79+'COGS + SG&amp;A'!DZ107+'COGS + SG&amp;A'!DZ163+'COGS + SG&amp;A'!DZ191</f>
        <v>0</v>
      </c>
      <c r="EA160" s="28">
        <f>'COGS + SG&amp;A'!EA51+'COGS + SG&amp;A'!EA79+'COGS + SG&amp;A'!EA107+'COGS + SG&amp;A'!EA163+'COGS + SG&amp;A'!EA191</f>
        <v>0</v>
      </c>
      <c r="EB160" s="28">
        <f>'COGS + SG&amp;A'!EB51+'COGS + SG&amp;A'!EB79+'COGS + SG&amp;A'!EB107+'COGS + SG&amp;A'!EB163+'COGS + SG&amp;A'!EB191</f>
        <v>0</v>
      </c>
      <c r="EC160" s="28">
        <f>'COGS + SG&amp;A'!EC51+'COGS + SG&amp;A'!EC79+'COGS + SG&amp;A'!EC107+'COGS + SG&amp;A'!EC163+'COGS + SG&amp;A'!EC191</f>
        <v>0</v>
      </c>
      <c r="ED160" s="28">
        <f>'COGS + SG&amp;A'!ED51+'COGS + SG&amp;A'!ED79+'COGS + SG&amp;A'!ED107+'COGS + SG&amp;A'!ED163+'COGS + SG&amp;A'!ED191</f>
        <v>0</v>
      </c>
      <c r="EE160" s="28">
        <f>'COGS + SG&amp;A'!EE51+'COGS + SG&amp;A'!EE79+'COGS + SG&amp;A'!EE107+'COGS + SG&amp;A'!EE163+'COGS + SG&amp;A'!EE191</f>
        <v>0</v>
      </c>
      <c r="EF160" s="28">
        <f>'COGS + SG&amp;A'!EF51+'COGS + SG&amp;A'!EF79+'COGS + SG&amp;A'!EF107+'COGS + SG&amp;A'!EF163+'COGS + SG&amp;A'!EF191</f>
        <v>0</v>
      </c>
      <c r="EG160" s="28">
        <f>'COGS + SG&amp;A'!EG51+'COGS + SG&amp;A'!EG79+'COGS + SG&amp;A'!EG107+'COGS + SG&amp;A'!EG163+'COGS + SG&amp;A'!EG191</f>
        <v>0</v>
      </c>
      <c r="EH160" s="28">
        <f>'COGS + SG&amp;A'!EH51+'COGS + SG&amp;A'!EH79+'COGS + SG&amp;A'!EH107+'COGS + SG&amp;A'!EH163+'COGS + SG&amp;A'!EH191</f>
        <v>0</v>
      </c>
      <c r="EI160" s="28">
        <f>'COGS + SG&amp;A'!EI51+'COGS + SG&amp;A'!EI79+'COGS + SG&amp;A'!EI107+'COGS + SG&amp;A'!EI163+'COGS + SG&amp;A'!EI191</f>
        <v>0</v>
      </c>
    </row>
    <row r="161" spans="1:139" ht="15" thickTop="1" x14ac:dyDescent="0.3">
      <c r="A161" s="1" t="s">
        <v>338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27">
        <f>'COGS + SG&amp;A'!BJ52+'COGS + SG&amp;A'!BJ80+'COGS + SG&amp;A'!BJ108+'COGS + SG&amp;A'!BJ164+'COGS + SG&amp;A'!BJ192</f>
        <v>4.9022254900000011</v>
      </c>
      <c r="BK161" s="27">
        <f>'COGS + SG&amp;A'!BK52+'COGS + SG&amp;A'!BK80+'COGS + SG&amp;A'!BK108+'COGS + SG&amp;A'!BK164+'COGS + SG&amp;A'!BK192</f>
        <v>4.1859401399999996</v>
      </c>
      <c r="BL161" s="27">
        <f>'COGS + SG&amp;A'!BL52+'COGS + SG&amp;A'!BL80+'COGS + SG&amp;A'!BL108+'COGS + SG&amp;A'!BL164+'COGS + SG&amp;A'!BL192</f>
        <v>4.4555900299999998</v>
      </c>
      <c r="BM161" s="27">
        <f>'COGS + SG&amp;A'!BM52+'COGS + SG&amp;A'!BM80+'COGS + SG&amp;A'!BM108+'COGS + SG&amp;A'!BM164+'COGS + SG&amp;A'!BM192</f>
        <v>5.1327988900000001</v>
      </c>
      <c r="BN161" s="27">
        <f>'COGS + SG&amp;A'!BN52+'COGS + SG&amp;A'!BN80+'COGS + SG&amp;A'!BN108+'COGS + SG&amp;A'!BN164+'COGS + SG&amp;A'!BN192</f>
        <v>18.676554549999999</v>
      </c>
      <c r="BO161" s="27">
        <f>'COGS + SG&amp;A'!BO52+'COGS + SG&amp;A'!BO80+'COGS + SG&amp;A'!BO108+'COGS + SG&amp;A'!BO164+'COGS + SG&amp;A'!BO192</f>
        <v>4.8821970100000005</v>
      </c>
      <c r="BP161" s="27">
        <f>'COGS + SG&amp;A'!BP52+'COGS + SG&amp;A'!BP80+'COGS + SG&amp;A'!BP108+'COGS + SG&amp;A'!BP164+'COGS + SG&amp;A'!BP192</f>
        <v>4.8766883699999992</v>
      </c>
      <c r="BQ161" s="27">
        <f>'COGS + SG&amp;A'!BQ52+'COGS + SG&amp;A'!BQ80+'COGS + SG&amp;A'!BQ108+'COGS + SG&amp;A'!BQ164+'COGS + SG&amp;A'!BQ192</f>
        <v>5.9026731600000009</v>
      </c>
      <c r="BR161" s="27">
        <f>'COGS + SG&amp;A'!BR52+'COGS + SG&amp;A'!BR80+'COGS + SG&amp;A'!BR108+'COGS + SG&amp;A'!BR164+'COGS + SG&amp;A'!BR192</f>
        <v>6.5055966299999994</v>
      </c>
      <c r="BS161" s="27">
        <f>'COGS + SG&amp;A'!BS52+'COGS + SG&amp;A'!BS80+'COGS + SG&amp;A'!BS108+'COGS + SG&amp;A'!BS164+'COGS + SG&amp;A'!BS192</f>
        <v>22.167155170000001</v>
      </c>
      <c r="BT161" s="27">
        <f>'COGS + SG&amp;A'!BT52+'COGS + SG&amp;A'!BT80+'COGS + SG&amp;A'!BT108+'COGS + SG&amp;A'!BT164+'COGS + SG&amp;A'!BT192</f>
        <v>0</v>
      </c>
      <c r="BU161" s="27">
        <f>'COGS + SG&amp;A'!BU52+'COGS + SG&amp;A'!BU80+'COGS + SG&amp;A'!BU108+'COGS + SG&amp;A'!BU164+'COGS + SG&amp;A'!BU192</f>
        <v>0</v>
      </c>
      <c r="BV161" s="27">
        <f>'COGS + SG&amp;A'!BV52+'COGS + SG&amp;A'!BV80+'COGS + SG&amp;A'!BV108+'COGS + SG&amp;A'!BV164+'COGS + SG&amp;A'!BV192</f>
        <v>0</v>
      </c>
      <c r="BW161" s="27">
        <f>'COGS + SG&amp;A'!BW52+'COGS + SG&amp;A'!BW80+'COGS + SG&amp;A'!BW108+'COGS + SG&amp;A'!BW164+'COGS + SG&amp;A'!BW192</f>
        <v>0</v>
      </c>
      <c r="BX161" s="27">
        <f>'COGS + SG&amp;A'!BX52+'COGS + SG&amp;A'!BX80+'COGS + SG&amp;A'!BX108+'COGS + SG&amp;A'!BX164+'COGS + SG&amp;A'!BX192</f>
        <v>0</v>
      </c>
      <c r="BY161" s="27">
        <f>'COGS + SG&amp;A'!BY52+'COGS + SG&amp;A'!BY80+'COGS + SG&amp;A'!BY108+'COGS + SG&amp;A'!BY164+'COGS + SG&amp;A'!BY192</f>
        <v>0</v>
      </c>
      <c r="BZ161" s="27">
        <f>'COGS + SG&amp;A'!BZ52+'COGS + SG&amp;A'!BZ80+'COGS + SG&amp;A'!BZ108+'COGS + SG&amp;A'!BZ164+'COGS + SG&amp;A'!BZ192</f>
        <v>0</v>
      </c>
      <c r="CA161" s="27">
        <f>'COGS + SG&amp;A'!CA52+'COGS + SG&amp;A'!CA80+'COGS + SG&amp;A'!CA108+'COGS + SG&amp;A'!CA164+'COGS + SG&amp;A'!CA192</f>
        <v>0</v>
      </c>
      <c r="CB161" s="27">
        <f>'COGS + SG&amp;A'!CB52+'COGS + SG&amp;A'!CB80+'COGS + SG&amp;A'!CB108+'COGS + SG&amp;A'!CB164+'COGS + SG&amp;A'!CB192</f>
        <v>0</v>
      </c>
      <c r="CC161" s="27">
        <f>'COGS + SG&amp;A'!CC52+'COGS + SG&amp;A'!CC80+'COGS + SG&amp;A'!CC108+'COGS + SG&amp;A'!CC164+'COGS + SG&amp;A'!CC192</f>
        <v>0</v>
      </c>
      <c r="CD161" s="27">
        <f>'COGS + SG&amp;A'!CD52+'COGS + SG&amp;A'!CD80+'COGS + SG&amp;A'!CD108+'COGS + SG&amp;A'!CD164+'COGS + SG&amp;A'!CD192</f>
        <v>0</v>
      </c>
      <c r="CE161" s="27">
        <f>'COGS + SG&amp;A'!CE52+'COGS + SG&amp;A'!CE80+'COGS + SG&amp;A'!CE108+'COGS + SG&amp;A'!CE164+'COGS + SG&amp;A'!CE192</f>
        <v>0</v>
      </c>
      <c r="CF161" s="27">
        <f>'COGS + SG&amp;A'!CF52+'COGS + SG&amp;A'!CF80+'COGS + SG&amp;A'!CF108+'COGS + SG&amp;A'!CF164+'COGS + SG&amp;A'!CF192</f>
        <v>0</v>
      </c>
      <c r="CG161" s="27">
        <f>'COGS + SG&amp;A'!CG52+'COGS + SG&amp;A'!CG80+'COGS + SG&amp;A'!CG108+'COGS + SG&amp;A'!CG164+'COGS + SG&amp;A'!CG192</f>
        <v>0</v>
      </c>
      <c r="CH161" s="27">
        <f>'COGS + SG&amp;A'!CH52+'COGS + SG&amp;A'!CH80+'COGS + SG&amp;A'!CH108+'COGS + SG&amp;A'!CH164+'COGS + SG&amp;A'!CH192</f>
        <v>0</v>
      </c>
      <c r="CI161" s="27">
        <f>'COGS + SG&amp;A'!CI52+'COGS + SG&amp;A'!CI80+'COGS + SG&amp;A'!CI108+'COGS + SG&amp;A'!CI164+'COGS + SG&amp;A'!CI192</f>
        <v>0</v>
      </c>
      <c r="CJ161" s="27">
        <f>'COGS + SG&amp;A'!CJ52+'COGS + SG&amp;A'!CJ80+'COGS + SG&amp;A'!CJ108+'COGS + SG&amp;A'!CJ164+'COGS + SG&amp;A'!CJ192</f>
        <v>0</v>
      </c>
      <c r="CK161" s="27">
        <f>'COGS + SG&amp;A'!CK52+'COGS + SG&amp;A'!CK80+'COGS + SG&amp;A'!CK108+'COGS + SG&amp;A'!CK164+'COGS + SG&amp;A'!CK192</f>
        <v>0</v>
      </c>
      <c r="CL161" s="27">
        <f>'COGS + SG&amp;A'!CL52+'COGS + SG&amp;A'!CL80+'COGS + SG&amp;A'!CL108+'COGS + SG&amp;A'!CL164+'COGS + SG&amp;A'!CL192</f>
        <v>0</v>
      </c>
      <c r="CM161" s="27">
        <f>'COGS + SG&amp;A'!CM52+'COGS + SG&amp;A'!CM80+'COGS + SG&amp;A'!CM108+'COGS + SG&amp;A'!CM164+'COGS + SG&amp;A'!CM192</f>
        <v>0</v>
      </c>
      <c r="CN161" s="27">
        <f>'COGS + SG&amp;A'!CN52+'COGS + SG&amp;A'!CN80+'COGS + SG&amp;A'!CN108+'COGS + SG&amp;A'!CN164+'COGS + SG&amp;A'!CN192</f>
        <v>0</v>
      </c>
      <c r="CO161" s="27">
        <f>'COGS + SG&amp;A'!CO52+'COGS + SG&amp;A'!CO80+'COGS + SG&amp;A'!CO108+'COGS + SG&amp;A'!CO164+'COGS + SG&amp;A'!CO192</f>
        <v>0</v>
      </c>
      <c r="CP161" s="27">
        <f>'COGS + SG&amp;A'!CP52+'COGS + SG&amp;A'!CP80+'COGS + SG&amp;A'!CP108+'COGS + SG&amp;A'!CP164+'COGS + SG&amp;A'!CP192</f>
        <v>0</v>
      </c>
      <c r="CQ161" s="27">
        <f>'COGS + SG&amp;A'!CQ52+'COGS + SG&amp;A'!CQ80+'COGS + SG&amp;A'!CQ108+'COGS + SG&amp;A'!CQ164+'COGS + SG&amp;A'!CQ192</f>
        <v>1.5459999999999998</v>
      </c>
      <c r="CR161" s="27">
        <f>'COGS + SG&amp;A'!CR52+'COGS + SG&amp;A'!CR80+'COGS + SG&amp;A'!CR108+'COGS + SG&amp;A'!CR164+'COGS + SG&amp;A'!CR192</f>
        <v>1.5459999999999998</v>
      </c>
      <c r="CS161" s="27">
        <f>'COGS + SG&amp;A'!CS52+'COGS + SG&amp;A'!CS80+'COGS + SG&amp;A'!CS108+'COGS + SG&amp;A'!CS164+'COGS + SG&amp;A'!CS192</f>
        <v>0.371</v>
      </c>
      <c r="CT161" s="27">
        <f>'COGS + SG&amp;A'!CT52+'COGS + SG&amp;A'!CT80+'COGS + SG&amp;A'!CT108+'COGS + SG&amp;A'!CT164+'COGS + SG&amp;A'!CT192</f>
        <v>0.34799999999999998</v>
      </c>
      <c r="CU161" s="27">
        <f>'COGS + SG&amp;A'!CU52+'COGS + SG&amp;A'!CU80+'COGS + SG&amp;A'!CU108+'COGS + SG&amp;A'!CU164+'COGS + SG&amp;A'!CU192</f>
        <v>0.50900000000000012</v>
      </c>
      <c r="CV161" s="27">
        <f>'COGS + SG&amp;A'!CV52+'COGS + SG&amp;A'!CV80+'COGS + SG&amp;A'!CV108+'COGS + SG&amp;A'!CV164+'COGS + SG&amp;A'!CV192</f>
        <v>0.59399999999999997</v>
      </c>
      <c r="CW161" s="27">
        <f>'COGS + SG&amp;A'!CW52+'COGS + SG&amp;A'!CW80+'COGS + SG&amp;A'!CW108+'COGS + SG&amp;A'!CW164+'COGS + SG&amp;A'!CW192</f>
        <v>1.8220000000000001</v>
      </c>
      <c r="CX161" s="27">
        <f>'COGS + SG&amp;A'!CX52+'COGS + SG&amp;A'!CX80+'COGS + SG&amp;A'!CX108+'COGS + SG&amp;A'!CX164+'COGS + SG&amp;A'!CX192</f>
        <v>0.42099999999999999</v>
      </c>
      <c r="CY161" s="27">
        <f>'COGS + SG&amp;A'!CY52+'COGS + SG&amp;A'!CY80+'COGS + SG&amp;A'!CY108+'COGS + SG&amp;A'!CY164+'COGS + SG&amp;A'!CY192</f>
        <v>0.41099999999999998</v>
      </c>
      <c r="CZ161" s="27">
        <f>'COGS + SG&amp;A'!CZ52+'COGS + SG&amp;A'!CZ80+'COGS + SG&amp;A'!CZ108+'COGS + SG&amp;A'!CZ164+'COGS + SG&amp;A'!CZ192</f>
        <v>0.51100000000000001</v>
      </c>
      <c r="DA161" s="27">
        <f>'COGS + SG&amp;A'!DA52+'COGS + SG&amp;A'!DA80+'COGS + SG&amp;A'!DA108+'COGS + SG&amp;A'!DA164+'COGS + SG&amp;A'!DA192</f>
        <v>0.60699999999999998</v>
      </c>
      <c r="DB161" s="27">
        <f>'COGS + SG&amp;A'!DB52+'COGS + SG&amp;A'!DB80+'COGS + SG&amp;A'!DB108+'COGS + SG&amp;A'!DB164+'COGS + SG&amp;A'!DB192</f>
        <v>1.95</v>
      </c>
      <c r="DC161" s="27">
        <f>'COGS + SG&amp;A'!DC52+'COGS + SG&amp;A'!DC80+'COGS + SG&amp;A'!DC108+'COGS + SG&amp;A'!DC164+'COGS + SG&amp;A'!DC192</f>
        <v>0.45799999999999996</v>
      </c>
      <c r="DD161" s="27">
        <f>'COGS + SG&amp;A'!DD52+'COGS + SG&amp;A'!DD80+'COGS + SG&amp;A'!DD108+'COGS + SG&amp;A'!DD164+'COGS + SG&amp;A'!DD192</f>
        <v>0.66</v>
      </c>
      <c r="DE161" s="27">
        <f>'COGS + SG&amp;A'!DE52+'COGS + SG&amp;A'!DE80+'COGS + SG&amp;A'!DE108+'COGS + SG&amp;A'!DE164+'COGS + SG&amp;A'!DE192</f>
        <v>0.6100000000000001</v>
      </c>
      <c r="DF161" s="27">
        <f>'COGS + SG&amp;A'!DF52+'COGS + SG&amp;A'!DF80+'COGS + SG&amp;A'!DF108+'COGS + SG&amp;A'!DF164+'COGS + SG&amp;A'!DF192</f>
        <v>0.63300000000000012</v>
      </c>
      <c r="DG161" s="27">
        <f>'COGS + SG&amp;A'!DG52+'COGS + SG&amp;A'!DG80+'COGS + SG&amp;A'!DG108+'COGS + SG&amp;A'!DG164+'COGS + SG&amp;A'!DG192</f>
        <v>2.3610000000000002</v>
      </c>
      <c r="DH161" s="27">
        <f>'COGS + SG&amp;A'!DH52+'COGS + SG&amp;A'!DH80+'COGS + SG&amp;A'!DH108+'COGS + SG&amp;A'!DH164+'COGS + SG&amp;A'!DH192</f>
        <v>0.56500000000000006</v>
      </c>
      <c r="DI161" s="27">
        <f>'COGS + SG&amp;A'!DI52+'COGS + SG&amp;A'!DI80+'COGS + SG&amp;A'!DI108+'COGS + SG&amp;A'!DI164+'COGS + SG&amp;A'!DI192</f>
        <v>0.39999999999999997</v>
      </c>
      <c r="DJ161" s="27">
        <f>'COGS + SG&amp;A'!DJ52+'COGS + SG&amp;A'!DJ80+'COGS + SG&amp;A'!DJ108+'COGS + SG&amp;A'!DJ164+'COGS + SG&amp;A'!DJ192</f>
        <v>0.68100000000000005</v>
      </c>
      <c r="DK161" s="27">
        <f>'COGS + SG&amp;A'!DK52+'COGS + SG&amp;A'!DK80+'COGS + SG&amp;A'!DK108+'COGS + SG&amp;A'!DK164+'COGS + SG&amp;A'!DK192</f>
        <v>-1.1740000000000002</v>
      </c>
      <c r="DL161" s="27">
        <f>'COGS + SG&amp;A'!DL52+'COGS + SG&amp;A'!DL80+'COGS + SG&amp;A'!DL108+'COGS + SG&amp;A'!DL164+'COGS + SG&amp;A'!DL192</f>
        <v>0.4720000000000002</v>
      </c>
      <c r="DM161" s="27">
        <f>'COGS + SG&amp;A'!DM52+'COGS + SG&amp;A'!DM80+'COGS + SG&amp;A'!DM108+'COGS + SG&amp;A'!DM164+'COGS + SG&amp;A'!DM192</f>
        <v>0.36399999999999999</v>
      </c>
      <c r="DN161" s="27">
        <f>'COGS + SG&amp;A'!DN52+'COGS + SG&amp;A'!DN80+'COGS + SG&amp;A'!DN108+'COGS + SG&amp;A'!DN164+'COGS + SG&amp;A'!DN192</f>
        <v>0.626</v>
      </c>
      <c r="DO161" s="27">
        <f>'COGS + SG&amp;A'!DO52+'COGS + SG&amp;A'!DO80+'COGS + SG&amp;A'!DO108+'COGS + SG&amp;A'!DO164+'COGS + SG&amp;A'!DO192</f>
        <v>0.70900000000000007</v>
      </c>
      <c r="DP161" s="27">
        <f>'COGS + SG&amp;A'!DP52+'COGS + SG&amp;A'!DP80+'COGS + SG&amp;A'!DP108+'COGS + SG&amp;A'!DP164+'COGS + SG&amp;A'!DP192</f>
        <v>0.89999999999999991</v>
      </c>
      <c r="DQ161" s="27">
        <f>'COGS + SG&amp;A'!DQ52+'COGS + SG&amp;A'!DQ80+'COGS + SG&amp;A'!DQ108+'COGS + SG&amp;A'!DQ164+'COGS + SG&amp;A'!DQ192</f>
        <v>2.5989999999999998</v>
      </c>
      <c r="DR161" s="27">
        <f>'COGS + SG&amp;A'!DR52+'COGS + SG&amp;A'!DR80+'COGS + SG&amp;A'!DR108+'COGS + SG&amp;A'!DR164+'COGS + SG&amp;A'!DR192</f>
        <v>0.51</v>
      </c>
      <c r="DS161" s="27">
        <f>'COGS + SG&amp;A'!DS52+'COGS + SG&amp;A'!DS80+'COGS + SG&amp;A'!DS108+'COGS + SG&amp;A'!DS164+'COGS + SG&amp;A'!DS192</f>
        <v>0.432</v>
      </c>
      <c r="DT161" s="27">
        <f>'COGS + SG&amp;A'!DT52+'COGS + SG&amp;A'!DT80+'COGS + SG&amp;A'!DT108+'COGS + SG&amp;A'!DT164+'COGS + SG&amp;A'!DT192</f>
        <v>0.81299999999999994</v>
      </c>
      <c r="DU161" s="27">
        <f>'COGS + SG&amp;A'!DU52+'COGS + SG&amp;A'!DU80+'COGS + SG&amp;A'!DU108+'COGS + SG&amp;A'!DU164+'COGS + SG&amp;A'!DU192</f>
        <v>0.47800000000000004</v>
      </c>
      <c r="DV161" s="27">
        <f>'COGS + SG&amp;A'!DV52+'COGS + SG&amp;A'!DV80+'COGS + SG&amp;A'!DV108+'COGS + SG&amp;A'!DV164+'COGS + SG&amp;A'!DV192</f>
        <v>2.2330000000000001</v>
      </c>
      <c r="DW161" s="27">
        <f>'COGS + SG&amp;A'!DW52+'COGS + SG&amp;A'!DW80+'COGS + SG&amp;A'!DW108+'COGS + SG&amp;A'!DW164+'COGS + SG&amp;A'!DW192</f>
        <v>0.44400000000000001</v>
      </c>
      <c r="DX161" s="27">
        <f>'COGS + SG&amp;A'!DX52+'COGS + SG&amp;A'!DX80+'COGS + SG&amp;A'!DX108+'COGS + SG&amp;A'!DX164+'COGS + SG&amp;A'!DX192</f>
        <v>0.18711861000000002</v>
      </c>
      <c r="DY161" s="27">
        <f>'COGS + SG&amp;A'!DY52+'COGS + SG&amp;A'!DY80+'COGS + SG&amp;A'!DY108+'COGS + SG&amp;A'!DY164+'COGS + SG&amp;A'!DY192</f>
        <v>0.88038284</v>
      </c>
      <c r="DZ161" s="27">
        <f>'COGS + SG&amp;A'!DZ52+'COGS + SG&amp;A'!DZ80+'COGS + SG&amp;A'!DZ108+'COGS + SG&amp;A'!DZ164+'COGS + SG&amp;A'!DZ192</f>
        <v>0.53003139999999993</v>
      </c>
      <c r="EA161" s="27">
        <f>'COGS + SG&amp;A'!EA52+'COGS + SG&amp;A'!EA80+'COGS + SG&amp;A'!EA108+'COGS + SG&amp;A'!EA164+'COGS + SG&amp;A'!EA192</f>
        <v>2.0415328499999998</v>
      </c>
      <c r="EB161" s="27">
        <f>'COGS + SG&amp;A'!EB52+'COGS + SG&amp;A'!EB80+'COGS + SG&amp;A'!EB108+'COGS + SG&amp;A'!EB164+'COGS + SG&amp;A'!EB192</f>
        <v>0.50187630000000005</v>
      </c>
      <c r="EC161" s="27">
        <f>'COGS + SG&amp;A'!EC52+'COGS + SG&amp;A'!EC80+'COGS + SG&amp;A'!EC108+'COGS + SG&amp;A'!EC164+'COGS + SG&amp;A'!EC192</f>
        <v>0.43083956000000001</v>
      </c>
      <c r="ED161" s="27">
        <f>'COGS + SG&amp;A'!ED52+'COGS + SG&amp;A'!ED80+'COGS + SG&amp;A'!ED108+'COGS + SG&amp;A'!ED164+'COGS + SG&amp;A'!ED192</f>
        <v>0.43699999999999994</v>
      </c>
      <c r="EE161" s="27">
        <f>'COGS + SG&amp;A'!EE52+'COGS + SG&amp;A'!EE80+'COGS + SG&amp;A'!EE108+'COGS + SG&amp;A'!EE164+'COGS + SG&amp;A'!EE192</f>
        <v>0.84678765999999994</v>
      </c>
      <c r="EF161" s="27">
        <f>'COGS + SG&amp;A'!EF52+'COGS + SG&amp;A'!EF80+'COGS + SG&amp;A'!EF108+'COGS + SG&amp;A'!EF164+'COGS + SG&amp;A'!EF192</f>
        <v>2.2165035199999998</v>
      </c>
      <c r="EG161" s="27">
        <f>'COGS + SG&amp;A'!EG52+'COGS + SG&amp;A'!EG80+'COGS + SG&amp;A'!EG108+'COGS + SG&amp;A'!EG164+'COGS + SG&amp;A'!EG192</f>
        <v>0.55202185000000004</v>
      </c>
      <c r="EH161" s="27">
        <f>'COGS + SG&amp;A'!EH52+'COGS + SG&amp;A'!EH80+'COGS + SG&amp;A'!EH108+'COGS + SG&amp;A'!EH164+'COGS + SG&amp;A'!EH192</f>
        <v>-0.10234797999999995</v>
      </c>
      <c r="EI161" s="27">
        <f>'COGS + SG&amp;A'!EI52+'COGS + SG&amp;A'!EI80+'COGS + SG&amp;A'!EI108+'COGS + SG&amp;A'!EI164+'COGS + SG&amp;A'!EI192</f>
        <v>1.52717295</v>
      </c>
    </row>
    <row r="162" spans="1:139" ht="15" thickBot="1" x14ac:dyDescent="0.35">
      <c r="A162" s="2" t="s">
        <v>331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28">
        <f>'COGS + SG&amp;A'!BJ53+'COGS + SG&amp;A'!BJ81+'COGS + SG&amp;A'!BJ109+'COGS + SG&amp;A'!BJ165+'COGS + SG&amp;A'!BJ193</f>
        <v>10.568647330000001</v>
      </c>
      <c r="BK162" s="28">
        <f>'COGS + SG&amp;A'!BK53+'COGS + SG&amp;A'!BK81+'COGS + SG&amp;A'!BK109+'COGS + SG&amp;A'!BK165+'COGS + SG&amp;A'!BK193</f>
        <v>8.1330636199999997</v>
      </c>
      <c r="BL162" s="28">
        <f>'COGS + SG&amp;A'!BL53+'COGS + SG&amp;A'!BL81+'COGS + SG&amp;A'!BL109+'COGS + SG&amp;A'!BL165+'COGS + SG&amp;A'!BL193</f>
        <v>9.4307018700000036</v>
      </c>
      <c r="BM162" s="28">
        <f>'COGS + SG&amp;A'!BM53+'COGS + SG&amp;A'!BM81+'COGS + SG&amp;A'!BM109+'COGS + SG&amp;A'!BM165+'COGS + SG&amp;A'!BM193</f>
        <v>9.06482411</v>
      </c>
      <c r="BN162" s="28">
        <f>'COGS + SG&amp;A'!BN53+'COGS + SG&amp;A'!BN81+'COGS + SG&amp;A'!BN109+'COGS + SG&amp;A'!BN165+'COGS + SG&amp;A'!BN193</f>
        <v>37.197236930000003</v>
      </c>
      <c r="BO162" s="28">
        <f>'COGS + SG&amp;A'!BO53+'COGS + SG&amp;A'!BO81+'COGS + SG&amp;A'!BO109+'COGS + SG&amp;A'!BO165+'COGS + SG&amp;A'!BO193</f>
        <v>8.4053246000000001</v>
      </c>
      <c r="BP162" s="28">
        <f>'COGS + SG&amp;A'!BP53+'COGS + SG&amp;A'!BP81+'COGS + SG&amp;A'!BP109+'COGS + SG&amp;A'!BP165+'COGS + SG&amp;A'!BP193</f>
        <v>9.590308030000001</v>
      </c>
      <c r="BQ162" s="28">
        <f>'COGS + SG&amp;A'!BQ53+'COGS + SG&amp;A'!BQ81+'COGS + SG&amp;A'!BQ109+'COGS + SG&amp;A'!BQ165+'COGS + SG&amp;A'!BQ193</f>
        <v>9.9339981699999989</v>
      </c>
      <c r="BR162" s="28">
        <f>'COGS + SG&amp;A'!BR53+'COGS + SG&amp;A'!BR81+'COGS + SG&amp;A'!BR109+'COGS + SG&amp;A'!BR165+'COGS + SG&amp;A'!BR193</f>
        <v>12.662836090000001</v>
      </c>
      <c r="BS162" s="28">
        <f>'COGS + SG&amp;A'!BS53+'COGS + SG&amp;A'!BS81+'COGS + SG&amp;A'!BS109+'COGS + SG&amp;A'!BS165+'COGS + SG&amp;A'!BS193</f>
        <v>40.592466890000004</v>
      </c>
      <c r="BT162" s="28">
        <f>'COGS + SG&amp;A'!BT53+'COGS + SG&amp;A'!BT81+'COGS + SG&amp;A'!BT109+'COGS + SG&amp;A'!BT165+'COGS + SG&amp;A'!BT193</f>
        <v>14.6558726</v>
      </c>
      <c r="BU162" s="28">
        <f>'COGS + SG&amp;A'!BU53+'COGS + SG&amp;A'!BU81+'COGS + SG&amp;A'!BU109+'COGS + SG&amp;A'!BU165+'COGS + SG&amp;A'!BU193</f>
        <v>13.514993220000001</v>
      </c>
      <c r="BV162" s="28">
        <f>'COGS + SG&amp;A'!BV53+'COGS + SG&amp;A'!BV81+'COGS + SG&amp;A'!BV109+'COGS + SG&amp;A'!BV165+'COGS + SG&amp;A'!BV193</f>
        <v>14.391036140000001</v>
      </c>
      <c r="BW162" s="28">
        <f>'COGS + SG&amp;A'!BW53+'COGS + SG&amp;A'!BW81+'COGS + SG&amp;A'!BW109+'COGS + SG&amp;A'!BW165+'COGS + SG&amp;A'!BW193</f>
        <v>13.164333950000001</v>
      </c>
      <c r="BX162" s="28">
        <f>'COGS + SG&amp;A'!BX53+'COGS + SG&amp;A'!BX81+'COGS + SG&amp;A'!BX109+'COGS + SG&amp;A'!BX165+'COGS + SG&amp;A'!BX193</f>
        <v>55.726235910000007</v>
      </c>
      <c r="BY162" s="28">
        <f>'COGS + SG&amp;A'!BY53+'COGS + SG&amp;A'!BY81+'COGS + SG&amp;A'!BY109+'COGS + SG&amp;A'!BY165+'COGS + SG&amp;A'!BY193</f>
        <v>14.822199249999999</v>
      </c>
      <c r="BZ162" s="28">
        <f>'COGS + SG&amp;A'!BZ53+'COGS + SG&amp;A'!BZ81+'COGS + SG&amp;A'!BZ109+'COGS + SG&amp;A'!BZ165+'COGS + SG&amp;A'!BZ193</f>
        <v>19.130128860000003</v>
      </c>
      <c r="CA162" s="28">
        <f>'COGS + SG&amp;A'!CA53+'COGS + SG&amp;A'!CA81+'COGS + SG&amp;A'!CA109+'COGS + SG&amp;A'!CA165+'COGS + SG&amp;A'!CA193</f>
        <v>19.17072641</v>
      </c>
      <c r="CB162" s="28">
        <f>'COGS + SG&amp;A'!CB53+'COGS + SG&amp;A'!CB81+'COGS + SG&amp;A'!CB109+'COGS + SG&amp;A'!CB165+'COGS + SG&amp;A'!CB193</f>
        <v>22.646108819999998</v>
      </c>
      <c r="CC162" s="28">
        <f>'COGS + SG&amp;A'!CC53+'COGS + SG&amp;A'!CC81+'COGS + SG&amp;A'!CC109+'COGS + SG&amp;A'!CC165+'COGS + SG&amp;A'!CC193</f>
        <v>75.769163340000006</v>
      </c>
      <c r="CD162" s="28">
        <f>'COGS + SG&amp;A'!CD53+'COGS + SG&amp;A'!CD81+'COGS + SG&amp;A'!CD109+'COGS + SG&amp;A'!CD165+'COGS + SG&amp;A'!CD193</f>
        <v>20.851184190000001</v>
      </c>
      <c r="CE162" s="28">
        <f>'COGS + SG&amp;A'!CE53+'COGS + SG&amp;A'!CE81+'COGS + SG&amp;A'!CE109+'COGS + SG&amp;A'!CE165+'COGS + SG&amp;A'!CE193</f>
        <v>16.106451030000002</v>
      </c>
      <c r="CF162" s="28">
        <f>'COGS + SG&amp;A'!CF53+'COGS + SG&amp;A'!CF81+'COGS + SG&amp;A'!CF109+'COGS + SG&amp;A'!CF165+'COGS + SG&amp;A'!CF193</f>
        <v>29.031756980000001</v>
      </c>
      <c r="CG162" s="28">
        <f>'COGS + SG&amp;A'!CG53+'COGS + SG&amp;A'!CG81+'COGS + SG&amp;A'!CG109+'COGS + SG&amp;A'!CG165+'COGS + SG&amp;A'!CG193</f>
        <v>33.241433620000009</v>
      </c>
      <c r="CH162" s="28">
        <f>'COGS + SG&amp;A'!CH53+'COGS + SG&amp;A'!CH81+'COGS + SG&amp;A'!CH109+'COGS + SG&amp;A'!CH165+'COGS + SG&amp;A'!CH193</f>
        <v>99.230825820000007</v>
      </c>
      <c r="CI162" s="28">
        <f>'COGS + SG&amp;A'!CI53+'COGS + SG&amp;A'!CI81+'COGS + SG&amp;A'!CI109+'COGS + SG&amp;A'!CI165+'COGS + SG&amp;A'!CI193</f>
        <v>18.236274960000003</v>
      </c>
      <c r="CJ162" s="28">
        <f>'COGS + SG&amp;A'!CJ53+'COGS + SG&amp;A'!CJ81+'COGS + SG&amp;A'!CJ109+'COGS + SG&amp;A'!CJ165+'COGS + SG&amp;A'!CJ193</f>
        <v>10.011041560000002</v>
      </c>
      <c r="CK162" s="28">
        <f>'COGS + SG&amp;A'!CK53+'COGS + SG&amp;A'!CK81+'COGS + SG&amp;A'!CK109+'COGS + SG&amp;A'!CK165+'COGS + SG&amp;A'!CK193</f>
        <v>6.763394439999999</v>
      </c>
      <c r="CL162" s="28">
        <f>'COGS + SG&amp;A'!CL53+'COGS + SG&amp;A'!CL81+'COGS + SG&amp;A'!CL109+'COGS + SG&amp;A'!CL165+'COGS + SG&amp;A'!CL193</f>
        <v>13.614417740000002</v>
      </c>
      <c r="CM162" s="28">
        <f>'COGS + SG&amp;A'!CM53+'COGS + SG&amp;A'!CM81+'COGS + SG&amp;A'!CM109+'COGS + SG&amp;A'!CM165+'COGS + SG&amp;A'!CM193</f>
        <v>48.625128700000012</v>
      </c>
      <c r="CN162" s="28">
        <f>'COGS + SG&amp;A'!CN53+'COGS + SG&amp;A'!CN81+'COGS + SG&amp;A'!CN109+'COGS + SG&amp;A'!CN165+'COGS + SG&amp;A'!CN193</f>
        <v>7.0223999399999997</v>
      </c>
      <c r="CO162" s="28">
        <f>'COGS + SG&amp;A'!CO53+'COGS + SG&amp;A'!CO81+'COGS + SG&amp;A'!CO109+'COGS + SG&amp;A'!CO165+'COGS + SG&amp;A'!CO193</f>
        <v>7.65613324</v>
      </c>
      <c r="CP162" s="28">
        <f>'COGS + SG&amp;A'!CP53+'COGS + SG&amp;A'!CP81+'COGS + SG&amp;A'!CP109+'COGS + SG&amp;A'!CP165+'COGS + SG&amp;A'!CP193</f>
        <v>4.4223391799999998</v>
      </c>
      <c r="CQ162" s="28">
        <f>'COGS + SG&amp;A'!CQ53+'COGS + SG&amp;A'!CQ81+'COGS + SG&amp;A'!CQ109+'COGS + SG&amp;A'!CQ165+'COGS + SG&amp;A'!CQ193</f>
        <v>5.527127639999998</v>
      </c>
      <c r="CR162" s="28">
        <f>'COGS + SG&amp;A'!CR53+'COGS + SG&amp;A'!CR81+'COGS + SG&amp;A'!CR109+'COGS + SG&amp;A'!CR165+'COGS + SG&amp;A'!CR193</f>
        <v>24.628</v>
      </c>
      <c r="CS162" s="28">
        <f>'COGS + SG&amp;A'!CS53+'COGS + SG&amp;A'!CS81+'COGS + SG&amp;A'!CS109+'COGS + SG&amp;A'!CS165+'COGS + SG&amp;A'!CS193</f>
        <v>9.0615317099999988</v>
      </c>
      <c r="CT162" s="28">
        <f>'COGS + SG&amp;A'!CT53+'COGS + SG&amp;A'!CT81+'COGS + SG&amp;A'!CT109+'COGS + SG&amp;A'!CT165+'COGS + SG&amp;A'!CT193</f>
        <v>2.6756914999999988</v>
      </c>
      <c r="CU162" s="28">
        <f>'COGS + SG&amp;A'!CU53+'COGS + SG&amp;A'!CU81+'COGS + SG&amp;A'!CU109+'COGS + SG&amp;A'!CU165+'COGS + SG&amp;A'!CU193</f>
        <v>8.6098467400000001</v>
      </c>
      <c r="CV162" s="28">
        <f>'COGS + SG&amp;A'!CV53+'COGS + SG&amp;A'!CV81+'COGS + SG&amp;A'!CV109+'COGS + SG&amp;A'!CV165+'COGS + SG&amp;A'!CV193</f>
        <v>7.1116377999999987</v>
      </c>
      <c r="CW162" s="28">
        <f>'COGS + SG&amp;A'!CW53+'COGS + SG&amp;A'!CW81+'COGS + SG&amp;A'!CW109+'COGS + SG&amp;A'!CW165+'COGS + SG&amp;A'!CW193</f>
        <v>27.458707749999999</v>
      </c>
      <c r="CX162" s="28">
        <f>'COGS + SG&amp;A'!CX53+'COGS + SG&amp;A'!CX81+'COGS + SG&amp;A'!CX109+'COGS + SG&amp;A'!CX165+'COGS + SG&amp;A'!CX193</f>
        <v>8.2199999999999989</v>
      </c>
      <c r="CY162" s="28">
        <f>'COGS + SG&amp;A'!CY53+'COGS + SG&amp;A'!CY81+'COGS + SG&amp;A'!CY109+'COGS + SG&amp;A'!CY165+'COGS + SG&amp;A'!CY193</f>
        <v>5.1610000000000005</v>
      </c>
      <c r="CZ162" s="28">
        <f>'COGS + SG&amp;A'!CZ53+'COGS + SG&amp;A'!CZ81+'COGS + SG&amp;A'!CZ109+'COGS + SG&amp;A'!CZ165+'COGS + SG&amp;A'!CZ193</f>
        <v>9.2480000000000029</v>
      </c>
      <c r="DA162" s="28">
        <f>'COGS + SG&amp;A'!DA53+'COGS + SG&amp;A'!DA81+'COGS + SG&amp;A'!DA109+'COGS + SG&amp;A'!DA165+'COGS + SG&amp;A'!DA193</f>
        <v>16.035</v>
      </c>
      <c r="DB162" s="28">
        <f>'COGS + SG&amp;A'!DB53+'COGS + SG&amp;A'!DB81+'COGS + SG&amp;A'!DB109+'COGS + SG&amp;A'!DB165+'COGS + SG&amp;A'!DB193</f>
        <v>38.663999999999994</v>
      </c>
      <c r="DC162" s="28">
        <f>'COGS + SG&amp;A'!DC53+'COGS + SG&amp;A'!DC81+'COGS + SG&amp;A'!DC109+'COGS + SG&amp;A'!DC165+'COGS + SG&amp;A'!DC193</f>
        <v>14.350000000000001</v>
      </c>
      <c r="DD162" s="28">
        <f>'COGS + SG&amp;A'!DD53+'COGS + SG&amp;A'!DD81+'COGS + SG&amp;A'!DD109+'COGS + SG&amp;A'!DD165+'COGS + SG&amp;A'!DD193</f>
        <v>16.710999999999999</v>
      </c>
      <c r="DE162" s="28">
        <f>'COGS + SG&amp;A'!DE53+'COGS + SG&amp;A'!DE81+'COGS + SG&amp;A'!DE109+'COGS + SG&amp;A'!DE165+'COGS + SG&amp;A'!DE193</f>
        <v>25.785999999999998</v>
      </c>
      <c r="DF162" s="28">
        <f>'COGS + SG&amp;A'!DF53+'COGS + SG&amp;A'!DF81+'COGS + SG&amp;A'!DF109+'COGS + SG&amp;A'!DF165+'COGS + SG&amp;A'!DF193</f>
        <v>20.359999999999996</v>
      </c>
      <c r="DG162" s="28">
        <f>'COGS + SG&amp;A'!DG53+'COGS + SG&amp;A'!DG81+'COGS + SG&amp;A'!DG109+'COGS + SG&amp;A'!DG165+'COGS + SG&amp;A'!DG193</f>
        <v>77.206999999999994</v>
      </c>
      <c r="DH162" s="28">
        <f>'COGS + SG&amp;A'!DH53+'COGS + SG&amp;A'!DH81+'COGS + SG&amp;A'!DH109+'COGS + SG&amp;A'!DH165+'COGS + SG&amp;A'!DH193</f>
        <v>10.341000000000001</v>
      </c>
      <c r="DI162" s="28">
        <f>'COGS + SG&amp;A'!DI53+'COGS + SG&amp;A'!DI81+'COGS + SG&amp;A'!DI109+'COGS + SG&amp;A'!DI165+'COGS + SG&amp;A'!DI193</f>
        <v>7.7490000000000006</v>
      </c>
      <c r="DJ162" s="28">
        <f>'COGS + SG&amp;A'!DJ53+'COGS + SG&amp;A'!DJ81+'COGS + SG&amp;A'!DJ109+'COGS + SG&amp;A'!DJ165+'COGS + SG&amp;A'!DJ193</f>
        <v>7.6099999999999994</v>
      </c>
      <c r="DK162" s="28">
        <f>'COGS + SG&amp;A'!DK53+'COGS + SG&amp;A'!DK81+'COGS + SG&amp;A'!DK109+'COGS + SG&amp;A'!DK165+'COGS + SG&amp;A'!DK193</f>
        <v>4.6790000000000003</v>
      </c>
      <c r="DL162" s="28">
        <f>'COGS + SG&amp;A'!DL53+'COGS + SG&amp;A'!DL81+'COGS + SG&amp;A'!DL109+'COGS + SG&amp;A'!DL165+'COGS + SG&amp;A'!DL193</f>
        <v>30.378999999999998</v>
      </c>
      <c r="DM162" s="28">
        <f>'COGS + SG&amp;A'!DM53+'COGS + SG&amp;A'!DM81+'COGS + SG&amp;A'!DM109+'COGS + SG&amp;A'!DM165+'COGS + SG&amp;A'!DM193</f>
        <v>6.4750000000000005</v>
      </c>
      <c r="DN162" s="28">
        <f>'COGS + SG&amp;A'!DN53+'COGS + SG&amp;A'!DN81+'COGS + SG&amp;A'!DN109+'COGS + SG&amp;A'!DN165+'COGS + SG&amp;A'!DN193</f>
        <v>7.0090000000000003</v>
      </c>
      <c r="DO162" s="28">
        <f>'COGS + SG&amp;A'!DO53+'COGS + SG&amp;A'!DO81+'COGS + SG&amp;A'!DO109+'COGS + SG&amp;A'!DO165+'COGS + SG&amp;A'!DO193</f>
        <v>4.7409999999999997</v>
      </c>
      <c r="DP162" s="28">
        <f>'COGS + SG&amp;A'!DP53+'COGS + SG&amp;A'!DP81+'COGS + SG&amp;A'!DP109+'COGS + SG&amp;A'!DP165+'COGS + SG&amp;A'!DP193</f>
        <v>7.8520000000000003</v>
      </c>
      <c r="DQ162" s="28">
        <f>'COGS + SG&amp;A'!DQ53+'COGS + SG&amp;A'!DQ81+'COGS + SG&amp;A'!DQ109+'COGS + SG&amp;A'!DQ165+'COGS + SG&amp;A'!DQ193</f>
        <v>26.077000000000002</v>
      </c>
      <c r="DR162" s="28">
        <f>'COGS + SG&amp;A'!DR53+'COGS + SG&amp;A'!DR81+'COGS + SG&amp;A'!DR109+'COGS + SG&amp;A'!DR165+'COGS + SG&amp;A'!DR193</f>
        <v>7.298</v>
      </c>
      <c r="DS162" s="28">
        <f>'COGS + SG&amp;A'!DS53+'COGS + SG&amp;A'!DS81+'COGS + SG&amp;A'!DS109+'COGS + SG&amp;A'!DS165+'COGS + SG&amp;A'!DS193</f>
        <v>5.2949999999999999</v>
      </c>
      <c r="DT162" s="28">
        <f>'COGS + SG&amp;A'!DT53+'COGS + SG&amp;A'!DT81+'COGS + SG&amp;A'!DT109+'COGS + SG&amp;A'!DT165+'COGS + SG&amp;A'!DT193</f>
        <v>8.9489999999999998</v>
      </c>
      <c r="DU162" s="28">
        <f>'COGS + SG&amp;A'!DU53+'COGS + SG&amp;A'!DU81+'COGS + SG&amp;A'!DU109+'COGS + SG&amp;A'!DU165+'COGS + SG&amp;A'!DU193</f>
        <v>9.3709999999999987</v>
      </c>
      <c r="DV162" s="28">
        <f>'COGS + SG&amp;A'!DV53+'COGS + SG&amp;A'!DV81+'COGS + SG&amp;A'!DV109+'COGS + SG&amp;A'!DV165+'COGS + SG&amp;A'!DV193</f>
        <v>30.913</v>
      </c>
      <c r="DW162" s="28">
        <f>'COGS + SG&amp;A'!DW53+'COGS + SG&amp;A'!DW81+'COGS + SG&amp;A'!DW109+'COGS + SG&amp;A'!DW165+'COGS + SG&amp;A'!DW193</f>
        <v>9.5189999999999984</v>
      </c>
      <c r="DX162" s="28">
        <f>'COGS + SG&amp;A'!DX53+'COGS + SG&amp;A'!DX81+'COGS + SG&amp;A'!DX109+'COGS + SG&amp;A'!DX165+'COGS + SG&amp;A'!DX193</f>
        <v>9.0126587899999997</v>
      </c>
      <c r="DY162" s="28">
        <f>'COGS + SG&amp;A'!DY53+'COGS + SG&amp;A'!DY81+'COGS + SG&amp;A'!DY109+'COGS + SG&amp;A'!DY165+'COGS + SG&amp;A'!DY193</f>
        <v>8.6110055100000018</v>
      </c>
      <c r="DZ162" s="28">
        <f>'COGS + SG&amp;A'!DZ53+'COGS + SG&amp;A'!DZ81+'COGS + SG&amp;A'!DZ109+'COGS + SG&amp;A'!DZ165+'COGS + SG&amp;A'!DZ193</f>
        <v>12.794040099999998</v>
      </c>
      <c r="EA162" s="28">
        <f>'COGS + SG&amp;A'!EA53+'COGS + SG&amp;A'!EA81+'COGS + SG&amp;A'!EA109+'COGS + SG&amp;A'!EA165+'COGS + SG&amp;A'!EA193</f>
        <v>39.936704399999996</v>
      </c>
      <c r="EB162" s="28">
        <f>'COGS + SG&amp;A'!EB53+'COGS + SG&amp;A'!EB81+'COGS + SG&amp;A'!EB109+'COGS + SG&amp;A'!EB165+'COGS + SG&amp;A'!EB193</f>
        <v>10.61730236</v>
      </c>
      <c r="EC162" s="28">
        <f>'COGS + SG&amp;A'!EC53+'COGS + SG&amp;A'!EC81+'COGS + SG&amp;A'!EC109+'COGS + SG&amp;A'!EC165+'COGS + SG&amp;A'!EC193</f>
        <v>10.375745090000001</v>
      </c>
      <c r="ED162" s="28">
        <f>'COGS + SG&amp;A'!ED53+'COGS + SG&amp;A'!ED81+'COGS + SG&amp;A'!ED109+'COGS + SG&amp;A'!ED165+'COGS + SG&amp;A'!ED193</f>
        <v>12.547999999999998</v>
      </c>
      <c r="EE162" s="28">
        <f>'COGS + SG&amp;A'!EE53+'COGS + SG&amp;A'!EE81+'COGS + SG&amp;A'!EE109+'COGS + SG&amp;A'!EE165+'COGS + SG&amp;A'!EE193</f>
        <v>4.4529141000000019</v>
      </c>
      <c r="EF162" s="28">
        <f>'COGS + SG&amp;A'!EF53+'COGS + SG&amp;A'!EF81+'COGS + SG&amp;A'!EF109+'COGS + SG&amp;A'!EF165+'COGS + SG&amp;A'!EF193</f>
        <v>37.993961550000009</v>
      </c>
      <c r="EG162" s="28">
        <f>'COGS + SG&amp;A'!EG53+'COGS + SG&amp;A'!EG81+'COGS + SG&amp;A'!EG109+'COGS + SG&amp;A'!EG165+'COGS + SG&amp;A'!EG193</f>
        <v>10.96031376</v>
      </c>
      <c r="EH162" s="28">
        <f>'COGS + SG&amp;A'!EH53+'COGS + SG&amp;A'!EH81+'COGS + SG&amp;A'!EH109+'COGS + SG&amp;A'!EH165+'COGS + SG&amp;A'!EH193</f>
        <v>11.157853599999997</v>
      </c>
      <c r="EI162" s="28">
        <f>'COGS + SG&amp;A'!EI53+'COGS + SG&amp;A'!EI81+'COGS + SG&amp;A'!EI109+'COGS + SG&amp;A'!EI165+'COGS + SG&amp;A'!EI193</f>
        <v>11.43450661</v>
      </c>
    </row>
    <row r="163" spans="1:139" ht="15" thickTop="1" x14ac:dyDescent="0.3">
      <c r="A163" s="1" t="s">
        <v>308</v>
      </c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27">
        <f>'COGS + SG&amp;A'!BJ54+'COGS + SG&amp;A'!BJ82+'COGS + SG&amp;A'!BJ110+'COGS + SG&amp;A'!BJ166+'COGS + SG&amp;A'!BJ194</f>
        <v>-25.893623850000001</v>
      </c>
      <c r="BK163" s="27">
        <f>'COGS + SG&amp;A'!BK54+'COGS + SG&amp;A'!BK82+'COGS + SG&amp;A'!BK110+'COGS + SG&amp;A'!BK166+'COGS + SG&amp;A'!BK194</f>
        <v>-26.821055370000003</v>
      </c>
      <c r="BL163" s="27">
        <f>'COGS + SG&amp;A'!BL54+'COGS + SG&amp;A'!BL82+'COGS + SG&amp;A'!BL110+'COGS + SG&amp;A'!BL166+'COGS + SG&amp;A'!BL194</f>
        <v>-28.623187539999993</v>
      </c>
      <c r="BM163" s="27">
        <f>'COGS + SG&amp;A'!BM54+'COGS + SG&amp;A'!BM82+'COGS + SG&amp;A'!BM110+'COGS + SG&amp;A'!BM166+'COGS + SG&amp;A'!BM194</f>
        <v>-28.144629620000003</v>
      </c>
      <c r="BN163" s="27">
        <f>'COGS + SG&amp;A'!BN54+'COGS + SG&amp;A'!BN82+'COGS + SG&amp;A'!BN110+'COGS + SG&amp;A'!BN166+'COGS + SG&amp;A'!BN194</f>
        <v>-109.48249638000003</v>
      </c>
      <c r="BO163" s="27">
        <f>'COGS + SG&amp;A'!BO54+'COGS + SG&amp;A'!BO82+'COGS + SG&amp;A'!BO110+'COGS + SG&amp;A'!BO166+'COGS + SG&amp;A'!BO194</f>
        <v>-40.850048570000006</v>
      </c>
      <c r="BP163" s="27">
        <f>'COGS + SG&amp;A'!BP54+'COGS + SG&amp;A'!BP82+'COGS + SG&amp;A'!BP110+'COGS + SG&amp;A'!BP166+'COGS + SG&amp;A'!BP194</f>
        <v>-39.84556418999999</v>
      </c>
      <c r="BQ163" s="27">
        <f>'COGS + SG&amp;A'!BQ54+'COGS + SG&amp;A'!BQ82+'COGS + SG&amp;A'!BQ110+'COGS + SG&amp;A'!BQ166+'COGS + SG&amp;A'!BQ194</f>
        <v>-46.824954110000007</v>
      </c>
      <c r="BR163" s="27">
        <f>'COGS + SG&amp;A'!BR54+'COGS + SG&amp;A'!BR82+'COGS + SG&amp;A'!BR110+'COGS + SG&amp;A'!BR166+'COGS + SG&amp;A'!BR194</f>
        <v>-44.630781779999971</v>
      </c>
      <c r="BS163" s="27">
        <f>'COGS + SG&amp;A'!BS54+'COGS + SG&amp;A'!BS82+'COGS + SG&amp;A'!BS110+'COGS + SG&amp;A'!BS166+'COGS + SG&amp;A'!BS194</f>
        <v>-172.15134864999999</v>
      </c>
      <c r="BT163" s="27">
        <f>'COGS + SG&amp;A'!BT54+'COGS + SG&amp;A'!BT82+'COGS + SG&amp;A'!BT110+'COGS + SG&amp;A'!BT166+'COGS + SG&amp;A'!BT194</f>
        <v>-28.6</v>
      </c>
      <c r="BU163" s="27">
        <f>'COGS + SG&amp;A'!BU54+'COGS + SG&amp;A'!BU82+'COGS + SG&amp;A'!BU110+'COGS + SG&amp;A'!BU166+'COGS + SG&amp;A'!BU194</f>
        <v>-29.4</v>
      </c>
      <c r="BV163" s="27">
        <f>'COGS + SG&amp;A'!BV54+'COGS + SG&amp;A'!BV82+'COGS + SG&amp;A'!BV110+'COGS + SG&amp;A'!BV166+'COGS + SG&amp;A'!BV194</f>
        <v>-29.299999999999997</v>
      </c>
      <c r="BW163" s="27">
        <f>'COGS + SG&amp;A'!BW54+'COGS + SG&amp;A'!BW82+'COGS + SG&amp;A'!BW110+'COGS + SG&amp;A'!BW166+'COGS + SG&amp;A'!BW194</f>
        <v>-97</v>
      </c>
      <c r="BX163" s="27">
        <f>'COGS + SG&amp;A'!BX54+'COGS + SG&amp;A'!BX82+'COGS + SG&amp;A'!BX110+'COGS + SG&amp;A'!BX166+'COGS + SG&amp;A'!BX194</f>
        <v>-184.3</v>
      </c>
      <c r="BY163" s="27">
        <f>'COGS + SG&amp;A'!BY54+'COGS + SG&amp;A'!BY82+'COGS + SG&amp;A'!BY110+'COGS + SG&amp;A'!BY166+'COGS + SG&amp;A'!BY194</f>
        <v>-31.494753879999998</v>
      </c>
      <c r="BZ163" s="27">
        <f>'COGS + SG&amp;A'!BZ54+'COGS + SG&amp;A'!BZ82+'COGS + SG&amp;A'!BZ110+'COGS + SG&amp;A'!BZ166+'COGS + SG&amp;A'!BZ194</f>
        <v>-30.700000000000003</v>
      </c>
      <c r="CA163" s="27">
        <f>'COGS + SG&amp;A'!CA54+'COGS + SG&amp;A'!CA82+'COGS + SG&amp;A'!CA110+'COGS + SG&amp;A'!CA166+'COGS + SG&amp;A'!CA194</f>
        <v>-31</v>
      </c>
      <c r="CB163" s="27">
        <f>'COGS + SG&amp;A'!CB54+'COGS + SG&amp;A'!CB82+'COGS + SG&amp;A'!CB110+'COGS + SG&amp;A'!CB166+'COGS + SG&amp;A'!CB194</f>
        <v>-76.100000000000009</v>
      </c>
      <c r="CC163" s="27">
        <f>'COGS + SG&amp;A'!CC54+'COGS + SG&amp;A'!CC82+'COGS + SG&amp;A'!CC110+'COGS + SG&amp;A'!CC166+'COGS + SG&amp;A'!CC194</f>
        <v>-169.29475387999994</v>
      </c>
      <c r="CD163" s="27">
        <f>'COGS + SG&amp;A'!CD54+'COGS + SG&amp;A'!CD82+'COGS + SG&amp;A'!CD110+'COGS + SG&amp;A'!CD166+'COGS + SG&amp;A'!CD194</f>
        <v>-41.50545022</v>
      </c>
      <c r="CE163" s="27">
        <f>'COGS + SG&amp;A'!CE54+'COGS + SG&amp;A'!CE82+'COGS + SG&amp;A'!CE110+'COGS + SG&amp;A'!CE166+'COGS + SG&amp;A'!CE194</f>
        <v>-52.034118253999999</v>
      </c>
      <c r="CF163" s="27">
        <f>'COGS + SG&amp;A'!CF54+'COGS + SG&amp;A'!CF82+'COGS + SG&amp;A'!CF110+'COGS + SG&amp;A'!CF166+'COGS + SG&amp;A'!CF194</f>
        <v>-47.600000000000009</v>
      </c>
      <c r="CG163" s="27">
        <f>'COGS + SG&amp;A'!CG54+'COGS + SG&amp;A'!CG82+'COGS + SG&amp;A'!CG110+'COGS + SG&amp;A'!CG166+'COGS + SG&amp;A'!CG194</f>
        <v>-48.9</v>
      </c>
      <c r="CH163" s="27">
        <f>'COGS + SG&amp;A'!CH54+'COGS + SG&amp;A'!CH82+'COGS + SG&amp;A'!CH110+'COGS + SG&amp;A'!CH166+'COGS + SG&amp;A'!CH194</f>
        <v>-190.03956847400002</v>
      </c>
      <c r="CI163" s="27">
        <f>'COGS + SG&amp;A'!CI54+'COGS + SG&amp;A'!CI82+'COGS + SG&amp;A'!CI110+'COGS + SG&amp;A'!CI166+'COGS + SG&amp;A'!CI194</f>
        <v>-49.821682390000014</v>
      </c>
      <c r="CJ163" s="27">
        <f>'COGS + SG&amp;A'!CJ54+'COGS + SG&amp;A'!CJ82+'COGS + SG&amp;A'!CJ110+'COGS + SG&amp;A'!CJ166+'COGS + SG&amp;A'!CJ194</f>
        <v>-49.979353519999997</v>
      </c>
      <c r="CK163" s="27">
        <f>'COGS + SG&amp;A'!CK54+'COGS + SG&amp;A'!CK82+'COGS + SG&amp;A'!CK110+'COGS + SG&amp;A'!CK166+'COGS + SG&amp;A'!CK194</f>
        <v>-55.521417530000001</v>
      </c>
      <c r="CL163" s="27">
        <f>'COGS + SG&amp;A'!CL54+'COGS + SG&amp;A'!CL82+'COGS + SG&amp;A'!CL110+'COGS + SG&amp;A'!CL166+'COGS + SG&amp;A'!CL194</f>
        <v>-56.484887789999966</v>
      </c>
      <c r="CM163" s="27">
        <f>'COGS + SG&amp;A'!CM54+'COGS + SG&amp;A'!CM82+'COGS + SG&amp;A'!CM110+'COGS + SG&amp;A'!CM166+'COGS + SG&amp;A'!CM194</f>
        <v>-211.80734122999996</v>
      </c>
      <c r="CN163" s="27">
        <f>'COGS + SG&amp;A'!CN54+'COGS + SG&amp;A'!CN82+'COGS + SG&amp;A'!CN110+'COGS + SG&amp;A'!CN166+'COGS + SG&amp;A'!CN194</f>
        <v>-49.559557459999994</v>
      </c>
      <c r="CO163" s="27">
        <f>'COGS + SG&amp;A'!CO54+'COGS + SG&amp;A'!CO82+'COGS + SG&amp;A'!CO110+'COGS + SG&amp;A'!CO166+'COGS + SG&amp;A'!CO194</f>
        <v>-48.645401790000008</v>
      </c>
      <c r="CP163" s="27">
        <f>'COGS + SG&amp;A'!CP54+'COGS + SG&amp;A'!CP82+'COGS + SG&amp;A'!CP110+'COGS + SG&amp;A'!CP166+'COGS + SG&amp;A'!CP194</f>
        <v>-49.589120659999999</v>
      </c>
      <c r="CQ163" s="27">
        <f>'COGS + SG&amp;A'!CQ54+'COGS + SG&amp;A'!CQ82+'COGS + SG&amp;A'!CQ110+'COGS + SG&amp;A'!CQ166+'COGS + SG&amp;A'!CQ194</f>
        <v>-30.084920090000001</v>
      </c>
      <c r="CR163" s="27">
        <f>'COGS + SG&amp;A'!CR54+'COGS + SG&amp;A'!CR82+'COGS + SG&amp;A'!CR110+'COGS + SG&amp;A'!CR166+'COGS + SG&amp;A'!CR194</f>
        <v>-177.87900000000002</v>
      </c>
      <c r="CS163" s="27">
        <f>'COGS + SG&amp;A'!CS54+'COGS + SG&amp;A'!CS82+'COGS + SG&amp;A'!CS110+'COGS + SG&amp;A'!CS166+'COGS + SG&amp;A'!CS194</f>
        <v>-46.615903330000002</v>
      </c>
      <c r="CT163" s="27">
        <f>'COGS + SG&amp;A'!CT54+'COGS + SG&amp;A'!CT82+'COGS + SG&amp;A'!CT110+'COGS + SG&amp;A'!CT166+'COGS + SG&amp;A'!CT194</f>
        <v>-46.566443180000007</v>
      </c>
      <c r="CU163" s="27">
        <f>'COGS + SG&amp;A'!CU54+'COGS + SG&amp;A'!CU82+'COGS + SG&amp;A'!CU110+'COGS + SG&amp;A'!CU166+'COGS + SG&amp;A'!CU194</f>
        <v>-46.002483969999986</v>
      </c>
      <c r="CV163" s="27">
        <f>'COGS + SG&amp;A'!CV54+'COGS + SG&amp;A'!CV82+'COGS + SG&amp;A'!CV110+'COGS + SG&amp;A'!CV166+'COGS + SG&amp;A'!CV194</f>
        <v>-45.008610900000022</v>
      </c>
      <c r="CW163" s="27">
        <f>'COGS + SG&amp;A'!CW54+'COGS + SG&amp;A'!CW82+'COGS + SG&amp;A'!CW110+'COGS + SG&amp;A'!CW166+'COGS + SG&amp;A'!CW194</f>
        <v>-184.19344138</v>
      </c>
      <c r="CX163" s="27">
        <f>'COGS + SG&amp;A'!CX54+'COGS + SG&amp;A'!CX82+'COGS + SG&amp;A'!CX110+'COGS + SG&amp;A'!CX166+'COGS + SG&amp;A'!CX194</f>
        <v>-44.828000000000003</v>
      </c>
      <c r="CY163" s="27">
        <f>'COGS + SG&amp;A'!CY54+'COGS + SG&amp;A'!CY82+'COGS + SG&amp;A'!CY110+'COGS + SG&amp;A'!CY166+'COGS + SG&amp;A'!CY194</f>
        <v>-44.853000000000002</v>
      </c>
      <c r="CZ163" s="27">
        <f>'COGS + SG&amp;A'!CZ54+'COGS + SG&amp;A'!CZ82+'COGS + SG&amp;A'!CZ110+'COGS + SG&amp;A'!CZ166+'COGS + SG&amp;A'!CZ194</f>
        <v>-44.18</v>
      </c>
      <c r="DA163" s="27">
        <f>'COGS + SG&amp;A'!DA54+'COGS + SG&amp;A'!DA82+'COGS + SG&amp;A'!DA110+'COGS + SG&amp;A'!DA166+'COGS + SG&amp;A'!DA194</f>
        <v>-44.28</v>
      </c>
      <c r="DB163" s="27">
        <f>'COGS + SG&amp;A'!DB54+'COGS + SG&amp;A'!DB82+'COGS + SG&amp;A'!DB110+'COGS + SG&amp;A'!DB166+'COGS + SG&amp;A'!DB194</f>
        <v>-178.14099999999999</v>
      </c>
      <c r="DC163" s="27">
        <f>'COGS + SG&amp;A'!DC54+'COGS + SG&amp;A'!DC82+'COGS + SG&amp;A'!DC110+'COGS + SG&amp;A'!DC166+'COGS + SG&amp;A'!DC194</f>
        <v>-43.523000000000003</v>
      </c>
      <c r="DD163" s="27">
        <f>'COGS + SG&amp;A'!DD54+'COGS + SG&amp;A'!DD82+'COGS + SG&amp;A'!DD110+'COGS + SG&amp;A'!DD166+'COGS + SG&amp;A'!DD194</f>
        <v>-45.057000000000002</v>
      </c>
      <c r="DE163" s="27">
        <f>'COGS + SG&amp;A'!DE54+'COGS + SG&amp;A'!DE82+'COGS + SG&amp;A'!DE110+'COGS + SG&amp;A'!DE166+'COGS + SG&amp;A'!DE194</f>
        <v>-50.050000000000004</v>
      </c>
      <c r="DF163" s="27">
        <f>'COGS + SG&amp;A'!DF54+'COGS + SG&amp;A'!DF82+'COGS + SG&amp;A'!DF110+'COGS + SG&amp;A'!DF166+'COGS + SG&amp;A'!DF194</f>
        <v>-52.701999999999998</v>
      </c>
      <c r="DG163" s="27">
        <f>'COGS + SG&amp;A'!DG54+'COGS + SG&amp;A'!DG82+'COGS + SG&amp;A'!DG110+'COGS + SG&amp;A'!DG166+'COGS + SG&amp;A'!DG194</f>
        <v>-191.33200000000002</v>
      </c>
      <c r="DH163" s="27">
        <f>'COGS + SG&amp;A'!DH54+'COGS + SG&amp;A'!DH82+'COGS + SG&amp;A'!DH110+'COGS + SG&amp;A'!DH166+'COGS + SG&amp;A'!DH194</f>
        <v>-62.403000000000006</v>
      </c>
      <c r="DI163" s="27">
        <f>'COGS + SG&amp;A'!DI54+'COGS + SG&amp;A'!DI82+'COGS + SG&amp;A'!DI110+'COGS + SG&amp;A'!DI166+'COGS + SG&amp;A'!DI194</f>
        <v>-64.350000000000009</v>
      </c>
      <c r="DJ163" s="27">
        <f>'COGS + SG&amp;A'!DJ54+'COGS + SG&amp;A'!DJ82+'COGS + SG&amp;A'!DJ110+'COGS + SG&amp;A'!DJ166+'COGS + SG&amp;A'!DJ194</f>
        <v>-64.149999999999991</v>
      </c>
      <c r="DK163" s="27">
        <f>'COGS + SG&amp;A'!DK54+'COGS + SG&amp;A'!DK82+'COGS + SG&amp;A'!DK110+'COGS + SG&amp;A'!DK166+'COGS + SG&amp;A'!DK194</f>
        <v>-43.201999999999998</v>
      </c>
      <c r="DL163" s="27">
        <f>'COGS + SG&amp;A'!DL54+'COGS + SG&amp;A'!DL82+'COGS + SG&amp;A'!DL110+'COGS + SG&amp;A'!DL166+'COGS + SG&amp;A'!DL194</f>
        <v>-234.10500000000002</v>
      </c>
      <c r="DM163" s="27">
        <f>'COGS + SG&amp;A'!DM54+'COGS + SG&amp;A'!DM82+'COGS + SG&amp;A'!DM110+'COGS + SG&amp;A'!DM166+'COGS + SG&amp;A'!DM194</f>
        <v>-74.994</v>
      </c>
      <c r="DN163" s="27">
        <f>'COGS + SG&amp;A'!DN54+'COGS + SG&amp;A'!DN82+'COGS + SG&amp;A'!DN110+'COGS + SG&amp;A'!DN166+'COGS + SG&amp;A'!DN194</f>
        <v>-74.993000000000009</v>
      </c>
      <c r="DO163" s="27">
        <f>'COGS + SG&amp;A'!DO54+'COGS + SG&amp;A'!DO82+'COGS + SG&amp;A'!DO110+'COGS + SG&amp;A'!DO166+'COGS + SG&amp;A'!DO194</f>
        <v>-75.051000000000002</v>
      </c>
      <c r="DP163" s="27">
        <f>'COGS + SG&amp;A'!DP54+'COGS + SG&amp;A'!DP82+'COGS + SG&amp;A'!DP110+'COGS + SG&amp;A'!DP166+'COGS + SG&amp;A'!DP194</f>
        <v>-74.432999999999993</v>
      </c>
      <c r="DQ163" s="27">
        <f>'COGS + SG&amp;A'!DQ54+'COGS + SG&amp;A'!DQ82+'COGS + SG&amp;A'!DQ110+'COGS + SG&amp;A'!DQ166+'COGS + SG&amp;A'!DQ194</f>
        <v>-299.471</v>
      </c>
      <c r="DR163" s="27">
        <f>'COGS + SG&amp;A'!DR54+'COGS + SG&amp;A'!DR82+'COGS + SG&amp;A'!DR110+'COGS + SG&amp;A'!DR166+'COGS + SG&amp;A'!DR194</f>
        <v>-76.647999999999996</v>
      </c>
      <c r="DS163" s="27">
        <f>'COGS + SG&amp;A'!DS54+'COGS + SG&amp;A'!DS82+'COGS + SG&amp;A'!DS110+'COGS + SG&amp;A'!DS166+'COGS + SG&amp;A'!DS194</f>
        <v>-76.574999999999989</v>
      </c>
      <c r="DT163" s="27">
        <f>'COGS + SG&amp;A'!DT54+'COGS + SG&amp;A'!DT82+'COGS + SG&amp;A'!DT110+'COGS + SG&amp;A'!DT166+'COGS + SG&amp;A'!DT194</f>
        <v>-76.611000000000004</v>
      </c>
      <c r="DU163" s="27">
        <f>'COGS + SG&amp;A'!DU54+'COGS + SG&amp;A'!DU82+'COGS + SG&amp;A'!DU110+'COGS + SG&amp;A'!DU166+'COGS + SG&amp;A'!DU194</f>
        <v>-90.963999999999999</v>
      </c>
      <c r="DV163" s="27">
        <f>'COGS + SG&amp;A'!DV54+'COGS + SG&amp;A'!DV82+'COGS + SG&amp;A'!DV110+'COGS + SG&amp;A'!DV166+'COGS + SG&amp;A'!DV194</f>
        <v>-320.79799999999994</v>
      </c>
      <c r="DW163" s="27">
        <f>'COGS + SG&amp;A'!DW54+'COGS + SG&amp;A'!DW82+'COGS + SG&amp;A'!DW110+'COGS + SG&amp;A'!DW166+'COGS + SG&amp;A'!DW194</f>
        <v>-90.5</v>
      </c>
      <c r="DX163" s="27">
        <f>'COGS + SG&amp;A'!DX54+'COGS + SG&amp;A'!DX82+'COGS + SG&amp;A'!DX110+'COGS + SG&amp;A'!DX166+'COGS + SG&amp;A'!DX194</f>
        <v>-89.856715539999982</v>
      </c>
      <c r="DY163" s="27">
        <f>'COGS + SG&amp;A'!DY54+'COGS + SG&amp;A'!DY82+'COGS + SG&amp;A'!DY110+'COGS + SG&amp;A'!DY166+'COGS + SG&amp;A'!DY194</f>
        <v>-97.523314570000011</v>
      </c>
      <c r="DZ163" s="27">
        <f>'COGS + SG&amp;A'!DZ54+'COGS + SG&amp;A'!DZ82+'COGS + SG&amp;A'!DZ110+'COGS + SG&amp;A'!DZ166+'COGS + SG&amp;A'!DZ194</f>
        <v>-97.430246579999988</v>
      </c>
      <c r="EA163" s="27">
        <f>'COGS + SG&amp;A'!EA54+'COGS + SG&amp;A'!EA82+'COGS + SG&amp;A'!EA110+'COGS + SG&amp;A'!EA166+'COGS + SG&amp;A'!EA194</f>
        <v>-375.31027668999997</v>
      </c>
      <c r="EB163" s="27">
        <f>'COGS + SG&amp;A'!EB54+'COGS + SG&amp;A'!EB82+'COGS + SG&amp;A'!EB110+'COGS + SG&amp;A'!EB166+'COGS + SG&amp;A'!EB194</f>
        <v>-108.49364373</v>
      </c>
      <c r="EC163" s="27">
        <f>'COGS + SG&amp;A'!EC54+'COGS + SG&amp;A'!EC82+'COGS + SG&amp;A'!EC110+'COGS + SG&amp;A'!EC166+'COGS + SG&amp;A'!EC194</f>
        <v>-110.93146731000002</v>
      </c>
      <c r="ED163" s="27">
        <f>'COGS + SG&amp;A'!ED54+'COGS + SG&amp;A'!ED82+'COGS + SG&amp;A'!ED110+'COGS + SG&amp;A'!ED166+'COGS + SG&amp;A'!ED194</f>
        <v>-108.78900000000002</v>
      </c>
      <c r="EE163" s="27">
        <f>'COGS + SG&amp;A'!EE54+'COGS + SG&amp;A'!EE82+'COGS + SG&amp;A'!EE110+'COGS + SG&amp;A'!EE166+'COGS + SG&amp;A'!EE194</f>
        <v>-111.35017677</v>
      </c>
      <c r="EF163" s="27">
        <f>'COGS + SG&amp;A'!EF54+'COGS + SG&amp;A'!EF82+'COGS + SG&amp;A'!EF110+'COGS + SG&amp;A'!EF166+'COGS + SG&amp;A'!EF194</f>
        <v>-439.56428780999994</v>
      </c>
      <c r="EG163" s="27">
        <f>'COGS + SG&amp;A'!EG54+'COGS + SG&amp;A'!EG82+'COGS + SG&amp;A'!EG110+'COGS + SG&amp;A'!EG166+'COGS + SG&amp;A'!EG194</f>
        <v>-129.08446065000001</v>
      </c>
      <c r="EH163" s="27">
        <f>'COGS + SG&amp;A'!EH54+'COGS + SG&amp;A'!EH82+'COGS + SG&amp;A'!EH110+'COGS + SG&amp;A'!EH166+'COGS + SG&amp;A'!EH194</f>
        <v>-131.69134665000001</v>
      </c>
      <c r="EI163" s="27">
        <f>'COGS + SG&amp;A'!EI54+'COGS + SG&amp;A'!EI82+'COGS + SG&amp;A'!EI110+'COGS + SG&amp;A'!EI166+'COGS + SG&amp;A'!EI194</f>
        <v>-134.62816452999999</v>
      </c>
    </row>
    <row r="164" spans="1:139" x14ac:dyDescent="0.3">
      <c r="A164" s="5" t="s">
        <v>311</v>
      </c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>
        <f>SUM(BJ141:BJ163)</f>
        <v>93.393917990000006</v>
      </c>
      <c r="BK164" s="29">
        <f t="shared" ref="BK164:DT164" si="118">SUM(BK141:BK163)</f>
        <v>89.683271020000007</v>
      </c>
      <c r="BL164" s="29">
        <f t="shared" si="118"/>
        <v>102.80418611</v>
      </c>
      <c r="BM164" s="29">
        <f t="shared" si="118"/>
        <v>106.73895451999998</v>
      </c>
      <c r="BN164" s="29">
        <f t="shared" si="118"/>
        <v>392.62032964000002</v>
      </c>
      <c r="BO164" s="29">
        <f t="shared" si="118"/>
        <v>141.00929378999999</v>
      </c>
      <c r="BP164" s="29">
        <f t="shared" si="118"/>
        <v>142.41142812999999</v>
      </c>
      <c r="BQ164" s="29">
        <f t="shared" si="118"/>
        <v>151.41613663999999</v>
      </c>
      <c r="BR164" s="29">
        <f t="shared" si="118"/>
        <v>156.09836877000004</v>
      </c>
      <c r="BS164" s="29">
        <f t="shared" si="118"/>
        <v>590.93522732999986</v>
      </c>
      <c r="BT164" s="29">
        <f t="shared" si="118"/>
        <v>103.02094317999999</v>
      </c>
      <c r="BU164" s="29">
        <f t="shared" si="118"/>
        <v>135.72853191999999</v>
      </c>
      <c r="BV164" s="29">
        <f t="shared" si="118"/>
        <v>194.59571238000001</v>
      </c>
      <c r="BW164" s="29">
        <f t="shared" si="118"/>
        <v>206.34143194000006</v>
      </c>
      <c r="BX164" s="29">
        <f t="shared" si="118"/>
        <v>639.68661942000017</v>
      </c>
      <c r="BY164" s="29">
        <f t="shared" si="118"/>
        <v>197.48759552000001</v>
      </c>
      <c r="BZ164" s="29">
        <f t="shared" si="118"/>
        <v>211.15105555000002</v>
      </c>
      <c r="CA164" s="29">
        <f t="shared" si="118"/>
        <v>229.94817354999992</v>
      </c>
      <c r="CB164" s="29">
        <f t="shared" si="118"/>
        <v>255.70413241</v>
      </c>
      <c r="CC164" s="29">
        <f t="shared" si="118"/>
        <v>894.29095703000007</v>
      </c>
      <c r="CD164" s="29">
        <f t="shared" si="118"/>
        <v>213.05502111999999</v>
      </c>
      <c r="CE164" s="29">
        <f t="shared" si="118"/>
        <v>232.03141820599998</v>
      </c>
      <c r="CF164" s="29">
        <f t="shared" si="118"/>
        <v>248.45823670000004</v>
      </c>
      <c r="CG164" s="29">
        <f t="shared" si="118"/>
        <v>258.34369894999998</v>
      </c>
      <c r="CH164" s="29">
        <f t="shared" si="118"/>
        <v>951.88837497599991</v>
      </c>
      <c r="CI164" s="29">
        <f t="shared" si="118"/>
        <v>225.17333807999998</v>
      </c>
      <c r="CJ164" s="29">
        <f t="shared" si="118"/>
        <v>233.59752668000007</v>
      </c>
      <c r="CK164" s="29">
        <f t="shared" si="118"/>
        <v>223.21002705000001</v>
      </c>
      <c r="CL164" s="29">
        <f t="shared" si="118"/>
        <v>226.31615609000005</v>
      </c>
      <c r="CM164" s="29">
        <f t="shared" si="118"/>
        <v>908.29704790000005</v>
      </c>
      <c r="CN164" s="29">
        <f t="shared" si="118"/>
        <v>200.17682215000002</v>
      </c>
      <c r="CO164" s="29">
        <f t="shared" si="118"/>
        <v>215.19117868999996</v>
      </c>
      <c r="CP164" s="29">
        <f t="shared" si="118"/>
        <v>216.65422063</v>
      </c>
      <c r="CQ164" s="29">
        <f t="shared" si="118"/>
        <v>228.06877853</v>
      </c>
      <c r="CR164" s="29">
        <f t="shared" si="118"/>
        <v>860.09100000000001</v>
      </c>
      <c r="CS164" s="29">
        <f t="shared" si="118"/>
        <v>183.42503037</v>
      </c>
      <c r="CT164" s="29">
        <f t="shared" si="118"/>
        <v>182.13459153999997</v>
      </c>
      <c r="CU164" s="29">
        <f t="shared" si="118"/>
        <v>181.06135189999998</v>
      </c>
      <c r="CV164" s="29">
        <f t="shared" si="118"/>
        <v>197.99342790999998</v>
      </c>
      <c r="CW164" s="29">
        <f t="shared" si="118"/>
        <v>744.61440172000005</v>
      </c>
      <c r="CX164" s="29">
        <f t="shared" si="118"/>
        <v>180.37999999999997</v>
      </c>
      <c r="CY164" s="29">
        <f t="shared" si="118"/>
        <v>183.053</v>
      </c>
      <c r="CZ164" s="29">
        <f t="shared" si="118"/>
        <v>188.28709999999992</v>
      </c>
      <c r="DA164" s="29">
        <f t="shared" si="118"/>
        <v>217.67499999999998</v>
      </c>
      <c r="DB164" s="29">
        <f t="shared" si="118"/>
        <v>769.39510000000007</v>
      </c>
      <c r="DC164" s="29">
        <f t="shared" si="118"/>
        <v>214.64500000000001</v>
      </c>
      <c r="DD164" s="29">
        <f t="shared" si="118"/>
        <v>227.11859999999996</v>
      </c>
      <c r="DE164" s="29">
        <f t="shared" si="118"/>
        <v>261.81400000000002</v>
      </c>
      <c r="DF164" s="29">
        <f t="shared" si="118"/>
        <v>270.464</v>
      </c>
      <c r="DG164" s="29">
        <f t="shared" si="118"/>
        <v>974.0415999999999</v>
      </c>
      <c r="DH164" s="29">
        <f t="shared" si="118"/>
        <v>239.39799999999997</v>
      </c>
      <c r="DI164" s="29">
        <f t="shared" si="118"/>
        <v>216.755</v>
      </c>
      <c r="DJ164" s="29">
        <f t="shared" si="118"/>
        <v>243.38400000000001</v>
      </c>
      <c r="DK164" s="29">
        <f t="shared" si="118"/>
        <v>354.23200000000008</v>
      </c>
      <c r="DL164" s="29">
        <f t="shared" si="118"/>
        <v>1053.769</v>
      </c>
      <c r="DM164" s="29">
        <f t="shared" si="118"/>
        <v>262.30600000000004</v>
      </c>
      <c r="DN164" s="29">
        <f t="shared" si="118"/>
        <v>289.22999999999996</v>
      </c>
      <c r="DO164" s="29">
        <f t="shared" si="118"/>
        <v>288.69599999999997</v>
      </c>
      <c r="DP164" s="29">
        <f t="shared" si="118"/>
        <v>331.63900000000001</v>
      </c>
      <c r="DQ164" s="29">
        <f t="shared" si="118"/>
        <v>1171.8129999999996</v>
      </c>
      <c r="DR164" s="29">
        <f t="shared" si="118"/>
        <v>294.7890000000001</v>
      </c>
      <c r="DS164" s="29">
        <f t="shared" si="118"/>
        <v>309.37200000000001</v>
      </c>
      <c r="DT164" s="29">
        <f t="shared" si="118"/>
        <v>316.77100000000002</v>
      </c>
      <c r="DU164" s="29">
        <f t="shared" ref="DU164:EA164" si="119">SUM(DU141:DU163)</f>
        <v>341.18699999999995</v>
      </c>
      <c r="DV164" s="29">
        <f t="shared" si="119"/>
        <v>1262.0849999999998</v>
      </c>
      <c r="DW164" s="29">
        <f t="shared" si="119"/>
        <v>350.70450000000011</v>
      </c>
      <c r="DX164" s="29">
        <f t="shared" si="119"/>
        <v>364.67408992000003</v>
      </c>
      <c r="DY164" s="29">
        <f t="shared" si="119"/>
        <v>405.96158967999997</v>
      </c>
      <c r="DZ164" s="29">
        <f t="shared" si="119"/>
        <v>426.28264023000008</v>
      </c>
      <c r="EA164" s="29">
        <f t="shared" si="119"/>
        <v>1547.5878998300004</v>
      </c>
      <c r="EB164" s="29">
        <f>SUM(EB141:EB163)</f>
        <v>433.18091837000009</v>
      </c>
      <c r="EC164" s="29">
        <f>SUM(EC141:EC163)</f>
        <v>412.29556445000003</v>
      </c>
      <c r="ED164" s="29">
        <f>SUM(ED141:ED163)</f>
        <v>444.76099999999997</v>
      </c>
      <c r="EE164" s="29">
        <f>SUM(EE141:EE163)</f>
        <v>480.7899175500001</v>
      </c>
      <c r="EF164" s="29">
        <f t="shared" ref="EF164" si="120">SUM(EF141:EF163)</f>
        <v>1770.9906367400001</v>
      </c>
      <c r="EG164" s="29">
        <f>SUM(EG141:EG163)</f>
        <v>414.78006854999978</v>
      </c>
      <c r="EH164" s="29">
        <f>SUM(EH141:EH163)</f>
        <v>458.35190641999998</v>
      </c>
      <c r="EI164" s="29">
        <f>SUM(EI141:EI163)</f>
        <v>477.95501246999999</v>
      </c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CK45:CN53 CH45:CH53 CC45:CC53 BX45:BX53 BS45:BS51 BS36:BS43 BX37:BX43 CC37:CC43 CH37:CH43 CK37:CN43" formulaRange="1"/>
    <ignoredError sqref="DE101:DV101 DE100:DJ100 DL100:DV100 DE103:DV105 DG102:DV102 DE108:DV108 DE106:DT106 DV106 DG107:DH107 DL107:DN107 DS107:DT107 DV10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93B65-5CEC-43DB-AA13-C5680646E59A}">
  <sheetPr codeName="Planilha8">
    <tabColor theme="4" tint="-0.499984740745262"/>
  </sheetPr>
  <dimension ref="A1:EJ82"/>
  <sheetViews>
    <sheetView showGridLines="0" zoomScale="85" zoomScaleNormal="85" workbookViewId="0">
      <pane xSplit="61" ySplit="2" topLeftCell="DV15" activePane="bottomRight" state="frozen"/>
      <selection activeCell="EK144" sqref="EK144"/>
      <selection pane="topRight" activeCell="EK144" sqref="EK144"/>
      <selection pane="bottomLeft" activeCell="EK144" sqref="EK144"/>
      <selection pane="bottomRight" activeCell="EJ1" sqref="EJ1"/>
    </sheetView>
  </sheetViews>
  <sheetFormatPr defaultRowHeight="14.4" outlineLevelCol="1" x14ac:dyDescent="0.3"/>
  <cols>
    <col min="1" max="1" width="48.77734375" customWidth="1"/>
    <col min="2" max="61" width="0" hidden="1" customWidth="1"/>
    <col min="62" max="65" width="6" hidden="1" customWidth="1" outlineLevel="1"/>
    <col min="66" max="66" width="7" hidden="1" customWidth="1" outlineLevel="1"/>
    <col min="67" max="69" width="6" hidden="1" customWidth="1" outlineLevel="1"/>
    <col min="70" max="71" width="7" hidden="1" customWidth="1" outlineLevel="1"/>
    <col min="72" max="72" width="6" hidden="1" customWidth="1" outlineLevel="1"/>
    <col min="73" max="73" width="6.5546875" hidden="1" customWidth="1" outlineLevel="1"/>
    <col min="74" max="91" width="7" hidden="1" customWidth="1" outlineLevel="1"/>
    <col min="92" max="92" width="6" hidden="1" customWidth="1" outlineLevel="1"/>
    <col min="93" max="96" width="7" hidden="1" customWidth="1" outlineLevel="1"/>
    <col min="97" max="97" width="6" hidden="1" customWidth="1" outlineLevel="1"/>
    <col min="98" max="110" width="7" hidden="1" customWidth="1" outlineLevel="1"/>
    <col min="111" max="111" width="8.5546875" hidden="1" customWidth="1" outlineLevel="1"/>
    <col min="112" max="112" width="7" customWidth="1" collapsed="1"/>
    <col min="113" max="115" width="7" customWidth="1"/>
    <col min="116" max="116" width="8.5546875" customWidth="1"/>
    <col min="117" max="119" width="7" customWidth="1"/>
    <col min="120" max="121" width="8.5546875" customWidth="1"/>
    <col min="122" max="125" width="7" customWidth="1"/>
    <col min="126" max="126" width="8.5546875" customWidth="1"/>
    <col min="127" max="127" width="7" customWidth="1"/>
    <col min="128" max="128" width="9.21875" customWidth="1"/>
    <col min="129" max="131" width="8.5546875" customWidth="1"/>
    <col min="132" max="132" width="8.5546875" bestFit="1" customWidth="1"/>
    <col min="133" max="133" width="9.21875" bestFit="1" customWidth="1"/>
    <col min="134" max="135" width="10.21875" bestFit="1" customWidth="1"/>
    <col min="136" max="136" width="8.5546875" bestFit="1" customWidth="1"/>
    <col min="137" max="139" width="10.21875" bestFit="1" customWidth="1"/>
    <col min="140" max="140" width="8.5546875" bestFit="1" customWidth="1"/>
    <col min="141" max="141" width="9.21875" bestFit="1" customWidth="1"/>
  </cols>
  <sheetData>
    <row r="1" spans="1:140" x14ac:dyDescent="0.3">
      <c r="A1" s="3" t="s">
        <v>409</v>
      </c>
      <c r="B1" s="6" t="s">
        <v>4</v>
      </c>
      <c r="C1" s="6" t="s">
        <v>5</v>
      </c>
      <c r="D1" s="6" t="s">
        <v>6</v>
      </c>
      <c r="E1" s="6" t="s">
        <v>7</v>
      </c>
      <c r="F1" s="6">
        <v>1998</v>
      </c>
      <c r="G1" s="6" t="s">
        <v>8</v>
      </c>
      <c r="H1" s="6" t="s">
        <v>9</v>
      </c>
      <c r="I1" s="6" t="s">
        <v>10</v>
      </c>
      <c r="J1" s="6" t="s">
        <v>11</v>
      </c>
      <c r="K1" s="6">
        <v>1999</v>
      </c>
      <c r="L1" s="6" t="s">
        <v>12</v>
      </c>
      <c r="M1" s="6" t="s">
        <v>13</v>
      </c>
      <c r="N1" s="6" t="s">
        <v>14</v>
      </c>
      <c r="O1" s="6" t="s">
        <v>15</v>
      </c>
      <c r="P1" s="6">
        <v>2000</v>
      </c>
      <c r="Q1" s="6" t="s">
        <v>16</v>
      </c>
      <c r="R1" s="6" t="s">
        <v>17</v>
      </c>
      <c r="S1" s="6" t="s">
        <v>18</v>
      </c>
      <c r="T1" s="6" t="s">
        <v>19</v>
      </c>
      <c r="U1" s="6">
        <v>2001</v>
      </c>
      <c r="V1" s="6" t="s">
        <v>20</v>
      </c>
      <c r="W1" s="6" t="s">
        <v>21</v>
      </c>
      <c r="X1" s="6" t="s">
        <v>22</v>
      </c>
      <c r="Y1" s="6" t="s">
        <v>23</v>
      </c>
      <c r="Z1" s="6">
        <v>2002</v>
      </c>
      <c r="AA1" s="6" t="s">
        <v>24</v>
      </c>
      <c r="AB1" s="6" t="s">
        <v>25</v>
      </c>
      <c r="AC1" s="6" t="s">
        <v>26</v>
      </c>
      <c r="AD1" s="6" t="s">
        <v>27</v>
      </c>
      <c r="AE1" s="6">
        <v>2003</v>
      </c>
      <c r="AF1" s="6" t="s">
        <v>28</v>
      </c>
      <c r="AG1" s="6" t="s">
        <v>29</v>
      </c>
      <c r="AH1" s="6" t="s">
        <v>30</v>
      </c>
      <c r="AI1" s="6" t="s">
        <v>31</v>
      </c>
      <c r="AJ1" s="6">
        <v>2004</v>
      </c>
      <c r="AK1" s="6" t="s">
        <v>32</v>
      </c>
      <c r="AL1" s="6" t="s">
        <v>33</v>
      </c>
      <c r="AM1" s="6" t="s">
        <v>34</v>
      </c>
      <c r="AN1" s="6" t="s">
        <v>35</v>
      </c>
      <c r="AO1" s="6">
        <v>2005</v>
      </c>
      <c r="AP1" s="6" t="s">
        <v>36</v>
      </c>
      <c r="AQ1" s="6" t="s">
        <v>37</v>
      </c>
      <c r="AR1" s="6" t="s">
        <v>38</v>
      </c>
      <c r="AS1" s="6" t="s">
        <v>39</v>
      </c>
      <c r="AT1" s="6">
        <v>2006</v>
      </c>
      <c r="AU1" s="6" t="s">
        <v>40</v>
      </c>
      <c r="AV1" s="6" t="s">
        <v>41</v>
      </c>
      <c r="AW1" s="6" t="s">
        <v>42</v>
      </c>
      <c r="AX1" s="6" t="s">
        <v>43</v>
      </c>
      <c r="AY1" s="6">
        <v>2007</v>
      </c>
      <c r="AZ1" s="6" t="s">
        <v>44</v>
      </c>
      <c r="BA1" s="6" t="s">
        <v>45</v>
      </c>
      <c r="BB1" s="6" t="s">
        <v>46</v>
      </c>
      <c r="BC1" s="6" t="s">
        <v>47</v>
      </c>
      <c r="BD1" s="6">
        <v>2008</v>
      </c>
      <c r="BE1" s="6" t="s">
        <v>48</v>
      </c>
      <c r="BF1" s="6" t="s">
        <v>49</v>
      </c>
      <c r="BG1" s="6" t="s">
        <v>50</v>
      </c>
      <c r="BH1" s="6" t="s">
        <v>51</v>
      </c>
      <c r="BI1" s="6">
        <v>2009</v>
      </c>
      <c r="BJ1" s="6" t="s">
        <v>52</v>
      </c>
      <c r="BK1" s="6" t="s">
        <v>53</v>
      </c>
      <c r="BL1" s="6" t="s">
        <v>54</v>
      </c>
      <c r="BM1" s="6" t="s">
        <v>55</v>
      </c>
      <c r="BN1" s="6">
        <v>2010</v>
      </c>
      <c r="BO1" s="6" t="s">
        <v>56</v>
      </c>
      <c r="BP1" s="6" t="s">
        <v>57</v>
      </c>
      <c r="BQ1" s="6" t="s">
        <v>58</v>
      </c>
      <c r="BR1" s="6" t="s">
        <v>59</v>
      </c>
      <c r="BS1" s="6">
        <v>2011</v>
      </c>
      <c r="BT1" s="6" t="s">
        <v>60</v>
      </c>
      <c r="BU1" s="6" t="s">
        <v>61</v>
      </c>
      <c r="BV1" s="6" t="s">
        <v>62</v>
      </c>
      <c r="BW1" s="6" t="s">
        <v>63</v>
      </c>
      <c r="BX1" s="6">
        <v>2012</v>
      </c>
      <c r="BY1" s="6" t="s">
        <v>64</v>
      </c>
      <c r="BZ1" s="6" t="s">
        <v>65</v>
      </c>
      <c r="CA1" s="6" t="s">
        <v>66</v>
      </c>
      <c r="CB1" s="6" t="s">
        <v>67</v>
      </c>
      <c r="CC1" s="6">
        <v>2013</v>
      </c>
      <c r="CD1" s="6" t="s">
        <v>68</v>
      </c>
      <c r="CE1" s="6" t="s">
        <v>69</v>
      </c>
      <c r="CF1" s="6" t="s">
        <v>70</v>
      </c>
      <c r="CG1" s="6" t="s">
        <v>71</v>
      </c>
      <c r="CH1" s="6">
        <v>2014</v>
      </c>
      <c r="CI1" s="6" t="s">
        <v>72</v>
      </c>
      <c r="CJ1" s="6" t="s">
        <v>73</v>
      </c>
      <c r="CK1" s="6" t="s">
        <v>74</v>
      </c>
      <c r="CL1" s="6" t="s">
        <v>75</v>
      </c>
      <c r="CM1" s="6">
        <v>2015</v>
      </c>
      <c r="CN1" s="6" t="s">
        <v>76</v>
      </c>
      <c r="CO1" s="6" t="s">
        <v>77</v>
      </c>
      <c r="CP1" s="6" t="s">
        <v>78</v>
      </c>
      <c r="CQ1" s="6" t="s">
        <v>79</v>
      </c>
      <c r="CR1" s="6">
        <v>2016</v>
      </c>
      <c r="CS1" s="6" t="s">
        <v>80</v>
      </c>
      <c r="CT1" s="6" t="s">
        <v>81</v>
      </c>
      <c r="CU1" s="6" t="s">
        <v>82</v>
      </c>
      <c r="CV1" s="6" t="s">
        <v>83</v>
      </c>
      <c r="CW1" s="6">
        <v>2017</v>
      </c>
      <c r="CX1" s="6" t="s">
        <v>84</v>
      </c>
      <c r="CY1" s="6" t="s">
        <v>85</v>
      </c>
      <c r="CZ1" s="6" t="s">
        <v>86</v>
      </c>
      <c r="DA1" s="6" t="s">
        <v>87</v>
      </c>
      <c r="DB1" s="6">
        <v>2018</v>
      </c>
      <c r="DC1" s="6" t="s">
        <v>88</v>
      </c>
      <c r="DD1" s="6" t="s">
        <v>89</v>
      </c>
      <c r="DE1" s="6" t="s">
        <v>90</v>
      </c>
      <c r="DF1" s="6" t="s">
        <v>91</v>
      </c>
      <c r="DG1" s="6">
        <v>2019</v>
      </c>
      <c r="DH1" s="6" t="s">
        <v>92</v>
      </c>
      <c r="DI1" s="6" t="s">
        <v>93</v>
      </c>
      <c r="DJ1" s="6" t="s">
        <v>94</v>
      </c>
      <c r="DK1" s="6" t="s">
        <v>95</v>
      </c>
      <c r="DL1" s="6">
        <v>2020</v>
      </c>
      <c r="DM1" s="6" t="s">
        <v>96</v>
      </c>
      <c r="DN1" s="6" t="s">
        <v>97</v>
      </c>
      <c r="DO1" s="6" t="s">
        <v>98</v>
      </c>
      <c r="DP1" s="6" t="s">
        <v>99</v>
      </c>
      <c r="DQ1" s="6">
        <v>2021</v>
      </c>
      <c r="DR1" s="6" t="s">
        <v>100</v>
      </c>
      <c r="DS1" s="6" t="s">
        <v>101</v>
      </c>
      <c r="DT1" s="6" t="s">
        <v>200</v>
      </c>
      <c r="DU1" s="6" t="s">
        <v>380</v>
      </c>
      <c r="DV1" s="6">
        <v>2022</v>
      </c>
      <c r="DW1" s="6" t="s">
        <v>379</v>
      </c>
      <c r="DX1" s="6" t="s">
        <v>402</v>
      </c>
      <c r="DY1" s="6" t="s">
        <v>414</v>
      </c>
      <c r="DZ1" s="6" t="s">
        <v>419</v>
      </c>
      <c r="EA1" s="6">
        <v>2023</v>
      </c>
      <c r="EB1" s="6" t="s">
        <v>424</v>
      </c>
      <c r="EC1" s="6" t="s">
        <v>429</v>
      </c>
      <c r="ED1" s="6" t="s">
        <v>432</v>
      </c>
      <c r="EE1" s="6" t="s">
        <v>434</v>
      </c>
      <c r="EF1" s="6">
        <v>2024</v>
      </c>
      <c r="EG1" s="6" t="s">
        <v>451</v>
      </c>
      <c r="EH1" s="6" t="s">
        <v>466</v>
      </c>
      <c r="EI1" s="6" t="s">
        <v>470</v>
      </c>
      <c r="EJ1" s="6">
        <v>2025</v>
      </c>
    </row>
    <row r="2" spans="1:140" ht="15" thickBot="1" x14ac:dyDescent="0.35">
      <c r="A2" s="4" t="s">
        <v>409</v>
      </c>
      <c r="B2" s="7" t="s">
        <v>102</v>
      </c>
      <c r="C2" s="7" t="s">
        <v>103</v>
      </c>
      <c r="D2" s="7" t="s">
        <v>104</v>
      </c>
      <c r="E2" s="7" t="s">
        <v>105</v>
      </c>
      <c r="F2" s="7">
        <v>1998</v>
      </c>
      <c r="G2" s="7" t="s">
        <v>106</v>
      </c>
      <c r="H2" s="7" t="s">
        <v>107</v>
      </c>
      <c r="I2" s="7" t="s">
        <v>108</v>
      </c>
      <c r="J2" s="7" t="s">
        <v>109</v>
      </c>
      <c r="K2" s="7">
        <v>1999</v>
      </c>
      <c r="L2" s="7" t="s">
        <v>110</v>
      </c>
      <c r="M2" s="7" t="s">
        <v>111</v>
      </c>
      <c r="N2" s="7" t="s">
        <v>112</v>
      </c>
      <c r="O2" s="7" t="s">
        <v>113</v>
      </c>
      <c r="P2" s="7">
        <v>2000</v>
      </c>
      <c r="Q2" s="7" t="s">
        <v>114</v>
      </c>
      <c r="R2" s="7" t="s">
        <v>115</v>
      </c>
      <c r="S2" s="7" t="s">
        <v>116</v>
      </c>
      <c r="T2" s="7" t="s">
        <v>117</v>
      </c>
      <c r="U2" s="7">
        <v>2001</v>
      </c>
      <c r="V2" s="7" t="s">
        <v>118</v>
      </c>
      <c r="W2" s="7" t="s">
        <v>119</v>
      </c>
      <c r="X2" s="7" t="s">
        <v>120</v>
      </c>
      <c r="Y2" s="7" t="s">
        <v>121</v>
      </c>
      <c r="Z2" s="7">
        <v>2002</v>
      </c>
      <c r="AA2" s="7" t="s">
        <v>122</v>
      </c>
      <c r="AB2" s="7" t="s">
        <v>123</v>
      </c>
      <c r="AC2" s="7" t="s">
        <v>124</v>
      </c>
      <c r="AD2" s="7" t="s">
        <v>125</v>
      </c>
      <c r="AE2" s="7">
        <v>2003</v>
      </c>
      <c r="AF2" s="7" t="s">
        <v>126</v>
      </c>
      <c r="AG2" s="7" t="s">
        <v>127</v>
      </c>
      <c r="AH2" s="7" t="s">
        <v>128</v>
      </c>
      <c r="AI2" s="7" t="s">
        <v>129</v>
      </c>
      <c r="AJ2" s="7">
        <v>2004</v>
      </c>
      <c r="AK2" s="7" t="s">
        <v>130</v>
      </c>
      <c r="AL2" s="7" t="s">
        <v>131</v>
      </c>
      <c r="AM2" s="7" t="s">
        <v>132</v>
      </c>
      <c r="AN2" s="7" t="s">
        <v>133</v>
      </c>
      <c r="AO2" s="7">
        <v>2005</v>
      </c>
      <c r="AP2" s="7" t="s">
        <v>134</v>
      </c>
      <c r="AQ2" s="7" t="s">
        <v>135</v>
      </c>
      <c r="AR2" s="7" t="s">
        <v>136</v>
      </c>
      <c r="AS2" s="7" t="s">
        <v>137</v>
      </c>
      <c r="AT2" s="7">
        <v>2006</v>
      </c>
      <c r="AU2" s="7" t="s">
        <v>138</v>
      </c>
      <c r="AV2" s="7" t="s">
        <v>139</v>
      </c>
      <c r="AW2" s="7" t="s">
        <v>140</v>
      </c>
      <c r="AX2" s="7" t="s">
        <v>141</v>
      </c>
      <c r="AY2" s="7">
        <v>2007</v>
      </c>
      <c r="AZ2" s="7" t="s">
        <v>142</v>
      </c>
      <c r="BA2" s="7" t="s">
        <v>143</v>
      </c>
      <c r="BB2" s="7" t="s">
        <v>144</v>
      </c>
      <c r="BC2" s="7" t="s">
        <v>145</v>
      </c>
      <c r="BD2" s="7">
        <v>2008</v>
      </c>
      <c r="BE2" s="7" t="s">
        <v>146</v>
      </c>
      <c r="BF2" s="7" t="s">
        <v>147</v>
      </c>
      <c r="BG2" s="7" t="s">
        <v>148</v>
      </c>
      <c r="BH2" s="7" t="s">
        <v>149</v>
      </c>
      <c r="BI2" s="7">
        <v>2009</v>
      </c>
      <c r="BJ2" s="7" t="s">
        <v>150</v>
      </c>
      <c r="BK2" s="7" t="s">
        <v>151</v>
      </c>
      <c r="BL2" s="7" t="s">
        <v>152</v>
      </c>
      <c r="BM2" s="7" t="s">
        <v>153</v>
      </c>
      <c r="BN2" s="7">
        <v>2010</v>
      </c>
      <c r="BO2" s="7" t="s">
        <v>154</v>
      </c>
      <c r="BP2" s="7" t="s">
        <v>155</v>
      </c>
      <c r="BQ2" s="7" t="s">
        <v>156</v>
      </c>
      <c r="BR2" s="7" t="s">
        <v>157</v>
      </c>
      <c r="BS2" s="7">
        <v>2011</v>
      </c>
      <c r="BT2" s="7" t="s">
        <v>158</v>
      </c>
      <c r="BU2" s="7" t="s">
        <v>159</v>
      </c>
      <c r="BV2" s="7" t="s">
        <v>160</v>
      </c>
      <c r="BW2" s="7" t="s">
        <v>161</v>
      </c>
      <c r="BX2" s="7">
        <v>2012</v>
      </c>
      <c r="BY2" s="7" t="s">
        <v>162</v>
      </c>
      <c r="BZ2" s="7" t="s">
        <v>163</v>
      </c>
      <c r="CA2" s="7" t="s">
        <v>164</v>
      </c>
      <c r="CB2" s="7" t="s">
        <v>165</v>
      </c>
      <c r="CC2" s="7">
        <v>2013</v>
      </c>
      <c r="CD2" s="7" t="s">
        <v>166</v>
      </c>
      <c r="CE2" s="7" t="s">
        <v>167</v>
      </c>
      <c r="CF2" s="7" t="s">
        <v>168</v>
      </c>
      <c r="CG2" s="7" t="s">
        <v>169</v>
      </c>
      <c r="CH2" s="7">
        <v>2014</v>
      </c>
      <c r="CI2" s="7" t="s">
        <v>170</v>
      </c>
      <c r="CJ2" s="7" t="s">
        <v>171</v>
      </c>
      <c r="CK2" s="7" t="s">
        <v>172</v>
      </c>
      <c r="CL2" s="7" t="s">
        <v>173</v>
      </c>
      <c r="CM2" s="7">
        <v>2015</v>
      </c>
      <c r="CN2" s="7" t="s">
        <v>174</v>
      </c>
      <c r="CO2" s="7" t="s">
        <v>175</v>
      </c>
      <c r="CP2" s="7" t="s">
        <v>176</v>
      </c>
      <c r="CQ2" s="7" t="s">
        <v>177</v>
      </c>
      <c r="CR2" s="7">
        <v>2016</v>
      </c>
      <c r="CS2" s="7" t="s">
        <v>178</v>
      </c>
      <c r="CT2" s="7" t="s">
        <v>179</v>
      </c>
      <c r="CU2" s="7" t="s">
        <v>180</v>
      </c>
      <c r="CV2" s="7" t="s">
        <v>181</v>
      </c>
      <c r="CW2" s="7">
        <v>2017</v>
      </c>
      <c r="CX2" s="7" t="s">
        <v>182</v>
      </c>
      <c r="CY2" s="7" t="s">
        <v>183</v>
      </c>
      <c r="CZ2" s="7" t="s">
        <v>184</v>
      </c>
      <c r="DA2" s="7" t="s">
        <v>185</v>
      </c>
      <c r="DB2" s="7">
        <v>2018</v>
      </c>
      <c r="DC2" s="7" t="s">
        <v>186</v>
      </c>
      <c r="DD2" s="7" t="s">
        <v>187</v>
      </c>
      <c r="DE2" s="7" t="s">
        <v>188</v>
      </c>
      <c r="DF2" s="7" t="s">
        <v>189</v>
      </c>
      <c r="DG2" s="7">
        <v>2019</v>
      </c>
      <c r="DH2" s="7" t="s">
        <v>190</v>
      </c>
      <c r="DI2" s="7" t="s">
        <v>191</v>
      </c>
      <c r="DJ2" s="7" t="s">
        <v>192</v>
      </c>
      <c r="DK2" s="7" t="s">
        <v>193</v>
      </c>
      <c r="DL2" s="7">
        <v>2020</v>
      </c>
      <c r="DM2" s="7" t="s">
        <v>194</v>
      </c>
      <c r="DN2" s="7" t="s">
        <v>195</v>
      </c>
      <c r="DO2" s="7" t="s">
        <v>196</v>
      </c>
      <c r="DP2" s="7" t="s">
        <v>197</v>
      </c>
      <c r="DQ2" s="7">
        <v>2021</v>
      </c>
      <c r="DR2" s="7" t="s">
        <v>198</v>
      </c>
      <c r="DS2" s="7" t="s">
        <v>199</v>
      </c>
      <c r="DT2" s="7" t="s">
        <v>201</v>
      </c>
      <c r="DU2" s="7" t="s">
        <v>381</v>
      </c>
      <c r="DV2" s="7">
        <v>2022</v>
      </c>
      <c r="DW2" s="7" t="s">
        <v>382</v>
      </c>
      <c r="DX2" s="7" t="s">
        <v>403</v>
      </c>
      <c r="DY2" s="7" t="s">
        <v>415</v>
      </c>
      <c r="DZ2" s="7" t="s">
        <v>420</v>
      </c>
      <c r="EA2" s="7">
        <v>2023</v>
      </c>
      <c r="EB2" s="7" t="s">
        <v>425</v>
      </c>
      <c r="EC2" s="7" t="s">
        <v>430</v>
      </c>
      <c r="ED2" s="7" t="s">
        <v>433</v>
      </c>
      <c r="EE2" s="7" t="s">
        <v>435</v>
      </c>
      <c r="EF2" s="7">
        <v>2024</v>
      </c>
      <c r="EG2" s="7" t="s">
        <v>452</v>
      </c>
      <c r="EH2" s="7" t="s">
        <v>467</v>
      </c>
      <c r="EI2" s="7" t="s">
        <v>479</v>
      </c>
      <c r="EJ2" s="7">
        <v>2025</v>
      </c>
    </row>
    <row r="3" spans="1:140" ht="15" thickTop="1" x14ac:dyDescent="0.3">
      <c r="A3" s="1" t="s">
        <v>2</v>
      </c>
      <c r="B3" s="27"/>
      <c r="C3" s="27"/>
      <c r="D3" s="27"/>
      <c r="E3" s="27"/>
      <c r="F3" s="27">
        <f>SUM(B3:E3)</f>
        <v>0</v>
      </c>
      <c r="G3" s="27"/>
      <c r="H3" s="27"/>
      <c r="I3" s="27"/>
      <c r="J3" s="27"/>
      <c r="K3" s="27">
        <f>SUM(G3:J3)</f>
        <v>0</v>
      </c>
      <c r="L3" s="27"/>
      <c r="M3" s="27"/>
      <c r="N3" s="27"/>
      <c r="O3" s="27"/>
      <c r="P3" s="27">
        <f>SUM(L3:O3)</f>
        <v>0</v>
      </c>
      <c r="Q3" s="27"/>
      <c r="R3" s="27"/>
      <c r="S3" s="27"/>
      <c r="T3" s="27"/>
      <c r="U3" s="27">
        <f>SUM(Q3:T3)</f>
        <v>0</v>
      </c>
      <c r="V3" s="27"/>
      <c r="W3" s="27"/>
      <c r="X3" s="27"/>
      <c r="Y3" s="27"/>
      <c r="Z3" s="27">
        <f>SUM(V3:Y3)</f>
        <v>0</v>
      </c>
      <c r="AA3" s="27"/>
      <c r="AB3" s="27"/>
      <c r="AC3" s="27"/>
      <c r="AD3" s="27"/>
      <c r="AE3" s="27">
        <f>SUM(AA3:AD3)</f>
        <v>0</v>
      </c>
      <c r="AF3" s="27"/>
      <c r="AG3" s="27"/>
      <c r="AH3" s="27"/>
      <c r="AI3" s="27"/>
      <c r="AJ3" s="27">
        <f>SUM(AF3:AI3)</f>
        <v>0</v>
      </c>
      <c r="AK3" s="27"/>
      <c r="AL3" s="27"/>
      <c r="AM3" s="27"/>
      <c r="AN3" s="27"/>
      <c r="AO3" s="27">
        <f>SUM(AK3:AN3)</f>
        <v>0</v>
      </c>
      <c r="AP3" s="27"/>
      <c r="AQ3" s="27"/>
      <c r="AR3" s="27"/>
      <c r="AS3" s="27"/>
      <c r="AT3" s="27">
        <f>SUM(AP3:AS3)</f>
        <v>0</v>
      </c>
      <c r="AU3" s="27"/>
      <c r="AV3" s="27"/>
      <c r="AW3" s="27"/>
      <c r="AX3" s="27"/>
      <c r="AY3" s="27">
        <f>SUM(AU3:AX3)</f>
        <v>0</v>
      </c>
      <c r="AZ3" s="27"/>
      <c r="BA3" s="27"/>
      <c r="BB3" s="27"/>
      <c r="BC3" s="27"/>
      <c r="BD3" s="27">
        <f>SUM(AZ3:BC3)</f>
        <v>0</v>
      </c>
      <c r="BE3" s="27"/>
      <c r="BF3" s="27"/>
      <c r="BG3" s="27"/>
      <c r="BH3" s="27"/>
      <c r="BI3" s="27">
        <f>SUM(BE3:BH3)</f>
        <v>0</v>
      </c>
      <c r="BJ3" s="27">
        <f t="shared" ref="BJ3:DU3" si="0">BJ30+BJ57</f>
        <v>5</v>
      </c>
      <c r="BK3" s="27">
        <f t="shared" si="0"/>
        <v>13.46</v>
      </c>
      <c r="BL3" s="27">
        <f t="shared" si="0"/>
        <v>12.149999999999999</v>
      </c>
      <c r="BM3" s="27">
        <f t="shared" si="0"/>
        <v>4.5199999999999996</v>
      </c>
      <c r="BN3" s="27">
        <f t="shared" si="0"/>
        <v>35.130000000000003</v>
      </c>
      <c r="BO3" s="27">
        <f t="shared" si="0"/>
        <v>2.6</v>
      </c>
      <c r="BP3" s="27">
        <f t="shared" si="0"/>
        <v>6.6239999999999997</v>
      </c>
      <c r="BQ3" s="27">
        <f t="shared" si="0"/>
        <v>9.4920000000000009</v>
      </c>
      <c r="BR3" s="27">
        <f t="shared" si="0"/>
        <v>9.4930000000000003</v>
      </c>
      <c r="BS3" s="27">
        <f t="shared" si="0"/>
        <v>28.209000000000003</v>
      </c>
      <c r="BT3" s="27">
        <f t="shared" si="0"/>
        <v>3.6850000000000001</v>
      </c>
      <c r="BU3" s="27">
        <f t="shared" si="0"/>
        <v>9.8520000000000003</v>
      </c>
      <c r="BV3" s="27">
        <f t="shared" si="0"/>
        <v>11.327</v>
      </c>
      <c r="BW3" s="27">
        <f t="shared" si="0"/>
        <v>9.7910000000000004</v>
      </c>
      <c r="BX3" s="27">
        <f t="shared" si="0"/>
        <v>34.655000000000001</v>
      </c>
      <c r="BY3" s="27">
        <f t="shared" si="0"/>
        <v>19</v>
      </c>
      <c r="BZ3" s="27">
        <f t="shared" si="0"/>
        <v>11.7</v>
      </c>
      <c r="CA3" s="27">
        <f t="shared" si="0"/>
        <v>11.9</v>
      </c>
      <c r="CB3" s="27">
        <f t="shared" si="0"/>
        <v>13.1</v>
      </c>
      <c r="CC3" s="27">
        <f t="shared" si="0"/>
        <v>55.699999999999996</v>
      </c>
      <c r="CD3" s="27">
        <f t="shared" si="0"/>
        <v>8.3000000000000007</v>
      </c>
      <c r="CE3" s="27">
        <f t="shared" si="0"/>
        <v>13.8</v>
      </c>
      <c r="CF3" s="27">
        <f t="shared" si="0"/>
        <v>16.5</v>
      </c>
      <c r="CG3" s="27">
        <f t="shared" si="0"/>
        <v>16.100000000000001</v>
      </c>
      <c r="CH3" s="27">
        <f t="shared" si="0"/>
        <v>54.699999999999996</v>
      </c>
      <c r="CI3" s="27">
        <f t="shared" si="0"/>
        <v>17.3</v>
      </c>
      <c r="CJ3" s="27">
        <f t="shared" si="0"/>
        <v>21.8</v>
      </c>
      <c r="CK3" s="27">
        <f t="shared" si="0"/>
        <v>17.100000000000001</v>
      </c>
      <c r="CL3" s="27">
        <f t="shared" si="0"/>
        <v>5.8000000000000007</v>
      </c>
      <c r="CM3" s="27">
        <f t="shared" si="0"/>
        <v>62</v>
      </c>
      <c r="CN3" s="27">
        <f t="shared" si="0"/>
        <v>8.1</v>
      </c>
      <c r="CO3" s="27">
        <f t="shared" si="0"/>
        <v>4</v>
      </c>
      <c r="CP3" s="27">
        <f t="shared" si="0"/>
        <v>5.9</v>
      </c>
      <c r="CQ3" s="27">
        <f t="shared" si="0"/>
        <v>3.5750000000000002</v>
      </c>
      <c r="CR3" s="27">
        <f t="shared" si="0"/>
        <v>21.574999999999999</v>
      </c>
      <c r="CS3" s="27">
        <f t="shared" si="0"/>
        <v>3.4390000000000001</v>
      </c>
      <c r="CT3" s="27">
        <f t="shared" si="0"/>
        <v>5.718</v>
      </c>
      <c r="CU3" s="27">
        <f t="shared" si="0"/>
        <v>8.270999999999999</v>
      </c>
      <c r="CV3" s="27">
        <f t="shared" si="0"/>
        <v>11.878</v>
      </c>
      <c r="CW3" s="27">
        <f t="shared" si="0"/>
        <v>29.306000000000001</v>
      </c>
      <c r="CX3" s="27">
        <f t="shared" si="0"/>
        <v>3.621</v>
      </c>
      <c r="CY3" s="27">
        <f t="shared" si="0"/>
        <v>5.6660000000000004</v>
      </c>
      <c r="CZ3" s="27">
        <f t="shared" si="0"/>
        <v>11.594000000000001</v>
      </c>
      <c r="DA3" s="27">
        <f t="shared" si="0"/>
        <v>12.977999999999998</v>
      </c>
      <c r="DB3" s="27">
        <f t="shared" si="0"/>
        <v>33.859000000000002</v>
      </c>
      <c r="DC3" s="27">
        <f t="shared" si="0"/>
        <v>5.7029999999999994</v>
      </c>
      <c r="DD3" s="27">
        <f t="shared" si="0"/>
        <v>12.657</v>
      </c>
      <c r="DE3" s="27">
        <f t="shared" si="0"/>
        <v>14.25</v>
      </c>
      <c r="DF3" s="27">
        <f t="shared" si="0"/>
        <v>20.889000000000003</v>
      </c>
      <c r="DG3" s="27">
        <f t="shared" si="0"/>
        <v>53.499000000000002</v>
      </c>
      <c r="DH3" s="27">
        <f t="shared" si="0"/>
        <v>3.8099999999999996</v>
      </c>
      <c r="DI3" s="27">
        <f t="shared" si="0"/>
        <v>5.024</v>
      </c>
      <c r="DJ3" s="27">
        <f t="shared" si="0"/>
        <v>6.6480000000000006</v>
      </c>
      <c r="DK3" s="27">
        <f t="shared" si="0"/>
        <v>5.9939999999999998</v>
      </c>
      <c r="DL3" s="27">
        <f t="shared" si="0"/>
        <v>21.475999999999999</v>
      </c>
      <c r="DM3" s="27">
        <f t="shared" si="0"/>
        <v>3.601</v>
      </c>
      <c r="DN3" s="27">
        <f t="shared" si="0"/>
        <v>14.096</v>
      </c>
      <c r="DO3" s="27">
        <f t="shared" si="0"/>
        <v>20.884</v>
      </c>
      <c r="DP3" s="27">
        <f t="shared" si="0"/>
        <v>21.856000000000002</v>
      </c>
      <c r="DQ3" s="27">
        <f t="shared" si="0"/>
        <v>60.436999999999998</v>
      </c>
      <c r="DR3" s="27">
        <f t="shared" si="0"/>
        <v>0</v>
      </c>
      <c r="DS3" s="27">
        <f t="shared" si="0"/>
        <v>0</v>
      </c>
      <c r="DT3" s="27">
        <f t="shared" si="0"/>
        <v>0</v>
      </c>
      <c r="DU3" s="27">
        <f t="shared" si="0"/>
        <v>0</v>
      </c>
      <c r="DV3" s="27">
        <f t="shared" ref="DV3:EC4" si="1">DV30+DV57</f>
        <v>0</v>
      </c>
      <c r="DW3" s="27">
        <f t="shared" si="1"/>
        <v>0</v>
      </c>
      <c r="DX3" s="27">
        <f t="shared" si="1"/>
        <v>0</v>
      </c>
      <c r="DY3" s="27">
        <f t="shared" si="1"/>
        <v>0</v>
      </c>
      <c r="DZ3" s="27">
        <f t="shared" si="1"/>
        <v>0</v>
      </c>
      <c r="EA3" s="27">
        <f t="shared" si="1"/>
        <v>0</v>
      </c>
      <c r="EB3" s="27">
        <f t="shared" si="1"/>
        <v>0</v>
      </c>
      <c r="EC3" s="27">
        <f t="shared" si="1"/>
        <v>0</v>
      </c>
      <c r="ED3" s="27">
        <f t="shared" ref="ED3:EF3" si="2">ED30+ED57</f>
        <v>0</v>
      </c>
      <c r="EE3" s="27">
        <f t="shared" si="2"/>
        <v>0</v>
      </c>
      <c r="EF3" s="27">
        <f t="shared" si="2"/>
        <v>0</v>
      </c>
      <c r="EG3" s="27">
        <f t="shared" ref="EG3:EH3" si="3">EG30+EG57</f>
        <v>0</v>
      </c>
      <c r="EH3" s="27">
        <f t="shared" si="3"/>
        <v>0</v>
      </c>
      <c r="EI3" s="27">
        <f t="shared" ref="EI3" si="4">EI30+EI57</f>
        <v>0</v>
      </c>
      <c r="EJ3" s="27">
        <f>SUM(EG3:EI3)</f>
        <v>0</v>
      </c>
    </row>
    <row r="4" spans="1:140" ht="15" thickBot="1" x14ac:dyDescent="0.35">
      <c r="A4" s="2" t="s">
        <v>454</v>
      </c>
      <c r="B4" s="28"/>
      <c r="C4" s="28"/>
      <c r="D4" s="28"/>
      <c r="E4" s="28"/>
      <c r="F4" s="28">
        <f t="shared" ref="F4:F14" si="5">SUM(B4:E4)</f>
        <v>0</v>
      </c>
      <c r="G4" s="28"/>
      <c r="H4" s="28"/>
      <c r="I4" s="28"/>
      <c r="J4" s="28"/>
      <c r="K4" s="28">
        <f t="shared" ref="K4:K14" si="6">SUM(G4:J4)</f>
        <v>0</v>
      </c>
      <c r="L4" s="28"/>
      <c r="M4" s="28"/>
      <c r="N4" s="28"/>
      <c r="O4" s="28"/>
      <c r="P4" s="28">
        <f t="shared" ref="P4:P14" si="7">SUM(L4:O4)</f>
        <v>0</v>
      </c>
      <c r="Q4" s="28"/>
      <c r="R4" s="28"/>
      <c r="S4" s="28"/>
      <c r="T4" s="28"/>
      <c r="U4" s="28">
        <f t="shared" ref="U4:U14" si="8">SUM(Q4:T4)</f>
        <v>0</v>
      </c>
      <c r="V4" s="28"/>
      <c r="W4" s="28"/>
      <c r="X4" s="28"/>
      <c r="Y4" s="28"/>
      <c r="Z4" s="28">
        <f t="shared" ref="Z4:Z14" si="9">SUM(V4:Y4)</f>
        <v>0</v>
      </c>
      <c r="AA4" s="28"/>
      <c r="AB4" s="28"/>
      <c r="AC4" s="28"/>
      <c r="AD4" s="28"/>
      <c r="AE4" s="28">
        <f t="shared" ref="AE4:AE14" si="10">SUM(AA4:AD4)</f>
        <v>0</v>
      </c>
      <c r="AF4" s="28"/>
      <c r="AG4" s="28"/>
      <c r="AH4" s="28"/>
      <c r="AI4" s="28"/>
      <c r="AJ4" s="28">
        <f t="shared" ref="AJ4:AJ14" si="11">SUM(AF4:AI4)</f>
        <v>0</v>
      </c>
      <c r="AK4" s="28"/>
      <c r="AL4" s="28"/>
      <c r="AM4" s="28"/>
      <c r="AN4" s="28"/>
      <c r="AO4" s="28">
        <f t="shared" ref="AO4:AO14" si="12">SUM(AK4:AN4)</f>
        <v>0</v>
      </c>
      <c r="AP4" s="28"/>
      <c r="AQ4" s="28"/>
      <c r="AR4" s="28"/>
      <c r="AS4" s="28"/>
      <c r="AT4" s="28">
        <f t="shared" ref="AT4:AT14" si="13">SUM(AP4:AS4)</f>
        <v>0</v>
      </c>
      <c r="AU4" s="28"/>
      <c r="AV4" s="28"/>
      <c r="AW4" s="28"/>
      <c r="AX4" s="28"/>
      <c r="AY4" s="28">
        <f t="shared" ref="AY4:AY14" si="14">SUM(AU4:AX4)</f>
        <v>0</v>
      </c>
      <c r="AZ4" s="28"/>
      <c r="BA4" s="28"/>
      <c r="BB4" s="28"/>
      <c r="BC4" s="28"/>
      <c r="BD4" s="28">
        <f t="shared" ref="BD4:BD14" si="15">SUM(AZ4:BC4)</f>
        <v>0</v>
      </c>
      <c r="BE4" s="28"/>
      <c r="BF4" s="28"/>
      <c r="BG4" s="28"/>
      <c r="BH4" s="28"/>
      <c r="BI4" s="28">
        <f t="shared" ref="BI4:BI14" si="16">SUM(BE4:BH4)</f>
        <v>0</v>
      </c>
      <c r="BJ4" s="28">
        <f t="shared" ref="BJ4:DU4" si="17">BJ31+BJ58</f>
        <v>5.9</v>
      </c>
      <c r="BK4" s="28">
        <f t="shared" si="17"/>
        <v>4.9000000000000004</v>
      </c>
      <c r="BL4" s="28">
        <f t="shared" si="17"/>
        <v>5.6019999999999994</v>
      </c>
      <c r="BM4" s="28">
        <f t="shared" si="17"/>
        <v>7.0020000000000007</v>
      </c>
      <c r="BN4" s="28">
        <f t="shared" si="17"/>
        <v>23.404</v>
      </c>
      <c r="BO4" s="28">
        <f t="shared" si="17"/>
        <v>5.2</v>
      </c>
      <c r="BP4" s="28">
        <f t="shared" si="17"/>
        <v>12.6</v>
      </c>
      <c r="BQ4" s="28">
        <f t="shared" si="17"/>
        <v>9.3609999999999989</v>
      </c>
      <c r="BR4" s="28">
        <f t="shared" si="17"/>
        <v>10.021000000000001</v>
      </c>
      <c r="BS4" s="28">
        <f t="shared" si="17"/>
        <v>37.182000000000002</v>
      </c>
      <c r="BT4" s="28">
        <f t="shared" si="17"/>
        <v>4.4379999999999997</v>
      </c>
      <c r="BU4" s="28">
        <f t="shared" si="17"/>
        <v>8.5760000000000005</v>
      </c>
      <c r="BV4" s="28">
        <f t="shared" si="17"/>
        <v>10</v>
      </c>
      <c r="BW4" s="28">
        <f t="shared" si="17"/>
        <v>9.9499999999999993</v>
      </c>
      <c r="BX4" s="28">
        <f t="shared" si="17"/>
        <v>32.963999999999999</v>
      </c>
      <c r="BY4" s="28">
        <f t="shared" si="17"/>
        <v>4.2</v>
      </c>
      <c r="BZ4" s="28">
        <f t="shared" si="17"/>
        <v>13</v>
      </c>
      <c r="CA4" s="28">
        <f t="shared" si="17"/>
        <v>11.2</v>
      </c>
      <c r="CB4" s="28">
        <f t="shared" si="17"/>
        <v>15</v>
      </c>
      <c r="CC4" s="28">
        <f t="shared" si="17"/>
        <v>43.4</v>
      </c>
      <c r="CD4" s="28">
        <f t="shared" si="17"/>
        <v>8.1999999999999993</v>
      </c>
      <c r="CE4" s="28">
        <f t="shared" si="17"/>
        <v>9.8350000000000009</v>
      </c>
      <c r="CF4" s="28">
        <f t="shared" si="17"/>
        <v>14.365</v>
      </c>
      <c r="CG4" s="28">
        <f t="shared" si="17"/>
        <v>15.600000000000001</v>
      </c>
      <c r="CH4" s="28">
        <f t="shared" si="17"/>
        <v>48</v>
      </c>
      <c r="CI4" s="28">
        <f t="shared" si="17"/>
        <v>7.5</v>
      </c>
      <c r="CJ4" s="28">
        <f t="shared" si="17"/>
        <v>9.9</v>
      </c>
      <c r="CK4" s="28">
        <f t="shared" si="17"/>
        <v>9.8000000000000007</v>
      </c>
      <c r="CL4" s="28">
        <f t="shared" si="17"/>
        <v>9.8999999999999986</v>
      </c>
      <c r="CM4" s="28">
        <f t="shared" si="17"/>
        <v>37.100000000000009</v>
      </c>
      <c r="CN4" s="28">
        <f t="shared" si="17"/>
        <v>18.2</v>
      </c>
      <c r="CO4" s="28">
        <f t="shared" si="17"/>
        <v>20.167999999999999</v>
      </c>
      <c r="CP4" s="28">
        <f t="shared" si="17"/>
        <v>20.12</v>
      </c>
      <c r="CQ4" s="28">
        <f t="shared" si="17"/>
        <v>12.555000000000001</v>
      </c>
      <c r="CR4" s="28">
        <f t="shared" si="17"/>
        <v>71.043000000000006</v>
      </c>
      <c r="CS4" s="28">
        <f t="shared" si="17"/>
        <v>12.988999999999999</v>
      </c>
      <c r="CT4" s="28">
        <f t="shared" si="17"/>
        <v>20.974</v>
      </c>
      <c r="CU4" s="28">
        <f t="shared" si="17"/>
        <v>21.677</v>
      </c>
      <c r="CV4" s="28">
        <f t="shared" si="17"/>
        <v>24.094000000000001</v>
      </c>
      <c r="CW4" s="28">
        <f t="shared" si="17"/>
        <v>79.734000000000009</v>
      </c>
      <c r="CX4" s="28">
        <f t="shared" si="17"/>
        <v>18.713999999999999</v>
      </c>
      <c r="CY4" s="28">
        <f t="shared" si="17"/>
        <v>19.309000000000001</v>
      </c>
      <c r="CZ4" s="28">
        <f t="shared" si="17"/>
        <v>20.151</v>
      </c>
      <c r="DA4" s="28">
        <f t="shared" si="17"/>
        <v>24.764999999999997</v>
      </c>
      <c r="DB4" s="28">
        <f t="shared" si="17"/>
        <v>82.938999999999993</v>
      </c>
      <c r="DC4" s="28">
        <f t="shared" si="17"/>
        <v>20.155999999999999</v>
      </c>
      <c r="DD4" s="28">
        <f t="shared" si="17"/>
        <v>14.493</v>
      </c>
      <c r="DE4" s="28">
        <f t="shared" si="17"/>
        <v>17.576999999999998</v>
      </c>
      <c r="DF4" s="28">
        <f t="shared" si="17"/>
        <v>31.223999999999997</v>
      </c>
      <c r="DG4" s="28">
        <f t="shared" si="17"/>
        <v>83.45</v>
      </c>
      <c r="DH4" s="28">
        <f t="shared" si="17"/>
        <v>11.3</v>
      </c>
      <c r="DI4" s="28">
        <f t="shared" si="17"/>
        <v>17.593</v>
      </c>
      <c r="DJ4" s="28">
        <f t="shared" si="17"/>
        <v>18.896999999999998</v>
      </c>
      <c r="DK4" s="28">
        <f t="shared" si="17"/>
        <v>35.710999999999999</v>
      </c>
      <c r="DL4" s="28">
        <f t="shared" si="17"/>
        <v>83.501000000000005</v>
      </c>
      <c r="DM4" s="28">
        <f t="shared" si="17"/>
        <v>37.82</v>
      </c>
      <c r="DN4" s="28">
        <f t="shared" si="17"/>
        <v>42.649000000000001</v>
      </c>
      <c r="DO4" s="28">
        <f t="shared" si="17"/>
        <v>39.055</v>
      </c>
      <c r="DP4" s="28">
        <f t="shared" si="17"/>
        <v>40.697000000000003</v>
      </c>
      <c r="DQ4" s="28">
        <f t="shared" si="17"/>
        <v>160.221</v>
      </c>
      <c r="DR4" s="28">
        <f t="shared" si="17"/>
        <v>14.933999999999999</v>
      </c>
      <c r="DS4" s="28">
        <f t="shared" si="17"/>
        <v>13.777999999999999</v>
      </c>
      <c r="DT4" s="28">
        <f t="shared" si="17"/>
        <v>16.530999999999999</v>
      </c>
      <c r="DU4" s="28">
        <f t="shared" si="17"/>
        <v>19.187000000000001</v>
      </c>
      <c r="DV4" s="28">
        <f t="shared" si="1"/>
        <v>64.429999999999993</v>
      </c>
      <c r="DW4" s="28">
        <f t="shared" si="1"/>
        <v>13.509</v>
      </c>
      <c r="DX4" s="28">
        <f t="shared" si="1"/>
        <v>16.007999999999999</v>
      </c>
      <c r="DY4" s="28">
        <f t="shared" si="1"/>
        <v>14.856000000000002</v>
      </c>
      <c r="DZ4" s="28">
        <f t="shared" si="1"/>
        <v>14.784000000000002</v>
      </c>
      <c r="EA4" s="28">
        <f t="shared" si="1"/>
        <v>59.157000000000004</v>
      </c>
      <c r="EB4" s="28">
        <f t="shared" si="1"/>
        <v>10.728</v>
      </c>
      <c r="EC4" s="28">
        <f t="shared" si="1"/>
        <v>13.704000000000001</v>
      </c>
      <c r="ED4" s="28">
        <f t="shared" ref="ED4:EF4" si="18">ED31+ED58</f>
        <v>17.218</v>
      </c>
      <c r="EE4" s="28">
        <f t="shared" si="18"/>
        <v>17.344999999999999</v>
      </c>
      <c r="EF4" s="28">
        <f t="shared" si="18"/>
        <v>58.994999999999997</v>
      </c>
      <c r="EG4" s="28">
        <f t="shared" ref="EG4:EH4" si="19">EG31+EG58</f>
        <v>21.771999999999998</v>
      </c>
      <c r="EH4" s="28">
        <f t="shared" si="19"/>
        <v>27.96</v>
      </c>
      <c r="EI4" s="28">
        <f t="shared" ref="EI4" si="20">EI31+EI58</f>
        <v>27.294980350000003</v>
      </c>
      <c r="EJ4" s="28">
        <f t="shared" ref="EJ4:EJ24" si="21">SUM(EG4:EI4)</f>
        <v>77.026980350000002</v>
      </c>
    </row>
    <row r="5" spans="1:140" ht="15" thickTop="1" x14ac:dyDescent="0.3">
      <c r="A5" s="1" t="s">
        <v>442</v>
      </c>
      <c r="B5" s="27"/>
      <c r="C5" s="27"/>
      <c r="D5" s="27"/>
      <c r="E5" s="27"/>
      <c r="F5" s="27">
        <f t="shared" si="5"/>
        <v>0</v>
      </c>
      <c r="G5" s="27"/>
      <c r="H5" s="27"/>
      <c r="I5" s="27"/>
      <c r="J5" s="27"/>
      <c r="K5" s="27">
        <f t="shared" si="6"/>
        <v>0</v>
      </c>
      <c r="L5" s="27"/>
      <c r="M5" s="27"/>
      <c r="N5" s="27"/>
      <c r="O5" s="27"/>
      <c r="P5" s="27">
        <f t="shared" si="7"/>
        <v>0</v>
      </c>
      <c r="Q5" s="27"/>
      <c r="R5" s="27"/>
      <c r="S5" s="27"/>
      <c r="T5" s="27"/>
      <c r="U5" s="27">
        <f t="shared" si="8"/>
        <v>0</v>
      </c>
      <c r="V5" s="27"/>
      <c r="W5" s="27"/>
      <c r="X5" s="27"/>
      <c r="Y5" s="27"/>
      <c r="Z5" s="27">
        <f t="shared" si="9"/>
        <v>0</v>
      </c>
      <c r="AA5" s="27"/>
      <c r="AB5" s="27"/>
      <c r="AC5" s="27"/>
      <c r="AD5" s="27"/>
      <c r="AE5" s="27">
        <f t="shared" si="10"/>
        <v>0</v>
      </c>
      <c r="AF5" s="27"/>
      <c r="AG5" s="27"/>
      <c r="AH5" s="27"/>
      <c r="AI5" s="27"/>
      <c r="AJ5" s="27">
        <f t="shared" si="11"/>
        <v>0</v>
      </c>
      <c r="AK5" s="27"/>
      <c r="AL5" s="27"/>
      <c r="AM5" s="27"/>
      <c r="AN5" s="27"/>
      <c r="AO5" s="27">
        <f t="shared" si="12"/>
        <v>0</v>
      </c>
      <c r="AP5" s="27"/>
      <c r="AQ5" s="27"/>
      <c r="AR5" s="27"/>
      <c r="AS5" s="27"/>
      <c r="AT5" s="27">
        <f t="shared" si="13"/>
        <v>0</v>
      </c>
      <c r="AU5" s="27"/>
      <c r="AV5" s="27"/>
      <c r="AW5" s="27"/>
      <c r="AX5" s="27"/>
      <c r="AY5" s="27">
        <f t="shared" si="14"/>
        <v>0</v>
      </c>
      <c r="AZ5" s="27"/>
      <c r="BA5" s="27"/>
      <c r="BB5" s="27"/>
      <c r="BC5" s="27"/>
      <c r="BD5" s="27">
        <f t="shared" si="15"/>
        <v>0</v>
      </c>
      <c r="BE5" s="27"/>
      <c r="BF5" s="27"/>
      <c r="BG5" s="27"/>
      <c r="BH5" s="27"/>
      <c r="BI5" s="27">
        <f t="shared" si="16"/>
        <v>0</v>
      </c>
      <c r="BJ5" s="27">
        <f t="shared" ref="BJ5:DU5" si="22">BJ32+BJ59+BJ76</f>
        <v>9</v>
      </c>
      <c r="BK5" s="27">
        <f t="shared" si="22"/>
        <v>19.899999999999999</v>
      </c>
      <c r="BL5" s="27">
        <f t="shared" si="22"/>
        <v>28.862000000000002</v>
      </c>
      <c r="BM5" s="27">
        <f t="shared" si="22"/>
        <v>35.720999999999997</v>
      </c>
      <c r="BN5" s="27">
        <f t="shared" si="22"/>
        <v>93.483000000000004</v>
      </c>
      <c r="BO5" s="27">
        <f t="shared" si="22"/>
        <v>17.3</v>
      </c>
      <c r="BP5" s="27">
        <f t="shared" si="22"/>
        <v>29.881999999999998</v>
      </c>
      <c r="BQ5" s="27">
        <f t="shared" si="22"/>
        <v>32.44</v>
      </c>
      <c r="BR5" s="27">
        <f t="shared" si="22"/>
        <v>36.887999999999998</v>
      </c>
      <c r="BS5" s="27">
        <f t="shared" si="22"/>
        <v>116.50999999999999</v>
      </c>
      <c r="BT5" s="27">
        <f t="shared" si="22"/>
        <v>22.185000000000002</v>
      </c>
      <c r="BU5" s="27">
        <f t="shared" si="22"/>
        <v>25.744</v>
      </c>
      <c r="BV5" s="27">
        <f t="shared" si="22"/>
        <v>42.478999999999999</v>
      </c>
      <c r="BW5" s="27">
        <f t="shared" si="22"/>
        <v>55.683000000000007</v>
      </c>
      <c r="BX5" s="27">
        <f t="shared" si="22"/>
        <v>146.09100000000001</v>
      </c>
      <c r="BY5" s="27">
        <f t="shared" si="22"/>
        <v>54.4</v>
      </c>
      <c r="BZ5" s="27">
        <f t="shared" si="22"/>
        <v>60.400000000000006</v>
      </c>
      <c r="CA5" s="27">
        <f t="shared" si="22"/>
        <v>88.4</v>
      </c>
      <c r="CB5" s="27">
        <f t="shared" si="22"/>
        <v>128.5</v>
      </c>
      <c r="CC5" s="27">
        <f t="shared" si="22"/>
        <v>331.7</v>
      </c>
      <c r="CD5" s="27">
        <f t="shared" si="22"/>
        <v>79.399999999999991</v>
      </c>
      <c r="CE5" s="27">
        <f t="shared" si="22"/>
        <v>102.2</v>
      </c>
      <c r="CF5" s="27">
        <f t="shared" si="22"/>
        <v>92.600000000000009</v>
      </c>
      <c r="CG5" s="27">
        <f t="shared" si="22"/>
        <v>87.5</v>
      </c>
      <c r="CH5" s="27">
        <f t="shared" si="22"/>
        <v>361.7</v>
      </c>
      <c r="CI5" s="27">
        <f t="shared" si="22"/>
        <v>8.3000000000000007</v>
      </c>
      <c r="CJ5" s="27">
        <f t="shared" si="22"/>
        <v>33.200000000000003</v>
      </c>
      <c r="CK5" s="27">
        <f t="shared" si="22"/>
        <v>30.200000000000003</v>
      </c>
      <c r="CL5" s="27">
        <f t="shared" si="22"/>
        <v>39.9</v>
      </c>
      <c r="CM5" s="27">
        <f t="shared" si="22"/>
        <v>111.6</v>
      </c>
      <c r="CN5" s="27">
        <f t="shared" si="22"/>
        <v>18.700000000000003</v>
      </c>
      <c r="CO5" s="27">
        <f t="shared" si="22"/>
        <v>31</v>
      </c>
      <c r="CP5" s="27">
        <f t="shared" si="22"/>
        <v>37.099999999999994</v>
      </c>
      <c r="CQ5" s="27">
        <f t="shared" si="22"/>
        <v>47.421999999999997</v>
      </c>
      <c r="CR5" s="27">
        <f t="shared" si="22"/>
        <v>134.22200000000001</v>
      </c>
      <c r="CS5" s="27">
        <f t="shared" si="22"/>
        <v>9.9190000000000005</v>
      </c>
      <c r="CT5" s="27">
        <f t="shared" si="22"/>
        <v>24.837</v>
      </c>
      <c r="CU5" s="27">
        <f t="shared" si="22"/>
        <v>44.328000000000003</v>
      </c>
      <c r="CV5" s="27">
        <f t="shared" si="22"/>
        <v>33.74</v>
      </c>
      <c r="CW5" s="27">
        <f t="shared" si="22"/>
        <v>112.82400000000001</v>
      </c>
      <c r="CX5" s="27">
        <f t="shared" si="22"/>
        <v>28.952000000000002</v>
      </c>
      <c r="CY5" s="27">
        <f t="shared" si="22"/>
        <v>45.341999999999999</v>
      </c>
      <c r="CZ5" s="27">
        <f t="shared" si="22"/>
        <v>70.706999999999994</v>
      </c>
      <c r="DA5" s="27">
        <f t="shared" si="22"/>
        <v>54.528999999999996</v>
      </c>
      <c r="DB5" s="27">
        <f t="shared" si="22"/>
        <v>199.53000000000003</v>
      </c>
      <c r="DC5" s="27">
        <f t="shared" si="22"/>
        <v>42.187000000000005</v>
      </c>
      <c r="DD5" s="27">
        <f t="shared" si="22"/>
        <v>50.302</v>
      </c>
      <c r="DE5" s="27">
        <f t="shared" si="22"/>
        <v>63.86</v>
      </c>
      <c r="DF5" s="27">
        <f t="shared" si="22"/>
        <v>59.15</v>
      </c>
      <c r="DG5" s="27">
        <f t="shared" si="22"/>
        <v>215.499</v>
      </c>
      <c r="DH5" s="27">
        <f t="shared" si="22"/>
        <v>33.930999999999997</v>
      </c>
      <c r="DI5" s="27">
        <f t="shared" si="22"/>
        <v>24.818999999999999</v>
      </c>
      <c r="DJ5" s="27">
        <f t="shared" si="22"/>
        <v>32.223999999999997</v>
      </c>
      <c r="DK5" s="27">
        <f t="shared" si="22"/>
        <v>24.938000000000002</v>
      </c>
      <c r="DL5" s="27">
        <f t="shared" si="22"/>
        <v>115.91200000000001</v>
      </c>
      <c r="DM5" s="27">
        <f t="shared" si="22"/>
        <v>11.303000000000001</v>
      </c>
      <c r="DN5" s="27">
        <f t="shared" si="22"/>
        <v>21.853000000000002</v>
      </c>
      <c r="DO5" s="27">
        <f t="shared" si="22"/>
        <v>28.074999999999999</v>
      </c>
      <c r="DP5" s="27">
        <f t="shared" si="22"/>
        <v>671.58</v>
      </c>
      <c r="DQ5" s="27">
        <f t="shared" si="22"/>
        <v>732.81100000000004</v>
      </c>
      <c r="DR5" s="27">
        <f t="shared" si="22"/>
        <v>30.499000000000002</v>
      </c>
      <c r="DS5" s="27">
        <f t="shared" si="22"/>
        <v>56.152999999999999</v>
      </c>
      <c r="DT5" s="27">
        <f t="shared" si="22"/>
        <v>74.099999999999994</v>
      </c>
      <c r="DU5" s="27">
        <f t="shared" si="22"/>
        <v>79.188000000000002</v>
      </c>
      <c r="DV5" s="27">
        <f t="shared" ref="DV5:EC5" si="23">DV32+DV59+DV76</f>
        <v>239.94</v>
      </c>
      <c r="DW5" s="27">
        <f t="shared" si="23"/>
        <v>63.152000000000001</v>
      </c>
      <c r="DX5" s="27">
        <f t="shared" si="23"/>
        <v>102.45400000000001</v>
      </c>
      <c r="DY5" s="27">
        <f t="shared" si="23"/>
        <v>90.470999999999989</v>
      </c>
      <c r="DZ5" s="27">
        <f t="shared" si="23"/>
        <v>92.671999999999983</v>
      </c>
      <c r="EA5" s="27">
        <f t="shared" si="23"/>
        <v>348.74899999999997</v>
      </c>
      <c r="EB5" s="27">
        <f t="shared" si="23"/>
        <v>58.989999999999995</v>
      </c>
      <c r="EC5" s="27">
        <f t="shared" si="23"/>
        <v>103.99799999999999</v>
      </c>
      <c r="ED5" s="27">
        <f t="shared" ref="ED5:EF5" si="24">ED32+ED59+ED76</f>
        <v>89.446000000000012</v>
      </c>
      <c r="EE5" s="27">
        <f t="shared" si="24"/>
        <v>96.72199999999998</v>
      </c>
      <c r="EF5" s="27">
        <f t="shared" si="24"/>
        <v>349.15600000000001</v>
      </c>
      <c r="EG5" s="27">
        <f t="shared" ref="EG5:EH5" si="25">EG32+EG59+EG76</f>
        <v>58.98</v>
      </c>
      <c r="EH5" s="27">
        <f t="shared" si="25"/>
        <v>91.099000000000004</v>
      </c>
      <c r="EI5" s="27">
        <f t="shared" ref="EI5" si="26">EI32+EI59+EI76</f>
        <v>108.12700000000001</v>
      </c>
      <c r="EJ5" s="27">
        <f t="shared" si="21"/>
        <v>258.20600000000002</v>
      </c>
    </row>
    <row r="6" spans="1:140" ht="15" thickBot="1" x14ac:dyDescent="0.35">
      <c r="A6" s="2" t="s">
        <v>3</v>
      </c>
      <c r="B6" s="28"/>
      <c r="C6" s="28"/>
      <c r="D6" s="28"/>
      <c r="E6" s="28"/>
      <c r="F6" s="28">
        <f t="shared" si="5"/>
        <v>0</v>
      </c>
      <c r="G6" s="28"/>
      <c r="H6" s="28"/>
      <c r="I6" s="28"/>
      <c r="J6" s="28"/>
      <c r="K6" s="28">
        <f t="shared" si="6"/>
        <v>0</v>
      </c>
      <c r="L6" s="28"/>
      <c r="M6" s="28"/>
      <c r="N6" s="28"/>
      <c r="O6" s="28"/>
      <c r="P6" s="28">
        <f t="shared" si="7"/>
        <v>0</v>
      </c>
      <c r="Q6" s="28"/>
      <c r="R6" s="28"/>
      <c r="S6" s="28"/>
      <c r="T6" s="28"/>
      <c r="U6" s="28">
        <f t="shared" si="8"/>
        <v>0</v>
      </c>
      <c r="V6" s="28"/>
      <c r="W6" s="28"/>
      <c r="X6" s="28"/>
      <c r="Y6" s="28"/>
      <c r="Z6" s="28">
        <f t="shared" si="9"/>
        <v>0</v>
      </c>
      <c r="AA6" s="28"/>
      <c r="AB6" s="28"/>
      <c r="AC6" s="28"/>
      <c r="AD6" s="28"/>
      <c r="AE6" s="28">
        <f t="shared" si="10"/>
        <v>0</v>
      </c>
      <c r="AF6" s="28"/>
      <c r="AG6" s="28"/>
      <c r="AH6" s="28"/>
      <c r="AI6" s="28"/>
      <c r="AJ6" s="28">
        <f t="shared" si="11"/>
        <v>0</v>
      </c>
      <c r="AK6" s="28"/>
      <c r="AL6" s="28"/>
      <c r="AM6" s="28"/>
      <c r="AN6" s="28"/>
      <c r="AO6" s="28">
        <f t="shared" si="12"/>
        <v>0</v>
      </c>
      <c r="AP6" s="28"/>
      <c r="AQ6" s="28"/>
      <c r="AR6" s="28"/>
      <c r="AS6" s="28"/>
      <c r="AT6" s="28">
        <f t="shared" si="13"/>
        <v>0</v>
      </c>
      <c r="AU6" s="28"/>
      <c r="AV6" s="28"/>
      <c r="AW6" s="28"/>
      <c r="AX6" s="28"/>
      <c r="AY6" s="28">
        <f t="shared" si="14"/>
        <v>0</v>
      </c>
      <c r="AZ6" s="28"/>
      <c r="BA6" s="28"/>
      <c r="BB6" s="28"/>
      <c r="BC6" s="28"/>
      <c r="BD6" s="28">
        <f t="shared" si="15"/>
        <v>0</v>
      </c>
      <c r="BE6" s="28"/>
      <c r="BF6" s="28"/>
      <c r="BG6" s="28"/>
      <c r="BH6" s="28"/>
      <c r="BI6" s="28">
        <f t="shared" si="16"/>
        <v>0</v>
      </c>
      <c r="BJ6" s="28">
        <f t="shared" ref="BJ6:DU6" si="27">BJ33+BJ60</f>
        <v>3.9000000000000004</v>
      </c>
      <c r="BK6" s="28">
        <f t="shared" si="27"/>
        <v>7</v>
      </c>
      <c r="BL6" s="28">
        <f t="shared" si="27"/>
        <v>9.1890000000000001</v>
      </c>
      <c r="BM6" s="28">
        <f t="shared" si="27"/>
        <v>6.3339999999999996</v>
      </c>
      <c r="BN6" s="28">
        <f t="shared" si="27"/>
        <v>26.423000000000002</v>
      </c>
      <c r="BO6" s="28">
        <f t="shared" si="27"/>
        <v>5.0999999999999996</v>
      </c>
      <c r="BP6" s="28">
        <f t="shared" si="27"/>
        <v>8.3559999999999999</v>
      </c>
      <c r="BQ6" s="28">
        <f t="shared" si="27"/>
        <v>8.7289999999999992</v>
      </c>
      <c r="BR6" s="28">
        <f t="shared" si="27"/>
        <v>11.065</v>
      </c>
      <c r="BS6" s="28">
        <f t="shared" si="27"/>
        <v>33.25</v>
      </c>
      <c r="BT6" s="28">
        <f t="shared" si="27"/>
        <v>17.184999999999999</v>
      </c>
      <c r="BU6" s="28">
        <f t="shared" si="27"/>
        <v>12.76</v>
      </c>
      <c r="BV6" s="28">
        <f t="shared" si="27"/>
        <v>19.846</v>
      </c>
      <c r="BW6" s="28">
        <f t="shared" si="27"/>
        <v>28.37</v>
      </c>
      <c r="BX6" s="28">
        <f t="shared" si="27"/>
        <v>78.161000000000001</v>
      </c>
      <c r="BY6" s="28">
        <f t="shared" si="27"/>
        <v>15.4</v>
      </c>
      <c r="BZ6" s="28">
        <f t="shared" si="27"/>
        <v>22.3</v>
      </c>
      <c r="CA6" s="28">
        <f t="shared" si="27"/>
        <v>18.899999999999999</v>
      </c>
      <c r="CB6" s="28">
        <f t="shared" si="27"/>
        <v>12.5</v>
      </c>
      <c r="CC6" s="28">
        <f t="shared" si="27"/>
        <v>69.099999999999994</v>
      </c>
      <c r="CD6" s="28">
        <f t="shared" si="27"/>
        <v>10.200000000000001</v>
      </c>
      <c r="CE6" s="28">
        <f t="shared" si="27"/>
        <v>10</v>
      </c>
      <c r="CF6" s="28">
        <f t="shared" si="27"/>
        <v>15.1</v>
      </c>
      <c r="CG6" s="28">
        <f t="shared" si="27"/>
        <v>22.924999999999997</v>
      </c>
      <c r="CH6" s="28">
        <f t="shared" si="27"/>
        <v>58.225000000000001</v>
      </c>
      <c r="CI6" s="28">
        <f t="shared" si="27"/>
        <v>9.4</v>
      </c>
      <c r="CJ6" s="28">
        <f t="shared" si="27"/>
        <v>18.899999999999999</v>
      </c>
      <c r="CK6" s="28">
        <f t="shared" si="27"/>
        <v>22.8</v>
      </c>
      <c r="CL6" s="28">
        <f t="shared" si="27"/>
        <v>23.9</v>
      </c>
      <c r="CM6" s="28">
        <f t="shared" si="27"/>
        <v>75</v>
      </c>
      <c r="CN6" s="28">
        <f t="shared" si="27"/>
        <v>13.2</v>
      </c>
      <c r="CO6" s="28">
        <f t="shared" si="27"/>
        <v>19.799999999999997</v>
      </c>
      <c r="CP6" s="28">
        <f t="shared" si="27"/>
        <v>24.799999999999997</v>
      </c>
      <c r="CQ6" s="28">
        <f t="shared" si="27"/>
        <v>20.445</v>
      </c>
      <c r="CR6" s="28">
        <f t="shared" si="27"/>
        <v>78.245000000000005</v>
      </c>
      <c r="CS6" s="28">
        <f t="shared" si="27"/>
        <v>20.683999999999997</v>
      </c>
      <c r="CT6" s="28">
        <f t="shared" si="27"/>
        <v>25.146000000000001</v>
      </c>
      <c r="CU6" s="28">
        <f t="shared" si="27"/>
        <v>36.066000000000003</v>
      </c>
      <c r="CV6" s="28">
        <f t="shared" si="27"/>
        <v>54.319000000000003</v>
      </c>
      <c r="CW6" s="28">
        <f t="shared" si="27"/>
        <v>136.215</v>
      </c>
      <c r="CX6" s="28">
        <f t="shared" si="27"/>
        <v>20.684999999999999</v>
      </c>
      <c r="CY6" s="28">
        <f t="shared" si="27"/>
        <v>24.748999999999999</v>
      </c>
      <c r="CZ6" s="28">
        <f t="shared" si="27"/>
        <v>29.968000000000004</v>
      </c>
      <c r="DA6" s="28">
        <f t="shared" si="27"/>
        <v>26.722999999999999</v>
      </c>
      <c r="DB6" s="28">
        <f t="shared" si="27"/>
        <v>102.125</v>
      </c>
      <c r="DC6" s="28">
        <f t="shared" si="27"/>
        <v>14.016</v>
      </c>
      <c r="DD6" s="28">
        <f t="shared" si="27"/>
        <v>16.082999999999998</v>
      </c>
      <c r="DE6" s="28">
        <f t="shared" si="27"/>
        <v>24.610999999999997</v>
      </c>
      <c r="DF6" s="28">
        <f t="shared" si="27"/>
        <v>27.559000000000001</v>
      </c>
      <c r="DG6" s="28">
        <f t="shared" si="27"/>
        <v>82.269000000000005</v>
      </c>
      <c r="DH6" s="28">
        <f t="shared" si="27"/>
        <v>15.204999999999998</v>
      </c>
      <c r="DI6" s="28">
        <f t="shared" si="27"/>
        <v>10.157999999999999</v>
      </c>
      <c r="DJ6" s="28">
        <f t="shared" si="27"/>
        <v>8.1170000000000009</v>
      </c>
      <c r="DK6" s="28">
        <f t="shared" si="27"/>
        <v>19.201000000000001</v>
      </c>
      <c r="DL6" s="28">
        <f t="shared" si="27"/>
        <v>52.680999999999997</v>
      </c>
      <c r="DM6" s="28">
        <f t="shared" si="27"/>
        <v>7.7879999999999994</v>
      </c>
      <c r="DN6" s="28">
        <f t="shared" si="27"/>
        <v>34.493000000000002</v>
      </c>
      <c r="DO6" s="28">
        <f t="shared" si="27"/>
        <v>53.280999999999999</v>
      </c>
      <c r="DP6" s="28">
        <f t="shared" si="27"/>
        <v>38.850999999999999</v>
      </c>
      <c r="DQ6" s="28">
        <f t="shared" si="27"/>
        <v>134.41300000000001</v>
      </c>
      <c r="DR6" s="28">
        <f t="shared" si="27"/>
        <v>0</v>
      </c>
      <c r="DS6" s="28">
        <f t="shared" si="27"/>
        <v>0</v>
      </c>
      <c r="DT6" s="28">
        <f t="shared" si="27"/>
        <v>0</v>
      </c>
      <c r="DU6" s="28">
        <f t="shared" si="27"/>
        <v>0</v>
      </c>
      <c r="DV6" s="28">
        <f t="shared" ref="DV6:EC10" si="28">DV33+DV60</f>
        <v>0</v>
      </c>
      <c r="DW6" s="28">
        <f t="shared" si="28"/>
        <v>0</v>
      </c>
      <c r="DX6" s="28">
        <f t="shared" si="28"/>
        <v>0</v>
      </c>
      <c r="DY6" s="28">
        <f t="shared" si="28"/>
        <v>0</v>
      </c>
      <c r="DZ6" s="28">
        <f t="shared" si="28"/>
        <v>0</v>
      </c>
      <c r="EA6" s="28">
        <f t="shared" si="28"/>
        <v>0</v>
      </c>
      <c r="EB6" s="28">
        <f t="shared" si="28"/>
        <v>0</v>
      </c>
      <c r="EC6" s="28">
        <f t="shared" si="28"/>
        <v>0</v>
      </c>
      <c r="ED6" s="28">
        <f t="shared" ref="ED6:EF6" si="29">ED33+ED60</f>
        <v>0</v>
      </c>
      <c r="EE6" s="28">
        <f t="shared" si="29"/>
        <v>0</v>
      </c>
      <c r="EF6" s="28">
        <f t="shared" si="29"/>
        <v>0</v>
      </c>
      <c r="EG6" s="28">
        <f t="shared" ref="EG6:EH6" si="30">EG33+EG60</f>
        <v>0</v>
      </c>
      <c r="EH6" s="28">
        <f t="shared" si="30"/>
        <v>0</v>
      </c>
      <c r="EI6" s="28">
        <f t="shared" ref="EI6" si="31">EI33+EI60</f>
        <v>0</v>
      </c>
      <c r="EJ6" s="28">
        <f t="shared" si="21"/>
        <v>0</v>
      </c>
    </row>
    <row r="7" spans="1:140" ht="15" thickTop="1" x14ac:dyDescent="0.3">
      <c r="A7" s="1" t="s">
        <v>443</v>
      </c>
      <c r="B7" s="27"/>
      <c r="C7" s="27"/>
      <c r="D7" s="27"/>
      <c r="E7" s="27"/>
      <c r="F7" s="27">
        <f t="shared" si="5"/>
        <v>0</v>
      </c>
      <c r="G7" s="27"/>
      <c r="H7" s="27"/>
      <c r="I7" s="27"/>
      <c r="J7" s="27"/>
      <c r="K7" s="27">
        <f t="shared" si="6"/>
        <v>0</v>
      </c>
      <c r="L7" s="27"/>
      <c r="M7" s="27"/>
      <c r="N7" s="27"/>
      <c r="O7" s="27"/>
      <c r="P7" s="27">
        <f t="shared" si="7"/>
        <v>0</v>
      </c>
      <c r="Q7" s="27"/>
      <c r="R7" s="27"/>
      <c r="S7" s="27"/>
      <c r="T7" s="27"/>
      <c r="U7" s="27">
        <f t="shared" si="8"/>
        <v>0</v>
      </c>
      <c r="V7" s="27"/>
      <c r="W7" s="27"/>
      <c r="X7" s="27"/>
      <c r="Y7" s="27"/>
      <c r="Z7" s="27">
        <f t="shared" si="9"/>
        <v>0</v>
      </c>
      <c r="AA7" s="27"/>
      <c r="AB7" s="27"/>
      <c r="AC7" s="27"/>
      <c r="AD7" s="27"/>
      <c r="AE7" s="27">
        <f t="shared" si="10"/>
        <v>0</v>
      </c>
      <c r="AF7" s="27"/>
      <c r="AG7" s="27"/>
      <c r="AH7" s="27"/>
      <c r="AI7" s="27"/>
      <c r="AJ7" s="27">
        <f t="shared" si="11"/>
        <v>0</v>
      </c>
      <c r="AK7" s="27"/>
      <c r="AL7" s="27"/>
      <c r="AM7" s="27"/>
      <c r="AN7" s="27"/>
      <c r="AO7" s="27">
        <f t="shared" si="12"/>
        <v>0</v>
      </c>
      <c r="AP7" s="27"/>
      <c r="AQ7" s="27"/>
      <c r="AR7" s="27"/>
      <c r="AS7" s="27"/>
      <c r="AT7" s="27">
        <f t="shared" si="13"/>
        <v>0</v>
      </c>
      <c r="AU7" s="27"/>
      <c r="AV7" s="27"/>
      <c r="AW7" s="27"/>
      <c r="AX7" s="27"/>
      <c r="AY7" s="27">
        <f t="shared" si="14"/>
        <v>0</v>
      </c>
      <c r="AZ7" s="27"/>
      <c r="BA7" s="27"/>
      <c r="BB7" s="27"/>
      <c r="BC7" s="27"/>
      <c r="BD7" s="27">
        <f t="shared" si="15"/>
        <v>0</v>
      </c>
      <c r="BE7" s="27"/>
      <c r="BF7" s="27"/>
      <c r="BG7" s="27"/>
      <c r="BH7" s="27"/>
      <c r="BI7" s="27">
        <f t="shared" si="16"/>
        <v>0</v>
      </c>
      <c r="BJ7" s="27">
        <f t="shared" ref="BJ7:DU7" si="32">BJ34+BJ61</f>
        <v>42.4</v>
      </c>
      <c r="BK7" s="27">
        <f t="shared" si="32"/>
        <v>27.3</v>
      </c>
      <c r="BL7" s="27">
        <f t="shared" si="32"/>
        <v>16.2</v>
      </c>
      <c r="BM7" s="27">
        <f t="shared" si="32"/>
        <v>21.4</v>
      </c>
      <c r="BN7" s="27">
        <f t="shared" si="32"/>
        <v>107.30000000000001</v>
      </c>
      <c r="BO7" s="27">
        <f t="shared" si="32"/>
        <v>9.6999999999999993</v>
      </c>
      <c r="BP7" s="27">
        <f t="shared" si="32"/>
        <v>22.327000000000002</v>
      </c>
      <c r="BQ7" s="27">
        <f t="shared" si="32"/>
        <v>11.847</v>
      </c>
      <c r="BR7" s="27">
        <f t="shared" si="32"/>
        <v>23.553999999999998</v>
      </c>
      <c r="BS7" s="27">
        <f t="shared" si="32"/>
        <v>67.427999999999997</v>
      </c>
      <c r="BT7" s="27">
        <f t="shared" si="32"/>
        <v>12.065</v>
      </c>
      <c r="BU7" s="27">
        <f t="shared" si="32"/>
        <v>33.829000000000001</v>
      </c>
      <c r="BV7" s="27">
        <f t="shared" si="32"/>
        <v>36.5</v>
      </c>
      <c r="BW7" s="27">
        <f t="shared" si="32"/>
        <v>35.649000000000001</v>
      </c>
      <c r="BX7" s="27">
        <f t="shared" si="32"/>
        <v>118.04300000000001</v>
      </c>
      <c r="BY7" s="27">
        <f t="shared" si="32"/>
        <v>24.5</v>
      </c>
      <c r="BZ7" s="27">
        <f t="shared" si="32"/>
        <v>45.1</v>
      </c>
      <c r="CA7" s="27">
        <f t="shared" si="32"/>
        <v>55.8</v>
      </c>
      <c r="CB7" s="27">
        <f t="shared" si="32"/>
        <v>47.9</v>
      </c>
      <c r="CC7" s="27">
        <f t="shared" si="32"/>
        <v>173.29999999999998</v>
      </c>
      <c r="CD7" s="27">
        <f t="shared" si="32"/>
        <v>24.2</v>
      </c>
      <c r="CE7" s="27">
        <f t="shared" si="32"/>
        <v>33.4</v>
      </c>
      <c r="CF7" s="27">
        <f t="shared" si="32"/>
        <v>30.4</v>
      </c>
      <c r="CG7" s="27">
        <f t="shared" si="32"/>
        <v>43.2</v>
      </c>
      <c r="CH7" s="27">
        <f t="shared" si="32"/>
        <v>131.19999999999999</v>
      </c>
      <c r="CI7" s="27">
        <f t="shared" si="32"/>
        <v>59.1</v>
      </c>
      <c r="CJ7" s="27">
        <f t="shared" si="32"/>
        <v>39.200000000000003</v>
      </c>
      <c r="CK7" s="27">
        <f t="shared" si="32"/>
        <v>27.4</v>
      </c>
      <c r="CL7" s="27">
        <f t="shared" si="32"/>
        <v>27.3</v>
      </c>
      <c r="CM7" s="27">
        <f t="shared" si="32"/>
        <v>153</v>
      </c>
      <c r="CN7" s="27">
        <f t="shared" si="32"/>
        <v>16.7</v>
      </c>
      <c r="CO7" s="27">
        <f t="shared" si="32"/>
        <v>25.099999999999998</v>
      </c>
      <c r="CP7" s="27">
        <f t="shared" si="32"/>
        <v>57.9</v>
      </c>
      <c r="CQ7" s="27">
        <f t="shared" si="32"/>
        <v>41.378</v>
      </c>
      <c r="CR7" s="27">
        <f t="shared" si="32"/>
        <v>141.07799999999997</v>
      </c>
      <c r="CS7" s="27">
        <f t="shared" si="32"/>
        <v>25.6</v>
      </c>
      <c r="CT7" s="27">
        <f t="shared" si="32"/>
        <v>55.151000000000003</v>
      </c>
      <c r="CU7" s="27">
        <f t="shared" si="32"/>
        <v>63.462000000000003</v>
      </c>
      <c r="CV7" s="27">
        <f t="shared" si="32"/>
        <v>55.954000000000001</v>
      </c>
      <c r="CW7" s="27">
        <f t="shared" si="32"/>
        <v>200.16700000000003</v>
      </c>
      <c r="CX7" s="27">
        <f t="shared" si="32"/>
        <v>32.432000000000002</v>
      </c>
      <c r="CY7" s="27">
        <f t="shared" si="32"/>
        <v>19.768000000000001</v>
      </c>
      <c r="CZ7" s="27">
        <f t="shared" si="32"/>
        <v>10.135999999999999</v>
      </c>
      <c r="DA7" s="27">
        <f t="shared" si="32"/>
        <v>10.886000000000001</v>
      </c>
      <c r="DB7" s="27">
        <f t="shared" si="32"/>
        <v>73.222000000000008</v>
      </c>
      <c r="DC7" s="27">
        <f t="shared" si="32"/>
        <v>10.657</v>
      </c>
      <c r="DD7" s="27">
        <f t="shared" si="32"/>
        <v>21.536000000000001</v>
      </c>
      <c r="DE7" s="27">
        <f t="shared" si="32"/>
        <v>14.385</v>
      </c>
      <c r="DF7" s="27">
        <f t="shared" si="32"/>
        <v>12.137</v>
      </c>
      <c r="DG7" s="27">
        <f t="shared" si="32"/>
        <v>58.715000000000003</v>
      </c>
      <c r="DH7" s="27">
        <f t="shared" si="32"/>
        <v>15.254</v>
      </c>
      <c r="DI7" s="27">
        <f t="shared" si="32"/>
        <v>19.242999999999999</v>
      </c>
      <c r="DJ7" s="27">
        <f t="shared" si="32"/>
        <v>4.8689999999999998</v>
      </c>
      <c r="DK7" s="27">
        <f t="shared" si="32"/>
        <v>33.386000000000003</v>
      </c>
      <c r="DL7" s="27">
        <f t="shared" si="32"/>
        <v>72.75200000000001</v>
      </c>
      <c r="DM7" s="27">
        <f t="shared" si="32"/>
        <v>38.539000000000001</v>
      </c>
      <c r="DN7" s="27">
        <f t="shared" si="32"/>
        <v>24.096</v>
      </c>
      <c r="DO7" s="27">
        <f t="shared" si="32"/>
        <v>29.153999999999996</v>
      </c>
      <c r="DP7" s="27">
        <f t="shared" si="32"/>
        <v>34.887</v>
      </c>
      <c r="DQ7" s="27">
        <f t="shared" si="32"/>
        <v>126.676</v>
      </c>
      <c r="DR7" s="27">
        <f t="shared" si="32"/>
        <v>3.1119999999999997</v>
      </c>
      <c r="DS7" s="27">
        <f t="shared" si="32"/>
        <v>17.439</v>
      </c>
      <c r="DT7" s="27">
        <f t="shared" si="32"/>
        <v>50.911000000000001</v>
      </c>
      <c r="DU7" s="27">
        <f t="shared" si="32"/>
        <v>55.376999999999995</v>
      </c>
      <c r="DV7" s="27">
        <f t="shared" si="28"/>
        <v>126.839</v>
      </c>
      <c r="DW7" s="27">
        <f t="shared" si="28"/>
        <v>18.428999999999998</v>
      </c>
      <c r="DX7" s="27">
        <f t="shared" si="28"/>
        <v>26.285</v>
      </c>
      <c r="DY7" s="27">
        <f t="shared" si="28"/>
        <v>17.337000000000003</v>
      </c>
      <c r="DZ7" s="27">
        <f t="shared" si="28"/>
        <v>25.736999999999995</v>
      </c>
      <c r="EA7" s="27">
        <f t="shared" si="28"/>
        <v>87.787999999999997</v>
      </c>
      <c r="EB7" s="27">
        <f t="shared" si="28"/>
        <v>32.676000000000002</v>
      </c>
      <c r="EC7" s="27">
        <f t="shared" si="28"/>
        <v>31.715</v>
      </c>
      <c r="ED7" s="27">
        <f t="shared" ref="ED7:EF7" si="33">ED34+ED61</f>
        <v>52.194000000000003</v>
      </c>
      <c r="EE7" s="27">
        <f t="shared" si="33"/>
        <v>54.700999999999986</v>
      </c>
      <c r="EF7" s="27">
        <f t="shared" si="33"/>
        <v>171.286</v>
      </c>
      <c r="EG7" s="27">
        <f t="shared" ref="EG7:EH7" si="34">EG34+EG61</f>
        <v>39.545000000000002</v>
      </c>
      <c r="EH7" s="27">
        <f t="shared" si="34"/>
        <v>63.406999999999996</v>
      </c>
      <c r="EI7" s="27">
        <f t="shared" ref="EI7" si="35">EI34+EI61</f>
        <v>30.976000000000006</v>
      </c>
      <c r="EJ7" s="27">
        <f t="shared" si="21"/>
        <v>133.928</v>
      </c>
    </row>
    <row r="8" spans="1:140" ht="15" thickBot="1" x14ac:dyDescent="0.35">
      <c r="A8" s="2" t="s">
        <v>481</v>
      </c>
      <c r="B8" s="28"/>
      <c r="C8" s="28"/>
      <c r="D8" s="28"/>
      <c r="E8" s="28"/>
      <c r="F8" s="28">
        <f t="shared" si="5"/>
        <v>0</v>
      </c>
      <c r="G8" s="28"/>
      <c r="H8" s="28"/>
      <c r="I8" s="28"/>
      <c r="J8" s="28"/>
      <c r="K8" s="28">
        <f t="shared" si="6"/>
        <v>0</v>
      </c>
      <c r="L8" s="28"/>
      <c r="M8" s="28"/>
      <c r="N8" s="28"/>
      <c r="O8" s="28"/>
      <c r="P8" s="28">
        <f t="shared" si="7"/>
        <v>0</v>
      </c>
      <c r="Q8" s="28"/>
      <c r="R8" s="28"/>
      <c r="S8" s="28"/>
      <c r="T8" s="28"/>
      <c r="U8" s="28">
        <f t="shared" si="8"/>
        <v>0</v>
      </c>
      <c r="V8" s="28"/>
      <c r="W8" s="28"/>
      <c r="X8" s="28"/>
      <c r="Y8" s="28"/>
      <c r="Z8" s="28">
        <f t="shared" si="9"/>
        <v>0</v>
      </c>
      <c r="AA8" s="28"/>
      <c r="AB8" s="28"/>
      <c r="AC8" s="28"/>
      <c r="AD8" s="28"/>
      <c r="AE8" s="28">
        <f t="shared" si="10"/>
        <v>0</v>
      </c>
      <c r="AF8" s="28"/>
      <c r="AG8" s="28"/>
      <c r="AH8" s="28"/>
      <c r="AI8" s="28"/>
      <c r="AJ8" s="28">
        <f t="shared" si="11"/>
        <v>0</v>
      </c>
      <c r="AK8" s="28"/>
      <c r="AL8" s="28"/>
      <c r="AM8" s="28"/>
      <c r="AN8" s="28"/>
      <c r="AO8" s="28">
        <f t="shared" si="12"/>
        <v>0</v>
      </c>
      <c r="AP8" s="28"/>
      <c r="AQ8" s="28"/>
      <c r="AR8" s="28"/>
      <c r="AS8" s="28"/>
      <c r="AT8" s="28">
        <f t="shared" si="13"/>
        <v>0</v>
      </c>
      <c r="AU8" s="28"/>
      <c r="AV8" s="28"/>
      <c r="AW8" s="28"/>
      <c r="AX8" s="28"/>
      <c r="AY8" s="28">
        <f t="shared" si="14"/>
        <v>0</v>
      </c>
      <c r="AZ8" s="28"/>
      <c r="BA8" s="28"/>
      <c r="BB8" s="28"/>
      <c r="BC8" s="28"/>
      <c r="BD8" s="28">
        <f t="shared" si="15"/>
        <v>0</v>
      </c>
      <c r="BE8" s="28"/>
      <c r="BF8" s="28"/>
      <c r="BG8" s="28"/>
      <c r="BH8" s="28"/>
      <c r="BI8" s="28">
        <f t="shared" si="16"/>
        <v>0</v>
      </c>
      <c r="BJ8" s="28">
        <f t="shared" ref="BJ8:DU8" si="36">BJ35+BJ62</f>
        <v>0</v>
      </c>
      <c r="BK8" s="28">
        <f t="shared" si="36"/>
        <v>0</v>
      </c>
      <c r="BL8" s="28">
        <f t="shared" si="36"/>
        <v>0</v>
      </c>
      <c r="BM8" s="28">
        <f t="shared" si="36"/>
        <v>0</v>
      </c>
      <c r="BN8" s="28">
        <f t="shared" si="36"/>
        <v>0</v>
      </c>
      <c r="BO8" s="28">
        <f t="shared" si="36"/>
        <v>0</v>
      </c>
      <c r="BP8" s="28">
        <f t="shared" si="36"/>
        <v>0</v>
      </c>
      <c r="BQ8" s="28">
        <f t="shared" si="36"/>
        <v>0</v>
      </c>
      <c r="BR8" s="28">
        <f t="shared" si="36"/>
        <v>0</v>
      </c>
      <c r="BS8" s="28">
        <f t="shared" si="36"/>
        <v>0</v>
      </c>
      <c r="BT8" s="28">
        <f t="shared" si="36"/>
        <v>0</v>
      </c>
      <c r="BU8" s="28">
        <f t="shared" si="36"/>
        <v>3.6</v>
      </c>
      <c r="BV8" s="28">
        <f t="shared" si="36"/>
        <v>0.9</v>
      </c>
      <c r="BW8" s="28">
        <f t="shared" si="36"/>
        <v>1.2310000000000001</v>
      </c>
      <c r="BX8" s="28">
        <f t="shared" si="36"/>
        <v>5.7309999999999999</v>
      </c>
      <c r="BY8" s="28">
        <f t="shared" si="36"/>
        <v>0.7</v>
      </c>
      <c r="BZ8" s="28">
        <f t="shared" si="36"/>
        <v>0.1</v>
      </c>
      <c r="CA8" s="28">
        <f t="shared" si="36"/>
        <v>12</v>
      </c>
      <c r="CB8" s="28">
        <f t="shared" si="36"/>
        <v>29.7</v>
      </c>
      <c r="CC8" s="28">
        <f t="shared" si="36"/>
        <v>42.5</v>
      </c>
      <c r="CD8" s="28">
        <f t="shared" si="36"/>
        <v>83.3</v>
      </c>
      <c r="CE8" s="28">
        <f t="shared" si="36"/>
        <v>116.9</v>
      </c>
      <c r="CF8" s="28">
        <f t="shared" si="36"/>
        <v>19.8</v>
      </c>
      <c r="CG8" s="28">
        <f t="shared" si="36"/>
        <v>16.399999999999999</v>
      </c>
      <c r="CH8" s="28">
        <f t="shared" si="36"/>
        <v>236.4</v>
      </c>
      <c r="CI8" s="28">
        <f t="shared" si="36"/>
        <v>13.7</v>
      </c>
      <c r="CJ8" s="28">
        <f t="shared" si="36"/>
        <v>39.700000000000003</v>
      </c>
      <c r="CK8" s="28">
        <f t="shared" si="36"/>
        <v>39.4</v>
      </c>
      <c r="CL8" s="28">
        <f t="shared" si="36"/>
        <v>28.6</v>
      </c>
      <c r="CM8" s="28">
        <f t="shared" si="36"/>
        <v>121.4</v>
      </c>
      <c r="CN8" s="28">
        <f t="shared" si="36"/>
        <v>12.3</v>
      </c>
      <c r="CO8" s="28">
        <f t="shared" si="36"/>
        <v>17.399999999999999</v>
      </c>
      <c r="CP8" s="28">
        <f t="shared" si="36"/>
        <v>32.799999999999997</v>
      </c>
      <c r="CQ8" s="28">
        <f t="shared" si="36"/>
        <v>32.256</v>
      </c>
      <c r="CR8" s="28">
        <f t="shared" si="36"/>
        <v>94.756</v>
      </c>
      <c r="CS8" s="28">
        <f t="shared" si="36"/>
        <v>19.213000000000001</v>
      </c>
      <c r="CT8" s="28">
        <f t="shared" si="36"/>
        <v>27.164000000000001</v>
      </c>
      <c r="CU8" s="28">
        <f t="shared" si="36"/>
        <v>26.193000000000001</v>
      </c>
      <c r="CV8" s="28">
        <f t="shared" si="36"/>
        <v>32.725000000000001</v>
      </c>
      <c r="CW8" s="28">
        <f t="shared" si="36"/>
        <v>105.29500000000002</v>
      </c>
      <c r="CX8" s="28">
        <f t="shared" si="36"/>
        <v>48.993000000000002</v>
      </c>
      <c r="CY8" s="28">
        <f t="shared" si="36"/>
        <v>60.613999999999997</v>
      </c>
      <c r="CZ8" s="28">
        <f t="shared" si="36"/>
        <v>48.44</v>
      </c>
      <c r="DA8" s="28">
        <f t="shared" si="36"/>
        <v>68.171999999999997</v>
      </c>
      <c r="DB8" s="28">
        <f t="shared" si="36"/>
        <v>226.21899999999999</v>
      </c>
      <c r="DC8" s="28">
        <f t="shared" si="36"/>
        <v>63.640999999999998</v>
      </c>
      <c r="DD8" s="28">
        <f t="shared" si="36"/>
        <v>62.273000000000003</v>
      </c>
      <c r="DE8" s="28">
        <f t="shared" si="36"/>
        <v>82.582999999999998</v>
      </c>
      <c r="DF8" s="28">
        <f t="shared" si="36"/>
        <v>87.093999999999994</v>
      </c>
      <c r="DG8" s="28">
        <f t="shared" si="36"/>
        <v>295.59100000000001</v>
      </c>
      <c r="DH8" s="28">
        <f t="shared" si="36"/>
        <v>58.933</v>
      </c>
      <c r="DI8" s="28">
        <f t="shared" si="36"/>
        <v>56.981000000000002</v>
      </c>
      <c r="DJ8" s="28">
        <f t="shared" si="36"/>
        <v>55.012</v>
      </c>
      <c r="DK8" s="28">
        <f t="shared" si="36"/>
        <v>44.243000000000002</v>
      </c>
      <c r="DL8" s="28">
        <f t="shared" si="36"/>
        <v>215.16899999999998</v>
      </c>
      <c r="DM8" s="28">
        <f t="shared" si="36"/>
        <v>49.351999999999997</v>
      </c>
      <c r="DN8" s="28">
        <f t="shared" si="36"/>
        <v>62.731000000000002</v>
      </c>
      <c r="DO8" s="28">
        <f t="shared" si="36"/>
        <v>84.9</v>
      </c>
      <c r="DP8" s="28">
        <f t="shared" si="36"/>
        <v>63.859000000000002</v>
      </c>
      <c r="DQ8" s="28">
        <f t="shared" si="36"/>
        <v>260.84199999999998</v>
      </c>
      <c r="DR8" s="28">
        <f t="shared" si="36"/>
        <v>83.004999999999995</v>
      </c>
      <c r="DS8" s="28">
        <f t="shared" si="36"/>
        <v>91.817999999999998</v>
      </c>
      <c r="DT8" s="28">
        <f t="shared" si="36"/>
        <v>103.634</v>
      </c>
      <c r="DU8" s="28">
        <f t="shared" si="36"/>
        <v>67.677999999999997</v>
      </c>
      <c r="DV8" s="28">
        <f t="shared" si="28"/>
        <v>346.13500000000005</v>
      </c>
      <c r="DW8" s="28">
        <f t="shared" si="28"/>
        <v>57.948</v>
      </c>
      <c r="DX8" s="28">
        <f t="shared" si="28"/>
        <v>78.160000000000011</v>
      </c>
      <c r="DY8" s="28">
        <f t="shared" si="28"/>
        <v>72.673999999999992</v>
      </c>
      <c r="DZ8" s="28">
        <f t="shared" si="28"/>
        <v>75.355000000000018</v>
      </c>
      <c r="EA8" s="28">
        <f t="shared" si="28"/>
        <v>284.13700000000006</v>
      </c>
      <c r="EB8" s="28">
        <f t="shared" si="28"/>
        <v>80.253999999999991</v>
      </c>
      <c r="EC8" s="28">
        <f t="shared" si="28"/>
        <v>100.12899999999999</v>
      </c>
      <c r="ED8" s="28">
        <f t="shared" ref="ED8:EF8" si="37">ED35+ED62</f>
        <v>80.340000000000032</v>
      </c>
      <c r="EE8" s="28">
        <f t="shared" si="37"/>
        <v>92.363</v>
      </c>
      <c r="EF8" s="28">
        <f t="shared" si="37"/>
        <v>353.08600000000001</v>
      </c>
      <c r="EG8" s="28">
        <f t="shared" ref="EG8:EH8" si="38">EG35+EG62</f>
        <v>67.44</v>
      </c>
      <c r="EH8" s="28">
        <f t="shared" si="38"/>
        <v>66.782000000000011</v>
      </c>
      <c r="EI8" s="28">
        <f t="shared" ref="EI8" si="39">EI35+EI62</f>
        <v>72.10599999999998</v>
      </c>
      <c r="EJ8" s="28">
        <f t="shared" si="21"/>
        <v>206.32799999999997</v>
      </c>
    </row>
    <row r="9" spans="1:140" ht="15" thickTop="1" x14ac:dyDescent="0.3">
      <c r="A9" s="1" t="s">
        <v>445</v>
      </c>
      <c r="B9" s="27"/>
      <c r="C9" s="27"/>
      <c r="D9" s="27"/>
      <c r="E9" s="27"/>
      <c r="F9" s="27">
        <f t="shared" si="5"/>
        <v>0</v>
      </c>
      <c r="G9" s="27"/>
      <c r="H9" s="27"/>
      <c r="I9" s="27"/>
      <c r="J9" s="27"/>
      <c r="K9" s="27">
        <f t="shared" si="6"/>
        <v>0</v>
      </c>
      <c r="L9" s="27"/>
      <c r="M9" s="27"/>
      <c r="N9" s="27"/>
      <c r="O9" s="27"/>
      <c r="P9" s="27">
        <f t="shared" si="7"/>
        <v>0</v>
      </c>
      <c r="Q9" s="27"/>
      <c r="R9" s="27"/>
      <c r="S9" s="27"/>
      <c r="T9" s="27"/>
      <c r="U9" s="27">
        <f t="shared" si="8"/>
        <v>0</v>
      </c>
      <c r="V9" s="27"/>
      <c r="W9" s="27"/>
      <c r="X9" s="27"/>
      <c r="Y9" s="27"/>
      <c r="Z9" s="27">
        <f t="shared" si="9"/>
        <v>0</v>
      </c>
      <c r="AA9" s="27"/>
      <c r="AB9" s="27"/>
      <c r="AC9" s="27"/>
      <c r="AD9" s="27"/>
      <c r="AE9" s="27">
        <f t="shared" si="10"/>
        <v>0</v>
      </c>
      <c r="AF9" s="27"/>
      <c r="AG9" s="27"/>
      <c r="AH9" s="27"/>
      <c r="AI9" s="27"/>
      <c r="AJ9" s="27">
        <f t="shared" si="11"/>
        <v>0</v>
      </c>
      <c r="AK9" s="27"/>
      <c r="AL9" s="27"/>
      <c r="AM9" s="27"/>
      <c r="AN9" s="27"/>
      <c r="AO9" s="27">
        <f t="shared" si="12"/>
        <v>0</v>
      </c>
      <c r="AP9" s="27"/>
      <c r="AQ9" s="27"/>
      <c r="AR9" s="27"/>
      <c r="AS9" s="27"/>
      <c r="AT9" s="27">
        <f t="shared" si="13"/>
        <v>0</v>
      </c>
      <c r="AU9" s="27"/>
      <c r="AV9" s="27"/>
      <c r="AW9" s="27"/>
      <c r="AX9" s="27"/>
      <c r="AY9" s="27">
        <f t="shared" si="14"/>
        <v>0</v>
      </c>
      <c r="AZ9" s="27"/>
      <c r="BA9" s="27"/>
      <c r="BB9" s="27"/>
      <c r="BC9" s="27"/>
      <c r="BD9" s="27">
        <f t="shared" si="15"/>
        <v>0</v>
      </c>
      <c r="BE9" s="27"/>
      <c r="BF9" s="27"/>
      <c r="BG9" s="27"/>
      <c r="BH9" s="27"/>
      <c r="BI9" s="27">
        <f t="shared" si="16"/>
        <v>0</v>
      </c>
      <c r="BJ9" s="27">
        <f t="shared" ref="BJ9:DU9" si="40">BJ36+BJ63</f>
        <v>0</v>
      </c>
      <c r="BK9" s="27">
        <f t="shared" si="40"/>
        <v>0</v>
      </c>
      <c r="BL9" s="27">
        <f t="shared" si="40"/>
        <v>0</v>
      </c>
      <c r="BM9" s="27">
        <f t="shared" si="40"/>
        <v>0</v>
      </c>
      <c r="BN9" s="27">
        <f t="shared" si="40"/>
        <v>0</v>
      </c>
      <c r="BO9" s="27">
        <f t="shared" si="40"/>
        <v>0</v>
      </c>
      <c r="BP9" s="27">
        <f t="shared" si="40"/>
        <v>0</v>
      </c>
      <c r="BQ9" s="27">
        <f t="shared" si="40"/>
        <v>0</v>
      </c>
      <c r="BR9" s="27">
        <f t="shared" si="40"/>
        <v>0</v>
      </c>
      <c r="BS9" s="27">
        <f t="shared" si="40"/>
        <v>0</v>
      </c>
      <c r="BT9" s="27">
        <f t="shared" si="40"/>
        <v>0</v>
      </c>
      <c r="BU9" s="27">
        <f t="shared" si="40"/>
        <v>0</v>
      </c>
      <c r="BV9" s="27">
        <f t="shared" si="40"/>
        <v>0</v>
      </c>
      <c r="BW9" s="27">
        <f t="shared" si="40"/>
        <v>0</v>
      </c>
      <c r="BX9" s="27">
        <f t="shared" si="40"/>
        <v>0</v>
      </c>
      <c r="BY9" s="27">
        <f t="shared" si="40"/>
        <v>0</v>
      </c>
      <c r="BZ9" s="27">
        <f t="shared" si="40"/>
        <v>0</v>
      </c>
      <c r="CA9" s="27">
        <f t="shared" si="40"/>
        <v>0</v>
      </c>
      <c r="CB9" s="27">
        <f t="shared" si="40"/>
        <v>0</v>
      </c>
      <c r="CC9" s="27">
        <f t="shared" si="40"/>
        <v>0</v>
      </c>
      <c r="CD9" s="27">
        <f t="shared" si="40"/>
        <v>0</v>
      </c>
      <c r="CE9" s="27">
        <f t="shared" si="40"/>
        <v>0</v>
      </c>
      <c r="CF9" s="27">
        <f t="shared" si="40"/>
        <v>0</v>
      </c>
      <c r="CG9" s="27">
        <f t="shared" si="40"/>
        <v>0</v>
      </c>
      <c r="CH9" s="27">
        <f t="shared" si="40"/>
        <v>0</v>
      </c>
      <c r="CI9" s="27">
        <f t="shared" si="40"/>
        <v>0</v>
      </c>
      <c r="CJ9" s="27">
        <f t="shared" si="40"/>
        <v>4</v>
      </c>
      <c r="CK9" s="27">
        <f t="shared" si="40"/>
        <v>2.7</v>
      </c>
      <c r="CL9" s="27">
        <f t="shared" si="40"/>
        <v>3.8</v>
      </c>
      <c r="CM9" s="27">
        <f t="shared" si="40"/>
        <v>10.5</v>
      </c>
      <c r="CN9" s="27">
        <f t="shared" si="40"/>
        <v>4.9000000000000004</v>
      </c>
      <c r="CO9" s="27">
        <f t="shared" si="40"/>
        <v>16.600000000000001</v>
      </c>
      <c r="CP9" s="27">
        <f t="shared" si="40"/>
        <v>16.100000000000001</v>
      </c>
      <c r="CQ9" s="27">
        <f t="shared" si="40"/>
        <v>30.363</v>
      </c>
      <c r="CR9" s="27">
        <f t="shared" si="40"/>
        <v>67.962999999999994</v>
      </c>
      <c r="CS9" s="27">
        <f t="shared" si="40"/>
        <v>23.700000000000003</v>
      </c>
      <c r="CT9" s="27">
        <f t="shared" si="40"/>
        <v>32.296999999999997</v>
      </c>
      <c r="CU9" s="27">
        <f t="shared" si="40"/>
        <v>24.997</v>
      </c>
      <c r="CV9" s="27">
        <f t="shared" si="40"/>
        <v>18.247</v>
      </c>
      <c r="CW9" s="27">
        <f t="shared" si="40"/>
        <v>99.241</v>
      </c>
      <c r="CX9" s="27">
        <f t="shared" si="40"/>
        <v>2.1959999999999997</v>
      </c>
      <c r="CY9" s="27">
        <f t="shared" si="40"/>
        <v>27.065999999999999</v>
      </c>
      <c r="CZ9" s="27">
        <f t="shared" si="40"/>
        <v>16.826999999999998</v>
      </c>
      <c r="DA9" s="27">
        <f t="shared" si="40"/>
        <v>42.927</v>
      </c>
      <c r="DB9" s="27">
        <f t="shared" si="40"/>
        <v>89.015999999999991</v>
      </c>
      <c r="DC9" s="27">
        <f t="shared" si="40"/>
        <v>42.811</v>
      </c>
      <c r="DD9" s="27">
        <f t="shared" si="40"/>
        <v>71.632999999999996</v>
      </c>
      <c r="DE9" s="27">
        <f t="shared" si="40"/>
        <v>67.536000000000001</v>
      </c>
      <c r="DF9" s="27">
        <f t="shared" si="40"/>
        <v>73</v>
      </c>
      <c r="DG9" s="27">
        <f t="shared" si="40"/>
        <v>254.98000000000002</v>
      </c>
      <c r="DH9" s="27">
        <f t="shared" si="40"/>
        <v>46.628999999999998</v>
      </c>
      <c r="DI9" s="27">
        <f t="shared" si="40"/>
        <v>27.475999999999999</v>
      </c>
      <c r="DJ9" s="27">
        <f t="shared" si="40"/>
        <v>34.896999999999998</v>
      </c>
      <c r="DK9" s="27">
        <f t="shared" si="40"/>
        <v>30.746000000000002</v>
      </c>
      <c r="DL9" s="27">
        <f t="shared" si="40"/>
        <v>139.74800000000002</v>
      </c>
      <c r="DM9" s="27">
        <f t="shared" si="40"/>
        <v>22.634</v>
      </c>
      <c r="DN9" s="27">
        <f t="shared" si="40"/>
        <v>13.027000000000001</v>
      </c>
      <c r="DO9" s="27">
        <f t="shared" si="40"/>
        <v>11.472</v>
      </c>
      <c r="DP9" s="27">
        <f t="shared" si="40"/>
        <v>19.872</v>
      </c>
      <c r="DQ9" s="27">
        <f t="shared" si="40"/>
        <v>67.004999999999995</v>
      </c>
      <c r="DR9" s="27">
        <f t="shared" si="40"/>
        <v>10.516</v>
      </c>
      <c r="DS9" s="27">
        <f t="shared" si="40"/>
        <v>8.8170000000000002</v>
      </c>
      <c r="DT9" s="27">
        <f t="shared" si="40"/>
        <v>4.5250000000000004</v>
      </c>
      <c r="DU9" s="27">
        <f t="shared" si="40"/>
        <v>8.8800000000000008</v>
      </c>
      <c r="DV9" s="27">
        <f t="shared" si="28"/>
        <v>32.738</v>
      </c>
      <c r="DW9" s="27">
        <f t="shared" si="28"/>
        <v>3.74</v>
      </c>
      <c r="DX9" s="27">
        <f t="shared" si="28"/>
        <v>6.9770000000000003</v>
      </c>
      <c r="DY9" s="27">
        <f t="shared" si="28"/>
        <v>16.066000000000003</v>
      </c>
      <c r="DZ9" s="27">
        <f t="shared" si="28"/>
        <v>11.678999999999998</v>
      </c>
      <c r="EA9" s="27">
        <f t="shared" si="28"/>
        <v>38.461999999999996</v>
      </c>
      <c r="EB9" s="27">
        <f t="shared" si="28"/>
        <v>14.021000000000001</v>
      </c>
      <c r="EC9" s="27">
        <f t="shared" si="28"/>
        <v>23.533999999999999</v>
      </c>
      <c r="ED9" s="27">
        <f t="shared" ref="ED9:EF9" si="41">ED36+ED63</f>
        <v>16.485999999999997</v>
      </c>
      <c r="EE9" s="27">
        <f t="shared" si="41"/>
        <v>18.68000000000001</v>
      </c>
      <c r="EF9" s="27">
        <f t="shared" si="41"/>
        <v>72.721000000000004</v>
      </c>
      <c r="EG9" s="27">
        <f t="shared" ref="EG9:EH9" si="42">EG36+EG63</f>
        <v>8.8210000000000015</v>
      </c>
      <c r="EH9" s="27">
        <f t="shared" si="42"/>
        <v>20.851680000000002</v>
      </c>
      <c r="EI9" s="27">
        <f t="shared" ref="EI9" si="43">EI36+EI63</f>
        <v>11.361320000000001</v>
      </c>
      <c r="EJ9" s="27">
        <f t="shared" si="21"/>
        <v>41.034000000000006</v>
      </c>
    </row>
    <row r="10" spans="1:140" ht="15" thickBot="1" x14ac:dyDescent="0.35">
      <c r="A10" s="2" t="s">
        <v>444</v>
      </c>
      <c r="B10" s="28"/>
      <c r="C10" s="28"/>
      <c r="D10" s="28"/>
      <c r="E10" s="28"/>
      <c r="F10" s="28">
        <f t="shared" si="5"/>
        <v>0</v>
      </c>
      <c r="G10" s="28"/>
      <c r="H10" s="28"/>
      <c r="I10" s="28"/>
      <c r="J10" s="28"/>
      <c r="K10" s="28">
        <f t="shared" si="6"/>
        <v>0</v>
      </c>
      <c r="L10" s="28"/>
      <c r="M10" s="28"/>
      <c r="N10" s="28"/>
      <c r="O10" s="28"/>
      <c r="P10" s="28">
        <f t="shared" si="7"/>
        <v>0</v>
      </c>
      <c r="Q10" s="28"/>
      <c r="R10" s="28"/>
      <c r="S10" s="28"/>
      <c r="T10" s="28"/>
      <c r="U10" s="28">
        <f t="shared" si="8"/>
        <v>0</v>
      </c>
      <c r="V10" s="28"/>
      <c r="W10" s="28"/>
      <c r="X10" s="28"/>
      <c r="Y10" s="28"/>
      <c r="Z10" s="28">
        <f t="shared" si="9"/>
        <v>0</v>
      </c>
      <c r="AA10" s="28"/>
      <c r="AB10" s="28"/>
      <c r="AC10" s="28"/>
      <c r="AD10" s="28"/>
      <c r="AE10" s="28">
        <f t="shared" si="10"/>
        <v>0</v>
      </c>
      <c r="AF10" s="28"/>
      <c r="AG10" s="28"/>
      <c r="AH10" s="28"/>
      <c r="AI10" s="28"/>
      <c r="AJ10" s="28">
        <f t="shared" si="11"/>
        <v>0</v>
      </c>
      <c r="AK10" s="28"/>
      <c r="AL10" s="28"/>
      <c r="AM10" s="28"/>
      <c r="AN10" s="28"/>
      <c r="AO10" s="28">
        <f t="shared" si="12"/>
        <v>0</v>
      </c>
      <c r="AP10" s="28"/>
      <c r="AQ10" s="28"/>
      <c r="AR10" s="28"/>
      <c r="AS10" s="28"/>
      <c r="AT10" s="28">
        <f t="shared" si="13"/>
        <v>0</v>
      </c>
      <c r="AU10" s="28"/>
      <c r="AV10" s="28"/>
      <c r="AW10" s="28"/>
      <c r="AX10" s="28"/>
      <c r="AY10" s="28">
        <f t="shared" si="14"/>
        <v>0</v>
      </c>
      <c r="AZ10" s="28"/>
      <c r="BA10" s="28"/>
      <c r="BB10" s="28"/>
      <c r="BC10" s="28"/>
      <c r="BD10" s="28">
        <f t="shared" si="15"/>
        <v>0</v>
      </c>
      <c r="BE10" s="28"/>
      <c r="BF10" s="28"/>
      <c r="BG10" s="28"/>
      <c r="BH10" s="28"/>
      <c r="BI10" s="28">
        <f t="shared" si="16"/>
        <v>0</v>
      </c>
      <c r="BJ10" s="28">
        <f t="shared" ref="BJ10:DU10" si="44">BJ37+BJ64</f>
        <v>0</v>
      </c>
      <c r="BK10" s="28">
        <f t="shared" si="44"/>
        <v>0</v>
      </c>
      <c r="BL10" s="28">
        <f t="shared" si="44"/>
        <v>0</v>
      </c>
      <c r="BM10" s="28">
        <f t="shared" si="44"/>
        <v>0</v>
      </c>
      <c r="BN10" s="28">
        <f t="shared" si="44"/>
        <v>0</v>
      </c>
      <c r="BO10" s="28">
        <f t="shared" si="44"/>
        <v>0</v>
      </c>
      <c r="BP10" s="28">
        <f t="shared" si="44"/>
        <v>0</v>
      </c>
      <c r="BQ10" s="28">
        <f t="shared" si="44"/>
        <v>0</v>
      </c>
      <c r="BR10" s="28">
        <f t="shared" si="44"/>
        <v>0</v>
      </c>
      <c r="BS10" s="28">
        <f t="shared" si="44"/>
        <v>0</v>
      </c>
      <c r="BT10" s="28">
        <f t="shared" si="44"/>
        <v>0</v>
      </c>
      <c r="BU10" s="28">
        <f t="shared" si="44"/>
        <v>0</v>
      </c>
      <c r="BV10" s="28">
        <f t="shared" si="44"/>
        <v>0</v>
      </c>
      <c r="BW10" s="28">
        <f t="shared" si="44"/>
        <v>0</v>
      </c>
      <c r="BX10" s="28">
        <f t="shared" si="44"/>
        <v>0</v>
      </c>
      <c r="BY10" s="28">
        <f t="shared" si="44"/>
        <v>0</v>
      </c>
      <c r="BZ10" s="28">
        <f t="shared" si="44"/>
        <v>0</v>
      </c>
      <c r="CA10" s="28">
        <f t="shared" si="44"/>
        <v>0</v>
      </c>
      <c r="CB10" s="28">
        <f t="shared" si="44"/>
        <v>0</v>
      </c>
      <c r="CC10" s="28">
        <f t="shared" si="44"/>
        <v>0</v>
      </c>
      <c r="CD10" s="28">
        <f t="shared" si="44"/>
        <v>0</v>
      </c>
      <c r="CE10" s="28">
        <f t="shared" si="44"/>
        <v>0</v>
      </c>
      <c r="CF10" s="28">
        <f t="shared" si="44"/>
        <v>0</v>
      </c>
      <c r="CG10" s="28">
        <f t="shared" si="44"/>
        <v>0</v>
      </c>
      <c r="CH10" s="28">
        <f t="shared" si="44"/>
        <v>0</v>
      </c>
      <c r="CI10" s="28">
        <f t="shared" si="44"/>
        <v>0</v>
      </c>
      <c r="CJ10" s="28">
        <f t="shared" si="44"/>
        <v>0</v>
      </c>
      <c r="CK10" s="28">
        <f t="shared" si="44"/>
        <v>0</v>
      </c>
      <c r="CL10" s="28">
        <f t="shared" si="44"/>
        <v>0</v>
      </c>
      <c r="CM10" s="28">
        <f t="shared" si="44"/>
        <v>0</v>
      </c>
      <c r="CN10" s="28">
        <f t="shared" si="44"/>
        <v>0</v>
      </c>
      <c r="CO10" s="28">
        <f t="shared" si="44"/>
        <v>0</v>
      </c>
      <c r="CP10" s="28">
        <f t="shared" si="44"/>
        <v>0</v>
      </c>
      <c r="CQ10" s="28">
        <f t="shared" si="44"/>
        <v>0</v>
      </c>
      <c r="CR10" s="28">
        <f t="shared" si="44"/>
        <v>0</v>
      </c>
      <c r="CS10" s="28">
        <f t="shared" si="44"/>
        <v>0</v>
      </c>
      <c r="CT10" s="28">
        <f t="shared" si="44"/>
        <v>0</v>
      </c>
      <c r="CU10" s="28">
        <f t="shared" si="44"/>
        <v>0</v>
      </c>
      <c r="CV10" s="28">
        <f t="shared" si="44"/>
        <v>0</v>
      </c>
      <c r="CW10" s="28">
        <f t="shared" si="44"/>
        <v>0</v>
      </c>
      <c r="CX10" s="28">
        <f t="shared" si="44"/>
        <v>0</v>
      </c>
      <c r="CY10" s="28">
        <f t="shared" si="44"/>
        <v>0</v>
      </c>
      <c r="CZ10" s="28">
        <f t="shared" si="44"/>
        <v>0</v>
      </c>
      <c r="DA10" s="28">
        <f t="shared" si="44"/>
        <v>0</v>
      </c>
      <c r="DB10" s="28">
        <f t="shared" si="44"/>
        <v>0</v>
      </c>
      <c r="DC10" s="28">
        <f t="shared" si="44"/>
        <v>0</v>
      </c>
      <c r="DD10" s="28">
        <f t="shared" si="44"/>
        <v>18.931000000000001</v>
      </c>
      <c r="DE10" s="28">
        <f t="shared" si="44"/>
        <v>35.256</v>
      </c>
      <c r="DF10" s="28">
        <f t="shared" si="44"/>
        <v>55.072000000000003</v>
      </c>
      <c r="DG10" s="28">
        <f t="shared" si="44"/>
        <v>109.259</v>
      </c>
      <c r="DH10" s="28">
        <f t="shared" si="44"/>
        <v>54.253</v>
      </c>
      <c r="DI10" s="28">
        <f t="shared" si="44"/>
        <v>39.982999999999997</v>
      </c>
      <c r="DJ10" s="28">
        <f t="shared" si="44"/>
        <v>41.841000000000001</v>
      </c>
      <c r="DK10" s="28">
        <f t="shared" si="44"/>
        <v>47.842999999999996</v>
      </c>
      <c r="DL10" s="28">
        <f t="shared" si="44"/>
        <v>183.92000000000002</v>
      </c>
      <c r="DM10" s="28">
        <f t="shared" si="44"/>
        <v>37.765999999999998</v>
      </c>
      <c r="DN10" s="28">
        <f t="shared" si="44"/>
        <v>77.004999999999995</v>
      </c>
      <c r="DO10" s="28">
        <f t="shared" si="44"/>
        <v>90.310999999999993</v>
      </c>
      <c r="DP10" s="28">
        <f t="shared" si="44"/>
        <v>73.628999999999991</v>
      </c>
      <c r="DQ10" s="28">
        <f t="shared" si="44"/>
        <v>278.71100000000001</v>
      </c>
      <c r="DR10" s="28">
        <f t="shared" si="44"/>
        <v>44.811999999999998</v>
      </c>
      <c r="DS10" s="28">
        <f t="shared" si="44"/>
        <v>41.968000000000004</v>
      </c>
      <c r="DT10" s="28">
        <f t="shared" si="44"/>
        <v>76.548000000000002</v>
      </c>
      <c r="DU10" s="28">
        <f t="shared" si="44"/>
        <v>105.35300000000001</v>
      </c>
      <c r="DV10" s="28">
        <f t="shared" si="28"/>
        <v>268.68099999999998</v>
      </c>
      <c r="DW10" s="28">
        <f t="shared" si="28"/>
        <v>42.037999999999997</v>
      </c>
      <c r="DX10" s="28">
        <f t="shared" si="28"/>
        <v>56.580000000000005</v>
      </c>
      <c r="DY10" s="28">
        <f t="shared" si="28"/>
        <v>75.524000000000001</v>
      </c>
      <c r="DZ10" s="28">
        <f t="shared" si="28"/>
        <v>101.393</v>
      </c>
      <c r="EA10" s="28">
        <f t="shared" si="28"/>
        <v>275.53500000000003</v>
      </c>
      <c r="EB10" s="28">
        <f t="shared" si="28"/>
        <v>74.581999999999994</v>
      </c>
      <c r="EC10" s="28">
        <f t="shared" si="28"/>
        <v>92.914999999999992</v>
      </c>
      <c r="ED10" s="28">
        <f t="shared" ref="ED10:EF10" si="45">ED37+ED64</f>
        <v>88.588999999999999</v>
      </c>
      <c r="EE10" s="28">
        <f t="shared" si="45"/>
        <v>77.703000000000003</v>
      </c>
      <c r="EF10" s="28">
        <f t="shared" si="45"/>
        <v>333.78899999999999</v>
      </c>
      <c r="EG10" s="28">
        <f t="shared" ref="EG10:EH10" si="46">EG37+EG64</f>
        <v>49.632000000000005</v>
      </c>
      <c r="EH10" s="28">
        <f t="shared" si="46"/>
        <v>54.781999999999996</v>
      </c>
      <c r="EI10" s="28">
        <f t="shared" ref="EI10" si="47">EI37+EI64</f>
        <v>73.355999999999995</v>
      </c>
      <c r="EJ10" s="28">
        <f t="shared" si="21"/>
        <v>177.76999999999998</v>
      </c>
    </row>
    <row r="11" spans="1:140" ht="15" thickTop="1" x14ac:dyDescent="0.3">
      <c r="A11" s="1" t="s">
        <v>456</v>
      </c>
      <c r="B11" s="27"/>
      <c r="C11" s="27"/>
      <c r="D11" s="27"/>
      <c r="E11" s="27"/>
      <c r="F11" s="27">
        <f t="shared" si="5"/>
        <v>0</v>
      </c>
      <c r="G11" s="27"/>
      <c r="H11" s="27"/>
      <c r="I11" s="27"/>
      <c r="J11" s="27"/>
      <c r="K11" s="27">
        <f t="shared" si="6"/>
        <v>0</v>
      </c>
      <c r="L11" s="27"/>
      <c r="M11" s="27"/>
      <c r="N11" s="27"/>
      <c r="O11" s="27"/>
      <c r="P11" s="27">
        <f t="shared" si="7"/>
        <v>0</v>
      </c>
      <c r="Q11" s="27"/>
      <c r="R11" s="27"/>
      <c r="S11" s="27"/>
      <c r="T11" s="27"/>
      <c r="U11" s="27">
        <f t="shared" si="8"/>
        <v>0</v>
      </c>
      <c r="V11" s="27"/>
      <c r="W11" s="27"/>
      <c r="X11" s="27"/>
      <c r="Y11" s="27"/>
      <c r="Z11" s="27">
        <f t="shared" si="9"/>
        <v>0</v>
      </c>
      <c r="AA11" s="27"/>
      <c r="AB11" s="27"/>
      <c r="AC11" s="27"/>
      <c r="AD11" s="27"/>
      <c r="AE11" s="27">
        <f t="shared" si="10"/>
        <v>0</v>
      </c>
      <c r="AF11" s="27"/>
      <c r="AG11" s="27"/>
      <c r="AH11" s="27"/>
      <c r="AI11" s="27"/>
      <c r="AJ11" s="27">
        <f t="shared" si="11"/>
        <v>0</v>
      </c>
      <c r="AK11" s="27"/>
      <c r="AL11" s="27"/>
      <c r="AM11" s="27"/>
      <c r="AN11" s="27"/>
      <c r="AO11" s="27">
        <f t="shared" si="12"/>
        <v>0</v>
      </c>
      <c r="AP11" s="27"/>
      <c r="AQ11" s="27"/>
      <c r="AR11" s="27"/>
      <c r="AS11" s="27"/>
      <c r="AT11" s="27">
        <f t="shared" si="13"/>
        <v>0</v>
      </c>
      <c r="AU11" s="27"/>
      <c r="AV11" s="27"/>
      <c r="AW11" s="27"/>
      <c r="AX11" s="27"/>
      <c r="AY11" s="27">
        <f t="shared" si="14"/>
        <v>0</v>
      </c>
      <c r="AZ11" s="27"/>
      <c r="BA11" s="27"/>
      <c r="BB11" s="27"/>
      <c r="BC11" s="27"/>
      <c r="BD11" s="27">
        <f t="shared" si="15"/>
        <v>0</v>
      </c>
      <c r="BE11" s="27"/>
      <c r="BF11" s="27"/>
      <c r="BG11" s="27"/>
      <c r="BH11" s="27"/>
      <c r="BI11" s="27">
        <f t="shared" si="16"/>
        <v>0</v>
      </c>
      <c r="BJ11" s="27">
        <f t="shared" ref="BJ11:DU11" si="48">BJ38+BJ65+BJ77</f>
        <v>0</v>
      </c>
      <c r="BK11" s="27">
        <f t="shared" si="48"/>
        <v>0</v>
      </c>
      <c r="BL11" s="27">
        <f t="shared" si="48"/>
        <v>0</v>
      </c>
      <c r="BM11" s="27">
        <f t="shared" si="48"/>
        <v>0</v>
      </c>
      <c r="BN11" s="27">
        <f t="shared" si="48"/>
        <v>0</v>
      </c>
      <c r="BO11" s="27">
        <f t="shared" si="48"/>
        <v>0</v>
      </c>
      <c r="BP11" s="27">
        <f t="shared" si="48"/>
        <v>0</v>
      </c>
      <c r="BQ11" s="27">
        <f t="shared" si="48"/>
        <v>0</v>
      </c>
      <c r="BR11" s="27">
        <f t="shared" si="48"/>
        <v>0</v>
      </c>
      <c r="BS11" s="27">
        <f t="shared" si="48"/>
        <v>0</v>
      </c>
      <c r="BT11" s="27">
        <f t="shared" si="48"/>
        <v>0</v>
      </c>
      <c r="BU11" s="27">
        <f t="shared" si="48"/>
        <v>0</v>
      </c>
      <c r="BV11" s="27">
        <f t="shared" si="48"/>
        <v>0</v>
      </c>
      <c r="BW11" s="27">
        <f t="shared" si="48"/>
        <v>0</v>
      </c>
      <c r="BX11" s="27">
        <f t="shared" si="48"/>
        <v>0</v>
      </c>
      <c r="BY11" s="27">
        <f t="shared" si="48"/>
        <v>0</v>
      </c>
      <c r="BZ11" s="27">
        <f t="shared" si="48"/>
        <v>0</v>
      </c>
      <c r="CA11" s="27">
        <f t="shared" si="48"/>
        <v>0</v>
      </c>
      <c r="CB11" s="27">
        <f t="shared" si="48"/>
        <v>0</v>
      </c>
      <c r="CC11" s="27">
        <f t="shared" si="48"/>
        <v>0</v>
      </c>
      <c r="CD11" s="27">
        <f t="shared" si="48"/>
        <v>0</v>
      </c>
      <c r="CE11" s="27">
        <f t="shared" si="48"/>
        <v>0</v>
      </c>
      <c r="CF11" s="27">
        <f t="shared" si="48"/>
        <v>0</v>
      </c>
      <c r="CG11" s="27">
        <f t="shared" si="48"/>
        <v>0</v>
      </c>
      <c r="CH11" s="27">
        <f t="shared" si="48"/>
        <v>0</v>
      </c>
      <c r="CI11" s="27">
        <f t="shared" si="48"/>
        <v>0</v>
      </c>
      <c r="CJ11" s="27">
        <f t="shared" si="48"/>
        <v>0</v>
      </c>
      <c r="CK11" s="27">
        <f t="shared" si="48"/>
        <v>0</v>
      </c>
      <c r="CL11" s="27">
        <f t="shared" si="48"/>
        <v>0</v>
      </c>
      <c r="CM11" s="27">
        <f t="shared" si="48"/>
        <v>0</v>
      </c>
      <c r="CN11" s="27">
        <f t="shared" si="48"/>
        <v>0</v>
      </c>
      <c r="CO11" s="27">
        <f t="shared" si="48"/>
        <v>0</v>
      </c>
      <c r="CP11" s="27">
        <f t="shared" si="48"/>
        <v>0</v>
      </c>
      <c r="CQ11" s="27">
        <f t="shared" si="48"/>
        <v>0</v>
      </c>
      <c r="CR11" s="27">
        <f t="shared" si="48"/>
        <v>0</v>
      </c>
      <c r="CS11" s="27">
        <f t="shared" si="48"/>
        <v>0</v>
      </c>
      <c r="CT11" s="27">
        <f t="shared" si="48"/>
        <v>0</v>
      </c>
      <c r="CU11" s="27">
        <f t="shared" si="48"/>
        <v>0</v>
      </c>
      <c r="CV11" s="27">
        <f t="shared" si="48"/>
        <v>0</v>
      </c>
      <c r="CW11" s="27">
        <f t="shared" si="48"/>
        <v>0</v>
      </c>
      <c r="CX11" s="27">
        <f t="shared" si="48"/>
        <v>0</v>
      </c>
      <c r="CY11" s="27">
        <f t="shared" si="48"/>
        <v>0.4</v>
      </c>
      <c r="CZ11" s="27">
        <f t="shared" si="48"/>
        <v>8.9710000000000001</v>
      </c>
      <c r="DA11" s="27">
        <f t="shared" si="48"/>
        <v>59.658000000000001</v>
      </c>
      <c r="DB11" s="27">
        <f t="shared" si="48"/>
        <v>69.028999999999996</v>
      </c>
      <c r="DC11" s="27">
        <f t="shared" si="48"/>
        <v>72.063000000000002</v>
      </c>
      <c r="DD11" s="27">
        <f t="shared" si="48"/>
        <v>23.794</v>
      </c>
      <c r="DE11" s="27">
        <f t="shared" si="48"/>
        <v>5.1440000000000001</v>
      </c>
      <c r="DF11" s="27">
        <f t="shared" si="48"/>
        <v>16.706</v>
      </c>
      <c r="DG11" s="27">
        <f t="shared" si="48"/>
        <v>117.70700000000001</v>
      </c>
      <c r="DH11" s="27">
        <f t="shared" si="48"/>
        <v>10.677</v>
      </c>
      <c r="DI11" s="27">
        <f t="shared" si="48"/>
        <v>16.827999999999999</v>
      </c>
      <c r="DJ11" s="27">
        <f t="shared" si="48"/>
        <v>23.556999999999999</v>
      </c>
      <c r="DK11" s="27">
        <f t="shared" si="48"/>
        <v>11.354000000000001</v>
      </c>
      <c r="DL11" s="27">
        <f t="shared" si="48"/>
        <v>62.415999999999997</v>
      </c>
      <c r="DM11" s="27">
        <f t="shared" si="48"/>
        <v>9.0269999999999992</v>
      </c>
      <c r="DN11" s="27">
        <f t="shared" si="48"/>
        <v>29.273</v>
      </c>
      <c r="DO11" s="27">
        <f t="shared" si="48"/>
        <v>98.89200000000001</v>
      </c>
      <c r="DP11" s="27">
        <f t="shared" si="48"/>
        <v>118.05300000000001</v>
      </c>
      <c r="DQ11" s="27">
        <f t="shared" si="48"/>
        <v>255.24500000000003</v>
      </c>
      <c r="DR11" s="27">
        <f t="shared" si="48"/>
        <v>113.84100000000001</v>
      </c>
      <c r="DS11" s="27">
        <f t="shared" si="48"/>
        <v>120.711</v>
      </c>
      <c r="DT11" s="27">
        <f t="shared" si="48"/>
        <v>104.39</v>
      </c>
      <c r="DU11" s="27">
        <f t="shared" si="48"/>
        <v>149.16</v>
      </c>
      <c r="DV11" s="27">
        <f t="shared" ref="DV11:EC11" si="49">DV38+DV65+DV77</f>
        <v>488.10199999999998</v>
      </c>
      <c r="DW11" s="27">
        <f t="shared" si="49"/>
        <v>85.974999999999994</v>
      </c>
      <c r="DX11" s="27">
        <f t="shared" si="49"/>
        <v>170.35499999999999</v>
      </c>
      <c r="DY11" s="27">
        <f t="shared" si="49"/>
        <v>286.012</v>
      </c>
      <c r="DZ11" s="27">
        <f t="shared" si="49"/>
        <v>291.89099999999996</v>
      </c>
      <c r="EA11" s="27">
        <f t="shared" si="49"/>
        <v>834.23299999999995</v>
      </c>
      <c r="EB11" s="27">
        <f t="shared" si="49"/>
        <v>133.56100000000001</v>
      </c>
      <c r="EC11" s="27">
        <f t="shared" si="49"/>
        <v>167.30199999999999</v>
      </c>
      <c r="ED11" s="27">
        <f t="shared" ref="ED11:EF11" si="50">ED38+ED65+ED77</f>
        <v>208.31399999999999</v>
      </c>
      <c r="EE11" s="27">
        <f t="shared" si="50"/>
        <v>260.97100000000006</v>
      </c>
      <c r="EF11" s="27">
        <f t="shared" si="50"/>
        <v>770.14800000000002</v>
      </c>
      <c r="EG11" s="27">
        <f t="shared" ref="EG11:EH11" si="51">EG38+EG65+EG77</f>
        <v>115.202</v>
      </c>
      <c r="EH11" s="27">
        <f t="shared" si="51"/>
        <v>144.64200000000002</v>
      </c>
      <c r="EI11" s="27">
        <f t="shared" ref="EI11" si="52">EI38+EI65+EI77</f>
        <v>153.27099999999996</v>
      </c>
      <c r="EJ11" s="27">
        <f t="shared" si="21"/>
        <v>413.11500000000001</v>
      </c>
    </row>
    <row r="12" spans="1:140" ht="15" thickBot="1" x14ac:dyDescent="0.35">
      <c r="A12" s="2" t="s">
        <v>446</v>
      </c>
      <c r="B12" s="28"/>
      <c r="C12" s="28"/>
      <c r="D12" s="28"/>
      <c r="E12" s="28"/>
      <c r="F12" s="28">
        <f t="shared" si="5"/>
        <v>0</v>
      </c>
      <c r="G12" s="28"/>
      <c r="H12" s="28"/>
      <c r="I12" s="28"/>
      <c r="J12" s="28"/>
      <c r="K12" s="28">
        <f t="shared" si="6"/>
        <v>0</v>
      </c>
      <c r="L12" s="28"/>
      <c r="M12" s="28"/>
      <c r="N12" s="28"/>
      <c r="O12" s="28"/>
      <c r="P12" s="28">
        <f t="shared" si="7"/>
        <v>0</v>
      </c>
      <c r="Q12" s="28"/>
      <c r="R12" s="28"/>
      <c r="S12" s="28"/>
      <c r="T12" s="28"/>
      <c r="U12" s="28">
        <f t="shared" si="8"/>
        <v>0</v>
      </c>
      <c r="V12" s="28"/>
      <c r="W12" s="28"/>
      <c r="X12" s="28"/>
      <c r="Y12" s="28"/>
      <c r="Z12" s="28">
        <f t="shared" si="9"/>
        <v>0</v>
      </c>
      <c r="AA12" s="28"/>
      <c r="AB12" s="28"/>
      <c r="AC12" s="28"/>
      <c r="AD12" s="28"/>
      <c r="AE12" s="28">
        <f t="shared" si="10"/>
        <v>0</v>
      </c>
      <c r="AF12" s="28"/>
      <c r="AG12" s="28"/>
      <c r="AH12" s="28"/>
      <c r="AI12" s="28"/>
      <c r="AJ12" s="28">
        <f t="shared" si="11"/>
        <v>0</v>
      </c>
      <c r="AK12" s="28"/>
      <c r="AL12" s="28"/>
      <c r="AM12" s="28"/>
      <c r="AN12" s="28"/>
      <c r="AO12" s="28">
        <f t="shared" si="12"/>
        <v>0</v>
      </c>
      <c r="AP12" s="28"/>
      <c r="AQ12" s="28"/>
      <c r="AR12" s="28"/>
      <c r="AS12" s="28"/>
      <c r="AT12" s="28">
        <f t="shared" si="13"/>
        <v>0</v>
      </c>
      <c r="AU12" s="28"/>
      <c r="AV12" s="28"/>
      <c r="AW12" s="28"/>
      <c r="AX12" s="28"/>
      <c r="AY12" s="28">
        <f t="shared" si="14"/>
        <v>0</v>
      </c>
      <c r="AZ12" s="28"/>
      <c r="BA12" s="28"/>
      <c r="BB12" s="28"/>
      <c r="BC12" s="28"/>
      <c r="BD12" s="28">
        <f t="shared" si="15"/>
        <v>0</v>
      </c>
      <c r="BE12" s="28"/>
      <c r="BF12" s="28"/>
      <c r="BG12" s="28"/>
      <c r="BH12" s="28"/>
      <c r="BI12" s="28">
        <f t="shared" si="16"/>
        <v>0</v>
      </c>
      <c r="BJ12" s="28">
        <f t="shared" ref="BJ12:DU12" si="53">BJ39+BJ66</f>
        <v>0</v>
      </c>
      <c r="BK12" s="28">
        <f t="shared" si="53"/>
        <v>0</v>
      </c>
      <c r="BL12" s="28">
        <f t="shared" si="53"/>
        <v>0</v>
      </c>
      <c r="BM12" s="28">
        <f t="shared" si="53"/>
        <v>0</v>
      </c>
      <c r="BN12" s="28">
        <f t="shared" si="53"/>
        <v>0</v>
      </c>
      <c r="BO12" s="28">
        <f t="shared" si="53"/>
        <v>0</v>
      </c>
      <c r="BP12" s="28">
        <f t="shared" si="53"/>
        <v>0</v>
      </c>
      <c r="BQ12" s="28">
        <f t="shared" si="53"/>
        <v>0</v>
      </c>
      <c r="BR12" s="28">
        <f t="shared" si="53"/>
        <v>0</v>
      </c>
      <c r="BS12" s="28">
        <f t="shared" si="53"/>
        <v>0</v>
      </c>
      <c r="BT12" s="28">
        <f t="shared" si="53"/>
        <v>0</v>
      </c>
      <c r="BU12" s="28">
        <f t="shared" si="53"/>
        <v>0</v>
      </c>
      <c r="BV12" s="28">
        <f t="shared" si="53"/>
        <v>0</v>
      </c>
      <c r="BW12" s="28">
        <f t="shared" si="53"/>
        <v>0</v>
      </c>
      <c r="BX12" s="28">
        <f t="shared" si="53"/>
        <v>0</v>
      </c>
      <c r="BY12" s="28">
        <f t="shared" si="53"/>
        <v>0</v>
      </c>
      <c r="BZ12" s="28">
        <f t="shared" si="53"/>
        <v>0</v>
      </c>
      <c r="CA12" s="28">
        <f t="shared" si="53"/>
        <v>0</v>
      </c>
      <c r="CB12" s="28">
        <f t="shared" si="53"/>
        <v>0</v>
      </c>
      <c r="CC12" s="28">
        <f t="shared" si="53"/>
        <v>0</v>
      </c>
      <c r="CD12" s="28">
        <f t="shared" si="53"/>
        <v>0</v>
      </c>
      <c r="CE12" s="28">
        <f t="shared" si="53"/>
        <v>0</v>
      </c>
      <c r="CF12" s="28">
        <f t="shared" si="53"/>
        <v>0</v>
      </c>
      <c r="CG12" s="28">
        <f t="shared" si="53"/>
        <v>0</v>
      </c>
      <c r="CH12" s="28">
        <f t="shared" si="53"/>
        <v>0</v>
      </c>
      <c r="CI12" s="28">
        <f t="shared" si="53"/>
        <v>0</v>
      </c>
      <c r="CJ12" s="28">
        <f t="shared" si="53"/>
        <v>0</v>
      </c>
      <c r="CK12" s="28">
        <f t="shared" si="53"/>
        <v>0</v>
      </c>
      <c r="CL12" s="28">
        <f t="shared" si="53"/>
        <v>0</v>
      </c>
      <c r="CM12" s="28">
        <f t="shared" si="53"/>
        <v>0</v>
      </c>
      <c r="CN12" s="28">
        <f t="shared" si="53"/>
        <v>0</v>
      </c>
      <c r="CO12" s="28">
        <f t="shared" si="53"/>
        <v>0</v>
      </c>
      <c r="CP12" s="28">
        <f t="shared" si="53"/>
        <v>0</v>
      </c>
      <c r="CQ12" s="28">
        <f t="shared" si="53"/>
        <v>0</v>
      </c>
      <c r="CR12" s="28">
        <f t="shared" si="53"/>
        <v>0</v>
      </c>
      <c r="CS12" s="28">
        <f t="shared" si="53"/>
        <v>0</v>
      </c>
      <c r="CT12" s="28">
        <f t="shared" si="53"/>
        <v>0</v>
      </c>
      <c r="CU12" s="28">
        <f t="shared" si="53"/>
        <v>0</v>
      </c>
      <c r="CV12" s="28">
        <f t="shared" si="53"/>
        <v>0</v>
      </c>
      <c r="CW12" s="28">
        <f t="shared" si="53"/>
        <v>0</v>
      </c>
      <c r="CX12" s="28">
        <f t="shared" si="53"/>
        <v>0</v>
      </c>
      <c r="CY12" s="28">
        <f t="shared" si="53"/>
        <v>0</v>
      </c>
      <c r="CZ12" s="28">
        <f t="shared" si="53"/>
        <v>0</v>
      </c>
      <c r="DA12" s="28">
        <f t="shared" si="53"/>
        <v>0</v>
      </c>
      <c r="DB12" s="28">
        <f t="shared" si="53"/>
        <v>0</v>
      </c>
      <c r="DC12" s="28">
        <f t="shared" si="53"/>
        <v>0</v>
      </c>
      <c r="DD12" s="28">
        <f t="shared" si="53"/>
        <v>0</v>
      </c>
      <c r="DE12" s="28">
        <f t="shared" si="53"/>
        <v>0</v>
      </c>
      <c r="DF12" s="28">
        <f t="shared" si="53"/>
        <v>11.359</v>
      </c>
      <c r="DG12" s="28">
        <f t="shared" si="53"/>
        <v>11.359</v>
      </c>
      <c r="DH12" s="28">
        <f t="shared" si="53"/>
        <v>13.855</v>
      </c>
      <c r="DI12" s="28">
        <f t="shared" si="53"/>
        <v>105.026</v>
      </c>
      <c r="DJ12" s="28">
        <f t="shared" si="53"/>
        <v>120.22</v>
      </c>
      <c r="DK12" s="28">
        <f t="shared" si="53"/>
        <v>80.866</v>
      </c>
      <c r="DL12" s="28">
        <f t="shared" si="53"/>
        <v>319.96699999999998</v>
      </c>
      <c r="DM12" s="28">
        <f t="shared" si="53"/>
        <v>4.2560000000000002</v>
      </c>
      <c r="DN12" s="28">
        <f t="shared" si="53"/>
        <v>22.905000000000001</v>
      </c>
      <c r="DO12" s="28">
        <f t="shared" si="53"/>
        <v>41.271000000000001</v>
      </c>
      <c r="DP12" s="28">
        <f t="shared" si="53"/>
        <v>77.284000000000006</v>
      </c>
      <c r="DQ12" s="28">
        <f t="shared" si="53"/>
        <v>145.71600000000001</v>
      </c>
      <c r="DR12" s="28">
        <f t="shared" si="53"/>
        <v>78.486000000000004</v>
      </c>
      <c r="DS12" s="28">
        <f t="shared" si="53"/>
        <v>64.451999999999998</v>
      </c>
      <c r="DT12" s="28">
        <f t="shared" si="53"/>
        <v>100.986</v>
      </c>
      <c r="DU12" s="28">
        <f t="shared" si="53"/>
        <v>105.768</v>
      </c>
      <c r="DV12" s="28">
        <f t="shared" ref="DV12:EC12" si="54">DV39+DV66</f>
        <v>349.69200000000001</v>
      </c>
      <c r="DW12" s="28">
        <f t="shared" si="54"/>
        <v>70.712000000000003</v>
      </c>
      <c r="DX12" s="28">
        <f t="shared" si="54"/>
        <v>37.527999999999999</v>
      </c>
      <c r="DY12" s="28">
        <f t="shared" si="54"/>
        <v>46.059000000000012</v>
      </c>
      <c r="DZ12" s="28">
        <f t="shared" si="54"/>
        <v>94.688999999999993</v>
      </c>
      <c r="EA12" s="28">
        <f t="shared" si="54"/>
        <v>248.98800000000003</v>
      </c>
      <c r="EB12" s="28">
        <f t="shared" si="54"/>
        <v>90.106999999999999</v>
      </c>
      <c r="EC12" s="28">
        <f t="shared" si="54"/>
        <v>82.01</v>
      </c>
      <c r="ED12" s="28">
        <f t="shared" ref="ED12:EF12" si="55">ED39+ED66</f>
        <v>82.980000000000018</v>
      </c>
      <c r="EE12" s="28">
        <f t="shared" si="55"/>
        <v>97.081999999999965</v>
      </c>
      <c r="EF12" s="28">
        <f t="shared" si="55"/>
        <v>352.17899999999997</v>
      </c>
      <c r="EG12" s="28">
        <f t="shared" ref="EG12:EH12" si="56">EG39+EG66</f>
        <v>84.161000000000001</v>
      </c>
      <c r="EH12" s="28">
        <f t="shared" si="56"/>
        <v>81.637999999999991</v>
      </c>
      <c r="EI12" s="28">
        <f t="shared" ref="EI12" si="57">EI39+EI66</f>
        <v>53.614000000000004</v>
      </c>
      <c r="EJ12" s="28">
        <f t="shared" si="21"/>
        <v>219.41299999999998</v>
      </c>
    </row>
    <row r="13" spans="1:140" ht="15" thickTop="1" x14ac:dyDescent="0.3">
      <c r="A13" s="1" t="s">
        <v>447</v>
      </c>
      <c r="B13" s="27"/>
      <c r="C13" s="27"/>
      <c r="D13" s="27"/>
      <c r="E13" s="27"/>
      <c r="F13" s="27">
        <f t="shared" si="5"/>
        <v>0</v>
      </c>
      <c r="G13" s="27"/>
      <c r="H13" s="27"/>
      <c r="I13" s="27"/>
      <c r="J13" s="27"/>
      <c r="K13" s="27">
        <f t="shared" si="6"/>
        <v>0</v>
      </c>
      <c r="L13" s="27"/>
      <c r="M13" s="27"/>
      <c r="N13" s="27"/>
      <c r="O13" s="27"/>
      <c r="P13" s="27">
        <f t="shared" si="7"/>
        <v>0</v>
      </c>
      <c r="Q13" s="27"/>
      <c r="R13" s="27"/>
      <c r="S13" s="27"/>
      <c r="T13" s="27"/>
      <c r="U13" s="27">
        <f t="shared" si="8"/>
        <v>0</v>
      </c>
      <c r="V13" s="27"/>
      <c r="W13" s="27"/>
      <c r="X13" s="27"/>
      <c r="Y13" s="27"/>
      <c r="Z13" s="27">
        <f t="shared" si="9"/>
        <v>0</v>
      </c>
      <c r="AA13" s="27"/>
      <c r="AB13" s="27"/>
      <c r="AC13" s="27"/>
      <c r="AD13" s="27"/>
      <c r="AE13" s="27">
        <f t="shared" si="10"/>
        <v>0</v>
      </c>
      <c r="AF13" s="27"/>
      <c r="AG13" s="27"/>
      <c r="AH13" s="27"/>
      <c r="AI13" s="27"/>
      <c r="AJ13" s="27">
        <f t="shared" si="11"/>
        <v>0</v>
      </c>
      <c r="AK13" s="27"/>
      <c r="AL13" s="27"/>
      <c r="AM13" s="27"/>
      <c r="AN13" s="27"/>
      <c r="AO13" s="27">
        <f t="shared" si="12"/>
        <v>0</v>
      </c>
      <c r="AP13" s="27"/>
      <c r="AQ13" s="27"/>
      <c r="AR13" s="27"/>
      <c r="AS13" s="27"/>
      <c r="AT13" s="27">
        <f t="shared" si="13"/>
        <v>0</v>
      </c>
      <c r="AU13" s="27"/>
      <c r="AV13" s="27"/>
      <c r="AW13" s="27"/>
      <c r="AX13" s="27"/>
      <c r="AY13" s="27">
        <f t="shared" si="14"/>
        <v>0</v>
      </c>
      <c r="AZ13" s="27"/>
      <c r="BA13" s="27"/>
      <c r="BB13" s="27"/>
      <c r="BC13" s="27"/>
      <c r="BD13" s="27">
        <f t="shared" si="15"/>
        <v>0</v>
      </c>
      <c r="BE13" s="27"/>
      <c r="BF13" s="27"/>
      <c r="BG13" s="27"/>
      <c r="BH13" s="27"/>
      <c r="BI13" s="27">
        <f t="shared" si="16"/>
        <v>0</v>
      </c>
      <c r="BJ13" s="27">
        <f t="shared" ref="BJ13:DU13" si="58">BJ40+BJ67+BJ78</f>
        <v>0</v>
      </c>
      <c r="BK13" s="27">
        <f t="shared" si="58"/>
        <v>0</v>
      </c>
      <c r="BL13" s="27">
        <f t="shared" si="58"/>
        <v>0</v>
      </c>
      <c r="BM13" s="27">
        <f t="shared" si="58"/>
        <v>0</v>
      </c>
      <c r="BN13" s="27">
        <f t="shared" si="58"/>
        <v>0</v>
      </c>
      <c r="BO13" s="27">
        <f t="shared" si="58"/>
        <v>0</v>
      </c>
      <c r="BP13" s="27">
        <f t="shared" si="58"/>
        <v>0</v>
      </c>
      <c r="BQ13" s="27">
        <f t="shared" si="58"/>
        <v>0</v>
      </c>
      <c r="BR13" s="27">
        <f t="shared" si="58"/>
        <v>0</v>
      </c>
      <c r="BS13" s="27">
        <f t="shared" si="58"/>
        <v>0</v>
      </c>
      <c r="BT13" s="27">
        <f t="shared" si="58"/>
        <v>0</v>
      </c>
      <c r="BU13" s="27">
        <f t="shared" si="58"/>
        <v>0</v>
      </c>
      <c r="BV13" s="27">
        <f t="shared" si="58"/>
        <v>0</v>
      </c>
      <c r="BW13" s="27">
        <f t="shared" si="58"/>
        <v>0</v>
      </c>
      <c r="BX13" s="27">
        <f t="shared" si="58"/>
        <v>0</v>
      </c>
      <c r="BY13" s="27">
        <f t="shared" si="58"/>
        <v>0</v>
      </c>
      <c r="BZ13" s="27">
        <f t="shared" si="58"/>
        <v>0</v>
      </c>
      <c r="CA13" s="27">
        <f t="shared" si="58"/>
        <v>0</v>
      </c>
      <c r="CB13" s="27">
        <f t="shared" si="58"/>
        <v>0</v>
      </c>
      <c r="CC13" s="27">
        <f t="shared" si="58"/>
        <v>0</v>
      </c>
      <c r="CD13" s="27">
        <f t="shared" si="58"/>
        <v>0</v>
      </c>
      <c r="CE13" s="27">
        <f t="shared" si="58"/>
        <v>0</v>
      </c>
      <c r="CF13" s="27">
        <f t="shared" si="58"/>
        <v>0</v>
      </c>
      <c r="CG13" s="27">
        <f t="shared" si="58"/>
        <v>0</v>
      </c>
      <c r="CH13" s="27">
        <f t="shared" si="58"/>
        <v>0</v>
      </c>
      <c r="CI13" s="27">
        <f t="shared" si="58"/>
        <v>0</v>
      </c>
      <c r="CJ13" s="27">
        <f t="shared" si="58"/>
        <v>0</v>
      </c>
      <c r="CK13" s="27">
        <f t="shared" si="58"/>
        <v>0</v>
      </c>
      <c r="CL13" s="27">
        <f t="shared" si="58"/>
        <v>0</v>
      </c>
      <c r="CM13" s="27">
        <f t="shared" si="58"/>
        <v>0</v>
      </c>
      <c r="CN13" s="27">
        <f t="shared" si="58"/>
        <v>0</v>
      </c>
      <c r="CO13" s="27">
        <f t="shared" si="58"/>
        <v>0</v>
      </c>
      <c r="CP13" s="27">
        <f t="shared" si="58"/>
        <v>0</v>
      </c>
      <c r="CQ13" s="27">
        <f t="shared" si="58"/>
        <v>0</v>
      </c>
      <c r="CR13" s="27">
        <f t="shared" si="58"/>
        <v>0</v>
      </c>
      <c r="CS13" s="27">
        <f t="shared" si="58"/>
        <v>0</v>
      </c>
      <c r="CT13" s="27">
        <f t="shared" si="58"/>
        <v>0</v>
      </c>
      <c r="CU13" s="27">
        <f t="shared" si="58"/>
        <v>0</v>
      </c>
      <c r="CV13" s="27">
        <f t="shared" si="58"/>
        <v>0</v>
      </c>
      <c r="CW13" s="27">
        <f t="shared" si="58"/>
        <v>0</v>
      </c>
      <c r="CX13" s="27">
        <f t="shared" si="58"/>
        <v>0</v>
      </c>
      <c r="CY13" s="27">
        <f t="shared" si="58"/>
        <v>0</v>
      </c>
      <c r="CZ13" s="27">
        <f t="shared" si="58"/>
        <v>0</v>
      </c>
      <c r="DA13" s="27">
        <f t="shared" si="58"/>
        <v>0</v>
      </c>
      <c r="DB13" s="27">
        <f t="shared" si="58"/>
        <v>0</v>
      </c>
      <c r="DC13" s="27">
        <f t="shared" si="58"/>
        <v>0</v>
      </c>
      <c r="DD13" s="27">
        <f t="shared" si="58"/>
        <v>0</v>
      </c>
      <c r="DE13" s="27">
        <f t="shared" si="58"/>
        <v>0</v>
      </c>
      <c r="DF13" s="27">
        <f t="shared" si="58"/>
        <v>0</v>
      </c>
      <c r="DG13" s="27">
        <f t="shared" si="58"/>
        <v>0</v>
      </c>
      <c r="DH13" s="27">
        <f t="shared" si="58"/>
        <v>0</v>
      </c>
      <c r="DI13" s="27">
        <f t="shared" si="58"/>
        <v>0</v>
      </c>
      <c r="DJ13" s="27">
        <f t="shared" si="58"/>
        <v>0</v>
      </c>
      <c r="DK13" s="27">
        <f t="shared" si="58"/>
        <v>0</v>
      </c>
      <c r="DL13" s="27">
        <f t="shared" si="58"/>
        <v>0</v>
      </c>
      <c r="DM13" s="27">
        <f t="shared" si="58"/>
        <v>0</v>
      </c>
      <c r="DN13" s="27">
        <f t="shared" si="58"/>
        <v>5.391</v>
      </c>
      <c r="DO13" s="27">
        <f t="shared" si="58"/>
        <v>390.82900000000001</v>
      </c>
      <c r="DP13" s="27">
        <f t="shared" si="58"/>
        <v>45.816000000000003</v>
      </c>
      <c r="DQ13" s="27">
        <f t="shared" si="58"/>
        <v>442.036</v>
      </c>
      <c r="DR13" s="27">
        <f t="shared" si="58"/>
        <v>104.232</v>
      </c>
      <c r="DS13" s="27">
        <f t="shared" si="58"/>
        <v>257.39599999999996</v>
      </c>
      <c r="DT13" s="27">
        <f t="shared" si="58"/>
        <v>330.52800000000002</v>
      </c>
      <c r="DU13" s="27">
        <f t="shared" si="58"/>
        <v>182.994</v>
      </c>
      <c r="DV13" s="27">
        <f t="shared" ref="DV13:EC13" si="59">DV40+DV67+DV78</f>
        <v>875.15000000000009</v>
      </c>
      <c r="DW13" s="27">
        <f t="shared" si="59"/>
        <v>88.998999999999995</v>
      </c>
      <c r="DX13" s="27">
        <f t="shared" si="59"/>
        <v>108.012</v>
      </c>
      <c r="DY13" s="27">
        <f t="shared" si="59"/>
        <v>142.33600000000001</v>
      </c>
      <c r="DZ13" s="27">
        <f t="shared" si="59"/>
        <v>149.99499999999998</v>
      </c>
      <c r="EA13" s="27">
        <f t="shared" si="59"/>
        <v>489.34199999999998</v>
      </c>
      <c r="EB13" s="27">
        <f t="shared" si="59"/>
        <v>42.475000000000001</v>
      </c>
      <c r="EC13" s="27">
        <f t="shared" si="59"/>
        <v>92.561999999999998</v>
      </c>
      <c r="ED13" s="27">
        <f t="shared" ref="ED13:EF13" si="60">ED40+ED67+ED78</f>
        <v>155.19500000000002</v>
      </c>
      <c r="EE13" s="27">
        <f t="shared" si="60"/>
        <v>196.32399999999996</v>
      </c>
      <c r="EF13" s="27">
        <f t="shared" si="60"/>
        <v>486.55599999999998</v>
      </c>
      <c r="EG13" s="27">
        <f t="shared" ref="EG13:EH13" si="61">EG40+EG67+EG78</f>
        <v>42.38</v>
      </c>
      <c r="EH13" s="27">
        <f t="shared" si="61"/>
        <v>56.773999999999994</v>
      </c>
      <c r="EI13" s="27">
        <f t="shared" ref="EI13" si="62">EI40+EI67+EI78</f>
        <v>111.596</v>
      </c>
      <c r="EJ13" s="27">
        <f t="shared" si="21"/>
        <v>210.75</v>
      </c>
    </row>
    <row r="14" spans="1:140" ht="15" thickBot="1" x14ac:dyDescent="0.35">
      <c r="A14" s="2" t="s">
        <v>448</v>
      </c>
      <c r="B14" s="28"/>
      <c r="C14" s="28"/>
      <c r="D14" s="28"/>
      <c r="E14" s="28"/>
      <c r="F14" s="28">
        <f t="shared" si="5"/>
        <v>0</v>
      </c>
      <c r="G14" s="28"/>
      <c r="H14" s="28"/>
      <c r="I14" s="28"/>
      <c r="J14" s="28"/>
      <c r="K14" s="28">
        <f t="shared" si="6"/>
        <v>0</v>
      </c>
      <c r="L14" s="28"/>
      <c r="M14" s="28"/>
      <c r="N14" s="28"/>
      <c r="O14" s="28"/>
      <c r="P14" s="28">
        <f t="shared" si="7"/>
        <v>0</v>
      </c>
      <c r="Q14" s="28"/>
      <c r="R14" s="28"/>
      <c r="S14" s="28"/>
      <c r="T14" s="28"/>
      <c r="U14" s="28">
        <f t="shared" si="8"/>
        <v>0</v>
      </c>
      <c r="V14" s="28"/>
      <c r="W14" s="28"/>
      <c r="X14" s="28"/>
      <c r="Y14" s="28"/>
      <c r="Z14" s="28">
        <f t="shared" si="9"/>
        <v>0</v>
      </c>
      <c r="AA14" s="28"/>
      <c r="AB14" s="28"/>
      <c r="AC14" s="28"/>
      <c r="AD14" s="28"/>
      <c r="AE14" s="28">
        <f t="shared" si="10"/>
        <v>0</v>
      </c>
      <c r="AF14" s="28"/>
      <c r="AG14" s="28"/>
      <c r="AH14" s="28"/>
      <c r="AI14" s="28"/>
      <c r="AJ14" s="28">
        <f t="shared" si="11"/>
        <v>0</v>
      </c>
      <c r="AK14" s="28"/>
      <c r="AL14" s="28"/>
      <c r="AM14" s="28"/>
      <c r="AN14" s="28"/>
      <c r="AO14" s="28">
        <f t="shared" si="12"/>
        <v>0</v>
      </c>
      <c r="AP14" s="28"/>
      <c r="AQ14" s="28"/>
      <c r="AR14" s="28"/>
      <c r="AS14" s="28"/>
      <c r="AT14" s="28">
        <f t="shared" si="13"/>
        <v>0</v>
      </c>
      <c r="AU14" s="28"/>
      <c r="AV14" s="28"/>
      <c r="AW14" s="28"/>
      <c r="AX14" s="28"/>
      <c r="AY14" s="28">
        <f t="shared" si="14"/>
        <v>0</v>
      </c>
      <c r="AZ14" s="28"/>
      <c r="BA14" s="28"/>
      <c r="BB14" s="28"/>
      <c r="BC14" s="28"/>
      <c r="BD14" s="28">
        <f t="shared" si="15"/>
        <v>0</v>
      </c>
      <c r="BE14" s="28"/>
      <c r="BF14" s="28"/>
      <c r="BG14" s="28"/>
      <c r="BH14" s="28"/>
      <c r="BI14" s="28">
        <f t="shared" si="16"/>
        <v>0</v>
      </c>
      <c r="BJ14" s="28">
        <f t="shared" ref="BJ14:DU14" si="63">BJ41+BJ68</f>
        <v>0</v>
      </c>
      <c r="BK14" s="28">
        <f t="shared" si="63"/>
        <v>0</v>
      </c>
      <c r="BL14" s="28">
        <f t="shared" si="63"/>
        <v>0</v>
      </c>
      <c r="BM14" s="28">
        <f t="shared" si="63"/>
        <v>0</v>
      </c>
      <c r="BN14" s="28">
        <f t="shared" si="63"/>
        <v>0</v>
      </c>
      <c r="BO14" s="28">
        <f t="shared" si="63"/>
        <v>0</v>
      </c>
      <c r="BP14" s="28">
        <f t="shared" si="63"/>
        <v>0</v>
      </c>
      <c r="BQ14" s="28">
        <f t="shared" si="63"/>
        <v>0</v>
      </c>
      <c r="BR14" s="28">
        <f t="shared" si="63"/>
        <v>0</v>
      </c>
      <c r="BS14" s="28">
        <f t="shared" si="63"/>
        <v>0</v>
      </c>
      <c r="BT14" s="28">
        <f t="shared" si="63"/>
        <v>0</v>
      </c>
      <c r="BU14" s="28">
        <f t="shared" si="63"/>
        <v>0</v>
      </c>
      <c r="BV14" s="28">
        <f t="shared" si="63"/>
        <v>0</v>
      </c>
      <c r="BW14" s="28">
        <f t="shared" si="63"/>
        <v>0</v>
      </c>
      <c r="BX14" s="28">
        <f t="shared" si="63"/>
        <v>0</v>
      </c>
      <c r="BY14" s="28">
        <f t="shared" si="63"/>
        <v>0</v>
      </c>
      <c r="BZ14" s="28">
        <f t="shared" si="63"/>
        <v>0</v>
      </c>
      <c r="CA14" s="28">
        <f t="shared" si="63"/>
        <v>0</v>
      </c>
      <c r="CB14" s="28">
        <f t="shared" si="63"/>
        <v>0</v>
      </c>
      <c r="CC14" s="28">
        <f t="shared" si="63"/>
        <v>0</v>
      </c>
      <c r="CD14" s="28">
        <f t="shared" si="63"/>
        <v>0</v>
      </c>
      <c r="CE14" s="28">
        <f t="shared" si="63"/>
        <v>0</v>
      </c>
      <c r="CF14" s="28">
        <f t="shared" si="63"/>
        <v>0</v>
      </c>
      <c r="CG14" s="28">
        <f t="shared" si="63"/>
        <v>0</v>
      </c>
      <c r="CH14" s="28">
        <f t="shared" si="63"/>
        <v>0</v>
      </c>
      <c r="CI14" s="28">
        <f t="shared" si="63"/>
        <v>0</v>
      </c>
      <c r="CJ14" s="28">
        <f t="shared" si="63"/>
        <v>0</v>
      </c>
      <c r="CK14" s="28">
        <f t="shared" si="63"/>
        <v>0</v>
      </c>
      <c r="CL14" s="28">
        <f t="shared" si="63"/>
        <v>0</v>
      </c>
      <c r="CM14" s="28">
        <f t="shared" si="63"/>
        <v>0</v>
      </c>
      <c r="CN14" s="28">
        <f t="shared" si="63"/>
        <v>0</v>
      </c>
      <c r="CO14" s="28">
        <f t="shared" si="63"/>
        <v>0</v>
      </c>
      <c r="CP14" s="28">
        <f t="shared" si="63"/>
        <v>0</v>
      </c>
      <c r="CQ14" s="28">
        <f t="shared" si="63"/>
        <v>0</v>
      </c>
      <c r="CR14" s="28">
        <f t="shared" si="63"/>
        <v>0</v>
      </c>
      <c r="CS14" s="28">
        <f t="shared" si="63"/>
        <v>0</v>
      </c>
      <c r="CT14" s="28">
        <f t="shared" si="63"/>
        <v>0</v>
      </c>
      <c r="CU14" s="28">
        <f t="shared" si="63"/>
        <v>0</v>
      </c>
      <c r="CV14" s="28">
        <f t="shared" si="63"/>
        <v>0</v>
      </c>
      <c r="CW14" s="28">
        <f t="shared" si="63"/>
        <v>0</v>
      </c>
      <c r="CX14" s="28">
        <f t="shared" si="63"/>
        <v>0</v>
      </c>
      <c r="CY14" s="28">
        <f t="shared" si="63"/>
        <v>0</v>
      </c>
      <c r="CZ14" s="28">
        <f t="shared" si="63"/>
        <v>0</v>
      </c>
      <c r="DA14" s="28">
        <f t="shared" si="63"/>
        <v>0</v>
      </c>
      <c r="DB14" s="28">
        <f t="shared" si="63"/>
        <v>0</v>
      </c>
      <c r="DC14" s="28">
        <f t="shared" si="63"/>
        <v>0</v>
      </c>
      <c r="DD14" s="28">
        <f t="shared" si="63"/>
        <v>0</v>
      </c>
      <c r="DE14" s="28">
        <f t="shared" si="63"/>
        <v>0</v>
      </c>
      <c r="DF14" s="28">
        <f t="shared" si="63"/>
        <v>0</v>
      </c>
      <c r="DG14" s="28">
        <f t="shared" si="63"/>
        <v>0</v>
      </c>
      <c r="DH14" s="28">
        <f t="shared" si="63"/>
        <v>0</v>
      </c>
      <c r="DI14" s="28">
        <f t="shared" si="63"/>
        <v>0</v>
      </c>
      <c r="DJ14" s="28">
        <f t="shared" si="63"/>
        <v>0</v>
      </c>
      <c r="DK14" s="28">
        <f t="shared" si="63"/>
        <v>0</v>
      </c>
      <c r="DL14" s="28">
        <f t="shared" si="63"/>
        <v>0</v>
      </c>
      <c r="DM14" s="28">
        <f t="shared" si="63"/>
        <v>0</v>
      </c>
      <c r="DN14" s="28">
        <f t="shared" si="63"/>
        <v>0</v>
      </c>
      <c r="DO14" s="28">
        <f t="shared" si="63"/>
        <v>0</v>
      </c>
      <c r="DP14" s="28">
        <f t="shared" si="63"/>
        <v>0</v>
      </c>
      <c r="DQ14" s="28">
        <f t="shared" si="63"/>
        <v>0</v>
      </c>
      <c r="DR14" s="28">
        <f t="shared" si="63"/>
        <v>0</v>
      </c>
      <c r="DS14" s="28">
        <f t="shared" si="63"/>
        <v>0</v>
      </c>
      <c r="DT14" s="28">
        <f t="shared" si="63"/>
        <v>41.176000000000002</v>
      </c>
      <c r="DU14" s="28">
        <f t="shared" si="63"/>
        <v>52.424999999999997</v>
      </c>
      <c r="DV14" s="28">
        <f t="shared" ref="DV14:EC14" si="64">DV41+DV68</f>
        <v>93.600999999999999</v>
      </c>
      <c r="DW14" s="28">
        <f t="shared" si="64"/>
        <v>139.875</v>
      </c>
      <c r="DX14" s="28">
        <f t="shared" si="64"/>
        <v>278.20800000000003</v>
      </c>
      <c r="DY14" s="28">
        <f t="shared" si="64"/>
        <v>415.31099999999998</v>
      </c>
      <c r="DZ14" s="28">
        <f t="shared" si="64"/>
        <v>348.15900000000011</v>
      </c>
      <c r="EA14" s="28">
        <f t="shared" si="64"/>
        <v>1181.5530000000001</v>
      </c>
      <c r="EB14" s="28">
        <f t="shared" si="64"/>
        <v>117.277</v>
      </c>
      <c r="EC14" s="28">
        <f t="shared" si="64"/>
        <v>137.30099999999999</v>
      </c>
      <c r="ED14" s="28">
        <f t="shared" ref="ED14:EF14" si="65">ED41+ED68</f>
        <v>208.56300000000002</v>
      </c>
      <c r="EE14" s="28">
        <f t="shared" si="65"/>
        <v>257.90500000000003</v>
      </c>
      <c r="EF14" s="28">
        <f t="shared" si="65"/>
        <v>721.04600000000005</v>
      </c>
      <c r="EG14" s="28">
        <f t="shared" ref="EG14:EH14" si="66">EG41+EG68</f>
        <v>191.99199999999999</v>
      </c>
      <c r="EH14" s="28">
        <f t="shared" si="66"/>
        <v>372.92200000000003</v>
      </c>
      <c r="EI14" s="28">
        <f t="shared" ref="EI14" si="67">EI41+EI68</f>
        <v>393.21100000000001</v>
      </c>
      <c r="EJ14" s="28">
        <f t="shared" si="21"/>
        <v>958.125</v>
      </c>
    </row>
    <row r="15" spans="1:140" ht="15" thickTop="1" x14ac:dyDescent="0.3">
      <c r="A15" s="1" t="s">
        <v>449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>
        <f t="shared" ref="BJ15:DU15" si="68">BJ42+BJ69+BJ79</f>
        <v>0</v>
      </c>
      <c r="BK15" s="27">
        <f t="shared" si="68"/>
        <v>0</v>
      </c>
      <c r="BL15" s="27">
        <f t="shared" si="68"/>
        <v>0</v>
      </c>
      <c r="BM15" s="27">
        <f t="shared" si="68"/>
        <v>0</v>
      </c>
      <c r="BN15" s="27">
        <f t="shared" si="68"/>
        <v>0</v>
      </c>
      <c r="BO15" s="27">
        <f t="shared" si="68"/>
        <v>0</v>
      </c>
      <c r="BP15" s="27">
        <f t="shared" si="68"/>
        <v>0</v>
      </c>
      <c r="BQ15" s="27">
        <f t="shared" si="68"/>
        <v>0</v>
      </c>
      <c r="BR15" s="27">
        <f t="shared" si="68"/>
        <v>0</v>
      </c>
      <c r="BS15" s="27">
        <f t="shared" si="68"/>
        <v>0</v>
      </c>
      <c r="BT15" s="27">
        <f t="shared" si="68"/>
        <v>0</v>
      </c>
      <c r="BU15" s="27">
        <f t="shared" si="68"/>
        <v>0</v>
      </c>
      <c r="BV15" s="27">
        <f t="shared" si="68"/>
        <v>0</v>
      </c>
      <c r="BW15" s="27">
        <f t="shared" si="68"/>
        <v>0</v>
      </c>
      <c r="BX15" s="27">
        <f t="shared" si="68"/>
        <v>0</v>
      </c>
      <c r="BY15" s="27">
        <f t="shared" si="68"/>
        <v>0</v>
      </c>
      <c r="BZ15" s="27">
        <f t="shared" si="68"/>
        <v>0</v>
      </c>
      <c r="CA15" s="27">
        <f t="shared" si="68"/>
        <v>0</v>
      </c>
      <c r="CB15" s="27">
        <f t="shared" si="68"/>
        <v>0</v>
      </c>
      <c r="CC15" s="27">
        <f t="shared" si="68"/>
        <v>0</v>
      </c>
      <c r="CD15" s="27">
        <f t="shared" si="68"/>
        <v>0</v>
      </c>
      <c r="CE15" s="27">
        <f t="shared" si="68"/>
        <v>0</v>
      </c>
      <c r="CF15" s="27">
        <f t="shared" si="68"/>
        <v>0</v>
      </c>
      <c r="CG15" s="27">
        <f t="shared" si="68"/>
        <v>0</v>
      </c>
      <c r="CH15" s="27">
        <f t="shared" si="68"/>
        <v>0</v>
      </c>
      <c r="CI15" s="27">
        <f t="shared" si="68"/>
        <v>0</v>
      </c>
      <c r="CJ15" s="27">
        <f t="shared" si="68"/>
        <v>0</v>
      </c>
      <c r="CK15" s="27">
        <f t="shared" si="68"/>
        <v>0</v>
      </c>
      <c r="CL15" s="27">
        <f t="shared" si="68"/>
        <v>0</v>
      </c>
      <c r="CM15" s="27">
        <f t="shared" si="68"/>
        <v>0</v>
      </c>
      <c r="CN15" s="27">
        <f t="shared" si="68"/>
        <v>0</v>
      </c>
      <c r="CO15" s="27">
        <f t="shared" si="68"/>
        <v>0</v>
      </c>
      <c r="CP15" s="27">
        <f t="shared" si="68"/>
        <v>0</v>
      </c>
      <c r="CQ15" s="27">
        <f t="shared" si="68"/>
        <v>0</v>
      </c>
      <c r="CR15" s="27">
        <f t="shared" si="68"/>
        <v>0</v>
      </c>
      <c r="CS15" s="27">
        <f t="shared" si="68"/>
        <v>0</v>
      </c>
      <c r="CT15" s="27">
        <f t="shared" si="68"/>
        <v>0</v>
      </c>
      <c r="CU15" s="27">
        <f t="shared" si="68"/>
        <v>0</v>
      </c>
      <c r="CV15" s="27">
        <f t="shared" si="68"/>
        <v>0</v>
      </c>
      <c r="CW15" s="27">
        <f t="shared" si="68"/>
        <v>0</v>
      </c>
      <c r="CX15" s="27">
        <f t="shared" si="68"/>
        <v>0</v>
      </c>
      <c r="CY15" s="27">
        <f t="shared" si="68"/>
        <v>0</v>
      </c>
      <c r="CZ15" s="27">
        <f t="shared" si="68"/>
        <v>0</v>
      </c>
      <c r="DA15" s="27">
        <f t="shared" si="68"/>
        <v>0</v>
      </c>
      <c r="DB15" s="27">
        <f t="shared" si="68"/>
        <v>0</v>
      </c>
      <c r="DC15" s="27">
        <f t="shared" si="68"/>
        <v>0</v>
      </c>
      <c r="DD15" s="27">
        <f t="shared" si="68"/>
        <v>0</v>
      </c>
      <c r="DE15" s="27">
        <f t="shared" si="68"/>
        <v>0</v>
      </c>
      <c r="DF15" s="27">
        <f t="shared" si="68"/>
        <v>0</v>
      </c>
      <c r="DG15" s="27">
        <f t="shared" si="68"/>
        <v>0</v>
      </c>
      <c r="DH15" s="27">
        <f t="shared" si="68"/>
        <v>0</v>
      </c>
      <c r="DI15" s="27">
        <f t="shared" si="68"/>
        <v>0</v>
      </c>
      <c r="DJ15" s="27">
        <f t="shared" si="68"/>
        <v>0</v>
      </c>
      <c r="DK15" s="27">
        <f t="shared" si="68"/>
        <v>0</v>
      </c>
      <c r="DL15" s="27">
        <f t="shared" si="68"/>
        <v>0</v>
      </c>
      <c r="DM15" s="27">
        <f t="shared" si="68"/>
        <v>0</v>
      </c>
      <c r="DN15" s="27">
        <f t="shared" si="68"/>
        <v>0</v>
      </c>
      <c r="DO15" s="27">
        <f t="shared" si="68"/>
        <v>0</v>
      </c>
      <c r="DP15" s="27">
        <f t="shared" si="68"/>
        <v>0</v>
      </c>
      <c r="DQ15" s="27">
        <f t="shared" si="68"/>
        <v>0</v>
      </c>
      <c r="DR15" s="27">
        <f t="shared" si="68"/>
        <v>0</v>
      </c>
      <c r="DS15" s="27">
        <f t="shared" si="68"/>
        <v>0</v>
      </c>
      <c r="DT15" s="27">
        <f t="shared" si="68"/>
        <v>0</v>
      </c>
      <c r="DU15" s="27">
        <f t="shared" si="68"/>
        <v>0</v>
      </c>
      <c r="DV15" s="27">
        <f>DV42+DV69+DV79</f>
        <v>0</v>
      </c>
      <c r="DW15" s="27">
        <f>DW42+DW69+DW79</f>
        <v>0</v>
      </c>
      <c r="DX15" s="27">
        <f>DX42+DX69+DX79</f>
        <v>1306.9449999999999</v>
      </c>
      <c r="DY15" s="27">
        <f>DY42+DY69+DY79</f>
        <v>91.762000000000171</v>
      </c>
      <c r="DZ15" s="27">
        <f>DZ42+DZ69+DZ79</f>
        <v>100.69199999999978</v>
      </c>
      <c r="EA15" s="27">
        <f>EA42+EA69</f>
        <v>214.41099999999983</v>
      </c>
      <c r="EB15" s="27">
        <f>EB42+EB69+EB79</f>
        <v>106.789</v>
      </c>
      <c r="EC15" s="27">
        <f>EC42+EC69+EC79</f>
        <v>152.791</v>
      </c>
      <c r="ED15" s="27">
        <f>ED42+ED69+ED79</f>
        <v>97.388000000000034</v>
      </c>
      <c r="EE15" s="27">
        <f>EE42+EE69+EE79</f>
        <v>242.488</v>
      </c>
      <c r="EF15" s="27">
        <f>EF42+EF69</f>
        <v>599.45600000000002</v>
      </c>
      <c r="EG15" s="27">
        <f t="shared" ref="EG15:EI16" si="69">EG42+EG69+EG79</f>
        <v>192.315</v>
      </c>
      <c r="EH15" s="27">
        <f t="shared" si="69"/>
        <v>163.40300000000002</v>
      </c>
      <c r="EI15" s="27">
        <f t="shared" si="69"/>
        <v>195.47200000000004</v>
      </c>
      <c r="EJ15" s="27">
        <f t="shared" si="21"/>
        <v>551.19000000000005</v>
      </c>
    </row>
    <row r="16" spans="1:140" ht="15" thickBot="1" x14ac:dyDescent="0.35">
      <c r="A16" s="2" t="s">
        <v>464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>
        <f t="shared" si="69"/>
        <v>2319.893</v>
      </c>
      <c r="EH16" s="28">
        <f t="shared" si="69"/>
        <v>15.846000000000004</v>
      </c>
      <c r="EI16" s="28">
        <f t="shared" si="69"/>
        <v>45.351000000000113</v>
      </c>
      <c r="EJ16" s="28">
        <f t="shared" si="21"/>
        <v>2381.09</v>
      </c>
    </row>
    <row r="17" spans="1:140" ht="15" thickTop="1" x14ac:dyDescent="0.3">
      <c r="A17" s="1" t="s">
        <v>304</v>
      </c>
      <c r="B17" s="27"/>
      <c r="C17" s="27"/>
      <c r="D17" s="27"/>
      <c r="E17" s="27"/>
      <c r="F17" s="27">
        <f t="shared" ref="F17:F24" si="70">SUM(B17:E17)</f>
        <v>0</v>
      </c>
      <c r="G17" s="27"/>
      <c r="H17" s="27"/>
      <c r="I17" s="27"/>
      <c r="J17" s="27"/>
      <c r="K17" s="27">
        <f t="shared" ref="K17:K24" si="71">SUM(G17:J17)</f>
        <v>0</v>
      </c>
      <c r="L17" s="27"/>
      <c r="M17" s="27"/>
      <c r="N17" s="27"/>
      <c r="O17" s="27"/>
      <c r="P17" s="27">
        <f t="shared" ref="P17:P24" si="72">SUM(L17:O17)</f>
        <v>0</v>
      </c>
      <c r="Q17" s="27"/>
      <c r="R17" s="27"/>
      <c r="S17" s="27"/>
      <c r="T17" s="27"/>
      <c r="U17" s="27">
        <f t="shared" ref="U17:U24" si="73">SUM(Q17:T17)</f>
        <v>0</v>
      </c>
      <c r="V17" s="27"/>
      <c r="W17" s="27"/>
      <c r="X17" s="27"/>
      <c r="Y17" s="27"/>
      <c r="Z17" s="27">
        <f t="shared" ref="Z17:Z24" si="74">SUM(V17:Y17)</f>
        <v>0</v>
      </c>
      <c r="AA17" s="27"/>
      <c r="AB17" s="27"/>
      <c r="AC17" s="27"/>
      <c r="AD17" s="27"/>
      <c r="AE17" s="27">
        <f t="shared" ref="AE17:AE24" si="75">SUM(AA17:AD17)</f>
        <v>0</v>
      </c>
      <c r="AF17" s="27"/>
      <c r="AG17" s="27"/>
      <c r="AH17" s="27"/>
      <c r="AI17" s="27"/>
      <c r="AJ17" s="27">
        <f t="shared" ref="AJ17:AJ24" si="76">SUM(AF17:AI17)</f>
        <v>0</v>
      </c>
      <c r="AK17" s="27"/>
      <c r="AL17" s="27"/>
      <c r="AM17" s="27"/>
      <c r="AN17" s="27"/>
      <c r="AO17" s="27">
        <f t="shared" ref="AO17:AO24" si="77">SUM(AK17:AN17)</f>
        <v>0</v>
      </c>
      <c r="AP17" s="27"/>
      <c r="AQ17" s="27"/>
      <c r="AR17" s="27"/>
      <c r="AS17" s="27"/>
      <c r="AT17" s="27">
        <f t="shared" ref="AT17:AT24" si="78">SUM(AP17:AS17)</f>
        <v>0</v>
      </c>
      <c r="AU17" s="27"/>
      <c r="AV17" s="27"/>
      <c r="AW17" s="27"/>
      <c r="AX17" s="27"/>
      <c r="AY17" s="27">
        <f t="shared" ref="AY17:AY24" si="79">SUM(AU17:AX17)</f>
        <v>0</v>
      </c>
      <c r="AZ17" s="27"/>
      <c r="BA17" s="27"/>
      <c r="BB17" s="27"/>
      <c r="BC17" s="27"/>
      <c r="BD17" s="27">
        <f t="shared" ref="BD17:BD24" si="80">SUM(AZ17:BC17)</f>
        <v>0</v>
      </c>
      <c r="BE17" s="27"/>
      <c r="BF17" s="27"/>
      <c r="BG17" s="27"/>
      <c r="BH17" s="27"/>
      <c r="BI17" s="27">
        <f t="shared" ref="BI17:BI24" si="81">SUM(BE17:BH17)</f>
        <v>0</v>
      </c>
      <c r="BJ17" s="27">
        <f t="shared" ref="BJ17:DU17" si="82">BJ44</f>
        <v>0</v>
      </c>
      <c r="BK17" s="27">
        <f t="shared" si="82"/>
        <v>0</v>
      </c>
      <c r="BL17" s="27">
        <f t="shared" si="82"/>
        <v>0</v>
      </c>
      <c r="BM17" s="27">
        <f t="shared" si="82"/>
        <v>0</v>
      </c>
      <c r="BN17" s="27">
        <f t="shared" si="82"/>
        <v>0</v>
      </c>
      <c r="BO17" s="27">
        <f t="shared" si="82"/>
        <v>0</v>
      </c>
      <c r="BP17" s="27">
        <f t="shared" si="82"/>
        <v>0</v>
      </c>
      <c r="BQ17" s="27">
        <f t="shared" si="82"/>
        <v>0</v>
      </c>
      <c r="BR17" s="27">
        <f t="shared" si="82"/>
        <v>0</v>
      </c>
      <c r="BS17" s="27">
        <f t="shared" si="82"/>
        <v>0</v>
      </c>
      <c r="BT17" s="27">
        <f t="shared" si="82"/>
        <v>0</v>
      </c>
      <c r="BU17" s="27">
        <f t="shared" si="82"/>
        <v>7.0339999999999998</v>
      </c>
      <c r="BV17" s="27">
        <f t="shared" si="82"/>
        <v>23.4</v>
      </c>
      <c r="BW17" s="27">
        <f t="shared" si="82"/>
        <v>0.51500000000000057</v>
      </c>
      <c r="BX17" s="27">
        <f t="shared" si="82"/>
        <v>30.948999999999998</v>
      </c>
      <c r="BY17" s="27">
        <f t="shared" si="82"/>
        <v>8.5</v>
      </c>
      <c r="BZ17" s="27">
        <f t="shared" si="82"/>
        <v>3.7</v>
      </c>
      <c r="CA17" s="27">
        <f t="shared" si="82"/>
        <v>3.7</v>
      </c>
      <c r="CB17" s="27">
        <f t="shared" si="82"/>
        <v>8.5</v>
      </c>
      <c r="CC17" s="27">
        <f t="shared" si="82"/>
        <v>24.4</v>
      </c>
      <c r="CD17" s="27">
        <f t="shared" si="82"/>
        <v>6.4</v>
      </c>
      <c r="CE17" s="27">
        <f t="shared" si="82"/>
        <v>23</v>
      </c>
      <c r="CF17" s="27">
        <f t="shared" si="82"/>
        <v>51.9</v>
      </c>
      <c r="CG17" s="27">
        <f t="shared" si="82"/>
        <v>16.399999999999999</v>
      </c>
      <c r="CH17" s="27">
        <f t="shared" si="82"/>
        <v>97.699999999999989</v>
      </c>
      <c r="CI17" s="27">
        <f t="shared" si="82"/>
        <v>11.62</v>
      </c>
      <c r="CJ17" s="27">
        <f t="shared" si="82"/>
        <v>13.88</v>
      </c>
      <c r="CK17" s="27">
        <f t="shared" si="82"/>
        <v>60.4</v>
      </c>
      <c r="CL17" s="27">
        <f t="shared" si="82"/>
        <v>9.9</v>
      </c>
      <c r="CM17" s="27">
        <f t="shared" si="82"/>
        <v>95.800000000000011</v>
      </c>
      <c r="CN17" s="27">
        <f t="shared" si="82"/>
        <v>1.2</v>
      </c>
      <c r="CO17" s="27">
        <f t="shared" si="82"/>
        <v>1.5</v>
      </c>
      <c r="CP17" s="27">
        <f t="shared" si="82"/>
        <v>1.304</v>
      </c>
      <c r="CQ17" s="27">
        <f t="shared" si="82"/>
        <v>0.95299999999999996</v>
      </c>
      <c r="CR17" s="27">
        <f t="shared" si="82"/>
        <v>4.9570000000000007</v>
      </c>
      <c r="CS17" s="27">
        <f t="shared" si="82"/>
        <v>0.188</v>
      </c>
      <c r="CT17" s="27">
        <f t="shared" si="82"/>
        <v>0.871</v>
      </c>
      <c r="CU17" s="27">
        <f t="shared" si="82"/>
        <v>0.77300000000000002</v>
      </c>
      <c r="CV17" s="27">
        <f t="shared" si="82"/>
        <v>0.93600000000000005</v>
      </c>
      <c r="CW17" s="27">
        <f t="shared" si="82"/>
        <v>2.7679999999999998</v>
      </c>
      <c r="CX17" s="27">
        <f t="shared" si="82"/>
        <v>0.55700000000000005</v>
      </c>
      <c r="CY17" s="27">
        <f t="shared" si="82"/>
        <v>1.0529999999999999</v>
      </c>
      <c r="CZ17" s="27">
        <f t="shared" si="82"/>
        <v>0.72599999999999998</v>
      </c>
      <c r="DA17" s="27">
        <f t="shared" si="82"/>
        <v>1.2929999999999999</v>
      </c>
      <c r="DB17" s="27">
        <f t="shared" si="82"/>
        <v>3.6289999999999996</v>
      </c>
      <c r="DC17" s="27">
        <f t="shared" si="82"/>
        <v>0.96199999999999997</v>
      </c>
      <c r="DD17" s="27">
        <f t="shared" si="82"/>
        <v>1.897</v>
      </c>
      <c r="DE17" s="27">
        <f t="shared" si="82"/>
        <v>2.125</v>
      </c>
      <c r="DF17" s="27">
        <f t="shared" si="82"/>
        <v>3.7210000000000001</v>
      </c>
      <c r="DG17" s="27">
        <f t="shared" si="82"/>
        <v>8.7050000000000001</v>
      </c>
      <c r="DH17" s="27">
        <f t="shared" si="82"/>
        <v>1.0840000000000001</v>
      </c>
      <c r="DI17" s="27">
        <f t="shared" si="82"/>
        <v>2.173</v>
      </c>
      <c r="DJ17" s="27">
        <f t="shared" si="82"/>
        <v>2.226</v>
      </c>
      <c r="DK17" s="27">
        <f t="shared" si="82"/>
        <v>2.5549999999999997</v>
      </c>
      <c r="DL17" s="27">
        <f t="shared" si="82"/>
        <v>8.0380000000000003</v>
      </c>
      <c r="DM17" s="27">
        <f t="shared" si="82"/>
        <v>1.323</v>
      </c>
      <c r="DN17" s="27">
        <f t="shared" si="82"/>
        <v>3.8549999999999995</v>
      </c>
      <c r="DO17" s="27">
        <f t="shared" si="82"/>
        <v>2.7800000000000002</v>
      </c>
      <c r="DP17" s="27">
        <f t="shared" si="82"/>
        <v>3.5500000000000003</v>
      </c>
      <c r="DQ17" s="27">
        <f t="shared" si="82"/>
        <v>11.507999999999999</v>
      </c>
      <c r="DR17" s="27">
        <f t="shared" si="82"/>
        <v>1.3530000000000002</v>
      </c>
      <c r="DS17" s="27">
        <f t="shared" si="82"/>
        <v>1.9529999999999998</v>
      </c>
      <c r="DT17" s="27">
        <f t="shared" si="82"/>
        <v>1.6030000000000002</v>
      </c>
      <c r="DU17" s="27">
        <f t="shared" si="82"/>
        <v>4.7690000000000001</v>
      </c>
      <c r="DV17" s="27">
        <f t="shared" ref="DV17:EC24" si="83">DV44</f>
        <v>9.6780000000000008</v>
      </c>
      <c r="DW17" s="27">
        <f t="shared" si="83"/>
        <v>1.1779999999999999</v>
      </c>
      <c r="DX17" s="27">
        <f t="shared" si="83"/>
        <v>0.93700000000000006</v>
      </c>
      <c r="DY17" s="27">
        <f t="shared" si="83"/>
        <v>0.91500000000000004</v>
      </c>
      <c r="DZ17" s="27">
        <f t="shared" si="83"/>
        <v>7.6689999999999996</v>
      </c>
      <c r="EA17" s="27">
        <f t="shared" si="83"/>
        <v>10.699</v>
      </c>
      <c r="EB17" s="27">
        <f t="shared" si="83"/>
        <v>1.1859999999999999</v>
      </c>
      <c r="EC17" s="27">
        <f t="shared" si="83"/>
        <v>1.8149999999999999</v>
      </c>
      <c r="ED17" s="27">
        <f t="shared" ref="ED17:EF17" si="84">ED44</f>
        <v>1.3819999999999999</v>
      </c>
      <c r="EE17" s="27">
        <f t="shared" si="84"/>
        <v>2.9649999999999999</v>
      </c>
      <c r="EF17" s="27">
        <f t="shared" si="84"/>
        <v>7.3479999999999999</v>
      </c>
      <c r="EG17" s="27">
        <f t="shared" ref="EG17:EH17" si="85">EG44</f>
        <v>2.008</v>
      </c>
      <c r="EH17" s="27">
        <f t="shared" si="85"/>
        <v>2.9729999999999999</v>
      </c>
      <c r="EI17" s="27">
        <f t="shared" ref="EI17" si="86">EI44</f>
        <v>7.6069999999999984</v>
      </c>
      <c r="EJ17" s="27">
        <f t="shared" si="21"/>
        <v>12.587999999999997</v>
      </c>
    </row>
    <row r="18" spans="1:140" ht="15" thickBot="1" x14ac:dyDescent="0.35">
      <c r="A18" s="2" t="s">
        <v>305</v>
      </c>
      <c r="B18" s="28"/>
      <c r="C18" s="28"/>
      <c r="D18" s="28"/>
      <c r="E18" s="28"/>
      <c r="F18" s="28">
        <f t="shared" si="70"/>
        <v>0</v>
      </c>
      <c r="G18" s="28"/>
      <c r="H18" s="28"/>
      <c r="I18" s="28"/>
      <c r="J18" s="28"/>
      <c r="K18" s="28">
        <f t="shared" si="71"/>
        <v>0</v>
      </c>
      <c r="L18" s="28"/>
      <c r="M18" s="28"/>
      <c r="N18" s="28"/>
      <c r="O18" s="28"/>
      <c r="P18" s="28">
        <f t="shared" si="72"/>
        <v>0</v>
      </c>
      <c r="Q18" s="28"/>
      <c r="R18" s="28"/>
      <c r="S18" s="28"/>
      <c r="T18" s="28"/>
      <c r="U18" s="28">
        <f t="shared" si="73"/>
        <v>0</v>
      </c>
      <c r="V18" s="28"/>
      <c r="W18" s="28"/>
      <c r="X18" s="28"/>
      <c r="Y18" s="28"/>
      <c r="Z18" s="28">
        <f t="shared" si="74"/>
        <v>0</v>
      </c>
      <c r="AA18" s="28"/>
      <c r="AB18" s="28"/>
      <c r="AC18" s="28"/>
      <c r="AD18" s="28"/>
      <c r="AE18" s="28">
        <f t="shared" si="75"/>
        <v>0</v>
      </c>
      <c r="AF18" s="28"/>
      <c r="AG18" s="28"/>
      <c r="AH18" s="28"/>
      <c r="AI18" s="28"/>
      <c r="AJ18" s="28">
        <f t="shared" si="76"/>
        <v>0</v>
      </c>
      <c r="AK18" s="28"/>
      <c r="AL18" s="28"/>
      <c r="AM18" s="28"/>
      <c r="AN18" s="28"/>
      <c r="AO18" s="28">
        <f t="shared" si="77"/>
        <v>0</v>
      </c>
      <c r="AP18" s="28"/>
      <c r="AQ18" s="28"/>
      <c r="AR18" s="28"/>
      <c r="AS18" s="28"/>
      <c r="AT18" s="28">
        <f t="shared" si="78"/>
        <v>0</v>
      </c>
      <c r="AU18" s="28"/>
      <c r="AV18" s="28"/>
      <c r="AW18" s="28"/>
      <c r="AX18" s="28"/>
      <c r="AY18" s="28">
        <f t="shared" si="79"/>
        <v>0</v>
      </c>
      <c r="AZ18" s="28"/>
      <c r="BA18" s="28"/>
      <c r="BB18" s="28"/>
      <c r="BC18" s="28"/>
      <c r="BD18" s="28">
        <f t="shared" si="80"/>
        <v>0</v>
      </c>
      <c r="BE18" s="28"/>
      <c r="BF18" s="28"/>
      <c r="BG18" s="28"/>
      <c r="BH18" s="28"/>
      <c r="BI18" s="28">
        <f t="shared" si="81"/>
        <v>0</v>
      </c>
      <c r="BJ18" s="28">
        <f t="shared" ref="BJ18:DU18" si="87">BJ45</f>
        <v>0</v>
      </c>
      <c r="BK18" s="28">
        <f t="shared" si="87"/>
        <v>0</v>
      </c>
      <c r="BL18" s="28">
        <f t="shared" si="87"/>
        <v>0</v>
      </c>
      <c r="BM18" s="28">
        <f t="shared" si="87"/>
        <v>0</v>
      </c>
      <c r="BN18" s="28">
        <f t="shared" si="87"/>
        <v>0</v>
      </c>
      <c r="BO18" s="28">
        <f t="shared" si="87"/>
        <v>0</v>
      </c>
      <c r="BP18" s="28">
        <f t="shared" si="87"/>
        <v>0</v>
      </c>
      <c r="BQ18" s="28">
        <f t="shared" si="87"/>
        <v>0</v>
      </c>
      <c r="BR18" s="28">
        <f t="shared" si="87"/>
        <v>0</v>
      </c>
      <c r="BS18" s="28">
        <f t="shared" si="87"/>
        <v>0</v>
      </c>
      <c r="BT18" s="28">
        <f t="shared" si="87"/>
        <v>0</v>
      </c>
      <c r="BU18" s="28">
        <f t="shared" si="87"/>
        <v>0</v>
      </c>
      <c r="BV18" s="28">
        <f t="shared" si="87"/>
        <v>0</v>
      </c>
      <c r="BW18" s="28">
        <f t="shared" si="87"/>
        <v>0</v>
      </c>
      <c r="BX18" s="28">
        <f t="shared" si="87"/>
        <v>0</v>
      </c>
      <c r="BY18" s="28">
        <f t="shared" si="87"/>
        <v>0</v>
      </c>
      <c r="BZ18" s="28">
        <f t="shared" si="87"/>
        <v>0</v>
      </c>
      <c r="CA18" s="28">
        <f t="shared" si="87"/>
        <v>0</v>
      </c>
      <c r="CB18" s="28">
        <f t="shared" si="87"/>
        <v>0</v>
      </c>
      <c r="CC18" s="28">
        <f t="shared" si="87"/>
        <v>0</v>
      </c>
      <c r="CD18" s="28">
        <f t="shared" si="87"/>
        <v>0</v>
      </c>
      <c r="CE18" s="28">
        <f t="shared" si="87"/>
        <v>0</v>
      </c>
      <c r="CF18" s="28">
        <f t="shared" si="87"/>
        <v>0</v>
      </c>
      <c r="CG18" s="28">
        <f t="shared" si="87"/>
        <v>0</v>
      </c>
      <c r="CH18" s="28">
        <f t="shared" si="87"/>
        <v>0</v>
      </c>
      <c r="CI18" s="28">
        <f t="shared" si="87"/>
        <v>0</v>
      </c>
      <c r="CJ18" s="28">
        <f t="shared" si="87"/>
        <v>0</v>
      </c>
      <c r="CK18" s="28">
        <f t="shared" si="87"/>
        <v>0</v>
      </c>
      <c r="CL18" s="28">
        <f t="shared" si="87"/>
        <v>0</v>
      </c>
      <c r="CM18" s="28">
        <f t="shared" si="87"/>
        <v>0</v>
      </c>
      <c r="CN18" s="28">
        <f t="shared" si="87"/>
        <v>0</v>
      </c>
      <c r="CO18" s="28">
        <f t="shared" si="87"/>
        <v>0</v>
      </c>
      <c r="CP18" s="28">
        <f t="shared" si="87"/>
        <v>0</v>
      </c>
      <c r="CQ18" s="28">
        <f t="shared" si="87"/>
        <v>0</v>
      </c>
      <c r="CR18" s="28">
        <f t="shared" si="87"/>
        <v>0</v>
      </c>
      <c r="CS18" s="28">
        <f t="shared" si="87"/>
        <v>0</v>
      </c>
      <c r="CT18" s="28">
        <f t="shared" si="87"/>
        <v>0</v>
      </c>
      <c r="CU18" s="28">
        <f t="shared" si="87"/>
        <v>0</v>
      </c>
      <c r="CV18" s="28">
        <f t="shared" si="87"/>
        <v>0</v>
      </c>
      <c r="CW18" s="28">
        <f t="shared" si="87"/>
        <v>0</v>
      </c>
      <c r="CX18" s="28">
        <f t="shared" si="87"/>
        <v>0</v>
      </c>
      <c r="CY18" s="28">
        <f t="shared" si="87"/>
        <v>0</v>
      </c>
      <c r="CZ18" s="28">
        <f t="shared" si="87"/>
        <v>0</v>
      </c>
      <c r="DA18" s="28">
        <f t="shared" si="87"/>
        <v>0</v>
      </c>
      <c r="DB18" s="28">
        <f t="shared" si="87"/>
        <v>0</v>
      </c>
      <c r="DC18" s="28">
        <f t="shared" si="87"/>
        <v>0</v>
      </c>
      <c r="DD18" s="28">
        <f t="shared" si="87"/>
        <v>0</v>
      </c>
      <c r="DE18" s="28">
        <f t="shared" si="87"/>
        <v>0.39700000000000002</v>
      </c>
      <c r="DF18" s="28">
        <f t="shared" si="87"/>
        <v>0.69500000000000006</v>
      </c>
      <c r="DG18" s="28">
        <f t="shared" si="87"/>
        <v>1.0920000000000001</v>
      </c>
      <c r="DH18" s="28">
        <f t="shared" si="87"/>
        <v>0.161</v>
      </c>
      <c r="DI18" s="28">
        <f t="shared" si="87"/>
        <v>0.57399999999999995</v>
      </c>
      <c r="DJ18" s="28">
        <f t="shared" si="87"/>
        <v>0.21799999999999997</v>
      </c>
      <c r="DK18" s="28">
        <f t="shared" si="87"/>
        <v>0.3570000000000001</v>
      </c>
      <c r="DL18" s="28">
        <f t="shared" si="87"/>
        <v>1.31</v>
      </c>
      <c r="DM18" s="28">
        <f t="shared" si="87"/>
        <v>0.83599999999999997</v>
      </c>
      <c r="DN18" s="28">
        <f t="shared" si="87"/>
        <v>1.1550000000000002</v>
      </c>
      <c r="DO18" s="28">
        <f t="shared" si="87"/>
        <v>0.83099999999999985</v>
      </c>
      <c r="DP18" s="28">
        <f t="shared" si="87"/>
        <v>1.1259999999999999</v>
      </c>
      <c r="DQ18" s="28">
        <f t="shared" si="87"/>
        <v>3.948</v>
      </c>
      <c r="DR18" s="28">
        <f t="shared" si="87"/>
        <v>0.35</v>
      </c>
      <c r="DS18" s="28">
        <f t="shared" si="87"/>
        <v>0.75400000000000011</v>
      </c>
      <c r="DT18" s="28">
        <f t="shared" si="87"/>
        <v>0.61699999999999999</v>
      </c>
      <c r="DU18" s="28">
        <f t="shared" si="87"/>
        <v>0.60999999999999988</v>
      </c>
      <c r="DV18" s="28">
        <f t="shared" si="83"/>
        <v>2.331</v>
      </c>
      <c r="DW18" s="28">
        <f t="shared" si="83"/>
        <v>0.45300000000000001</v>
      </c>
      <c r="DX18" s="28">
        <f t="shared" si="83"/>
        <v>0.628</v>
      </c>
      <c r="DY18" s="28">
        <f t="shared" si="83"/>
        <v>0.65</v>
      </c>
      <c r="DZ18" s="28">
        <f t="shared" si="83"/>
        <v>1.4186171700000001</v>
      </c>
      <c r="EA18" s="28">
        <f t="shared" si="83"/>
        <v>3.14961717</v>
      </c>
      <c r="EB18" s="28">
        <f t="shared" si="83"/>
        <v>1.411</v>
      </c>
      <c r="EC18" s="28">
        <f t="shared" si="83"/>
        <v>1.1639999999999999</v>
      </c>
      <c r="ED18" s="28">
        <f t="shared" ref="ED18:EF18" si="88">ED45</f>
        <v>2.3410000000000002</v>
      </c>
      <c r="EE18" s="28">
        <f t="shared" si="88"/>
        <v>2.367</v>
      </c>
      <c r="EF18" s="28">
        <f t="shared" si="88"/>
        <v>7.2830000000000004</v>
      </c>
      <c r="EG18" s="28">
        <f t="shared" ref="EG18:EH18" si="89">EG45</f>
        <v>1.458</v>
      </c>
      <c r="EH18" s="28">
        <f t="shared" si="89"/>
        <v>0.87600000000000011</v>
      </c>
      <c r="EI18" s="28">
        <f t="shared" ref="EI18" si="90">EI45</f>
        <v>1.8429999999999993</v>
      </c>
      <c r="EJ18" s="28">
        <f t="shared" si="21"/>
        <v>4.1769999999999996</v>
      </c>
    </row>
    <row r="19" spans="1:140" ht="15" thickTop="1" x14ac:dyDescent="0.3">
      <c r="A19" s="1" t="s">
        <v>306</v>
      </c>
      <c r="B19" s="27"/>
      <c r="C19" s="27"/>
      <c r="D19" s="27"/>
      <c r="E19" s="27"/>
      <c r="F19" s="27">
        <f t="shared" si="70"/>
        <v>0</v>
      </c>
      <c r="G19" s="27"/>
      <c r="H19" s="27"/>
      <c r="I19" s="27"/>
      <c r="J19" s="27"/>
      <c r="K19" s="27">
        <f t="shared" si="71"/>
        <v>0</v>
      </c>
      <c r="L19" s="27"/>
      <c r="M19" s="27"/>
      <c r="N19" s="27"/>
      <c r="O19" s="27"/>
      <c r="P19" s="27">
        <f t="shared" si="72"/>
        <v>0</v>
      </c>
      <c r="Q19" s="27"/>
      <c r="R19" s="27"/>
      <c r="S19" s="27"/>
      <c r="T19" s="27"/>
      <c r="U19" s="27">
        <f t="shared" si="73"/>
        <v>0</v>
      </c>
      <c r="V19" s="27"/>
      <c r="W19" s="27"/>
      <c r="X19" s="27"/>
      <c r="Y19" s="27"/>
      <c r="Z19" s="27">
        <f t="shared" si="74"/>
        <v>0</v>
      </c>
      <c r="AA19" s="27"/>
      <c r="AB19" s="27"/>
      <c r="AC19" s="27"/>
      <c r="AD19" s="27"/>
      <c r="AE19" s="27">
        <f t="shared" si="75"/>
        <v>0</v>
      </c>
      <c r="AF19" s="27"/>
      <c r="AG19" s="27"/>
      <c r="AH19" s="27"/>
      <c r="AI19" s="27"/>
      <c r="AJ19" s="27">
        <f t="shared" si="76"/>
        <v>0</v>
      </c>
      <c r="AK19" s="27"/>
      <c r="AL19" s="27"/>
      <c r="AM19" s="27"/>
      <c r="AN19" s="27"/>
      <c r="AO19" s="27">
        <f t="shared" si="77"/>
        <v>0</v>
      </c>
      <c r="AP19" s="27"/>
      <c r="AQ19" s="27"/>
      <c r="AR19" s="27"/>
      <c r="AS19" s="27"/>
      <c r="AT19" s="27">
        <f t="shared" si="78"/>
        <v>0</v>
      </c>
      <c r="AU19" s="27"/>
      <c r="AV19" s="27"/>
      <c r="AW19" s="27"/>
      <c r="AX19" s="27"/>
      <c r="AY19" s="27">
        <f t="shared" si="79"/>
        <v>0</v>
      </c>
      <c r="AZ19" s="27"/>
      <c r="BA19" s="27"/>
      <c r="BB19" s="27"/>
      <c r="BC19" s="27"/>
      <c r="BD19" s="27">
        <f t="shared" si="80"/>
        <v>0</v>
      </c>
      <c r="BE19" s="27"/>
      <c r="BF19" s="27"/>
      <c r="BG19" s="27"/>
      <c r="BH19" s="27"/>
      <c r="BI19" s="27">
        <f t="shared" si="81"/>
        <v>0</v>
      </c>
      <c r="BJ19" s="27">
        <f t="shared" ref="BJ19:DU19" si="91">BJ46</f>
        <v>0.7</v>
      </c>
      <c r="BK19" s="27">
        <f t="shared" si="91"/>
        <v>1.1000000000000001</v>
      </c>
      <c r="BL19" s="27">
        <f t="shared" si="91"/>
        <v>1.4</v>
      </c>
      <c r="BM19" s="27">
        <f t="shared" si="91"/>
        <v>4</v>
      </c>
      <c r="BN19" s="27">
        <f t="shared" si="91"/>
        <v>7.2</v>
      </c>
      <c r="BO19" s="27">
        <f t="shared" si="91"/>
        <v>2.2999999999999998</v>
      </c>
      <c r="BP19" s="27">
        <f t="shared" si="91"/>
        <v>3.9980000000000002</v>
      </c>
      <c r="BQ19" s="27">
        <f t="shared" si="91"/>
        <v>4.0369999999999999</v>
      </c>
      <c r="BR19" s="27">
        <f t="shared" si="91"/>
        <v>6.7450000000000001</v>
      </c>
      <c r="BS19" s="27">
        <f t="shared" si="91"/>
        <v>17.080000000000002</v>
      </c>
      <c r="BT19" s="27">
        <f t="shared" si="91"/>
        <v>3.2109999999999999</v>
      </c>
      <c r="BU19" s="27">
        <f t="shared" si="91"/>
        <v>3.9630000000000001</v>
      </c>
      <c r="BV19" s="27">
        <f t="shared" si="91"/>
        <v>1.6</v>
      </c>
      <c r="BW19" s="27">
        <f t="shared" si="91"/>
        <v>4.3890000000000002</v>
      </c>
      <c r="BX19" s="27">
        <f t="shared" si="91"/>
        <v>13.163</v>
      </c>
      <c r="BY19" s="27">
        <f t="shared" si="91"/>
        <v>1.8080000000000001</v>
      </c>
      <c r="BZ19" s="27">
        <f t="shared" si="91"/>
        <v>3.8919999999999999</v>
      </c>
      <c r="CA19" s="27">
        <f t="shared" si="91"/>
        <v>3.6</v>
      </c>
      <c r="CB19" s="27">
        <f t="shared" si="91"/>
        <v>8.3000000000000007</v>
      </c>
      <c r="CC19" s="27">
        <f t="shared" si="91"/>
        <v>17.600000000000001</v>
      </c>
      <c r="CD19" s="27">
        <f t="shared" si="91"/>
        <v>5.0999999999999996</v>
      </c>
      <c r="CE19" s="27">
        <f t="shared" si="91"/>
        <v>4.3</v>
      </c>
      <c r="CF19" s="27">
        <f t="shared" si="91"/>
        <v>3.2</v>
      </c>
      <c r="CG19" s="27">
        <f t="shared" si="91"/>
        <v>9</v>
      </c>
      <c r="CH19" s="27">
        <f t="shared" si="91"/>
        <v>21.599999999999998</v>
      </c>
      <c r="CI19" s="27">
        <f t="shared" si="91"/>
        <v>1.5</v>
      </c>
      <c r="CJ19" s="27">
        <f t="shared" si="91"/>
        <v>1.9</v>
      </c>
      <c r="CK19" s="27">
        <f t="shared" si="91"/>
        <v>2</v>
      </c>
      <c r="CL19" s="27">
        <f t="shared" si="91"/>
        <v>3.2</v>
      </c>
      <c r="CM19" s="27">
        <f t="shared" si="91"/>
        <v>8.6000000000000014</v>
      </c>
      <c r="CN19" s="27">
        <f t="shared" si="91"/>
        <v>0.5</v>
      </c>
      <c r="CO19" s="27">
        <f t="shared" si="91"/>
        <v>2.5</v>
      </c>
      <c r="CP19" s="27">
        <f t="shared" si="91"/>
        <v>1.4</v>
      </c>
      <c r="CQ19" s="27">
        <f t="shared" si="91"/>
        <v>5.0540000000000003</v>
      </c>
      <c r="CR19" s="27">
        <f t="shared" si="91"/>
        <v>9.4540000000000006</v>
      </c>
      <c r="CS19" s="27">
        <f t="shared" si="91"/>
        <v>0.88700000000000001</v>
      </c>
      <c r="CT19" s="27">
        <f t="shared" si="91"/>
        <v>0.9</v>
      </c>
      <c r="CU19" s="27">
        <f t="shared" si="91"/>
        <v>1.151</v>
      </c>
      <c r="CV19" s="27">
        <f t="shared" si="91"/>
        <v>3.4340000000000002</v>
      </c>
      <c r="CW19" s="27">
        <f t="shared" si="91"/>
        <v>6.3719999999999999</v>
      </c>
      <c r="CX19" s="27">
        <f t="shared" si="91"/>
        <v>0.98199999999999998</v>
      </c>
      <c r="CY19" s="27">
        <f t="shared" si="91"/>
        <v>2.5670000000000002</v>
      </c>
      <c r="CZ19" s="27">
        <f t="shared" si="91"/>
        <v>1.891</v>
      </c>
      <c r="DA19" s="27">
        <f t="shared" si="91"/>
        <v>3.1019999999999999</v>
      </c>
      <c r="DB19" s="27">
        <f t="shared" si="91"/>
        <v>8.5419999999999998</v>
      </c>
      <c r="DC19" s="27">
        <f t="shared" si="91"/>
        <v>0.40600000000000003</v>
      </c>
      <c r="DD19" s="27">
        <f t="shared" si="91"/>
        <v>1.31</v>
      </c>
      <c r="DE19" s="27">
        <f t="shared" si="91"/>
        <v>1.9329999999999998</v>
      </c>
      <c r="DF19" s="27">
        <f t="shared" si="91"/>
        <v>3.5609999999999999</v>
      </c>
      <c r="DG19" s="27">
        <f t="shared" si="91"/>
        <v>7.21</v>
      </c>
      <c r="DH19" s="27">
        <f t="shared" si="91"/>
        <v>0.73599999999999999</v>
      </c>
      <c r="DI19" s="27">
        <f t="shared" si="91"/>
        <v>3.4560000000000004</v>
      </c>
      <c r="DJ19" s="27">
        <f t="shared" si="91"/>
        <v>1.8149999999999995</v>
      </c>
      <c r="DK19" s="27">
        <f t="shared" si="91"/>
        <v>3.0400000000000009</v>
      </c>
      <c r="DL19" s="27">
        <f t="shared" si="91"/>
        <v>9.0470000000000006</v>
      </c>
      <c r="DM19" s="27">
        <f t="shared" si="91"/>
        <v>1.9330000000000001</v>
      </c>
      <c r="DN19" s="27">
        <f t="shared" si="91"/>
        <v>3.016</v>
      </c>
      <c r="DO19" s="27">
        <f t="shared" si="91"/>
        <v>2.6390000000000002</v>
      </c>
      <c r="DP19" s="27">
        <f t="shared" si="91"/>
        <v>12.648999999999999</v>
      </c>
      <c r="DQ19" s="27">
        <f t="shared" si="91"/>
        <v>20.236999999999998</v>
      </c>
      <c r="DR19" s="27">
        <f t="shared" si="91"/>
        <v>12.898999999999999</v>
      </c>
      <c r="DS19" s="27">
        <f t="shared" si="91"/>
        <v>7.1379999999999999</v>
      </c>
      <c r="DT19" s="27">
        <f t="shared" si="91"/>
        <v>12.037000000000001</v>
      </c>
      <c r="DU19" s="27">
        <f t="shared" si="91"/>
        <v>10.603000000000003</v>
      </c>
      <c r="DV19" s="27">
        <f t="shared" si="83"/>
        <v>42.677</v>
      </c>
      <c r="DW19" s="27">
        <f t="shared" si="83"/>
        <v>5.1459999999999999</v>
      </c>
      <c r="DX19" s="27">
        <f t="shared" si="83"/>
        <v>7.3780000000000001</v>
      </c>
      <c r="DY19" s="27">
        <f t="shared" si="83"/>
        <v>10.683</v>
      </c>
      <c r="DZ19" s="27">
        <f t="shared" si="83"/>
        <v>22.564</v>
      </c>
      <c r="EA19" s="27">
        <f t="shared" si="83"/>
        <v>45.771000000000001</v>
      </c>
      <c r="EB19" s="27">
        <f t="shared" si="83"/>
        <v>16.606999999999999</v>
      </c>
      <c r="EC19" s="27">
        <f t="shared" si="83"/>
        <v>15.832000000000001</v>
      </c>
      <c r="ED19" s="27">
        <f t="shared" ref="ED19:EF19" si="92">ED46</f>
        <v>21.071000000000002</v>
      </c>
      <c r="EE19" s="27">
        <f t="shared" si="92"/>
        <v>21.981000000000002</v>
      </c>
      <c r="EF19" s="27">
        <f t="shared" si="92"/>
        <v>75.491000000000014</v>
      </c>
      <c r="EG19" s="27">
        <f t="shared" ref="EG19:EH19" si="93">EG46</f>
        <v>14.161</v>
      </c>
      <c r="EH19" s="27">
        <f t="shared" si="93"/>
        <v>13.997000000000002</v>
      </c>
      <c r="EI19" s="27">
        <f t="shared" ref="EI19" si="94">EI46</f>
        <v>12.488</v>
      </c>
      <c r="EJ19" s="27">
        <f t="shared" si="21"/>
        <v>40.646000000000001</v>
      </c>
    </row>
    <row r="20" spans="1:140" ht="15" thickBot="1" x14ac:dyDescent="0.35">
      <c r="A20" s="2" t="s">
        <v>322</v>
      </c>
      <c r="B20" s="28"/>
      <c r="C20" s="28"/>
      <c r="D20" s="28"/>
      <c r="E20" s="28"/>
      <c r="F20" s="28">
        <f t="shared" si="70"/>
        <v>0</v>
      </c>
      <c r="G20" s="28"/>
      <c r="H20" s="28"/>
      <c r="I20" s="28"/>
      <c r="J20" s="28"/>
      <c r="K20" s="28">
        <f t="shared" si="71"/>
        <v>0</v>
      </c>
      <c r="L20" s="28"/>
      <c r="M20" s="28"/>
      <c r="N20" s="28"/>
      <c r="O20" s="28"/>
      <c r="P20" s="28">
        <f t="shared" si="72"/>
        <v>0</v>
      </c>
      <c r="Q20" s="28"/>
      <c r="R20" s="28"/>
      <c r="S20" s="28"/>
      <c r="T20" s="28"/>
      <c r="U20" s="28">
        <f t="shared" si="73"/>
        <v>0</v>
      </c>
      <c r="V20" s="28"/>
      <c r="W20" s="28"/>
      <c r="X20" s="28"/>
      <c r="Y20" s="28"/>
      <c r="Z20" s="28">
        <f t="shared" si="74"/>
        <v>0</v>
      </c>
      <c r="AA20" s="28"/>
      <c r="AB20" s="28"/>
      <c r="AC20" s="28"/>
      <c r="AD20" s="28"/>
      <c r="AE20" s="28">
        <f t="shared" si="75"/>
        <v>0</v>
      </c>
      <c r="AF20" s="28"/>
      <c r="AG20" s="28"/>
      <c r="AH20" s="28"/>
      <c r="AI20" s="28"/>
      <c r="AJ20" s="28">
        <f t="shared" si="76"/>
        <v>0</v>
      </c>
      <c r="AK20" s="28"/>
      <c r="AL20" s="28"/>
      <c r="AM20" s="28"/>
      <c r="AN20" s="28"/>
      <c r="AO20" s="28">
        <f t="shared" si="77"/>
        <v>0</v>
      </c>
      <c r="AP20" s="28"/>
      <c r="AQ20" s="28"/>
      <c r="AR20" s="28"/>
      <c r="AS20" s="28"/>
      <c r="AT20" s="28">
        <f t="shared" si="78"/>
        <v>0</v>
      </c>
      <c r="AU20" s="28"/>
      <c r="AV20" s="28"/>
      <c r="AW20" s="28"/>
      <c r="AX20" s="28"/>
      <c r="AY20" s="28">
        <f t="shared" si="79"/>
        <v>0</v>
      </c>
      <c r="AZ20" s="28"/>
      <c r="BA20" s="28"/>
      <c r="BB20" s="28"/>
      <c r="BC20" s="28"/>
      <c r="BD20" s="28">
        <f t="shared" si="80"/>
        <v>0</v>
      </c>
      <c r="BE20" s="28"/>
      <c r="BF20" s="28"/>
      <c r="BG20" s="28"/>
      <c r="BH20" s="28"/>
      <c r="BI20" s="28">
        <f t="shared" si="81"/>
        <v>0</v>
      </c>
      <c r="BJ20" s="28">
        <f t="shared" ref="BJ20:DU20" si="95">BJ47</f>
        <v>0</v>
      </c>
      <c r="BK20" s="28">
        <f t="shared" si="95"/>
        <v>0</v>
      </c>
      <c r="BL20" s="28">
        <f t="shared" si="95"/>
        <v>0</v>
      </c>
      <c r="BM20" s="28">
        <f t="shared" si="95"/>
        <v>0</v>
      </c>
      <c r="BN20" s="28">
        <f t="shared" si="95"/>
        <v>0</v>
      </c>
      <c r="BO20" s="28">
        <f t="shared" si="95"/>
        <v>0</v>
      </c>
      <c r="BP20" s="28">
        <f t="shared" si="95"/>
        <v>0</v>
      </c>
      <c r="BQ20" s="28">
        <f t="shared" si="95"/>
        <v>0</v>
      </c>
      <c r="BR20" s="28">
        <f t="shared" si="95"/>
        <v>0</v>
      </c>
      <c r="BS20" s="28">
        <f t="shared" si="95"/>
        <v>0</v>
      </c>
      <c r="BT20" s="28">
        <f t="shared" si="95"/>
        <v>0</v>
      </c>
      <c r="BU20" s="28">
        <f t="shared" si="95"/>
        <v>0</v>
      </c>
      <c r="BV20" s="28">
        <f t="shared" si="95"/>
        <v>0</v>
      </c>
      <c r="BW20" s="28">
        <f t="shared" si="95"/>
        <v>0</v>
      </c>
      <c r="BX20" s="28">
        <f t="shared" si="95"/>
        <v>0</v>
      </c>
      <c r="BY20" s="28">
        <f t="shared" si="95"/>
        <v>0</v>
      </c>
      <c r="BZ20" s="28">
        <f t="shared" si="95"/>
        <v>0</v>
      </c>
      <c r="CA20" s="28">
        <f t="shared" si="95"/>
        <v>0</v>
      </c>
      <c r="CB20" s="28">
        <f t="shared" si="95"/>
        <v>0</v>
      </c>
      <c r="CC20" s="28">
        <f t="shared" si="95"/>
        <v>0</v>
      </c>
      <c r="CD20" s="28">
        <f t="shared" si="95"/>
        <v>0</v>
      </c>
      <c r="CE20" s="28">
        <f t="shared" si="95"/>
        <v>0</v>
      </c>
      <c r="CF20" s="28">
        <f t="shared" si="95"/>
        <v>0</v>
      </c>
      <c r="CG20" s="28">
        <f t="shared" si="95"/>
        <v>0</v>
      </c>
      <c r="CH20" s="28">
        <f t="shared" si="95"/>
        <v>0</v>
      </c>
      <c r="CI20" s="28">
        <f t="shared" si="95"/>
        <v>0</v>
      </c>
      <c r="CJ20" s="28">
        <f t="shared" si="95"/>
        <v>0</v>
      </c>
      <c r="CK20" s="28">
        <f t="shared" si="95"/>
        <v>0</v>
      </c>
      <c r="CL20" s="28">
        <f t="shared" si="95"/>
        <v>0</v>
      </c>
      <c r="CM20" s="28">
        <f t="shared" si="95"/>
        <v>0</v>
      </c>
      <c r="CN20" s="28">
        <f t="shared" si="95"/>
        <v>0</v>
      </c>
      <c r="CO20" s="28">
        <f t="shared" si="95"/>
        <v>0</v>
      </c>
      <c r="CP20" s="28">
        <f t="shared" si="95"/>
        <v>0</v>
      </c>
      <c r="CQ20" s="28">
        <f t="shared" si="95"/>
        <v>0</v>
      </c>
      <c r="CR20" s="28">
        <f t="shared" si="95"/>
        <v>0</v>
      </c>
      <c r="CS20" s="28">
        <f t="shared" si="95"/>
        <v>0</v>
      </c>
      <c r="CT20" s="28">
        <f t="shared" si="95"/>
        <v>0</v>
      </c>
      <c r="CU20" s="28">
        <f t="shared" si="95"/>
        <v>0</v>
      </c>
      <c r="CV20" s="28">
        <f t="shared" si="95"/>
        <v>0</v>
      </c>
      <c r="CW20" s="28">
        <f t="shared" si="95"/>
        <v>0</v>
      </c>
      <c r="CX20" s="28">
        <f t="shared" si="95"/>
        <v>0</v>
      </c>
      <c r="CY20" s="28">
        <f t="shared" si="95"/>
        <v>0</v>
      </c>
      <c r="CZ20" s="28">
        <f t="shared" si="95"/>
        <v>0</v>
      </c>
      <c r="DA20" s="28">
        <f t="shared" si="95"/>
        <v>0</v>
      </c>
      <c r="DB20" s="28">
        <f t="shared" si="95"/>
        <v>0</v>
      </c>
      <c r="DC20" s="28">
        <f t="shared" si="95"/>
        <v>0</v>
      </c>
      <c r="DD20" s="28">
        <f t="shared" si="95"/>
        <v>0</v>
      </c>
      <c r="DE20" s="28">
        <f t="shared" si="95"/>
        <v>0</v>
      </c>
      <c r="DF20" s="28">
        <f t="shared" si="95"/>
        <v>0</v>
      </c>
      <c r="DG20" s="28">
        <f t="shared" si="95"/>
        <v>0</v>
      </c>
      <c r="DH20" s="28">
        <f t="shared" si="95"/>
        <v>0</v>
      </c>
      <c r="DI20" s="28">
        <f t="shared" si="95"/>
        <v>0</v>
      </c>
      <c r="DJ20" s="28">
        <f t="shared" si="95"/>
        <v>0</v>
      </c>
      <c r="DK20" s="28">
        <f t="shared" si="95"/>
        <v>0</v>
      </c>
      <c r="DL20" s="28">
        <f t="shared" si="95"/>
        <v>0</v>
      </c>
      <c r="DM20" s="28">
        <f t="shared" si="95"/>
        <v>0</v>
      </c>
      <c r="DN20" s="28">
        <f t="shared" si="95"/>
        <v>0</v>
      </c>
      <c r="DO20" s="28">
        <f t="shared" si="95"/>
        <v>0</v>
      </c>
      <c r="DP20" s="28">
        <f t="shared" si="95"/>
        <v>53.79</v>
      </c>
      <c r="DQ20" s="28">
        <f t="shared" si="95"/>
        <v>53.79</v>
      </c>
      <c r="DR20" s="28">
        <f t="shared" si="95"/>
        <v>52.924999999999997</v>
      </c>
      <c r="DS20" s="28">
        <f t="shared" si="95"/>
        <v>61.385000000000005</v>
      </c>
      <c r="DT20" s="28">
        <f t="shared" si="95"/>
        <v>4.7489999999999952</v>
      </c>
      <c r="DU20" s="28">
        <f t="shared" si="95"/>
        <v>16.38900000000001</v>
      </c>
      <c r="DV20" s="28">
        <f t="shared" si="83"/>
        <v>135.44800000000001</v>
      </c>
      <c r="DW20" s="28">
        <f t="shared" si="83"/>
        <v>23.853000000000002</v>
      </c>
      <c r="DX20" s="28">
        <f t="shared" si="83"/>
        <v>16.138999999999999</v>
      </c>
      <c r="DY20" s="28">
        <f t="shared" si="83"/>
        <v>14.945</v>
      </c>
      <c r="DZ20" s="28">
        <f t="shared" si="83"/>
        <v>20.594000000000001</v>
      </c>
      <c r="EA20" s="28">
        <f t="shared" si="83"/>
        <v>75.531000000000006</v>
      </c>
      <c r="EB20" s="28">
        <f t="shared" si="83"/>
        <v>29.542999999999999</v>
      </c>
      <c r="EC20" s="28">
        <f t="shared" si="83"/>
        <v>13.21</v>
      </c>
      <c r="ED20" s="28">
        <f t="shared" ref="ED20:EF20" si="96">ED47</f>
        <v>6.0289999999999999</v>
      </c>
      <c r="EE20" s="28">
        <f t="shared" si="96"/>
        <v>8.2890000000000015</v>
      </c>
      <c r="EF20" s="28">
        <f t="shared" si="96"/>
        <v>57.070999999999998</v>
      </c>
      <c r="EG20" s="28">
        <f t="shared" ref="EG20:EH20" si="97">EG47</f>
        <v>9.9860000000000007</v>
      </c>
      <c r="EH20" s="28">
        <f t="shared" si="97"/>
        <v>7.402000000000001</v>
      </c>
      <c r="EI20" s="28">
        <f t="shared" ref="EI20" si="98">EI47</f>
        <v>6.6609999999999978</v>
      </c>
      <c r="EJ20" s="28">
        <f t="shared" si="21"/>
        <v>24.048999999999999</v>
      </c>
    </row>
    <row r="21" spans="1:140" ht="15" thickTop="1" x14ac:dyDescent="0.3">
      <c r="A21" s="1" t="s">
        <v>338</v>
      </c>
      <c r="B21" s="27"/>
      <c r="C21" s="27"/>
      <c r="D21" s="27"/>
      <c r="E21" s="27"/>
      <c r="F21" s="27">
        <f t="shared" si="70"/>
        <v>0</v>
      </c>
      <c r="G21" s="27"/>
      <c r="H21" s="27"/>
      <c r="I21" s="27"/>
      <c r="J21" s="27"/>
      <c r="K21" s="27">
        <f t="shared" si="71"/>
        <v>0</v>
      </c>
      <c r="L21" s="27"/>
      <c r="M21" s="27"/>
      <c r="N21" s="27"/>
      <c r="O21" s="27"/>
      <c r="P21" s="27">
        <f t="shared" si="72"/>
        <v>0</v>
      </c>
      <c r="Q21" s="27"/>
      <c r="R21" s="27"/>
      <c r="S21" s="27"/>
      <c r="T21" s="27"/>
      <c r="U21" s="27">
        <f t="shared" si="73"/>
        <v>0</v>
      </c>
      <c r="V21" s="27"/>
      <c r="W21" s="27"/>
      <c r="X21" s="27"/>
      <c r="Y21" s="27"/>
      <c r="Z21" s="27">
        <f t="shared" si="74"/>
        <v>0</v>
      </c>
      <c r="AA21" s="27"/>
      <c r="AB21" s="27"/>
      <c r="AC21" s="27"/>
      <c r="AD21" s="27"/>
      <c r="AE21" s="27">
        <f t="shared" si="75"/>
        <v>0</v>
      </c>
      <c r="AF21" s="27"/>
      <c r="AG21" s="27"/>
      <c r="AH21" s="27"/>
      <c r="AI21" s="27"/>
      <c r="AJ21" s="27">
        <f t="shared" si="76"/>
        <v>0</v>
      </c>
      <c r="AK21" s="27"/>
      <c r="AL21" s="27"/>
      <c r="AM21" s="27"/>
      <c r="AN21" s="27"/>
      <c r="AO21" s="27">
        <f t="shared" si="77"/>
        <v>0</v>
      </c>
      <c r="AP21" s="27"/>
      <c r="AQ21" s="27"/>
      <c r="AR21" s="27"/>
      <c r="AS21" s="27"/>
      <c r="AT21" s="27">
        <f t="shared" si="78"/>
        <v>0</v>
      </c>
      <c r="AU21" s="27"/>
      <c r="AV21" s="27"/>
      <c r="AW21" s="27"/>
      <c r="AX21" s="27"/>
      <c r="AY21" s="27">
        <f t="shared" si="79"/>
        <v>0</v>
      </c>
      <c r="AZ21" s="27"/>
      <c r="BA21" s="27"/>
      <c r="BB21" s="27"/>
      <c r="BC21" s="27"/>
      <c r="BD21" s="27">
        <f t="shared" si="80"/>
        <v>0</v>
      </c>
      <c r="BE21" s="27"/>
      <c r="BF21" s="27"/>
      <c r="BG21" s="27"/>
      <c r="BH21" s="27"/>
      <c r="BI21" s="27">
        <f t="shared" si="81"/>
        <v>0</v>
      </c>
      <c r="BJ21" s="27">
        <f t="shared" ref="BJ21:DU21" si="99">BJ48</f>
        <v>2.2000000000000002</v>
      </c>
      <c r="BK21" s="27">
        <f t="shared" si="99"/>
        <v>2</v>
      </c>
      <c r="BL21" s="27">
        <f t="shared" si="99"/>
        <v>1.8</v>
      </c>
      <c r="BM21" s="27">
        <f t="shared" si="99"/>
        <v>2.6</v>
      </c>
      <c r="BN21" s="27">
        <f t="shared" si="99"/>
        <v>8.6</v>
      </c>
      <c r="BO21" s="27">
        <f t="shared" si="99"/>
        <v>1.4</v>
      </c>
      <c r="BP21" s="27">
        <f t="shared" si="99"/>
        <v>3.3740000000000001</v>
      </c>
      <c r="BQ21" s="27">
        <f t="shared" si="99"/>
        <v>1.6</v>
      </c>
      <c r="BR21" s="27">
        <f t="shared" si="99"/>
        <v>1.113</v>
      </c>
      <c r="BS21" s="27">
        <f t="shared" si="99"/>
        <v>7.4870000000000001</v>
      </c>
      <c r="BT21" s="27">
        <f t="shared" si="99"/>
        <v>0</v>
      </c>
      <c r="BU21" s="27">
        <f t="shared" si="99"/>
        <v>0</v>
      </c>
      <c r="BV21" s="27">
        <f t="shared" si="99"/>
        <v>0</v>
      </c>
      <c r="BW21" s="27">
        <f t="shared" si="99"/>
        <v>0</v>
      </c>
      <c r="BX21" s="27">
        <f t="shared" si="99"/>
        <v>0</v>
      </c>
      <c r="BY21" s="27">
        <f t="shared" si="99"/>
        <v>0</v>
      </c>
      <c r="BZ21" s="27">
        <f t="shared" si="99"/>
        <v>0</v>
      </c>
      <c r="CA21" s="27">
        <f t="shared" si="99"/>
        <v>0</v>
      </c>
      <c r="CB21" s="27">
        <f t="shared" si="99"/>
        <v>0</v>
      </c>
      <c r="CC21" s="27">
        <f t="shared" si="99"/>
        <v>0</v>
      </c>
      <c r="CD21" s="27">
        <f t="shared" si="99"/>
        <v>0</v>
      </c>
      <c r="CE21" s="27">
        <f t="shared" si="99"/>
        <v>0</v>
      </c>
      <c r="CF21" s="27">
        <f t="shared" si="99"/>
        <v>0</v>
      </c>
      <c r="CG21" s="27">
        <f t="shared" si="99"/>
        <v>0</v>
      </c>
      <c r="CH21" s="27">
        <f t="shared" si="99"/>
        <v>0</v>
      </c>
      <c r="CI21" s="27">
        <f t="shared" si="99"/>
        <v>0</v>
      </c>
      <c r="CJ21" s="27">
        <f t="shared" si="99"/>
        <v>0</v>
      </c>
      <c r="CK21" s="27">
        <f t="shared" si="99"/>
        <v>0</v>
      </c>
      <c r="CL21" s="27">
        <f t="shared" si="99"/>
        <v>0</v>
      </c>
      <c r="CM21" s="27">
        <f t="shared" si="99"/>
        <v>0</v>
      </c>
      <c r="CN21" s="27">
        <f t="shared" si="99"/>
        <v>0</v>
      </c>
      <c r="CO21" s="27">
        <f t="shared" si="99"/>
        <v>0</v>
      </c>
      <c r="CP21" s="27">
        <f t="shared" si="99"/>
        <v>0</v>
      </c>
      <c r="CQ21" s="27">
        <f t="shared" si="99"/>
        <v>0</v>
      </c>
      <c r="CR21" s="27">
        <f t="shared" si="99"/>
        <v>0</v>
      </c>
      <c r="CS21" s="27">
        <f t="shared" si="99"/>
        <v>0</v>
      </c>
      <c r="CT21" s="27">
        <f t="shared" si="99"/>
        <v>0</v>
      </c>
      <c r="CU21" s="27">
        <f t="shared" si="99"/>
        <v>0</v>
      </c>
      <c r="CV21" s="27">
        <f t="shared" si="99"/>
        <v>0</v>
      </c>
      <c r="CW21" s="27">
        <f t="shared" si="99"/>
        <v>0</v>
      </c>
      <c r="CX21" s="27">
        <f t="shared" si="99"/>
        <v>0</v>
      </c>
      <c r="CY21" s="27">
        <f t="shared" si="99"/>
        <v>0</v>
      </c>
      <c r="CZ21" s="27">
        <f t="shared" si="99"/>
        <v>0</v>
      </c>
      <c r="DA21" s="27">
        <f t="shared" si="99"/>
        <v>0</v>
      </c>
      <c r="DB21" s="27">
        <f t="shared" si="99"/>
        <v>0</v>
      </c>
      <c r="DC21" s="27">
        <f t="shared" si="99"/>
        <v>0</v>
      </c>
      <c r="DD21" s="27">
        <f t="shared" si="99"/>
        <v>0</v>
      </c>
      <c r="DE21" s="27">
        <f t="shared" si="99"/>
        <v>0</v>
      </c>
      <c r="DF21" s="27">
        <f t="shared" si="99"/>
        <v>0</v>
      </c>
      <c r="DG21" s="27">
        <f t="shared" si="99"/>
        <v>0</v>
      </c>
      <c r="DH21" s="27">
        <f t="shared" si="99"/>
        <v>0</v>
      </c>
      <c r="DI21" s="27">
        <f t="shared" si="99"/>
        <v>0</v>
      </c>
      <c r="DJ21" s="27">
        <f t="shared" si="99"/>
        <v>0</v>
      </c>
      <c r="DK21" s="27">
        <f t="shared" si="99"/>
        <v>0</v>
      </c>
      <c r="DL21" s="27">
        <f t="shared" si="99"/>
        <v>0</v>
      </c>
      <c r="DM21" s="27">
        <f t="shared" si="99"/>
        <v>0</v>
      </c>
      <c r="DN21" s="27">
        <f t="shared" si="99"/>
        <v>0</v>
      </c>
      <c r="DO21" s="27">
        <f t="shared" si="99"/>
        <v>0</v>
      </c>
      <c r="DP21" s="27">
        <f t="shared" si="99"/>
        <v>0</v>
      </c>
      <c r="DQ21" s="27">
        <f t="shared" si="99"/>
        <v>0</v>
      </c>
      <c r="DR21" s="27">
        <f t="shared" si="99"/>
        <v>0</v>
      </c>
      <c r="DS21" s="27">
        <f t="shared" si="99"/>
        <v>0</v>
      </c>
      <c r="DT21" s="27">
        <f t="shared" si="99"/>
        <v>0</v>
      </c>
      <c r="DU21" s="27">
        <f t="shared" si="99"/>
        <v>0</v>
      </c>
      <c r="DV21" s="27">
        <f t="shared" si="83"/>
        <v>0</v>
      </c>
      <c r="DW21" s="27">
        <f t="shared" si="83"/>
        <v>0</v>
      </c>
      <c r="DX21" s="27">
        <f t="shared" si="83"/>
        <v>0</v>
      </c>
      <c r="DY21" s="27">
        <f t="shared" si="83"/>
        <v>0.156</v>
      </c>
      <c r="DZ21" s="27">
        <f t="shared" si="83"/>
        <v>1E-3</v>
      </c>
      <c r="EA21" s="27">
        <f t="shared" si="83"/>
        <v>0.157</v>
      </c>
      <c r="EB21" s="27">
        <f t="shared" si="83"/>
        <v>0</v>
      </c>
      <c r="EC21" s="27">
        <f t="shared" si="83"/>
        <v>0</v>
      </c>
      <c r="ED21" s="27">
        <f t="shared" ref="ED21:EF21" si="100">ED48</f>
        <v>0</v>
      </c>
      <c r="EE21" s="27">
        <f t="shared" si="100"/>
        <v>0</v>
      </c>
      <c r="EF21" s="27">
        <f t="shared" si="100"/>
        <v>0</v>
      </c>
      <c r="EG21" s="27">
        <f t="shared" ref="EG21:EH21" si="101">EG48</f>
        <v>0</v>
      </c>
      <c r="EH21" s="27">
        <f t="shared" si="101"/>
        <v>0</v>
      </c>
      <c r="EI21" s="27">
        <f t="shared" ref="EI21" si="102">EI48</f>
        <v>0</v>
      </c>
      <c r="EJ21" s="27">
        <f t="shared" si="21"/>
        <v>0</v>
      </c>
    </row>
    <row r="22" spans="1:140" ht="15" thickBot="1" x14ac:dyDescent="0.35">
      <c r="A22" s="2" t="s">
        <v>370</v>
      </c>
      <c r="B22" s="28"/>
      <c r="C22" s="28"/>
      <c r="D22" s="28"/>
      <c r="E22" s="28"/>
      <c r="F22" s="28">
        <f t="shared" si="70"/>
        <v>0</v>
      </c>
      <c r="G22" s="28"/>
      <c r="H22" s="28"/>
      <c r="I22" s="28"/>
      <c r="J22" s="28"/>
      <c r="K22" s="28">
        <f t="shared" si="71"/>
        <v>0</v>
      </c>
      <c r="L22" s="28"/>
      <c r="M22" s="28"/>
      <c r="N22" s="28"/>
      <c r="O22" s="28"/>
      <c r="P22" s="28">
        <f t="shared" si="72"/>
        <v>0</v>
      </c>
      <c r="Q22" s="28"/>
      <c r="R22" s="28"/>
      <c r="S22" s="28"/>
      <c r="T22" s="28"/>
      <c r="U22" s="28">
        <f t="shared" si="73"/>
        <v>0</v>
      </c>
      <c r="V22" s="28"/>
      <c r="W22" s="28"/>
      <c r="X22" s="28"/>
      <c r="Y22" s="28"/>
      <c r="Z22" s="28">
        <f t="shared" si="74"/>
        <v>0</v>
      </c>
      <c r="AA22" s="28"/>
      <c r="AB22" s="28"/>
      <c r="AC22" s="28"/>
      <c r="AD22" s="28"/>
      <c r="AE22" s="28">
        <f t="shared" si="75"/>
        <v>0</v>
      </c>
      <c r="AF22" s="28"/>
      <c r="AG22" s="28"/>
      <c r="AH22" s="28"/>
      <c r="AI22" s="28"/>
      <c r="AJ22" s="28">
        <f t="shared" si="76"/>
        <v>0</v>
      </c>
      <c r="AK22" s="28"/>
      <c r="AL22" s="28"/>
      <c r="AM22" s="28"/>
      <c r="AN22" s="28"/>
      <c r="AO22" s="28">
        <f t="shared" si="77"/>
        <v>0</v>
      </c>
      <c r="AP22" s="28"/>
      <c r="AQ22" s="28"/>
      <c r="AR22" s="28"/>
      <c r="AS22" s="28"/>
      <c r="AT22" s="28">
        <f t="shared" si="78"/>
        <v>0</v>
      </c>
      <c r="AU22" s="28"/>
      <c r="AV22" s="28"/>
      <c r="AW22" s="28"/>
      <c r="AX22" s="28"/>
      <c r="AY22" s="28">
        <f t="shared" si="79"/>
        <v>0</v>
      </c>
      <c r="AZ22" s="28"/>
      <c r="BA22" s="28"/>
      <c r="BB22" s="28"/>
      <c r="BC22" s="28"/>
      <c r="BD22" s="28">
        <f t="shared" si="80"/>
        <v>0</v>
      </c>
      <c r="BE22" s="28"/>
      <c r="BF22" s="28"/>
      <c r="BG22" s="28"/>
      <c r="BH22" s="28"/>
      <c r="BI22" s="28">
        <f t="shared" si="81"/>
        <v>0</v>
      </c>
      <c r="BJ22" s="28">
        <f t="shared" ref="BJ22:DU22" si="103">BJ49</f>
        <v>20.100000000000001</v>
      </c>
      <c r="BK22" s="28">
        <f t="shared" si="103"/>
        <v>1.9</v>
      </c>
      <c r="BL22" s="28">
        <f t="shared" si="103"/>
        <v>2.4</v>
      </c>
      <c r="BM22" s="28">
        <f t="shared" si="103"/>
        <v>6.1</v>
      </c>
      <c r="BN22" s="28">
        <f t="shared" si="103"/>
        <v>30.5</v>
      </c>
      <c r="BO22" s="28">
        <f t="shared" si="103"/>
        <v>5.7569999999999997</v>
      </c>
      <c r="BP22" s="28">
        <f t="shared" si="103"/>
        <v>10.1</v>
      </c>
      <c r="BQ22" s="28">
        <f t="shared" si="103"/>
        <v>20.431999999999999</v>
      </c>
      <c r="BR22" s="28">
        <f t="shared" si="103"/>
        <v>35.1</v>
      </c>
      <c r="BS22" s="28">
        <f t="shared" si="103"/>
        <v>71.38900000000001</v>
      </c>
      <c r="BT22" s="28">
        <f t="shared" si="103"/>
        <v>0</v>
      </c>
      <c r="BU22" s="28">
        <f t="shared" si="103"/>
        <v>0</v>
      </c>
      <c r="BV22" s="28">
        <f t="shared" si="103"/>
        <v>0</v>
      </c>
      <c r="BW22" s="28">
        <f t="shared" si="103"/>
        <v>0</v>
      </c>
      <c r="BX22" s="28">
        <f t="shared" si="103"/>
        <v>0</v>
      </c>
      <c r="BY22" s="28">
        <f t="shared" si="103"/>
        <v>0</v>
      </c>
      <c r="BZ22" s="28">
        <f t="shared" si="103"/>
        <v>0</v>
      </c>
      <c r="CA22" s="28">
        <f t="shared" si="103"/>
        <v>0</v>
      </c>
      <c r="CB22" s="28">
        <f t="shared" si="103"/>
        <v>0</v>
      </c>
      <c r="CC22" s="28">
        <f t="shared" si="103"/>
        <v>0</v>
      </c>
      <c r="CD22" s="28">
        <f t="shared" si="103"/>
        <v>0</v>
      </c>
      <c r="CE22" s="28">
        <f t="shared" si="103"/>
        <v>0</v>
      </c>
      <c r="CF22" s="28">
        <f t="shared" si="103"/>
        <v>0</v>
      </c>
      <c r="CG22" s="28">
        <f t="shared" si="103"/>
        <v>0</v>
      </c>
      <c r="CH22" s="28">
        <f t="shared" si="103"/>
        <v>0</v>
      </c>
      <c r="CI22" s="28">
        <f t="shared" si="103"/>
        <v>0</v>
      </c>
      <c r="CJ22" s="28">
        <f t="shared" si="103"/>
        <v>0</v>
      </c>
      <c r="CK22" s="28">
        <f t="shared" si="103"/>
        <v>0</v>
      </c>
      <c r="CL22" s="28">
        <f t="shared" si="103"/>
        <v>0</v>
      </c>
      <c r="CM22" s="28">
        <f t="shared" si="103"/>
        <v>0</v>
      </c>
      <c r="CN22" s="28">
        <f t="shared" si="103"/>
        <v>0</v>
      </c>
      <c r="CO22" s="28">
        <f t="shared" si="103"/>
        <v>0</v>
      </c>
      <c r="CP22" s="28">
        <f t="shared" si="103"/>
        <v>0</v>
      </c>
      <c r="CQ22" s="28">
        <f t="shared" si="103"/>
        <v>0</v>
      </c>
      <c r="CR22" s="28">
        <f t="shared" si="103"/>
        <v>0</v>
      </c>
      <c r="CS22" s="28">
        <f t="shared" si="103"/>
        <v>0</v>
      </c>
      <c r="CT22" s="28">
        <f t="shared" si="103"/>
        <v>0</v>
      </c>
      <c r="CU22" s="28">
        <f t="shared" si="103"/>
        <v>0</v>
      </c>
      <c r="CV22" s="28">
        <f t="shared" si="103"/>
        <v>0</v>
      </c>
      <c r="CW22" s="28">
        <f t="shared" si="103"/>
        <v>0</v>
      </c>
      <c r="CX22" s="28">
        <f t="shared" si="103"/>
        <v>0</v>
      </c>
      <c r="CY22" s="28">
        <f t="shared" si="103"/>
        <v>0</v>
      </c>
      <c r="CZ22" s="28">
        <f t="shared" si="103"/>
        <v>0</v>
      </c>
      <c r="DA22" s="28">
        <f t="shared" si="103"/>
        <v>0</v>
      </c>
      <c r="DB22" s="28">
        <f t="shared" si="103"/>
        <v>0</v>
      </c>
      <c r="DC22" s="28">
        <f t="shared" si="103"/>
        <v>0</v>
      </c>
      <c r="DD22" s="28">
        <f t="shared" si="103"/>
        <v>0</v>
      </c>
      <c r="DE22" s="28">
        <f t="shared" si="103"/>
        <v>0</v>
      </c>
      <c r="DF22" s="28">
        <f t="shared" si="103"/>
        <v>0</v>
      </c>
      <c r="DG22" s="28">
        <f t="shared" si="103"/>
        <v>0</v>
      </c>
      <c r="DH22" s="28">
        <f t="shared" si="103"/>
        <v>0</v>
      </c>
      <c r="DI22" s="28">
        <f t="shared" si="103"/>
        <v>0</v>
      </c>
      <c r="DJ22" s="28">
        <f t="shared" si="103"/>
        <v>0</v>
      </c>
      <c r="DK22" s="28">
        <f t="shared" si="103"/>
        <v>0</v>
      </c>
      <c r="DL22" s="28">
        <f t="shared" si="103"/>
        <v>0</v>
      </c>
      <c r="DM22" s="28">
        <f t="shared" si="103"/>
        <v>0</v>
      </c>
      <c r="DN22" s="28">
        <f t="shared" si="103"/>
        <v>0</v>
      </c>
      <c r="DO22" s="28">
        <f t="shared" si="103"/>
        <v>0</v>
      </c>
      <c r="DP22" s="28">
        <f t="shared" si="103"/>
        <v>0</v>
      </c>
      <c r="DQ22" s="28">
        <f t="shared" si="103"/>
        <v>0</v>
      </c>
      <c r="DR22" s="28">
        <f t="shared" si="103"/>
        <v>0</v>
      </c>
      <c r="DS22" s="28">
        <f t="shared" si="103"/>
        <v>0</v>
      </c>
      <c r="DT22" s="28">
        <f t="shared" si="103"/>
        <v>0</v>
      </c>
      <c r="DU22" s="28">
        <f t="shared" si="103"/>
        <v>0</v>
      </c>
      <c r="DV22" s="28">
        <f t="shared" si="83"/>
        <v>0</v>
      </c>
      <c r="DW22" s="28">
        <f t="shared" si="83"/>
        <v>0</v>
      </c>
      <c r="DX22" s="28">
        <f t="shared" si="83"/>
        <v>0</v>
      </c>
      <c r="DY22" s="28">
        <f t="shared" si="83"/>
        <v>0</v>
      </c>
      <c r="DZ22" s="28">
        <f t="shared" si="83"/>
        <v>0</v>
      </c>
      <c r="EA22" s="28">
        <f t="shared" si="83"/>
        <v>0</v>
      </c>
      <c r="EB22" s="28">
        <f t="shared" si="83"/>
        <v>0</v>
      </c>
      <c r="EC22" s="28">
        <f t="shared" si="83"/>
        <v>0</v>
      </c>
      <c r="ED22" s="28">
        <f t="shared" ref="ED22:EF22" si="104">ED49</f>
        <v>0</v>
      </c>
      <c r="EE22" s="28">
        <f t="shared" si="104"/>
        <v>0</v>
      </c>
      <c r="EF22" s="28">
        <f t="shared" si="104"/>
        <v>0</v>
      </c>
      <c r="EG22" s="28">
        <f t="shared" ref="EG22:EH22" si="105">EG49</f>
        <v>0</v>
      </c>
      <c r="EH22" s="28">
        <f t="shared" si="105"/>
        <v>0</v>
      </c>
      <c r="EI22" s="28">
        <f t="shared" ref="EI22" si="106">EI49</f>
        <v>0</v>
      </c>
      <c r="EJ22" s="28">
        <f t="shared" si="21"/>
        <v>0</v>
      </c>
    </row>
    <row r="23" spans="1:140" ht="15" thickTop="1" x14ac:dyDescent="0.3">
      <c r="A23" s="1" t="s">
        <v>331</v>
      </c>
      <c r="B23" s="27"/>
      <c r="C23" s="27"/>
      <c r="D23" s="27"/>
      <c r="E23" s="27"/>
      <c r="F23" s="27">
        <f t="shared" si="70"/>
        <v>0</v>
      </c>
      <c r="G23" s="27"/>
      <c r="H23" s="27"/>
      <c r="I23" s="27"/>
      <c r="J23" s="27"/>
      <c r="K23" s="27">
        <f t="shared" si="71"/>
        <v>0</v>
      </c>
      <c r="L23" s="27"/>
      <c r="M23" s="27"/>
      <c r="N23" s="27"/>
      <c r="O23" s="27"/>
      <c r="P23" s="27">
        <f t="shared" si="72"/>
        <v>0</v>
      </c>
      <c r="Q23" s="27"/>
      <c r="R23" s="27"/>
      <c r="S23" s="27"/>
      <c r="T23" s="27"/>
      <c r="U23" s="27">
        <f t="shared" si="73"/>
        <v>0</v>
      </c>
      <c r="V23" s="27"/>
      <c r="W23" s="27"/>
      <c r="X23" s="27"/>
      <c r="Y23" s="27"/>
      <c r="Z23" s="27">
        <f t="shared" si="74"/>
        <v>0</v>
      </c>
      <c r="AA23" s="27"/>
      <c r="AB23" s="27"/>
      <c r="AC23" s="27"/>
      <c r="AD23" s="27"/>
      <c r="AE23" s="27">
        <f t="shared" si="75"/>
        <v>0</v>
      </c>
      <c r="AF23" s="27"/>
      <c r="AG23" s="27"/>
      <c r="AH23" s="27"/>
      <c r="AI23" s="27"/>
      <c r="AJ23" s="27">
        <f t="shared" si="76"/>
        <v>0</v>
      </c>
      <c r="AK23" s="27"/>
      <c r="AL23" s="27"/>
      <c r="AM23" s="27"/>
      <c r="AN23" s="27"/>
      <c r="AO23" s="27">
        <f t="shared" si="77"/>
        <v>0</v>
      </c>
      <c r="AP23" s="27"/>
      <c r="AQ23" s="27"/>
      <c r="AR23" s="27"/>
      <c r="AS23" s="27"/>
      <c r="AT23" s="27">
        <f t="shared" si="78"/>
        <v>0</v>
      </c>
      <c r="AU23" s="27"/>
      <c r="AV23" s="27"/>
      <c r="AW23" s="27"/>
      <c r="AX23" s="27"/>
      <c r="AY23" s="27">
        <f t="shared" si="79"/>
        <v>0</v>
      </c>
      <c r="AZ23" s="27"/>
      <c r="BA23" s="27"/>
      <c r="BB23" s="27"/>
      <c r="BC23" s="27"/>
      <c r="BD23" s="27">
        <f t="shared" si="80"/>
        <v>0</v>
      </c>
      <c r="BE23" s="27"/>
      <c r="BF23" s="27"/>
      <c r="BG23" s="27"/>
      <c r="BH23" s="27"/>
      <c r="BI23" s="27">
        <f t="shared" si="81"/>
        <v>0</v>
      </c>
      <c r="BJ23" s="27">
        <f t="shared" ref="BJ23:DU23" si="107">BJ50</f>
        <v>0</v>
      </c>
      <c r="BK23" s="27">
        <f t="shared" si="107"/>
        <v>0</v>
      </c>
      <c r="BL23" s="27">
        <f t="shared" si="107"/>
        <v>0</v>
      </c>
      <c r="BM23" s="27">
        <f t="shared" si="107"/>
        <v>0</v>
      </c>
      <c r="BN23" s="27">
        <f t="shared" si="107"/>
        <v>0</v>
      </c>
      <c r="BO23" s="27">
        <f t="shared" si="107"/>
        <v>0</v>
      </c>
      <c r="BP23" s="27">
        <f t="shared" si="107"/>
        <v>0</v>
      </c>
      <c r="BQ23" s="27">
        <f t="shared" si="107"/>
        <v>1.2</v>
      </c>
      <c r="BR23" s="27">
        <f t="shared" si="107"/>
        <v>1.6</v>
      </c>
      <c r="BS23" s="27">
        <f t="shared" si="107"/>
        <v>2.8</v>
      </c>
      <c r="BT23" s="27">
        <f t="shared" si="107"/>
        <v>0</v>
      </c>
      <c r="BU23" s="27">
        <f t="shared" si="107"/>
        <v>0</v>
      </c>
      <c r="BV23" s="27">
        <f t="shared" si="107"/>
        <v>4.0000000000000001E-3</v>
      </c>
      <c r="BW23" s="27">
        <f t="shared" si="107"/>
        <v>1.2E-2</v>
      </c>
      <c r="BX23" s="27">
        <f t="shared" si="107"/>
        <v>1.6E-2</v>
      </c>
      <c r="BY23" s="27">
        <f t="shared" si="107"/>
        <v>0</v>
      </c>
      <c r="BZ23" s="27">
        <f t="shared" si="107"/>
        <v>0.1</v>
      </c>
      <c r="CA23" s="27">
        <f t="shared" si="107"/>
        <v>9.1999999999999998E-2</v>
      </c>
      <c r="CB23" s="27">
        <f t="shared" si="107"/>
        <v>0.40799999999999997</v>
      </c>
      <c r="CC23" s="27">
        <f t="shared" si="107"/>
        <v>0.6</v>
      </c>
      <c r="CD23" s="27">
        <f t="shared" si="107"/>
        <v>0.2</v>
      </c>
      <c r="CE23" s="27">
        <f t="shared" si="107"/>
        <v>0.1</v>
      </c>
      <c r="CF23" s="27">
        <f t="shared" si="107"/>
        <v>0</v>
      </c>
      <c r="CG23" s="27">
        <f t="shared" si="107"/>
        <v>0.6</v>
      </c>
      <c r="CH23" s="27">
        <f t="shared" si="107"/>
        <v>0.9</v>
      </c>
      <c r="CI23" s="27">
        <f t="shared" si="107"/>
        <v>0.13600000000000001</v>
      </c>
      <c r="CJ23" s="27">
        <f t="shared" si="107"/>
        <v>0.1</v>
      </c>
      <c r="CK23" s="27">
        <f t="shared" si="107"/>
        <v>0</v>
      </c>
      <c r="CL23" s="27">
        <f t="shared" si="107"/>
        <v>0.1</v>
      </c>
      <c r="CM23" s="27">
        <f t="shared" si="107"/>
        <v>0.33600000000000002</v>
      </c>
      <c r="CN23" s="27">
        <f t="shared" si="107"/>
        <v>0</v>
      </c>
      <c r="CO23" s="27">
        <f t="shared" si="107"/>
        <v>0</v>
      </c>
      <c r="CP23" s="27">
        <f t="shared" si="107"/>
        <v>0.1</v>
      </c>
      <c r="CQ23" s="27">
        <f t="shared" si="107"/>
        <v>0.28899999999999998</v>
      </c>
      <c r="CR23" s="27">
        <f t="shared" si="107"/>
        <v>0.38900000000000001</v>
      </c>
      <c r="CS23" s="27">
        <f t="shared" si="107"/>
        <v>0</v>
      </c>
      <c r="CT23" s="27">
        <f t="shared" si="107"/>
        <v>0.93299999999999994</v>
      </c>
      <c r="CU23" s="27">
        <f t="shared" si="107"/>
        <v>0.14399999999999999</v>
      </c>
      <c r="CV23" s="27">
        <f t="shared" si="107"/>
        <v>3.6999999999999998E-2</v>
      </c>
      <c r="CW23" s="27">
        <f t="shared" si="107"/>
        <v>1.1139999999999999</v>
      </c>
      <c r="CX23" s="27">
        <f t="shared" si="107"/>
        <v>5.0000000000000044E-3</v>
      </c>
      <c r="CY23" s="27">
        <f t="shared" si="107"/>
        <v>3.6000000000000032E-2</v>
      </c>
      <c r="CZ23" s="27">
        <f t="shared" si="107"/>
        <v>0</v>
      </c>
      <c r="DA23" s="27">
        <f t="shared" si="107"/>
        <v>1.000000000000334E-3</v>
      </c>
      <c r="DB23" s="27">
        <f t="shared" si="107"/>
        <v>4.200000000000037E-2</v>
      </c>
      <c r="DC23" s="27">
        <f t="shared" si="107"/>
        <v>0</v>
      </c>
      <c r="DD23" s="27">
        <f t="shared" si="107"/>
        <v>0.44199999999999995</v>
      </c>
      <c r="DE23" s="27">
        <f t="shared" si="107"/>
        <v>-0.4009999999999998</v>
      </c>
      <c r="DF23" s="27">
        <f t="shared" si="107"/>
        <v>0.16499999999999984</v>
      </c>
      <c r="DG23" s="27">
        <f t="shared" si="107"/>
        <v>0.20599999999999999</v>
      </c>
      <c r="DH23" s="27">
        <f t="shared" si="107"/>
        <v>9.000000000000008E-3</v>
      </c>
      <c r="DI23" s="27">
        <f t="shared" si="107"/>
        <v>8.1999999999999407E-2</v>
      </c>
      <c r="DJ23" s="27">
        <f t="shared" si="107"/>
        <v>3.0000000000005578E-3</v>
      </c>
      <c r="DK23" s="27">
        <f t="shared" si="107"/>
        <v>0.19699999999999918</v>
      </c>
      <c r="DL23" s="27">
        <f t="shared" si="107"/>
        <v>0.29099999999999915</v>
      </c>
      <c r="DM23" s="27">
        <f t="shared" si="107"/>
        <v>0.12600000000000011</v>
      </c>
      <c r="DN23" s="27">
        <f t="shared" si="107"/>
        <v>0.25199999999999978</v>
      </c>
      <c r="DO23" s="27">
        <f t="shared" si="107"/>
        <v>1.9749999999999996</v>
      </c>
      <c r="DP23" s="27">
        <f t="shared" si="107"/>
        <v>1.641</v>
      </c>
      <c r="DQ23" s="27">
        <f t="shared" si="107"/>
        <v>3.9939999999999998</v>
      </c>
      <c r="DR23" s="27">
        <f t="shared" si="107"/>
        <v>0.22200000000001019</v>
      </c>
      <c r="DS23" s="27">
        <f t="shared" si="107"/>
        <v>0.17299999999999294</v>
      </c>
      <c r="DT23" s="27">
        <f t="shared" si="107"/>
        <v>0.15800000000000303</v>
      </c>
      <c r="DU23" s="27">
        <f t="shared" si="107"/>
        <v>0.79999999999998828</v>
      </c>
      <c r="DV23" s="27">
        <f t="shared" si="83"/>
        <v>1.3529999999999944</v>
      </c>
      <c r="DW23" s="27">
        <f t="shared" si="83"/>
        <v>8.9999999999976765E-3</v>
      </c>
      <c r="DX23" s="27">
        <f t="shared" si="83"/>
        <v>0.11</v>
      </c>
      <c r="DY23" s="27">
        <f t="shared" si="83"/>
        <v>2.1999999999999999E-2</v>
      </c>
      <c r="DZ23" s="27">
        <f t="shared" si="83"/>
        <v>5.0000000000000001E-3</v>
      </c>
      <c r="EA23" s="27">
        <f t="shared" si="83"/>
        <v>0.14599999999999769</v>
      </c>
      <c r="EB23" s="27">
        <f t="shared" si="83"/>
        <v>0.16</v>
      </c>
      <c r="EC23" s="27">
        <f t="shared" si="83"/>
        <v>0.12</v>
      </c>
      <c r="ED23" s="27">
        <f t="shared" ref="ED23:EF23" si="108">ED50</f>
        <v>0.23200000000000001</v>
      </c>
      <c r="EE23" s="27">
        <f t="shared" si="108"/>
        <v>0.21299999999999999</v>
      </c>
      <c r="EF23" s="27">
        <f t="shared" si="108"/>
        <v>0.72499999999999998</v>
      </c>
      <c r="EG23" s="27">
        <f>EG50</f>
        <v>1E-3</v>
      </c>
      <c r="EH23" s="27">
        <f>EH50</f>
        <v>0.13999999999999999</v>
      </c>
      <c r="EI23" s="27">
        <f>EI50</f>
        <v>2.4000000000000021E-2</v>
      </c>
      <c r="EJ23" s="27">
        <f t="shared" si="21"/>
        <v>0.16500000000000001</v>
      </c>
    </row>
    <row r="24" spans="1:140" x14ac:dyDescent="0.3">
      <c r="A24" s="2" t="s">
        <v>308</v>
      </c>
      <c r="B24" s="28"/>
      <c r="C24" s="28"/>
      <c r="D24" s="28"/>
      <c r="E24" s="28"/>
      <c r="F24" s="28">
        <f t="shared" si="70"/>
        <v>0</v>
      </c>
      <c r="G24" s="28"/>
      <c r="H24" s="28"/>
      <c r="I24" s="28"/>
      <c r="J24" s="28"/>
      <c r="K24" s="28">
        <f t="shared" si="71"/>
        <v>0</v>
      </c>
      <c r="L24" s="28"/>
      <c r="M24" s="28"/>
      <c r="N24" s="28"/>
      <c r="O24" s="28"/>
      <c r="P24" s="28">
        <f t="shared" si="72"/>
        <v>0</v>
      </c>
      <c r="Q24" s="28"/>
      <c r="R24" s="28"/>
      <c r="S24" s="28"/>
      <c r="T24" s="28"/>
      <c r="U24" s="28">
        <f t="shared" si="73"/>
        <v>0</v>
      </c>
      <c r="V24" s="28"/>
      <c r="W24" s="28"/>
      <c r="X24" s="28"/>
      <c r="Y24" s="28"/>
      <c r="Z24" s="28">
        <f t="shared" si="74"/>
        <v>0</v>
      </c>
      <c r="AA24" s="28"/>
      <c r="AB24" s="28"/>
      <c r="AC24" s="28"/>
      <c r="AD24" s="28"/>
      <c r="AE24" s="28">
        <f t="shared" si="75"/>
        <v>0</v>
      </c>
      <c r="AF24" s="28"/>
      <c r="AG24" s="28"/>
      <c r="AH24" s="28"/>
      <c r="AI24" s="28"/>
      <c r="AJ24" s="28">
        <f t="shared" si="76"/>
        <v>0</v>
      </c>
      <c r="AK24" s="28"/>
      <c r="AL24" s="28"/>
      <c r="AM24" s="28"/>
      <c r="AN24" s="28"/>
      <c r="AO24" s="28">
        <f t="shared" si="77"/>
        <v>0</v>
      </c>
      <c r="AP24" s="28"/>
      <c r="AQ24" s="28"/>
      <c r="AR24" s="28"/>
      <c r="AS24" s="28"/>
      <c r="AT24" s="28">
        <f t="shared" si="78"/>
        <v>0</v>
      </c>
      <c r="AU24" s="28"/>
      <c r="AV24" s="28"/>
      <c r="AW24" s="28"/>
      <c r="AX24" s="28"/>
      <c r="AY24" s="28">
        <f t="shared" si="79"/>
        <v>0</v>
      </c>
      <c r="AZ24" s="28"/>
      <c r="BA24" s="28"/>
      <c r="BB24" s="28"/>
      <c r="BC24" s="28"/>
      <c r="BD24" s="28">
        <f t="shared" si="80"/>
        <v>0</v>
      </c>
      <c r="BE24" s="28"/>
      <c r="BF24" s="28"/>
      <c r="BG24" s="28"/>
      <c r="BH24" s="28"/>
      <c r="BI24" s="28">
        <f t="shared" si="81"/>
        <v>0</v>
      </c>
      <c r="BJ24" s="28">
        <f t="shared" ref="BJ24:DU24" si="109">BJ51</f>
        <v>0</v>
      </c>
      <c r="BK24" s="28">
        <f t="shared" si="109"/>
        <v>0</v>
      </c>
      <c r="BL24" s="28">
        <f t="shared" si="109"/>
        <v>0</v>
      </c>
      <c r="BM24" s="28">
        <f t="shared" si="109"/>
        <v>0</v>
      </c>
      <c r="BN24" s="28">
        <f t="shared" si="109"/>
        <v>0</v>
      </c>
      <c r="BO24" s="28">
        <f t="shared" si="109"/>
        <v>0</v>
      </c>
      <c r="BP24" s="28">
        <f t="shared" si="109"/>
        <v>0</v>
      </c>
      <c r="BQ24" s="28">
        <f t="shared" si="109"/>
        <v>0</v>
      </c>
      <c r="BR24" s="28">
        <f t="shared" si="109"/>
        <v>0</v>
      </c>
      <c r="BS24" s="28">
        <f t="shared" si="109"/>
        <v>0</v>
      </c>
      <c r="BT24" s="28">
        <f t="shared" si="109"/>
        <v>0</v>
      </c>
      <c r="BU24" s="28">
        <f t="shared" si="109"/>
        <v>0</v>
      </c>
      <c r="BV24" s="28">
        <f t="shared" si="109"/>
        <v>0</v>
      </c>
      <c r="BW24" s="28">
        <f t="shared" si="109"/>
        <v>0</v>
      </c>
      <c r="BX24" s="28">
        <f t="shared" si="109"/>
        <v>0</v>
      </c>
      <c r="BY24" s="28">
        <f t="shared" si="109"/>
        <v>0</v>
      </c>
      <c r="BZ24" s="28">
        <f t="shared" si="109"/>
        <v>0</v>
      </c>
      <c r="CA24" s="28">
        <f t="shared" si="109"/>
        <v>0</v>
      </c>
      <c r="CB24" s="28">
        <f t="shared" si="109"/>
        <v>0</v>
      </c>
      <c r="CC24" s="28">
        <f t="shared" si="109"/>
        <v>0</v>
      </c>
      <c r="CD24" s="28">
        <f t="shared" si="109"/>
        <v>0</v>
      </c>
      <c r="CE24" s="28">
        <f t="shared" si="109"/>
        <v>0</v>
      </c>
      <c r="CF24" s="28">
        <f t="shared" si="109"/>
        <v>0</v>
      </c>
      <c r="CG24" s="28">
        <f t="shared" si="109"/>
        <v>0</v>
      </c>
      <c r="CH24" s="28">
        <f t="shared" si="109"/>
        <v>0</v>
      </c>
      <c r="CI24" s="28">
        <f t="shared" si="109"/>
        <v>0</v>
      </c>
      <c r="CJ24" s="28">
        <f t="shared" si="109"/>
        <v>0</v>
      </c>
      <c r="CK24" s="28">
        <f t="shared" si="109"/>
        <v>0</v>
      </c>
      <c r="CL24" s="28">
        <f t="shared" si="109"/>
        <v>0</v>
      </c>
      <c r="CM24" s="28">
        <f t="shared" si="109"/>
        <v>0</v>
      </c>
      <c r="CN24" s="28">
        <f t="shared" si="109"/>
        <v>0</v>
      </c>
      <c r="CO24" s="28">
        <f t="shared" si="109"/>
        <v>0</v>
      </c>
      <c r="CP24" s="28">
        <f t="shared" si="109"/>
        <v>0</v>
      </c>
      <c r="CQ24" s="28">
        <f t="shared" si="109"/>
        <v>0</v>
      </c>
      <c r="CR24" s="28">
        <f t="shared" si="109"/>
        <v>0</v>
      </c>
      <c r="CS24" s="28">
        <f t="shared" si="109"/>
        <v>0</v>
      </c>
      <c r="CT24" s="28">
        <f t="shared" si="109"/>
        <v>0</v>
      </c>
      <c r="CU24" s="28">
        <f t="shared" si="109"/>
        <v>0</v>
      </c>
      <c r="CV24" s="28">
        <f t="shared" si="109"/>
        <v>0</v>
      </c>
      <c r="CW24" s="28">
        <f t="shared" si="109"/>
        <v>0</v>
      </c>
      <c r="CX24" s="28">
        <f t="shared" si="109"/>
        <v>0</v>
      </c>
      <c r="CY24" s="28">
        <f t="shared" si="109"/>
        <v>0</v>
      </c>
      <c r="CZ24" s="28">
        <f t="shared" si="109"/>
        <v>0</v>
      </c>
      <c r="DA24" s="28">
        <f t="shared" si="109"/>
        <v>0</v>
      </c>
      <c r="DB24" s="28">
        <f t="shared" si="109"/>
        <v>0</v>
      </c>
      <c r="DC24" s="28">
        <f t="shared" si="109"/>
        <v>0</v>
      </c>
      <c r="DD24" s="28">
        <f t="shared" si="109"/>
        <v>0</v>
      </c>
      <c r="DE24" s="28">
        <f t="shared" si="109"/>
        <v>0</v>
      </c>
      <c r="DF24" s="28">
        <f t="shared" si="109"/>
        <v>-3.286</v>
      </c>
      <c r="DG24" s="28">
        <f t="shared" si="109"/>
        <v>-3.286</v>
      </c>
      <c r="DH24" s="28">
        <f t="shared" si="109"/>
        <v>-2.456</v>
      </c>
      <c r="DI24" s="28">
        <f t="shared" si="109"/>
        <v>-3.1259999999999999</v>
      </c>
      <c r="DJ24" s="28">
        <f t="shared" si="109"/>
        <v>-2.6890000000000001</v>
      </c>
      <c r="DK24" s="28">
        <f t="shared" si="109"/>
        <v>-2.8319999999999999</v>
      </c>
      <c r="DL24" s="28">
        <f t="shared" si="109"/>
        <v>-11.103000000000002</v>
      </c>
      <c r="DM24" s="28">
        <f t="shared" si="109"/>
        <v>-3.5489999999999999</v>
      </c>
      <c r="DN24" s="28">
        <f t="shared" si="109"/>
        <v>-3.5489999999999999</v>
      </c>
      <c r="DO24" s="28">
        <f t="shared" si="109"/>
        <v>-3.5790000000000002</v>
      </c>
      <c r="DP24" s="28">
        <f t="shared" si="109"/>
        <v>-4.1609999999999996</v>
      </c>
      <c r="DQ24" s="28">
        <f t="shared" si="109"/>
        <v>-14.837999999999999</v>
      </c>
      <c r="DR24" s="28">
        <f t="shared" si="109"/>
        <v>-3.7429999999999999</v>
      </c>
      <c r="DS24" s="28">
        <f t="shared" si="109"/>
        <v>-4.069</v>
      </c>
      <c r="DT24" s="28">
        <f t="shared" si="109"/>
        <v>-3.9060000000000001</v>
      </c>
      <c r="DU24" s="28">
        <f t="shared" si="109"/>
        <v>-6.2130000000000001</v>
      </c>
      <c r="DV24" s="28">
        <f t="shared" si="83"/>
        <v>-17.931000000000001</v>
      </c>
      <c r="DW24" s="28">
        <f t="shared" si="83"/>
        <v>-3.8250000000000002</v>
      </c>
      <c r="DX24" s="28">
        <f t="shared" si="83"/>
        <v>-3.746</v>
      </c>
      <c r="DY24" s="28">
        <f t="shared" si="83"/>
        <v>-4.2037471000000002</v>
      </c>
      <c r="DZ24" s="28">
        <f t="shared" si="83"/>
        <v>-4.12785841</v>
      </c>
      <c r="EA24" s="28">
        <f t="shared" si="83"/>
        <v>-15.902605509999999</v>
      </c>
      <c r="EB24" s="28">
        <f t="shared" si="83"/>
        <v>-5.3625753700000001</v>
      </c>
      <c r="EC24" s="28">
        <f t="shared" si="83"/>
        <v>-6.5008264699999998</v>
      </c>
      <c r="ED24" s="28">
        <f t="shared" ref="ED24:EF24" si="110">ED51</f>
        <v>-5.4370000000000003</v>
      </c>
      <c r="EE24" s="28">
        <f t="shared" si="110"/>
        <v>-5.9687061299999975</v>
      </c>
      <c r="EF24" s="28">
        <f t="shared" si="110"/>
        <v>-23.269107969999997</v>
      </c>
      <c r="EG24" s="28">
        <f t="shared" ref="EG24:EH24" si="111">EG51</f>
        <v>-8.0352529500000003</v>
      </c>
      <c r="EH24" s="28">
        <f t="shared" si="111"/>
        <v>-13.548176789999999</v>
      </c>
      <c r="EI24" s="28">
        <f t="shared" ref="EI24" si="112">EI51</f>
        <v>-10.333591979999998</v>
      </c>
      <c r="EJ24" s="28">
        <f t="shared" si="21"/>
        <v>-31.917021719999997</v>
      </c>
    </row>
    <row r="25" spans="1:140" x14ac:dyDescent="0.3">
      <c r="A25" s="5" t="s">
        <v>311</v>
      </c>
      <c r="B25" s="29">
        <f t="shared" ref="B25:AG25" si="113">SUM(B3:B24)</f>
        <v>0</v>
      </c>
      <c r="C25" s="29">
        <f t="shared" si="113"/>
        <v>0</v>
      </c>
      <c r="D25" s="29">
        <f t="shared" si="113"/>
        <v>0</v>
      </c>
      <c r="E25" s="29">
        <f t="shared" si="113"/>
        <v>0</v>
      </c>
      <c r="F25" s="29">
        <f t="shared" si="113"/>
        <v>0</v>
      </c>
      <c r="G25" s="29">
        <f t="shared" si="113"/>
        <v>0</v>
      </c>
      <c r="H25" s="29">
        <f t="shared" si="113"/>
        <v>0</v>
      </c>
      <c r="I25" s="29">
        <f t="shared" si="113"/>
        <v>0</v>
      </c>
      <c r="J25" s="29">
        <f t="shared" si="113"/>
        <v>0</v>
      </c>
      <c r="K25" s="29">
        <f t="shared" si="113"/>
        <v>0</v>
      </c>
      <c r="L25" s="29">
        <f t="shared" si="113"/>
        <v>0</v>
      </c>
      <c r="M25" s="29">
        <f t="shared" si="113"/>
        <v>0</v>
      </c>
      <c r="N25" s="29">
        <f t="shared" si="113"/>
        <v>0</v>
      </c>
      <c r="O25" s="29">
        <f t="shared" si="113"/>
        <v>0</v>
      </c>
      <c r="P25" s="29">
        <f t="shared" si="113"/>
        <v>0</v>
      </c>
      <c r="Q25" s="29">
        <f t="shared" si="113"/>
        <v>0</v>
      </c>
      <c r="R25" s="29">
        <f t="shared" si="113"/>
        <v>0</v>
      </c>
      <c r="S25" s="29">
        <f t="shared" si="113"/>
        <v>0</v>
      </c>
      <c r="T25" s="29">
        <f t="shared" si="113"/>
        <v>0</v>
      </c>
      <c r="U25" s="29">
        <f t="shared" si="113"/>
        <v>0</v>
      </c>
      <c r="V25" s="29">
        <f t="shared" si="113"/>
        <v>0</v>
      </c>
      <c r="W25" s="29">
        <f t="shared" si="113"/>
        <v>0</v>
      </c>
      <c r="X25" s="29">
        <f t="shared" si="113"/>
        <v>0</v>
      </c>
      <c r="Y25" s="29">
        <f t="shared" si="113"/>
        <v>0</v>
      </c>
      <c r="Z25" s="29">
        <f t="shared" si="113"/>
        <v>0</v>
      </c>
      <c r="AA25" s="29">
        <f t="shared" si="113"/>
        <v>0</v>
      </c>
      <c r="AB25" s="29">
        <f t="shared" si="113"/>
        <v>0</v>
      </c>
      <c r="AC25" s="29">
        <f t="shared" si="113"/>
        <v>0</v>
      </c>
      <c r="AD25" s="29">
        <f t="shared" si="113"/>
        <v>0</v>
      </c>
      <c r="AE25" s="29">
        <f t="shared" si="113"/>
        <v>0</v>
      </c>
      <c r="AF25" s="29">
        <f t="shared" si="113"/>
        <v>0</v>
      </c>
      <c r="AG25" s="29">
        <f t="shared" si="113"/>
        <v>0</v>
      </c>
      <c r="AH25" s="29">
        <f t="shared" ref="AH25:CS25" si="114">SUM(AH3:AH24)</f>
        <v>0</v>
      </c>
      <c r="AI25" s="29">
        <f t="shared" si="114"/>
        <v>0</v>
      </c>
      <c r="AJ25" s="29">
        <f t="shared" si="114"/>
        <v>0</v>
      </c>
      <c r="AK25" s="29">
        <f t="shared" si="114"/>
        <v>0</v>
      </c>
      <c r="AL25" s="29">
        <f t="shared" si="114"/>
        <v>0</v>
      </c>
      <c r="AM25" s="29">
        <f t="shared" si="114"/>
        <v>0</v>
      </c>
      <c r="AN25" s="29">
        <f t="shared" si="114"/>
        <v>0</v>
      </c>
      <c r="AO25" s="29">
        <f t="shared" si="114"/>
        <v>0</v>
      </c>
      <c r="AP25" s="29">
        <f t="shared" si="114"/>
        <v>0</v>
      </c>
      <c r="AQ25" s="29">
        <f t="shared" si="114"/>
        <v>0</v>
      </c>
      <c r="AR25" s="29">
        <f t="shared" si="114"/>
        <v>0</v>
      </c>
      <c r="AS25" s="29">
        <f t="shared" si="114"/>
        <v>0</v>
      </c>
      <c r="AT25" s="29">
        <f t="shared" si="114"/>
        <v>0</v>
      </c>
      <c r="AU25" s="29">
        <f t="shared" si="114"/>
        <v>0</v>
      </c>
      <c r="AV25" s="29">
        <f t="shared" si="114"/>
        <v>0</v>
      </c>
      <c r="AW25" s="29">
        <f t="shared" si="114"/>
        <v>0</v>
      </c>
      <c r="AX25" s="29">
        <f t="shared" si="114"/>
        <v>0</v>
      </c>
      <c r="AY25" s="29">
        <f t="shared" si="114"/>
        <v>0</v>
      </c>
      <c r="AZ25" s="29">
        <f t="shared" si="114"/>
        <v>0</v>
      </c>
      <c r="BA25" s="29">
        <f t="shared" si="114"/>
        <v>0</v>
      </c>
      <c r="BB25" s="29">
        <f t="shared" si="114"/>
        <v>0</v>
      </c>
      <c r="BC25" s="29">
        <f t="shared" si="114"/>
        <v>0</v>
      </c>
      <c r="BD25" s="29">
        <f t="shared" si="114"/>
        <v>0</v>
      </c>
      <c r="BE25" s="29">
        <f t="shared" si="114"/>
        <v>0</v>
      </c>
      <c r="BF25" s="29">
        <f t="shared" si="114"/>
        <v>0</v>
      </c>
      <c r="BG25" s="29">
        <f t="shared" si="114"/>
        <v>0</v>
      </c>
      <c r="BH25" s="29">
        <f t="shared" si="114"/>
        <v>0</v>
      </c>
      <c r="BI25" s="29">
        <f t="shared" si="114"/>
        <v>0</v>
      </c>
      <c r="BJ25" s="29">
        <f t="shared" si="114"/>
        <v>89.199999999999989</v>
      </c>
      <c r="BK25" s="29">
        <f t="shared" si="114"/>
        <v>77.56</v>
      </c>
      <c r="BL25" s="29">
        <f t="shared" si="114"/>
        <v>77.603000000000009</v>
      </c>
      <c r="BM25" s="29">
        <f t="shared" si="114"/>
        <v>87.676999999999992</v>
      </c>
      <c r="BN25" s="29">
        <f t="shared" si="114"/>
        <v>332.04</v>
      </c>
      <c r="BO25" s="29">
        <f t="shared" si="114"/>
        <v>49.356999999999999</v>
      </c>
      <c r="BP25" s="29">
        <f t="shared" si="114"/>
        <v>97.260999999999996</v>
      </c>
      <c r="BQ25" s="29">
        <f t="shared" si="114"/>
        <v>99.138000000000005</v>
      </c>
      <c r="BR25" s="29">
        <f t="shared" si="114"/>
        <v>135.57900000000001</v>
      </c>
      <c r="BS25" s="29">
        <f t="shared" si="114"/>
        <v>381.33500000000004</v>
      </c>
      <c r="BT25" s="29">
        <f t="shared" si="114"/>
        <v>62.768999999999991</v>
      </c>
      <c r="BU25" s="29">
        <f t="shared" si="114"/>
        <v>105.35799999999999</v>
      </c>
      <c r="BV25" s="29">
        <f t="shared" si="114"/>
        <v>146.05599999999998</v>
      </c>
      <c r="BW25" s="29">
        <f t="shared" si="114"/>
        <v>145.59000000000003</v>
      </c>
      <c r="BX25" s="29">
        <f t="shared" si="114"/>
        <v>459.77300000000002</v>
      </c>
      <c r="BY25" s="29">
        <f t="shared" si="114"/>
        <v>128.50800000000001</v>
      </c>
      <c r="BZ25" s="29">
        <f t="shared" si="114"/>
        <v>160.29199999999997</v>
      </c>
      <c r="CA25" s="29">
        <f t="shared" si="114"/>
        <v>205.59199999999998</v>
      </c>
      <c r="CB25" s="29">
        <f t="shared" si="114"/>
        <v>263.90800000000002</v>
      </c>
      <c r="CC25" s="29">
        <f t="shared" si="114"/>
        <v>758.3</v>
      </c>
      <c r="CD25" s="29">
        <f t="shared" si="114"/>
        <v>225.29999999999995</v>
      </c>
      <c r="CE25" s="29">
        <f t="shared" si="114"/>
        <v>313.53500000000003</v>
      </c>
      <c r="CF25" s="29">
        <f t="shared" si="114"/>
        <v>243.86500000000001</v>
      </c>
      <c r="CG25" s="29">
        <f t="shared" si="114"/>
        <v>227.72499999999999</v>
      </c>
      <c r="CH25" s="29">
        <f t="shared" si="114"/>
        <v>1010.425</v>
      </c>
      <c r="CI25" s="29">
        <f t="shared" si="114"/>
        <v>128.55600000000001</v>
      </c>
      <c r="CJ25" s="29">
        <f t="shared" si="114"/>
        <v>182.58</v>
      </c>
      <c r="CK25" s="29">
        <f t="shared" si="114"/>
        <v>211.8</v>
      </c>
      <c r="CL25" s="29">
        <f t="shared" si="114"/>
        <v>152.4</v>
      </c>
      <c r="CM25" s="29">
        <f t="shared" si="114"/>
        <v>675.33600000000013</v>
      </c>
      <c r="CN25" s="29">
        <f t="shared" si="114"/>
        <v>93.800000000000011</v>
      </c>
      <c r="CO25" s="29">
        <f t="shared" si="114"/>
        <v>138.06799999999998</v>
      </c>
      <c r="CP25" s="29">
        <f t="shared" si="114"/>
        <v>197.524</v>
      </c>
      <c r="CQ25" s="29">
        <f t="shared" si="114"/>
        <v>194.29</v>
      </c>
      <c r="CR25" s="29">
        <f t="shared" si="114"/>
        <v>623.6819999999999</v>
      </c>
      <c r="CS25" s="29">
        <f t="shared" si="114"/>
        <v>116.619</v>
      </c>
      <c r="CT25" s="29">
        <f t="shared" ref="CT25:DX25" si="115">SUM(CT3:CT24)</f>
        <v>193.99100000000001</v>
      </c>
      <c r="CU25" s="29">
        <f t="shared" si="115"/>
        <v>227.06200000000004</v>
      </c>
      <c r="CV25" s="29">
        <f t="shared" si="115"/>
        <v>235.364</v>
      </c>
      <c r="CW25" s="29">
        <f t="shared" si="115"/>
        <v>773.03600000000017</v>
      </c>
      <c r="CX25" s="29">
        <f t="shared" si="115"/>
        <v>157.13699999999997</v>
      </c>
      <c r="CY25" s="29">
        <f t="shared" si="115"/>
        <v>206.57000000000002</v>
      </c>
      <c r="CZ25" s="29">
        <f t="shared" si="115"/>
        <v>219.411</v>
      </c>
      <c r="DA25" s="29">
        <f t="shared" si="115"/>
        <v>305.03399999999993</v>
      </c>
      <c r="DB25" s="29">
        <f t="shared" si="115"/>
        <v>888.15200000000004</v>
      </c>
      <c r="DC25" s="29">
        <f t="shared" si="115"/>
        <v>272.60200000000003</v>
      </c>
      <c r="DD25" s="29">
        <f t="shared" si="115"/>
        <v>295.35099999999994</v>
      </c>
      <c r="DE25" s="29">
        <f t="shared" si="115"/>
        <v>329.25599999999997</v>
      </c>
      <c r="DF25" s="29">
        <f t="shared" si="115"/>
        <v>399.04599999999999</v>
      </c>
      <c r="DG25" s="29">
        <f t="shared" si="115"/>
        <v>1296.2550000000001</v>
      </c>
      <c r="DH25" s="29">
        <f t="shared" si="115"/>
        <v>263.38099999999997</v>
      </c>
      <c r="DI25" s="29">
        <f t="shared" si="115"/>
        <v>326.29000000000008</v>
      </c>
      <c r="DJ25" s="29">
        <f t="shared" si="115"/>
        <v>347.85499999999996</v>
      </c>
      <c r="DK25" s="29">
        <f t="shared" si="115"/>
        <v>337.59900000000005</v>
      </c>
      <c r="DL25" s="29">
        <f t="shared" si="115"/>
        <v>1275.1249999999998</v>
      </c>
      <c r="DM25" s="29">
        <f t="shared" si="115"/>
        <v>222.75499999999997</v>
      </c>
      <c r="DN25" s="29">
        <f t="shared" si="115"/>
        <v>352.2480000000001</v>
      </c>
      <c r="DO25" s="29">
        <f t="shared" si="115"/>
        <v>892.7700000000001</v>
      </c>
      <c r="DP25" s="29">
        <f t="shared" si="115"/>
        <v>1274.979</v>
      </c>
      <c r="DQ25" s="29">
        <f t="shared" si="115"/>
        <v>2742.752</v>
      </c>
      <c r="DR25" s="29">
        <f t="shared" si="115"/>
        <v>547.44299999999998</v>
      </c>
      <c r="DS25" s="29">
        <f t="shared" si="115"/>
        <v>739.86599999999999</v>
      </c>
      <c r="DT25" s="29">
        <f t="shared" si="115"/>
        <v>918.5870000000001</v>
      </c>
      <c r="DU25" s="29">
        <f t="shared" si="115"/>
        <v>852.96799999999996</v>
      </c>
      <c r="DV25" s="29">
        <f t="shared" si="115"/>
        <v>3058.8640000000005</v>
      </c>
      <c r="DW25" s="29">
        <f t="shared" si="115"/>
        <v>611.19099999999992</v>
      </c>
      <c r="DX25" s="29">
        <f t="shared" si="115"/>
        <v>2208.9580000000005</v>
      </c>
      <c r="DY25" s="29">
        <f t="shared" ref="DY25:ED25" si="116">SUM(DY3:DY24)</f>
        <v>1291.5752528999999</v>
      </c>
      <c r="DZ25" s="29">
        <f t="shared" si="116"/>
        <v>1355.1697587600001</v>
      </c>
      <c r="EA25" s="29">
        <f t="shared" si="116"/>
        <v>4181.9060116600003</v>
      </c>
      <c r="EB25" s="29">
        <f t="shared" si="116"/>
        <v>805.00442463000002</v>
      </c>
      <c r="EC25" s="29">
        <f t="shared" si="116"/>
        <v>1023.6011735299999</v>
      </c>
      <c r="ED25" s="29">
        <f t="shared" si="116"/>
        <v>1122.3310000000001</v>
      </c>
      <c r="EE25" s="29">
        <f t="shared" ref="EE25:EF25" si="117">SUM(EE3:EE24)</f>
        <v>1442.1302938699998</v>
      </c>
      <c r="EF25" s="29">
        <f t="shared" si="117"/>
        <v>4393.0668920300013</v>
      </c>
      <c r="EG25" s="29">
        <f t="shared" ref="EG25:EJ25" si="118">SUM(EG3:EG24)</f>
        <v>3211.7117470499998</v>
      </c>
      <c r="EH25" s="29">
        <f t="shared" ref="EH25:EI25" si="119">SUM(EH3:EH24)</f>
        <v>1171.9465032100002</v>
      </c>
      <c r="EI25" s="29">
        <f t="shared" si="119"/>
        <v>1294.0257083700003</v>
      </c>
      <c r="EJ25" s="29">
        <f t="shared" si="118"/>
        <v>5677.6839586299993</v>
      </c>
    </row>
    <row r="26" spans="1:140" x14ac:dyDescent="0.3"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</row>
    <row r="27" spans="1:140" x14ac:dyDescent="0.3">
      <c r="ED27" s="37"/>
      <c r="EE27" s="37"/>
      <c r="EG27" s="37"/>
      <c r="EH27" s="37"/>
      <c r="EI27" s="37"/>
    </row>
    <row r="28" spans="1:140" x14ac:dyDescent="0.3">
      <c r="A28" s="3" t="s">
        <v>407</v>
      </c>
      <c r="B28" s="6" t="s">
        <v>4</v>
      </c>
      <c r="C28" s="6" t="s">
        <v>5</v>
      </c>
      <c r="D28" s="6" t="s">
        <v>6</v>
      </c>
      <c r="E28" s="6" t="s">
        <v>7</v>
      </c>
      <c r="F28" s="6">
        <v>1998</v>
      </c>
      <c r="G28" s="6" t="s">
        <v>8</v>
      </c>
      <c r="H28" s="6" t="s">
        <v>9</v>
      </c>
      <c r="I28" s="6" t="s">
        <v>10</v>
      </c>
      <c r="J28" s="6" t="s">
        <v>11</v>
      </c>
      <c r="K28" s="6">
        <v>1999</v>
      </c>
      <c r="L28" s="6" t="s">
        <v>12</v>
      </c>
      <c r="M28" s="6" t="s">
        <v>13</v>
      </c>
      <c r="N28" s="6" t="s">
        <v>14</v>
      </c>
      <c r="O28" s="6" t="s">
        <v>15</v>
      </c>
      <c r="P28" s="6">
        <v>2000</v>
      </c>
      <c r="Q28" s="6" t="s">
        <v>16</v>
      </c>
      <c r="R28" s="6" t="s">
        <v>17</v>
      </c>
      <c r="S28" s="6" t="s">
        <v>18</v>
      </c>
      <c r="T28" s="6" t="s">
        <v>19</v>
      </c>
      <c r="U28" s="6">
        <v>2001</v>
      </c>
      <c r="V28" s="6" t="s">
        <v>20</v>
      </c>
      <c r="W28" s="6" t="s">
        <v>21</v>
      </c>
      <c r="X28" s="6" t="s">
        <v>22</v>
      </c>
      <c r="Y28" s="6" t="s">
        <v>23</v>
      </c>
      <c r="Z28" s="6">
        <v>2002</v>
      </c>
      <c r="AA28" s="6" t="s">
        <v>24</v>
      </c>
      <c r="AB28" s="6" t="s">
        <v>25</v>
      </c>
      <c r="AC28" s="6" t="s">
        <v>26</v>
      </c>
      <c r="AD28" s="6" t="s">
        <v>27</v>
      </c>
      <c r="AE28" s="6">
        <v>2003</v>
      </c>
      <c r="AF28" s="6" t="s">
        <v>28</v>
      </c>
      <c r="AG28" s="6" t="s">
        <v>29</v>
      </c>
      <c r="AH28" s="6" t="s">
        <v>30</v>
      </c>
      <c r="AI28" s="6" t="s">
        <v>31</v>
      </c>
      <c r="AJ28" s="6">
        <v>2004</v>
      </c>
      <c r="AK28" s="6" t="s">
        <v>32</v>
      </c>
      <c r="AL28" s="6" t="s">
        <v>33</v>
      </c>
      <c r="AM28" s="6" t="s">
        <v>34</v>
      </c>
      <c r="AN28" s="6" t="s">
        <v>35</v>
      </c>
      <c r="AO28" s="6">
        <v>2005</v>
      </c>
      <c r="AP28" s="6" t="s">
        <v>36</v>
      </c>
      <c r="AQ28" s="6" t="s">
        <v>37</v>
      </c>
      <c r="AR28" s="6" t="s">
        <v>38</v>
      </c>
      <c r="AS28" s="6" t="s">
        <v>39</v>
      </c>
      <c r="AT28" s="6">
        <v>2006</v>
      </c>
      <c r="AU28" s="6" t="s">
        <v>40</v>
      </c>
      <c r="AV28" s="6" t="s">
        <v>41</v>
      </c>
      <c r="AW28" s="6" t="s">
        <v>42</v>
      </c>
      <c r="AX28" s="6" t="s">
        <v>43</v>
      </c>
      <c r="AY28" s="6">
        <v>2007</v>
      </c>
      <c r="AZ28" s="6" t="s">
        <v>44</v>
      </c>
      <c r="BA28" s="6" t="s">
        <v>45</v>
      </c>
      <c r="BB28" s="6" t="s">
        <v>46</v>
      </c>
      <c r="BC28" s="6" t="s">
        <v>47</v>
      </c>
      <c r="BD28" s="6">
        <v>2008</v>
      </c>
      <c r="BE28" s="6" t="s">
        <v>48</v>
      </c>
      <c r="BF28" s="6" t="s">
        <v>49</v>
      </c>
      <c r="BG28" s="6" t="s">
        <v>50</v>
      </c>
      <c r="BH28" s="6" t="s">
        <v>51</v>
      </c>
      <c r="BI28" s="6">
        <v>2009</v>
      </c>
      <c r="BJ28" s="6" t="s">
        <v>52</v>
      </c>
      <c r="BK28" s="6" t="s">
        <v>53</v>
      </c>
      <c r="BL28" s="6" t="s">
        <v>54</v>
      </c>
      <c r="BM28" s="6" t="s">
        <v>55</v>
      </c>
      <c r="BN28" s="6">
        <v>2010</v>
      </c>
      <c r="BO28" s="6" t="s">
        <v>56</v>
      </c>
      <c r="BP28" s="6" t="s">
        <v>57</v>
      </c>
      <c r="BQ28" s="6" t="s">
        <v>58</v>
      </c>
      <c r="BR28" s="6" t="s">
        <v>59</v>
      </c>
      <c r="BS28" s="6">
        <v>2011</v>
      </c>
      <c r="BT28" s="6" t="s">
        <v>60</v>
      </c>
      <c r="BU28" s="6" t="s">
        <v>61</v>
      </c>
      <c r="BV28" s="6" t="s">
        <v>62</v>
      </c>
      <c r="BW28" s="6" t="s">
        <v>63</v>
      </c>
      <c r="BX28" s="6">
        <v>2012</v>
      </c>
      <c r="BY28" s="6" t="s">
        <v>64</v>
      </c>
      <c r="BZ28" s="6" t="s">
        <v>65</v>
      </c>
      <c r="CA28" s="6" t="s">
        <v>66</v>
      </c>
      <c r="CB28" s="6" t="s">
        <v>67</v>
      </c>
      <c r="CC28" s="6">
        <v>2013</v>
      </c>
      <c r="CD28" s="6" t="s">
        <v>68</v>
      </c>
      <c r="CE28" s="6" t="s">
        <v>69</v>
      </c>
      <c r="CF28" s="6" t="s">
        <v>70</v>
      </c>
      <c r="CG28" s="6" t="s">
        <v>71</v>
      </c>
      <c r="CH28" s="6">
        <v>2014</v>
      </c>
      <c r="CI28" s="6" t="s">
        <v>72</v>
      </c>
      <c r="CJ28" s="6" t="s">
        <v>73</v>
      </c>
      <c r="CK28" s="6" t="s">
        <v>74</v>
      </c>
      <c r="CL28" s="6" t="s">
        <v>75</v>
      </c>
      <c r="CM28" s="6">
        <v>2015</v>
      </c>
      <c r="CN28" s="6" t="s">
        <v>76</v>
      </c>
      <c r="CO28" s="6" t="s">
        <v>77</v>
      </c>
      <c r="CP28" s="6" t="s">
        <v>78</v>
      </c>
      <c r="CQ28" s="6" t="s">
        <v>79</v>
      </c>
      <c r="CR28" s="6">
        <v>2016</v>
      </c>
      <c r="CS28" s="6" t="s">
        <v>80</v>
      </c>
      <c r="CT28" s="6" t="s">
        <v>81</v>
      </c>
      <c r="CU28" s="6" t="s">
        <v>82</v>
      </c>
      <c r="CV28" s="6" t="s">
        <v>83</v>
      </c>
      <c r="CW28" s="6">
        <v>2017</v>
      </c>
      <c r="CX28" s="6" t="s">
        <v>84</v>
      </c>
      <c r="CY28" s="6" t="s">
        <v>85</v>
      </c>
      <c r="CZ28" s="6" t="s">
        <v>86</v>
      </c>
      <c r="DA28" s="6" t="s">
        <v>87</v>
      </c>
      <c r="DB28" s="6">
        <v>2018</v>
      </c>
      <c r="DC28" s="6" t="s">
        <v>88</v>
      </c>
      <c r="DD28" s="6" t="s">
        <v>89</v>
      </c>
      <c r="DE28" s="6" t="s">
        <v>90</v>
      </c>
      <c r="DF28" s="6" t="s">
        <v>91</v>
      </c>
      <c r="DG28" s="6">
        <v>2019</v>
      </c>
      <c r="DH28" s="6" t="s">
        <v>92</v>
      </c>
      <c r="DI28" s="6" t="s">
        <v>93</v>
      </c>
      <c r="DJ28" s="6" t="s">
        <v>94</v>
      </c>
      <c r="DK28" s="6" t="s">
        <v>95</v>
      </c>
      <c r="DL28" s="6">
        <v>2020</v>
      </c>
      <c r="DM28" s="6" t="s">
        <v>96</v>
      </c>
      <c r="DN28" s="6" t="s">
        <v>97</v>
      </c>
      <c r="DO28" s="6" t="s">
        <v>98</v>
      </c>
      <c r="DP28" s="6" t="s">
        <v>99</v>
      </c>
      <c r="DQ28" s="6">
        <v>2021</v>
      </c>
      <c r="DR28" s="6" t="s">
        <v>100</v>
      </c>
      <c r="DS28" s="6" t="s">
        <v>101</v>
      </c>
      <c r="DT28" s="6" t="s">
        <v>200</v>
      </c>
      <c r="DU28" s="6" t="s">
        <v>380</v>
      </c>
      <c r="DV28" s="6">
        <v>2022</v>
      </c>
      <c r="DW28" s="6" t="s">
        <v>379</v>
      </c>
      <c r="DX28" s="6" t="s">
        <v>402</v>
      </c>
      <c r="DY28" s="6" t="s">
        <v>414</v>
      </c>
      <c r="DZ28" s="6" t="s">
        <v>419</v>
      </c>
      <c r="EA28" s="6">
        <v>2023</v>
      </c>
      <c r="EB28" s="6" t="s">
        <v>424</v>
      </c>
      <c r="EC28" s="6" t="s">
        <v>429</v>
      </c>
      <c r="ED28" s="6" t="str">
        <f>$ED$1</f>
        <v>3T24</v>
      </c>
      <c r="EE28" s="6" t="str">
        <f>$EE$1</f>
        <v>4T24</v>
      </c>
      <c r="EF28" s="6">
        <f>$EF$1</f>
        <v>2024</v>
      </c>
      <c r="EG28" s="6" t="str">
        <f>EG$1</f>
        <v>1T25</v>
      </c>
      <c r="EH28" s="6" t="str">
        <f>EH$1</f>
        <v>2T25</v>
      </c>
      <c r="EI28" s="6" t="str">
        <f>EI$1</f>
        <v>3T25</v>
      </c>
      <c r="EJ28" s="6">
        <f>EJ$1</f>
        <v>2025</v>
      </c>
    </row>
    <row r="29" spans="1:140" ht="15" thickBot="1" x14ac:dyDescent="0.35">
      <c r="A29" s="4" t="s">
        <v>408</v>
      </c>
      <c r="B29" s="7" t="s">
        <v>102</v>
      </c>
      <c r="C29" s="7" t="s">
        <v>103</v>
      </c>
      <c r="D29" s="7" t="s">
        <v>104</v>
      </c>
      <c r="E29" s="7" t="s">
        <v>105</v>
      </c>
      <c r="F29" s="7">
        <v>1998</v>
      </c>
      <c r="G29" s="7" t="s">
        <v>106</v>
      </c>
      <c r="H29" s="7" t="s">
        <v>107</v>
      </c>
      <c r="I29" s="7" t="s">
        <v>108</v>
      </c>
      <c r="J29" s="7" t="s">
        <v>109</v>
      </c>
      <c r="K29" s="7">
        <v>1999</v>
      </c>
      <c r="L29" s="7" t="s">
        <v>110</v>
      </c>
      <c r="M29" s="7" t="s">
        <v>111</v>
      </c>
      <c r="N29" s="7" t="s">
        <v>112</v>
      </c>
      <c r="O29" s="7" t="s">
        <v>113</v>
      </c>
      <c r="P29" s="7">
        <v>2000</v>
      </c>
      <c r="Q29" s="7" t="s">
        <v>114</v>
      </c>
      <c r="R29" s="7" t="s">
        <v>115</v>
      </c>
      <c r="S29" s="7" t="s">
        <v>116</v>
      </c>
      <c r="T29" s="7" t="s">
        <v>117</v>
      </c>
      <c r="U29" s="7">
        <v>2001</v>
      </c>
      <c r="V29" s="7" t="s">
        <v>118</v>
      </c>
      <c r="W29" s="7" t="s">
        <v>119</v>
      </c>
      <c r="X29" s="7" t="s">
        <v>120</v>
      </c>
      <c r="Y29" s="7" t="s">
        <v>121</v>
      </c>
      <c r="Z29" s="7">
        <v>2002</v>
      </c>
      <c r="AA29" s="7" t="s">
        <v>122</v>
      </c>
      <c r="AB29" s="7" t="s">
        <v>123</v>
      </c>
      <c r="AC29" s="7" t="s">
        <v>124</v>
      </c>
      <c r="AD29" s="7" t="s">
        <v>125</v>
      </c>
      <c r="AE29" s="7">
        <v>2003</v>
      </c>
      <c r="AF29" s="7" t="s">
        <v>126</v>
      </c>
      <c r="AG29" s="7" t="s">
        <v>127</v>
      </c>
      <c r="AH29" s="7" t="s">
        <v>128</v>
      </c>
      <c r="AI29" s="7" t="s">
        <v>129</v>
      </c>
      <c r="AJ29" s="7">
        <v>2004</v>
      </c>
      <c r="AK29" s="7" t="s">
        <v>130</v>
      </c>
      <c r="AL29" s="7" t="s">
        <v>131</v>
      </c>
      <c r="AM29" s="7" t="s">
        <v>132</v>
      </c>
      <c r="AN29" s="7" t="s">
        <v>133</v>
      </c>
      <c r="AO29" s="7">
        <v>2005</v>
      </c>
      <c r="AP29" s="7" t="s">
        <v>134</v>
      </c>
      <c r="AQ29" s="7" t="s">
        <v>135</v>
      </c>
      <c r="AR29" s="7" t="s">
        <v>136</v>
      </c>
      <c r="AS29" s="7" t="s">
        <v>137</v>
      </c>
      <c r="AT29" s="7">
        <v>2006</v>
      </c>
      <c r="AU29" s="7" t="s">
        <v>138</v>
      </c>
      <c r="AV29" s="7" t="s">
        <v>139</v>
      </c>
      <c r="AW29" s="7" t="s">
        <v>140</v>
      </c>
      <c r="AX29" s="7" t="s">
        <v>141</v>
      </c>
      <c r="AY29" s="7">
        <v>2007</v>
      </c>
      <c r="AZ29" s="7" t="s">
        <v>142</v>
      </c>
      <c r="BA29" s="7" t="s">
        <v>143</v>
      </c>
      <c r="BB29" s="7" t="s">
        <v>144</v>
      </c>
      <c r="BC29" s="7" t="s">
        <v>145</v>
      </c>
      <c r="BD29" s="7">
        <v>2008</v>
      </c>
      <c r="BE29" s="7" t="s">
        <v>146</v>
      </c>
      <c r="BF29" s="7" t="s">
        <v>147</v>
      </c>
      <c r="BG29" s="7" t="s">
        <v>148</v>
      </c>
      <c r="BH29" s="7" t="s">
        <v>149</v>
      </c>
      <c r="BI29" s="7">
        <v>2009</v>
      </c>
      <c r="BJ29" s="7" t="s">
        <v>150</v>
      </c>
      <c r="BK29" s="7" t="s">
        <v>151</v>
      </c>
      <c r="BL29" s="7" t="s">
        <v>152</v>
      </c>
      <c r="BM29" s="7" t="s">
        <v>153</v>
      </c>
      <c r="BN29" s="7">
        <v>2010</v>
      </c>
      <c r="BO29" s="7" t="s">
        <v>154</v>
      </c>
      <c r="BP29" s="7" t="s">
        <v>155</v>
      </c>
      <c r="BQ29" s="7" t="s">
        <v>156</v>
      </c>
      <c r="BR29" s="7" t="s">
        <v>157</v>
      </c>
      <c r="BS29" s="7">
        <v>2011</v>
      </c>
      <c r="BT29" s="7" t="s">
        <v>158</v>
      </c>
      <c r="BU29" s="7" t="s">
        <v>159</v>
      </c>
      <c r="BV29" s="7" t="s">
        <v>160</v>
      </c>
      <c r="BW29" s="7" t="s">
        <v>161</v>
      </c>
      <c r="BX29" s="7">
        <v>2012</v>
      </c>
      <c r="BY29" s="7" t="s">
        <v>162</v>
      </c>
      <c r="BZ29" s="7" t="s">
        <v>163</v>
      </c>
      <c r="CA29" s="7" t="s">
        <v>164</v>
      </c>
      <c r="CB29" s="7" t="s">
        <v>165</v>
      </c>
      <c r="CC29" s="7">
        <v>2013</v>
      </c>
      <c r="CD29" s="7" t="s">
        <v>166</v>
      </c>
      <c r="CE29" s="7" t="s">
        <v>167</v>
      </c>
      <c r="CF29" s="7" t="s">
        <v>168</v>
      </c>
      <c r="CG29" s="7" t="s">
        <v>169</v>
      </c>
      <c r="CH29" s="7">
        <v>2014</v>
      </c>
      <c r="CI29" s="7" t="s">
        <v>170</v>
      </c>
      <c r="CJ29" s="7" t="s">
        <v>171</v>
      </c>
      <c r="CK29" s="7" t="s">
        <v>172</v>
      </c>
      <c r="CL29" s="7" t="s">
        <v>173</v>
      </c>
      <c r="CM29" s="7">
        <v>2015</v>
      </c>
      <c r="CN29" s="7" t="s">
        <v>174</v>
      </c>
      <c r="CO29" s="7" t="s">
        <v>175</v>
      </c>
      <c r="CP29" s="7" t="s">
        <v>176</v>
      </c>
      <c r="CQ29" s="7" t="s">
        <v>177</v>
      </c>
      <c r="CR29" s="7">
        <v>2016</v>
      </c>
      <c r="CS29" s="7" t="s">
        <v>178</v>
      </c>
      <c r="CT29" s="7" t="s">
        <v>179</v>
      </c>
      <c r="CU29" s="7" t="s">
        <v>180</v>
      </c>
      <c r="CV29" s="7" t="s">
        <v>181</v>
      </c>
      <c r="CW29" s="7">
        <v>2017</v>
      </c>
      <c r="CX29" s="7" t="s">
        <v>182</v>
      </c>
      <c r="CY29" s="7" t="s">
        <v>183</v>
      </c>
      <c r="CZ29" s="7" t="s">
        <v>184</v>
      </c>
      <c r="DA29" s="7" t="s">
        <v>185</v>
      </c>
      <c r="DB29" s="7">
        <v>2018</v>
      </c>
      <c r="DC29" s="7" t="s">
        <v>186</v>
      </c>
      <c r="DD29" s="7" t="s">
        <v>187</v>
      </c>
      <c r="DE29" s="7" t="s">
        <v>188</v>
      </c>
      <c r="DF29" s="7" t="s">
        <v>189</v>
      </c>
      <c r="DG29" s="7">
        <v>2019</v>
      </c>
      <c r="DH29" s="7" t="s">
        <v>190</v>
      </c>
      <c r="DI29" s="7" t="s">
        <v>191</v>
      </c>
      <c r="DJ29" s="7" t="s">
        <v>192</v>
      </c>
      <c r="DK29" s="7" t="s">
        <v>193</v>
      </c>
      <c r="DL29" s="7">
        <v>2020</v>
      </c>
      <c r="DM29" s="7" t="s">
        <v>194</v>
      </c>
      <c r="DN29" s="7" t="s">
        <v>195</v>
      </c>
      <c r="DO29" s="7" t="s">
        <v>196</v>
      </c>
      <c r="DP29" s="7" t="s">
        <v>197</v>
      </c>
      <c r="DQ29" s="7">
        <v>2021</v>
      </c>
      <c r="DR29" s="7" t="s">
        <v>198</v>
      </c>
      <c r="DS29" s="7" t="s">
        <v>199</v>
      </c>
      <c r="DT29" s="7" t="s">
        <v>201</v>
      </c>
      <c r="DU29" s="7" t="s">
        <v>381</v>
      </c>
      <c r="DV29" s="7">
        <v>2022</v>
      </c>
      <c r="DW29" s="7" t="s">
        <v>382</v>
      </c>
      <c r="DX29" s="7" t="s">
        <v>403</v>
      </c>
      <c r="DY29" s="7" t="s">
        <v>415</v>
      </c>
      <c r="DZ29" s="7" t="s">
        <v>420</v>
      </c>
      <c r="EA29" s="7">
        <v>2023</v>
      </c>
      <c r="EB29" s="7" t="s">
        <v>425</v>
      </c>
      <c r="EC29" s="7" t="s">
        <v>430</v>
      </c>
      <c r="ED29" s="7" t="str">
        <f>$ED$2</f>
        <v>3Q24</v>
      </c>
      <c r="EE29" s="7" t="str">
        <f>$EE$2</f>
        <v>4Q24</v>
      </c>
      <c r="EF29" s="7">
        <f>$EF$2</f>
        <v>2024</v>
      </c>
      <c r="EG29" s="7" t="str">
        <f>EG$2</f>
        <v>1Q25</v>
      </c>
      <c r="EH29" s="7" t="str">
        <f>EH$2</f>
        <v>2Q25</v>
      </c>
      <c r="EI29" s="7" t="str">
        <f>EI$2</f>
        <v>3Q25</v>
      </c>
      <c r="EJ29" s="7">
        <f>EJ28</f>
        <v>2025</v>
      </c>
    </row>
    <row r="30" spans="1:140" ht="15" thickTop="1" x14ac:dyDescent="0.3">
      <c r="A30" s="1" t="s">
        <v>2</v>
      </c>
      <c r="B30" s="27"/>
      <c r="C30" s="27"/>
      <c r="D30" s="27"/>
      <c r="E30" s="27"/>
      <c r="F30" s="27">
        <f>SUM(B30:E30)</f>
        <v>0</v>
      </c>
      <c r="G30" s="27"/>
      <c r="H30" s="27"/>
      <c r="I30" s="27"/>
      <c r="J30" s="27"/>
      <c r="K30" s="27">
        <f>SUM(G30:J30)</f>
        <v>0</v>
      </c>
      <c r="L30" s="27"/>
      <c r="M30" s="27"/>
      <c r="N30" s="27"/>
      <c r="O30" s="27"/>
      <c r="P30" s="27">
        <f>SUM(L30:O30)</f>
        <v>0</v>
      </c>
      <c r="Q30" s="27"/>
      <c r="R30" s="27"/>
      <c r="S30" s="27"/>
      <c r="T30" s="27"/>
      <c r="U30" s="27">
        <f>SUM(Q30:T30)</f>
        <v>0</v>
      </c>
      <c r="V30" s="27"/>
      <c r="W30" s="27"/>
      <c r="X30" s="27"/>
      <c r="Y30" s="27"/>
      <c r="Z30" s="27">
        <f>SUM(V30:Y30)</f>
        <v>0</v>
      </c>
      <c r="AA30" s="27"/>
      <c r="AB30" s="27"/>
      <c r="AC30" s="27"/>
      <c r="AD30" s="27"/>
      <c r="AE30" s="27">
        <f>SUM(AA30:AD30)</f>
        <v>0</v>
      </c>
      <c r="AF30" s="27"/>
      <c r="AG30" s="27"/>
      <c r="AH30" s="27"/>
      <c r="AI30" s="27"/>
      <c r="AJ30" s="27">
        <f>SUM(AF30:AI30)</f>
        <v>0</v>
      </c>
      <c r="AK30" s="27"/>
      <c r="AL30" s="27"/>
      <c r="AM30" s="27"/>
      <c r="AN30" s="27"/>
      <c r="AO30" s="27">
        <f>SUM(AK30:AN30)</f>
        <v>0</v>
      </c>
      <c r="AP30" s="27"/>
      <c r="AQ30" s="27"/>
      <c r="AR30" s="27"/>
      <c r="AS30" s="27"/>
      <c r="AT30" s="27">
        <f>SUM(AP30:AS30)</f>
        <v>0</v>
      </c>
      <c r="AU30" s="27"/>
      <c r="AV30" s="27"/>
      <c r="AW30" s="27"/>
      <c r="AX30" s="27"/>
      <c r="AY30" s="27">
        <f>SUM(AU30:AX30)</f>
        <v>0</v>
      </c>
      <c r="AZ30" s="27"/>
      <c r="BA30" s="27"/>
      <c r="BB30" s="27"/>
      <c r="BC30" s="27"/>
      <c r="BD30" s="27">
        <f>SUM(AZ30:BC30)</f>
        <v>0</v>
      </c>
      <c r="BE30" s="27"/>
      <c r="BF30" s="27"/>
      <c r="BG30" s="27"/>
      <c r="BH30" s="27"/>
      <c r="BI30" s="27">
        <f>SUM(BE30:BH30)</f>
        <v>0</v>
      </c>
      <c r="BJ30" s="27">
        <v>4.96</v>
      </c>
      <c r="BK30" s="27">
        <v>8.75</v>
      </c>
      <c r="BL30" s="27">
        <v>7.6</v>
      </c>
      <c r="BM30" s="27">
        <v>4.5199999999999996</v>
      </c>
      <c r="BN30" s="27">
        <f>SUM(BJ30:BM30)</f>
        <v>25.830000000000002</v>
      </c>
      <c r="BO30" s="27">
        <v>2.6</v>
      </c>
      <c r="BP30" s="27">
        <v>6.6239999999999997</v>
      </c>
      <c r="BQ30" s="27">
        <v>9.4920000000000009</v>
      </c>
      <c r="BR30" s="27">
        <v>9.4930000000000003</v>
      </c>
      <c r="BS30" s="27">
        <f>SUM(BO30:BR30)</f>
        <v>28.209000000000003</v>
      </c>
      <c r="BT30" s="27">
        <v>3.6850000000000001</v>
      </c>
      <c r="BU30" s="27">
        <v>7.8520000000000003</v>
      </c>
      <c r="BV30" s="27">
        <v>9.9</v>
      </c>
      <c r="BW30" s="27">
        <v>9.7840000000000007</v>
      </c>
      <c r="BX30" s="27">
        <f>SUM(BT30:BW30)</f>
        <v>31.221000000000004</v>
      </c>
      <c r="BY30" s="27">
        <v>16.899999999999999</v>
      </c>
      <c r="BZ30" s="27">
        <v>3.3</v>
      </c>
      <c r="CA30" s="27">
        <v>10.9</v>
      </c>
      <c r="CB30" s="27">
        <v>10.7</v>
      </c>
      <c r="CC30" s="27">
        <f>SUM(BY30:CB30)</f>
        <v>41.8</v>
      </c>
      <c r="CD30" s="27">
        <v>7.9</v>
      </c>
      <c r="CE30" s="27">
        <v>13.9</v>
      </c>
      <c r="CF30" s="27">
        <v>11.2</v>
      </c>
      <c r="CG30" s="27">
        <v>14.8</v>
      </c>
      <c r="CH30" s="27">
        <f>SUM(CD30:CG30)</f>
        <v>47.8</v>
      </c>
      <c r="CI30" s="27">
        <v>15.1</v>
      </c>
      <c r="CJ30" s="27">
        <v>19.2</v>
      </c>
      <c r="CK30" s="27">
        <v>14.6</v>
      </c>
      <c r="CL30" s="27">
        <v>4.9000000000000004</v>
      </c>
      <c r="CM30" s="27">
        <f>SUM(CI30:CL30)</f>
        <v>53.8</v>
      </c>
      <c r="CN30" s="27">
        <v>8.1</v>
      </c>
      <c r="CO30" s="27">
        <v>2.2999999999999998</v>
      </c>
      <c r="CP30" s="27">
        <v>2.4</v>
      </c>
      <c r="CQ30" s="27">
        <v>2.4079999999999999</v>
      </c>
      <c r="CR30" s="27">
        <f>SUM(CN30:CQ30)</f>
        <v>15.207999999999998</v>
      </c>
      <c r="CS30" s="27">
        <v>2.5019999999999998</v>
      </c>
      <c r="CT30" s="27">
        <v>5.9240000000000004</v>
      </c>
      <c r="CU30" s="27">
        <v>7.7169999999999996</v>
      </c>
      <c r="CV30" s="27">
        <v>8.3350000000000009</v>
      </c>
      <c r="CW30" s="27">
        <f>SUM(CS30:CV30)</f>
        <v>24.478000000000002</v>
      </c>
      <c r="CX30" s="27">
        <v>3.1880000000000002</v>
      </c>
      <c r="CY30" s="27">
        <v>3.887</v>
      </c>
      <c r="CZ30" s="27">
        <v>5.7510000000000003</v>
      </c>
      <c r="DA30" s="27">
        <v>8.4019999999999992</v>
      </c>
      <c r="DB30" s="27">
        <f>SUM(CX30:DA30)</f>
        <v>21.228000000000002</v>
      </c>
      <c r="DC30" s="27">
        <v>0.879</v>
      </c>
      <c r="DD30" s="27">
        <v>0.89100000000000001</v>
      </c>
      <c r="DE30" s="27">
        <v>1.046</v>
      </c>
      <c r="DF30" s="27">
        <v>0.29499999999999998</v>
      </c>
      <c r="DG30" s="27">
        <f>SUM(DC30:DF30)</f>
        <v>3.1109999999999998</v>
      </c>
      <c r="DH30" s="27">
        <v>1.6919999999999999</v>
      </c>
      <c r="DI30" s="27">
        <v>1.2410000000000001</v>
      </c>
      <c r="DJ30" s="27">
        <v>1.2350000000000001</v>
      </c>
      <c r="DK30" s="27">
        <v>1.94</v>
      </c>
      <c r="DL30" s="27">
        <f>SUM(DH30:DK30)</f>
        <v>6.1080000000000005</v>
      </c>
      <c r="DM30" s="27">
        <v>1.206</v>
      </c>
      <c r="DN30" s="27">
        <v>3.9209999999999998</v>
      </c>
      <c r="DO30" s="27">
        <v>5.41</v>
      </c>
      <c r="DP30" s="27">
        <v>10.785</v>
      </c>
      <c r="DQ30" s="27">
        <f>SUM(DM30:DP30)</f>
        <v>21.321999999999999</v>
      </c>
      <c r="DR30" s="27">
        <v>0</v>
      </c>
      <c r="DS30" s="27">
        <v>0</v>
      </c>
      <c r="DT30" s="27">
        <v>0</v>
      </c>
      <c r="DU30" s="27">
        <v>0</v>
      </c>
      <c r="DV30" s="27">
        <f>SUM(DR30:DU30)</f>
        <v>0</v>
      </c>
      <c r="DW30" s="27">
        <v>0</v>
      </c>
      <c r="DX30" s="27">
        <v>0</v>
      </c>
      <c r="DY30" s="27">
        <v>0</v>
      </c>
      <c r="DZ30" s="27">
        <v>0</v>
      </c>
      <c r="EA30" s="27">
        <f>SUM(DW30:DZ30)</f>
        <v>0</v>
      </c>
      <c r="EB30" s="27">
        <v>0</v>
      </c>
      <c r="EC30" s="27">
        <v>0</v>
      </c>
      <c r="ED30" s="27">
        <v>0</v>
      </c>
      <c r="EE30" s="27">
        <v>0</v>
      </c>
      <c r="EF30" s="27">
        <f>SUM(EB30:EE30)</f>
        <v>0</v>
      </c>
      <c r="EG30" s="27">
        <v>0</v>
      </c>
      <c r="EH30" s="27">
        <v>0</v>
      </c>
      <c r="EI30" s="27">
        <v>0</v>
      </c>
      <c r="EJ30" s="27">
        <f>SUM(EG30:EI30)</f>
        <v>0</v>
      </c>
    </row>
    <row r="31" spans="1:140" ht="15" thickBot="1" x14ac:dyDescent="0.35">
      <c r="A31" s="2" t="s">
        <v>454</v>
      </c>
      <c r="B31" s="28"/>
      <c r="C31" s="28"/>
      <c r="D31" s="28"/>
      <c r="E31" s="28"/>
      <c r="F31" s="28">
        <f t="shared" ref="F31:F51" si="120">SUM(B31:E31)</f>
        <v>0</v>
      </c>
      <c r="G31" s="28"/>
      <c r="H31" s="28"/>
      <c r="I31" s="28"/>
      <c r="J31" s="28"/>
      <c r="K31" s="28">
        <f t="shared" ref="K31:K51" si="121">SUM(G31:J31)</f>
        <v>0</v>
      </c>
      <c r="L31" s="28"/>
      <c r="M31" s="28"/>
      <c r="N31" s="28"/>
      <c r="O31" s="28"/>
      <c r="P31" s="28">
        <f t="shared" ref="P31:P51" si="122">SUM(L31:O31)</f>
        <v>0</v>
      </c>
      <c r="Q31" s="28"/>
      <c r="R31" s="28"/>
      <c r="S31" s="28"/>
      <c r="T31" s="28"/>
      <c r="U31" s="28">
        <f t="shared" ref="U31:U51" si="123">SUM(Q31:T31)</f>
        <v>0</v>
      </c>
      <c r="V31" s="28"/>
      <c r="W31" s="28"/>
      <c r="X31" s="28"/>
      <c r="Y31" s="28"/>
      <c r="Z31" s="28">
        <f t="shared" ref="Z31:Z51" si="124">SUM(V31:Y31)</f>
        <v>0</v>
      </c>
      <c r="AA31" s="28"/>
      <c r="AB31" s="28"/>
      <c r="AC31" s="28"/>
      <c r="AD31" s="28"/>
      <c r="AE31" s="28">
        <f t="shared" ref="AE31:AE51" si="125">SUM(AA31:AD31)</f>
        <v>0</v>
      </c>
      <c r="AF31" s="28"/>
      <c r="AG31" s="28"/>
      <c r="AH31" s="28"/>
      <c r="AI31" s="28"/>
      <c r="AJ31" s="28">
        <f t="shared" ref="AJ31:AJ51" si="126">SUM(AF31:AI31)</f>
        <v>0</v>
      </c>
      <c r="AK31" s="28"/>
      <c r="AL31" s="28"/>
      <c r="AM31" s="28"/>
      <c r="AN31" s="28"/>
      <c r="AO31" s="28">
        <f t="shared" ref="AO31:AO51" si="127">SUM(AK31:AN31)</f>
        <v>0</v>
      </c>
      <c r="AP31" s="28"/>
      <c r="AQ31" s="28"/>
      <c r="AR31" s="28"/>
      <c r="AS31" s="28"/>
      <c r="AT31" s="28">
        <f t="shared" ref="AT31:AT51" si="128">SUM(AP31:AS31)</f>
        <v>0</v>
      </c>
      <c r="AU31" s="28"/>
      <c r="AV31" s="28"/>
      <c r="AW31" s="28"/>
      <c r="AX31" s="28"/>
      <c r="AY31" s="28">
        <f t="shared" ref="AY31:AY51" si="129">SUM(AU31:AX31)</f>
        <v>0</v>
      </c>
      <c r="AZ31" s="28"/>
      <c r="BA31" s="28"/>
      <c r="BB31" s="28"/>
      <c r="BC31" s="28"/>
      <c r="BD31" s="28">
        <f t="shared" ref="BD31:BD51" si="130">SUM(AZ31:BC31)</f>
        <v>0</v>
      </c>
      <c r="BE31" s="28"/>
      <c r="BF31" s="28"/>
      <c r="BG31" s="28"/>
      <c r="BH31" s="28"/>
      <c r="BI31" s="28">
        <f t="shared" ref="BI31:BI51" si="131">SUM(BE31:BH31)</f>
        <v>0</v>
      </c>
      <c r="BJ31" s="28">
        <v>4.1120000000000001</v>
      </c>
      <c r="BK31" s="28">
        <v>4.9000000000000004</v>
      </c>
      <c r="BL31" s="28">
        <v>5.6</v>
      </c>
      <c r="BM31" s="28">
        <v>4.5010000000000003</v>
      </c>
      <c r="BN31" s="28">
        <f t="shared" ref="BN31:BN51" si="132">SUM(BJ31:BM31)</f>
        <v>19.113</v>
      </c>
      <c r="BO31" s="28">
        <v>4.3</v>
      </c>
      <c r="BP31" s="28">
        <v>10.9</v>
      </c>
      <c r="BQ31" s="28">
        <v>8.4979999999999993</v>
      </c>
      <c r="BR31" s="28">
        <f>8.602+0.8</f>
        <v>9.402000000000001</v>
      </c>
      <c r="BS31" s="28">
        <f t="shared" ref="BS31:BS51" si="133">SUM(BO31:BR31)</f>
        <v>33.1</v>
      </c>
      <c r="BT31" s="28">
        <v>4.1879999999999997</v>
      </c>
      <c r="BU31" s="28">
        <v>8.8190000000000008</v>
      </c>
      <c r="BV31" s="28">
        <v>10</v>
      </c>
      <c r="BW31" s="28">
        <v>9.1519999999999992</v>
      </c>
      <c r="BX31" s="28">
        <f t="shared" ref="BX31:BX51" si="134">SUM(BT31:BW31)</f>
        <v>32.158999999999999</v>
      </c>
      <c r="BY31" s="28">
        <v>3.8</v>
      </c>
      <c r="BZ31" s="28">
        <v>11.1</v>
      </c>
      <c r="CA31" s="28">
        <v>11.1</v>
      </c>
      <c r="CB31" s="28">
        <v>15</v>
      </c>
      <c r="CC31" s="28">
        <f t="shared" ref="CC31:CC51" si="135">SUM(BY31:CB31)</f>
        <v>41</v>
      </c>
      <c r="CD31" s="28">
        <v>8.1999999999999993</v>
      </c>
      <c r="CE31" s="28">
        <v>9.8350000000000009</v>
      </c>
      <c r="CF31" s="28">
        <v>14.365</v>
      </c>
      <c r="CG31" s="28">
        <v>14.8</v>
      </c>
      <c r="CH31" s="28">
        <f t="shared" ref="CH31:CH51" si="136">SUM(CD31:CG31)</f>
        <v>47.2</v>
      </c>
      <c r="CI31" s="28">
        <v>6.1</v>
      </c>
      <c r="CJ31" s="28">
        <v>8.8000000000000007</v>
      </c>
      <c r="CK31" s="28">
        <v>9.8000000000000007</v>
      </c>
      <c r="CL31" s="28">
        <v>9.1999999999999993</v>
      </c>
      <c r="CM31" s="28">
        <f t="shared" ref="CM31:CM51" si="137">SUM(CI31:CL31)</f>
        <v>33.900000000000006</v>
      </c>
      <c r="CN31" s="28">
        <v>16.7</v>
      </c>
      <c r="CO31" s="28">
        <v>18.268000000000001</v>
      </c>
      <c r="CP31" s="28">
        <v>17.920000000000002</v>
      </c>
      <c r="CQ31" s="28">
        <v>12.255000000000001</v>
      </c>
      <c r="CR31" s="28">
        <f t="shared" ref="CR31:CR51" si="138">SUM(CN31:CQ31)</f>
        <v>65.143000000000001</v>
      </c>
      <c r="CS31" s="28">
        <v>10.151999999999999</v>
      </c>
      <c r="CT31" s="28">
        <v>18.462</v>
      </c>
      <c r="CU31" s="28">
        <v>20.411000000000001</v>
      </c>
      <c r="CV31" s="28">
        <v>22.324000000000002</v>
      </c>
      <c r="CW31" s="28">
        <f t="shared" ref="CW31:CW51" si="139">SUM(CS31:CV31)</f>
        <v>71.349000000000004</v>
      </c>
      <c r="CX31" s="28">
        <v>17.016999999999999</v>
      </c>
      <c r="CY31" s="28">
        <v>17.073</v>
      </c>
      <c r="CZ31" s="28">
        <v>17.888999999999999</v>
      </c>
      <c r="DA31" s="28">
        <v>22.268999999999998</v>
      </c>
      <c r="DB31" s="28">
        <f t="shared" ref="DB31:DB51" si="140">SUM(CX31:DA31)</f>
        <v>74.24799999999999</v>
      </c>
      <c r="DC31" s="28">
        <v>18.567</v>
      </c>
      <c r="DD31" s="28">
        <v>12.8</v>
      </c>
      <c r="DE31" s="28">
        <v>15.827</v>
      </c>
      <c r="DF31" s="28">
        <v>29.454999999999998</v>
      </c>
      <c r="DG31" s="28">
        <f t="shared" ref="DG31:DG51" si="141">SUM(DC31:DF31)</f>
        <v>76.649000000000001</v>
      </c>
      <c r="DH31" s="28">
        <v>10.997</v>
      </c>
      <c r="DI31" s="28">
        <v>15.692</v>
      </c>
      <c r="DJ31" s="28">
        <v>16.760999999999999</v>
      </c>
      <c r="DK31" s="28">
        <v>33.667000000000002</v>
      </c>
      <c r="DL31" s="28">
        <f t="shared" ref="DL31:DL51" si="142">SUM(DH31:DK31)</f>
        <v>77.117000000000004</v>
      </c>
      <c r="DM31" s="28">
        <v>35.819000000000003</v>
      </c>
      <c r="DN31" s="28">
        <v>40.478999999999999</v>
      </c>
      <c r="DO31" s="28">
        <v>36.997999999999998</v>
      </c>
      <c r="DP31" s="28">
        <v>38.514000000000003</v>
      </c>
      <c r="DQ31" s="28">
        <f t="shared" ref="DQ31:DQ51" si="143">SUM(DM31:DP31)</f>
        <v>151.81</v>
      </c>
      <c r="DR31" s="28">
        <v>12.045999999999999</v>
      </c>
      <c r="DS31" s="28">
        <v>11.103999999999999</v>
      </c>
      <c r="DT31" s="28">
        <v>13.59</v>
      </c>
      <c r="DU31" s="28">
        <v>16.091000000000001</v>
      </c>
      <c r="DV31" s="28">
        <f t="shared" ref="DV31:DV51" si="144">SUM(DR31:DU31)</f>
        <v>52.830999999999996</v>
      </c>
      <c r="DW31" s="28">
        <v>10.135</v>
      </c>
      <c r="DX31" s="28">
        <v>12.688000000000001</v>
      </c>
      <c r="DY31" s="28">
        <v>12.350000000000001</v>
      </c>
      <c r="DZ31" s="28">
        <v>11.030000000000001</v>
      </c>
      <c r="EA31" s="28">
        <f t="shared" ref="EA31:EA42" si="145">SUM(DW31:DZ31)</f>
        <v>46.203000000000003</v>
      </c>
      <c r="EB31" s="28">
        <v>7.9450000000000003</v>
      </c>
      <c r="EC31" s="28">
        <v>10.723000000000001</v>
      </c>
      <c r="ED31" s="28">
        <v>12.530000000000001</v>
      </c>
      <c r="EE31" s="28">
        <v>13.116</v>
      </c>
      <c r="EF31" s="28">
        <f t="shared" ref="EF31:EF42" si="146">SUM(EB31:EE31)</f>
        <v>44.314</v>
      </c>
      <c r="EG31" s="28">
        <v>13.679</v>
      </c>
      <c r="EH31" s="28">
        <v>11.247999999999999</v>
      </c>
      <c r="EI31" s="28">
        <v>11.805</v>
      </c>
      <c r="EJ31" s="28">
        <f t="shared" ref="EJ31:EJ51" si="147">SUM(EG31:EI31)</f>
        <v>36.731999999999999</v>
      </c>
    </row>
    <row r="32" spans="1:140" ht="15" thickTop="1" x14ac:dyDescent="0.3">
      <c r="A32" s="1" t="s">
        <v>442</v>
      </c>
      <c r="B32" s="27"/>
      <c r="C32" s="27"/>
      <c r="D32" s="27"/>
      <c r="E32" s="27"/>
      <c r="F32" s="27">
        <f t="shared" si="120"/>
        <v>0</v>
      </c>
      <c r="G32" s="27"/>
      <c r="H32" s="27"/>
      <c r="I32" s="27"/>
      <c r="J32" s="27"/>
      <c r="K32" s="27">
        <f t="shared" si="121"/>
        <v>0</v>
      </c>
      <c r="L32" s="27"/>
      <c r="M32" s="27"/>
      <c r="N32" s="27"/>
      <c r="O32" s="27"/>
      <c r="P32" s="27">
        <f t="shared" si="122"/>
        <v>0</v>
      </c>
      <c r="Q32" s="27"/>
      <c r="R32" s="27"/>
      <c r="S32" s="27"/>
      <c r="T32" s="27"/>
      <c r="U32" s="27">
        <f t="shared" si="123"/>
        <v>0</v>
      </c>
      <c r="V32" s="27"/>
      <c r="W32" s="27"/>
      <c r="X32" s="27"/>
      <c r="Y32" s="27"/>
      <c r="Z32" s="27">
        <f t="shared" si="124"/>
        <v>0</v>
      </c>
      <c r="AA32" s="27"/>
      <c r="AB32" s="27"/>
      <c r="AC32" s="27"/>
      <c r="AD32" s="27"/>
      <c r="AE32" s="27">
        <f t="shared" si="125"/>
        <v>0</v>
      </c>
      <c r="AF32" s="27"/>
      <c r="AG32" s="27"/>
      <c r="AH32" s="27"/>
      <c r="AI32" s="27"/>
      <c r="AJ32" s="27">
        <f t="shared" si="126"/>
        <v>0</v>
      </c>
      <c r="AK32" s="27"/>
      <c r="AL32" s="27"/>
      <c r="AM32" s="27"/>
      <c r="AN32" s="27"/>
      <c r="AO32" s="27">
        <f t="shared" si="127"/>
        <v>0</v>
      </c>
      <c r="AP32" s="27"/>
      <c r="AQ32" s="27"/>
      <c r="AR32" s="27"/>
      <c r="AS32" s="27"/>
      <c r="AT32" s="27">
        <f t="shared" si="128"/>
        <v>0</v>
      </c>
      <c r="AU32" s="27"/>
      <c r="AV32" s="27"/>
      <c r="AW32" s="27"/>
      <c r="AX32" s="27"/>
      <c r="AY32" s="27">
        <f t="shared" si="129"/>
        <v>0</v>
      </c>
      <c r="AZ32" s="27"/>
      <c r="BA32" s="27"/>
      <c r="BB32" s="27"/>
      <c r="BC32" s="27"/>
      <c r="BD32" s="27">
        <f t="shared" si="130"/>
        <v>0</v>
      </c>
      <c r="BE32" s="27"/>
      <c r="BF32" s="27"/>
      <c r="BG32" s="27"/>
      <c r="BH32" s="27"/>
      <c r="BI32" s="27">
        <f t="shared" si="131"/>
        <v>0</v>
      </c>
      <c r="BJ32" s="27">
        <v>5.0759999999999996</v>
      </c>
      <c r="BK32" s="27">
        <v>9.875</v>
      </c>
      <c r="BL32" s="27">
        <v>15.4</v>
      </c>
      <c r="BM32" s="27">
        <v>21.922999999999998</v>
      </c>
      <c r="BN32" s="27">
        <f t="shared" si="132"/>
        <v>52.274000000000001</v>
      </c>
      <c r="BO32" s="27">
        <v>11.1</v>
      </c>
      <c r="BP32" s="27">
        <v>18.007999999999999</v>
      </c>
      <c r="BQ32" s="27">
        <v>19.966999999999999</v>
      </c>
      <c r="BR32" s="27">
        <v>26.225999999999999</v>
      </c>
      <c r="BS32" s="27">
        <f t="shared" si="133"/>
        <v>75.300999999999988</v>
      </c>
      <c r="BT32" s="27">
        <v>9.359</v>
      </c>
      <c r="BU32" s="27">
        <v>11.87</v>
      </c>
      <c r="BV32" s="27">
        <v>25.5</v>
      </c>
      <c r="BW32" s="27">
        <v>44.444000000000003</v>
      </c>
      <c r="BX32" s="27">
        <f t="shared" si="134"/>
        <v>91.173000000000002</v>
      </c>
      <c r="BY32" s="27">
        <v>45.8</v>
      </c>
      <c r="BZ32" s="27">
        <v>49.7</v>
      </c>
      <c r="CA32" s="27">
        <v>82</v>
      </c>
      <c r="CB32" s="27">
        <v>115.3</v>
      </c>
      <c r="CC32" s="27">
        <f t="shared" si="135"/>
        <v>292.8</v>
      </c>
      <c r="CD32" s="27">
        <v>74.3</v>
      </c>
      <c r="CE32" s="27">
        <v>96.7</v>
      </c>
      <c r="CF32" s="27">
        <v>85.9</v>
      </c>
      <c r="CG32" s="27">
        <v>73.7</v>
      </c>
      <c r="CH32" s="27">
        <f t="shared" si="136"/>
        <v>330.59999999999997</v>
      </c>
      <c r="CI32" s="27">
        <v>0.9</v>
      </c>
      <c r="CJ32" s="27">
        <v>20.9</v>
      </c>
      <c r="CK32" s="27">
        <f>38.1-CJ32-CI32</f>
        <v>16.300000000000004</v>
      </c>
      <c r="CL32" s="27">
        <v>29.4</v>
      </c>
      <c r="CM32" s="27">
        <f t="shared" si="137"/>
        <v>67.5</v>
      </c>
      <c r="CN32" s="27">
        <v>13.3</v>
      </c>
      <c r="CO32" s="27">
        <v>19.7</v>
      </c>
      <c r="CP32" s="27">
        <v>26.9</v>
      </c>
      <c r="CQ32" s="27">
        <v>30.643000000000001</v>
      </c>
      <c r="CR32" s="27">
        <f t="shared" si="138"/>
        <v>90.543000000000006</v>
      </c>
      <c r="CS32" s="27">
        <v>5.7270000000000003</v>
      </c>
      <c r="CT32" s="27">
        <v>16.802</v>
      </c>
      <c r="CU32" s="27">
        <v>22.837</v>
      </c>
      <c r="CV32" s="27">
        <v>19.747</v>
      </c>
      <c r="CW32" s="27">
        <f t="shared" si="139"/>
        <v>65.113</v>
      </c>
      <c r="CX32" s="27">
        <v>23.762</v>
      </c>
      <c r="CY32" s="27">
        <v>30.846</v>
      </c>
      <c r="CZ32" s="27">
        <v>53.692999999999998</v>
      </c>
      <c r="DA32" s="27">
        <v>42.29</v>
      </c>
      <c r="DB32" s="27">
        <f t="shared" si="140"/>
        <v>150.59100000000001</v>
      </c>
      <c r="DC32" s="27">
        <v>38.627000000000002</v>
      </c>
      <c r="DD32" s="27">
        <v>45.176000000000002</v>
      </c>
      <c r="DE32" s="27">
        <v>55.959000000000003</v>
      </c>
      <c r="DF32" s="27">
        <v>50.137</v>
      </c>
      <c r="DG32" s="27">
        <f t="shared" si="141"/>
        <v>189.899</v>
      </c>
      <c r="DH32" s="27">
        <v>30.687999999999999</v>
      </c>
      <c r="DI32" s="27">
        <v>23.100999999999999</v>
      </c>
      <c r="DJ32" s="27">
        <v>28.454999999999998</v>
      </c>
      <c r="DK32" s="27">
        <v>14.242000000000001</v>
      </c>
      <c r="DL32" s="27">
        <f t="shared" si="142"/>
        <v>96.486000000000004</v>
      </c>
      <c r="DM32" s="27">
        <v>7.7210000000000001</v>
      </c>
      <c r="DN32" s="27">
        <v>14.776</v>
      </c>
      <c r="DO32" s="27">
        <v>18.673999999999999</v>
      </c>
      <c r="DP32" s="27">
        <f>665.513-630.866</f>
        <v>34.647000000000048</v>
      </c>
      <c r="DQ32" s="27">
        <f t="shared" si="143"/>
        <v>75.81800000000004</v>
      </c>
      <c r="DR32" s="27">
        <v>26.731000000000002</v>
      </c>
      <c r="DS32" s="27">
        <v>52.393999999999998</v>
      </c>
      <c r="DT32" s="27">
        <v>69.762</v>
      </c>
      <c r="DU32" s="27">
        <v>71.616</v>
      </c>
      <c r="DV32" s="27">
        <f t="shared" si="144"/>
        <v>220.50299999999999</v>
      </c>
      <c r="DW32" s="27">
        <v>58.634</v>
      </c>
      <c r="DX32" s="27">
        <v>100.301</v>
      </c>
      <c r="DY32" s="27">
        <v>85.938999999999993</v>
      </c>
      <c r="DZ32" s="27">
        <v>86.282999999999987</v>
      </c>
      <c r="EA32" s="27">
        <f t="shared" si="145"/>
        <v>331.15699999999998</v>
      </c>
      <c r="EB32" s="27">
        <v>52.591999999999999</v>
      </c>
      <c r="EC32" s="27">
        <v>99.668999999999997</v>
      </c>
      <c r="ED32" s="27">
        <v>87.342000000000013</v>
      </c>
      <c r="EE32" s="27">
        <v>94.310999999999979</v>
      </c>
      <c r="EF32" s="27">
        <f t="shared" si="146"/>
        <v>333.91399999999999</v>
      </c>
      <c r="EG32" s="27">
        <v>57.354999999999997</v>
      </c>
      <c r="EH32" s="27">
        <v>88.203000000000003</v>
      </c>
      <c r="EI32" s="27">
        <v>102.92500000000001</v>
      </c>
      <c r="EJ32" s="27">
        <f t="shared" si="147"/>
        <v>248.483</v>
      </c>
    </row>
    <row r="33" spans="1:140" ht="15" thickBot="1" x14ac:dyDescent="0.35">
      <c r="A33" s="2" t="s">
        <v>3</v>
      </c>
      <c r="B33" s="28"/>
      <c r="C33" s="28"/>
      <c r="D33" s="28"/>
      <c r="E33" s="28"/>
      <c r="F33" s="28">
        <f t="shared" si="120"/>
        <v>0</v>
      </c>
      <c r="G33" s="28"/>
      <c r="H33" s="28"/>
      <c r="I33" s="28"/>
      <c r="J33" s="28"/>
      <c r="K33" s="28">
        <f t="shared" si="121"/>
        <v>0</v>
      </c>
      <c r="L33" s="28"/>
      <c r="M33" s="28"/>
      <c r="N33" s="28"/>
      <c r="O33" s="28"/>
      <c r="P33" s="28">
        <f t="shared" si="122"/>
        <v>0</v>
      </c>
      <c r="Q33" s="28"/>
      <c r="R33" s="28"/>
      <c r="S33" s="28"/>
      <c r="T33" s="28"/>
      <c r="U33" s="28">
        <f t="shared" si="123"/>
        <v>0</v>
      </c>
      <c r="V33" s="28"/>
      <c r="W33" s="28"/>
      <c r="X33" s="28"/>
      <c r="Y33" s="28"/>
      <c r="Z33" s="28">
        <f t="shared" si="124"/>
        <v>0</v>
      </c>
      <c r="AA33" s="28"/>
      <c r="AB33" s="28"/>
      <c r="AC33" s="28"/>
      <c r="AD33" s="28"/>
      <c r="AE33" s="28">
        <f t="shared" si="125"/>
        <v>0</v>
      </c>
      <c r="AF33" s="28"/>
      <c r="AG33" s="28"/>
      <c r="AH33" s="28"/>
      <c r="AI33" s="28"/>
      <c r="AJ33" s="28">
        <f t="shared" si="126"/>
        <v>0</v>
      </c>
      <c r="AK33" s="28"/>
      <c r="AL33" s="28"/>
      <c r="AM33" s="28"/>
      <c r="AN33" s="28"/>
      <c r="AO33" s="28">
        <f t="shared" si="127"/>
        <v>0</v>
      </c>
      <c r="AP33" s="28"/>
      <c r="AQ33" s="28"/>
      <c r="AR33" s="28"/>
      <c r="AS33" s="28"/>
      <c r="AT33" s="28">
        <f t="shared" si="128"/>
        <v>0</v>
      </c>
      <c r="AU33" s="28"/>
      <c r="AV33" s="28"/>
      <c r="AW33" s="28"/>
      <c r="AX33" s="28"/>
      <c r="AY33" s="28">
        <f t="shared" si="129"/>
        <v>0</v>
      </c>
      <c r="AZ33" s="28"/>
      <c r="BA33" s="28"/>
      <c r="BB33" s="28"/>
      <c r="BC33" s="28"/>
      <c r="BD33" s="28">
        <f t="shared" si="130"/>
        <v>0</v>
      </c>
      <c r="BE33" s="28"/>
      <c r="BF33" s="28"/>
      <c r="BG33" s="28"/>
      <c r="BH33" s="28"/>
      <c r="BI33" s="28">
        <f t="shared" si="131"/>
        <v>0</v>
      </c>
      <c r="BJ33" s="28">
        <v>0.93400000000000005</v>
      </c>
      <c r="BK33" s="28">
        <v>0.84799999999999998</v>
      </c>
      <c r="BL33" s="28">
        <v>0.6</v>
      </c>
      <c r="BM33" s="28">
        <v>1.4</v>
      </c>
      <c r="BN33" s="28">
        <f t="shared" si="132"/>
        <v>3.782</v>
      </c>
      <c r="BO33" s="28">
        <v>1.9</v>
      </c>
      <c r="BP33" s="28">
        <v>2.2240000000000002</v>
      </c>
      <c r="BQ33" s="28">
        <v>1.974</v>
      </c>
      <c r="BR33" s="28">
        <v>4.5119999999999996</v>
      </c>
      <c r="BS33" s="28">
        <f t="shared" si="133"/>
        <v>10.61</v>
      </c>
      <c r="BT33" s="28">
        <v>14.811999999999999</v>
      </c>
      <c r="BU33" s="28">
        <v>5.8330000000000002</v>
      </c>
      <c r="BV33" s="28">
        <v>13.3</v>
      </c>
      <c r="BW33" s="28">
        <v>25.206</v>
      </c>
      <c r="BX33" s="28">
        <f t="shared" si="134"/>
        <v>59.150999999999996</v>
      </c>
      <c r="BY33" s="28">
        <v>8.4</v>
      </c>
      <c r="BZ33" s="28">
        <v>15.5</v>
      </c>
      <c r="CA33" s="28">
        <v>7.9</v>
      </c>
      <c r="CB33" s="28">
        <v>0.2</v>
      </c>
      <c r="CC33" s="28">
        <f t="shared" si="135"/>
        <v>31.999999999999996</v>
      </c>
      <c r="CD33" s="28">
        <v>0.3</v>
      </c>
      <c r="CE33" s="28">
        <v>1.7</v>
      </c>
      <c r="CF33" s="28">
        <v>3.1</v>
      </c>
      <c r="CG33" s="28">
        <v>13.324999999999999</v>
      </c>
      <c r="CH33" s="28">
        <f t="shared" si="136"/>
        <v>18.424999999999997</v>
      </c>
      <c r="CI33" s="28">
        <v>1.6</v>
      </c>
      <c r="CJ33" s="28">
        <v>7.1</v>
      </c>
      <c r="CK33" s="28">
        <v>13.9</v>
      </c>
      <c r="CL33" s="28">
        <v>16.399999999999999</v>
      </c>
      <c r="CM33" s="28">
        <f t="shared" si="137"/>
        <v>39</v>
      </c>
      <c r="CN33" s="28">
        <v>3.7</v>
      </c>
      <c r="CO33" s="28">
        <v>11.7</v>
      </c>
      <c r="CP33" s="28">
        <v>15.1</v>
      </c>
      <c r="CQ33" s="28">
        <v>8.8840000000000003</v>
      </c>
      <c r="CR33" s="28">
        <f t="shared" si="138"/>
        <v>39.384</v>
      </c>
      <c r="CS33" s="28">
        <v>11.183999999999999</v>
      </c>
      <c r="CT33" s="28">
        <v>5.4359999999999999</v>
      </c>
      <c r="CU33" s="28">
        <v>11.583</v>
      </c>
      <c r="CV33" s="28">
        <v>32.944000000000003</v>
      </c>
      <c r="CW33" s="28">
        <f t="shared" si="139"/>
        <v>61.146999999999998</v>
      </c>
      <c r="CX33" s="28">
        <v>15.327999999999999</v>
      </c>
      <c r="CY33" s="28">
        <v>18.024999999999999</v>
      </c>
      <c r="CZ33" s="28">
        <v>17.664000000000001</v>
      </c>
      <c r="DA33" s="28">
        <v>19.548999999999999</v>
      </c>
      <c r="DB33" s="28">
        <f t="shared" si="140"/>
        <v>70.566000000000003</v>
      </c>
      <c r="DC33" s="28">
        <v>6.8559999999999999</v>
      </c>
      <c r="DD33" s="28">
        <v>-1.2949999999999999</v>
      </c>
      <c r="DE33" s="28">
        <v>6.9459999999999997</v>
      </c>
      <c r="DF33" s="28">
        <v>2.5030000000000001</v>
      </c>
      <c r="DG33" s="28">
        <f t="shared" si="141"/>
        <v>15.01</v>
      </c>
      <c r="DH33" s="28">
        <v>11.827999999999999</v>
      </c>
      <c r="DI33" s="28">
        <v>2.2959999999999998</v>
      </c>
      <c r="DJ33" s="28">
        <v>3.427</v>
      </c>
      <c r="DK33" s="28">
        <v>11.532</v>
      </c>
      <c r="DL33" s="28">
        <f t="shared" si="142"/>
        <v>29.082999999999998</v>
      </c>
      <c r="DM33" s="28">
        <v>0.55500000000000005</v>
      </c>
      <c r="DN33" s="28">
        <v>6.9580000000000002</v>
      </c>
      <c r="DO33" s="28">
        <v>13.298</v>
      </c>
      <c r="DP33" s="28">
        <v>2.968</v>
      </c>
      <c r="DQ33" s="28">
        <f t="shared" si="143"/>
        <v>23.779</v>
      </c>
      <c r="DR33" s="28">
        <v>0</v>
      </c>
      <c r="DS33" s="28">
        <v>0</v>
      </c>
      <c r="DT33" s="28">
        <v>0</v>
      </c>
      <c r="DU33" s="28">
        <v>0</v>
      </c>
      <c r="DV33" s="28">
        <f t="shared" si="144"/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f t="shared" si="145"/>
        <v>0</v>
      </c>
      <c r="EB33" s="28">
        <v>0</v>
      </c>
      <c r="EC33" s="28">
        <v>0</v>
      </c>
      <c r="ED33" s="28">
        <v>0</v>
      </c>
      <c r="EE33" s="28">
        <v>0</v>
      </c>
      <c r="EF33" s="28">
        <f t="shared" si="146"/>
        <v>0</v>
      </c>
      <c r="EG33" s="28">
        <v>0</v>
      </c>
      <c r="EH33" s="28">
        <v>0</v>
      </c>
      <c r="EI33" s="28">
        <v>0</v>
      </c>
      <c r="EJ33" s="28">
        <f t="shared" si="147"/>
        <v>0</v>
      </c>
    </row>
    <row r="34" spans="1:140" ht="15" thickTop="1" x14ac:dyDescent="0.3">
      <c r="A34" s="1" t="s">
        <v>443</v>
      </c>
      <c r="B34" s="27"/>
      <c r="C34" s="27"/>
      <c r="D34" s="27"/>
      <c r="E34" s="27"/>
      <c r="F34" s="27">
        <f t="shared" si="120"/>
        <v>0</v>
      </c>
      <c r="G34" s="27"/>
      <c r="H34" s="27"/>
      <c r="I34" s="27"/>
      <c r="J34" s="27"/>
      <c r="K34" s="27">
        <f t="shared" si="121"/>
        <v>0</v>
      </c>
      <c r="L34" s="27"/>
      <c r="M34" s="27"/>
      <c r="N34" s="27"/>
      <c r="O34" s="27"/>
      <c r="P34" s="27">
        <f t="shared" si="122"/>
        <v>0</v>
      </c>
      <c r="Q34" s="27"/>
      <c r="R34" s="27"/>
      <c r="S34" s="27"/>
      <c r="T34" s="27"/>
      <c r="U34" s="27">
        <f t="shared" si="123"/>
        <v>0</v>
      </c>
      <c r="V34" s="27"/>
      <c r="W34" s="27"/>
      <c r="X34" s="27"/>
      <c r="Y34" s="27"/>
      <c r="Z34" s="27">
        <f t="shared" si="124"/>
        <v>0</v>
      </c>
      <c r="AA34" s="27"/>
      <c r="AB34" s="27"/>
      <c r="AC34" s="27"/>
      <c r="AD34" s="27"/>
      <c r="AE34" s="27">
        <f t="shared" si="125"/>
        <v>0</v>
      </c>
      <c r="AF34" s="27"/>
      <c r="AG34" s="27"/>
      <c r="AH34" s="27"/>
      <c r="AI34" s="27"/>
      <c r="AJ34" s="27">
        <f t="shared" si="126"/>
        <v>0</v>
      </c>
      <c r="AK34" s="27"/>
      <c r="AL34" s="27"/>
      <c r="AM34" s="27"/>
      <c r="AN34" s="27"/>
      <c r="AO34" s="27">
        <f t="shared" si="127"/>
        <v>0</v>
      </c>
      <c r="AP34" s="27"/>
      <c r="AQ34" s="27"/>
      <c r="AR34" s="27"/>
      <c r="AS34" s="27"/>
      <c r="AT34" s="27">
        <f t="shared" si="128"/>
        <v>0</v>
      </c>
      <c r="AU34" s="27"/>
      <c r="AV34" s="27"/>
      <c r="AW34" s="27"/>
      <c r="AX34" s="27"/>
      <c r="AY34" s="27">
        <f t="shared" si="129"/>
        <v>0</v>
      </c>
      <c r="AZ34" s="27"/>
      <c r="BA34" s="27"/>
      <c r="BB34" s="27"/>
      <c r="BC34" s="27"/>
      <c r="BD34" s="27">
        <f t="shared" si="130"/>
        <v>0</v>
      </c>
      <c r="BE34" s="27"/>
      <c r="BF34" s="27"/>
      <c r="BG34" s="27"/>
      <c r="BH34" s="27"/>
      <c r="BI34" s="27">
        <f t="shared" si="131"/>
        <v>0</v>
      </c>
      <c r="BJ34" s="27">
        <v>42.4</v>
      </c>
      <c r="BK34" s="27">
        <v>27.3</v>
      </c>
      <c r="BL34" s="27">
        <v>16.2</v>
      </c>
      <c r="BM34" s="27">
        <v>21.4</v>
      </c>
      <c r="BN34" s="27">
        <f t="shared" si="132"/>
        <v>107.30000000000001</v>
      </c>
      <c r="BO34" s="27">
        <v>9.6999999999999993</v>
      </c>
      <c r="BP34" s="27">
        <v>22.327000000000002</v>
      </c>
      <c r="BQ34" s="27">
        <v>11.847</v>
      </c>
      <c r="BR34" s="27">
        <v>23.553999999999998</v>
      </c>
      <c r="BS34" s="27">
        <f t="shared" si="133"/>
        <v>67.427999999999997</v>
      </c>
      <c r="BT34" s="27">
        <v>12.065</v>
      </c>
      <c r="BU34" s="27">
        <v>33.829000000000001</v>
      </c>
      <c r="BV34" s="27">
        <v>36.5</v>
      </c>
      <c r="BW34" s="27">
        <v>35.649000000000001</v>
      </c>
      <c r="BX34" s="27">
        <f t="shared" si="134"/>
        <v>118.04300000000001</v>
      </c>
      <c r="BY34" s="27">
        <v>24.5</v>
      </c>
      <c r="BZ34" s="27">
        <v>45.1</v>
      </c>
      <c r="CA34" s="27">
        <v>55.8</v>
      </c>
      <c r="CB34" s="27">
        <v>47.9</v>
      </c>
      <c r="CC34" s="27">
        <f t="shared" si="135"/>
        <v>173.29999999999998</v>
      </c>
      <c r="CD34" s="27">
        <v>24.2</v>
      </c>
      <c r="CE34" s="27">
        <v>33.4</v>
      </c>
      <c r="CF34" s="27">
        <v>30.4</v>
      </c>
      <c r="CG34" s="27">
        <v>43.2</v>
      </c>
      <c r="CH34" s="27">
        <f t="shared" si="136"/>
        <v>131.19999999999999</v>
      </c>
      <c r="CI34" s="27">
        <v>56.5</v>
      </c>
      <c r="CJ34" s="27">
        <v>37.6</v>
      </c>
      <c r="CK34" s="27">
        <v>26.2</v>
      </c>
      <c r="CL34" s="27">
        <v>26.1</v>
      </c>
      <c r="CM34" s="27">
        <f t="shared" si="137"/>
        <v>146.4</v>
      </c>
      <c r="CN34" s="27">
        <v>15.8</v>
      </c>
      <c r="CO34" s="27">
        <v>23.2</v>
      </c>
      <c r="CP34" s="27">
        <v>56.8</v>
      </c>
      <c r="CQ34" s="27">
        <v>40.107999999999997</v>
      </c>
      <c r="CR34" s="27">
        <f t="shared" si="138"/>
        <v>135.90799999999999</v>
      </c>
      <c r="CS34" s="27">
        <v>24.8</v>
      </c>
      <c r="CT34" s="27">
        <v>53.901000000000003</v>
      </c>
      <c r="CU34" s="27">
        <v>61.195</v>
      </c>
      <c r="CV34" s="27">
        <v>54.298999999999999</v>
      </c>
      <c r="CW34" s="27">
        <f t="shared" si="139"/>
        <v>194.19500000000002</v>
      </c>
      <c r="CX34" s="27">
        <v>30.498999999999999</v>
      </c>
      <c r="CY34" s="27">
        <v>15.195</v>
      </c>
      <c r="CZ34" s="27">
        <v>6.07</v>
      </c>
      <c r="DA34" s="27">
        <v>9.1790000000000003</v>
      </c>
      <c r="DB34" s="27">
        <f t="shared" si="140"/>
        <v>60.943000000000005</v>
      </c>
      <c r="DC34" s="27">
        <v>10.382999999999999</v>
      </c>
      <c r="DD34" s="27">
        <v>15.928000000000001</v>
      </c>
      <c r="DE34" s="27">
        <v>9.11</v>
      </c>
      <c r="DF34" s="27">
        <v>9.9930000000000003</v>
      </c>
      <c r="DG34" s="27">
        <f t="shared" si="141"/>
        <v>45.414000000000001</v>
      </c>
      <c r="DH34" s="27">
        <v>9.3469999999999995</v>
      </c>
      <c r="DI34" s="27">
        <v>8.2159999999999993</v>
      </c>
      <c r="DJ34" s="27">
        <v>1.7769999999999999</v>
      </c>
      <c r="DK34" s="27">
        <v>17.527000000000001</v>
      </c>
      <c r="DL34" s="27">
        <f t="shared" si="142"/>
        <v>36.867000000000004</v>
      </c>
      <c r="DM34" s="27">
        <v>25.431999999999999</v>
      </c>
      <c r="DN34" s="27">
        <v>8.1349999999999998</v>
      </c>
      <c r="DO34" s="27">
        <v>20.521999999999998</v>
      </c>
      <c r="DP34" s="27">
        <v>32.901000000000003</v>
      </c>
      <c r="DQ34" s="27">
        <f t="shared" si="143"/>
        <v>86.990000000000009</v>
      </c>
      <c r="DR34" s="27">
        <v>6.2E-2</v>
      </c>
      <c r="DS34" s="27">
        <v>10.462999999999999</v>
      </c>
      <c r="DT34" s="27">
        <v>38.655000000000001</v>
      </c>
      <c r="DU34" s="27">
        <v>52.235999999999997</v>
      </c>
      <c r="DV34" s="27">
        <f t="shared" si="144"/>
        <v>101.416</v>
      </c>
      <c r="DW34" s="27">
        <v>14.548</v>
      </c>
      <c r="DX34" s="27">
        <v>19.818999999999999</v>
      </c>
      <c r="DY34" s="27">
        <v>13.707000000000001</v>
      </c>
      <c r="DZ34" s="27">
        <v>18.430999999999997</v>
      </c>
      <c r="EA34" s="27">
        <f t="shared" si="145"/>
        <v>66.504999999999995</v>
      </c>
      <c r="EB34" s="27">
        <v>26.242000000000001</v>
      </c>
      <c r="EC34" s="27">
        <v>27.478000000000002</v>
      </c>
      <c r="ED34" s="27">
        <v>42.926000000000002</v>
      </c>
      <c r="EE34" s="27">
        <v>51.541999999999987</v>
      </c>
      <c r="EF34" s="27">
        <f t="shared" si="146"/>
        <v>148.18799999999999</v>
      </c>
      <c r="EG34" s="27">
        <v>37.874000000000002</v>
      </c>
      <c r="EH34" s="27">
        <v>59.503999999999998</v>
      </c>
      <c r="EI34" s="27">
        <v>28.492000000000004</v>
      </c>
      <c r="EJ34" s="27">
        <f t="shared" si="147"/>
        <v>125.87</v>
      </c>
    </row>
    <row r="35" spans="1:140" ht="15" thickBot="1" x14ac:dyDescent="0.35">
      <c r="A35" s="2" t="s">
        <v>481</v>
      </c>
      <c r="B35" s="28"/>
      <c r="C35" s="28"/>
      <c r="D35" s="28"/>
      <c r="E35" s="28"/>
      <c r="F35" s="28">
        <f t="shared" si="120"/>
        <v>0</v>
      </c>
      <c r="G35" s="28"/>
      <c r="H35" s="28"/>
      <c r="I35" s="28"/>
      <c r="J35" s="28"/>
      <c r="K35" s="28">
        <f t="shared" si="121"/>
        <v>0</v>
      </c>
      <c r="L35" s="28"/>
      <c r="M35" s="28"/>
      <c r="N35" s="28"/>
      <c r="O35" s="28"/>
      <c r="P35" s="28">
        <f t="shared" si="122"/>
        <v>0</v>
      </c>
      <c r="Q35" s="28"/>
      <c r="R35" s="28"/>
      <c r="S35" s="28"/>
      <c r="T35" s="28"/>
      <c r="U35" s="28">
        <f t="shared" si="123"/>
        <v>0</v>
      </c>
      <c r="V35" s="28"/>
      <c r="W35" s="28"/>
      <c r="X35" s="28"/>
      <c r="Y35" s="28"/>
      <c r="Z35" s="28">
        <f t="shared" si="124"/>
        <v>0</v>
      </c>
      <c r="AA35" s="28"/>
      <c r="AB35" s="28"/>
      <c r="AC35" s="28"/>
      <c r="AD35" s="28"/>
      <c r="AE35" s="28">
        <f t="shared" si="125"/>
        <v>0</v>
      </c>
      <c r="AF35" s="28"/>
      <c r="AG35" s="28"/>
      <c r="AH35" s="28"/>
      <c r="AI35" s="28"/>
      <c r="AJ35" s="28">
        <f t="shared" si="126"/>
        <v>0</v>
      </c>
      <c r="AK35" s="28"/>
      <c r="AL35" s="28"/>
      <c r="AM35" s="28"/>
      <c r="AN35" s="28"/>
      <c r="AO35" s="28">
        <f t="shared" si="127"/>
        <v>0</v>
      </c>
      <c r="AP35" s="28"/>
      <c r="AQ35" s="28"/>
      <c r="AR35" s="28"/>
      <c r="AS35" s="28"/>
      <c r="AT35" s="28">
        <f t="shared" si="128"/>
        <v>0</v>
      </c>
      <c r="AU35" s="28"/>
      <c r="AV35" s="28"/>
      <c r="AW35" s="28"/>
      <c r="AX35" s="28"/>
      <c r="AY35" s="28">
        <f t="shared" si="129"/>
        <v>0</v>
      </c>
      <c r="AZ35" s="28"/>
      <c r="BA35" s="28"/>
      <c r="BB35" s="28"/>
      <c r="BC35" s="28"/>
      <c r="BD35" s="28">
        <f t="shared" si="130"/>
        <v>0</v>
      </c>
      <c r="BE35" s="28"/>
      <c r="BF35" s="28"/>
      <c r="BG35" s="28"/>
      <c r="BH35" s="28"/>
      <c r="BI35" s="28">
        <f t="shared" si="131"/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f t="shared" si="132"/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f t="shared" si="133"/>
        <v>0</v>
      </c>
      <c r="BT35" s="28">
        <v>0</v>
      </c>
      <c r="BU35" s="28">
        <v>3.6</v>
      </c>
      <c r="BV35" s="28">
        <v>0.9</v>
      </c>
      <c r="BW35" s="28">
        <v>1.2310000000000001</v>
      </c>
      <c r="BX35" s="28">
        <f t="shared" si="134"/>
        <v>5.7309999999999999</v>
      </c>
      <c r="BY35" s="28">
        <v>0.7</v>
      </c>
      <c r="BZ35" s="28">
        <v>0.1</v>
      </c>
      <c r="CA35" s="28">
        <v>12</v>
      </c>
      <c r="CB35" s="28">
        <v>29.7</v>
      </c>
      <c r="CC35" s="28">
        <f t="shared" si="135"/>
        <v>42.5</v>
      </c>
      <c r="CD35" s="28">
        <v>83.3</v>
      </c>
      <c r="CE35" s="28">
        <v>116.9</v>
      </c>
      <c r="CF35" s="28">
        <v>19.8</v>
      </c>
      <c r="CG35" s="28">
        <v>16.399999999999999</v>
      </c>
      <c r="CH35" s="28">
        <f t="shared" si="136"/>
        <v>236.4</v>
      </c>
      <c r="CI35" s="28">
        <v>13.7</v>
      </c>
      <c r="CJ35" s="28">
        <v>39.700000000000003</v>
      </c>
      <c r="CK35" s="28">
        <v>39.4</v>
      </c>
      <c r="CL35" s="28">
        <v>28.6</v>
      </c>
      <c r="CM35" s="28">
        <f t="shared" si="137"/>
        <v>121.4</v>
      </c>
      <c r="CN35" s="28">
        <v>12.3</v>
      </c>
      <c r="CO35" s="28">
        <v>17.399999999999999</v>
      </c>
      <c r="CP35" s="28">
        <v>32.799999999999997</v>
      </c>
      <c r="CQ35" s="28">
        <v>32.256</v>
      </c>
      <c r="CR35" s="28">
        <f t="shared" si="138"/>
        <v>94.756</v>
      </c>
      <c r="CS35" s="28">
        <v>19.213000000000001</v>
      </c>
      <c r="CT35" s="28">
        <v>27.164000000000001</v>
      </c>
      <c r="CU35" s="28">
        <v>26.193000000000001</v>
      </c>
      <c r="CV35" s="28">
        <v>32.725000000000001</v>
      </c>
      <c r="CW35" s="28">
        <f t="shared" si="139"/>
        <v>105.29500000000002</v>
      </c>
      <c r="CX35" s="28">
        <v>48.993000000000002</v>
      </c>
      <c r="CY35" s="28">
        <v>60.613999999999997</v>
      </c>
      <c r="CZ35" s="28">
        <v>48.44</v>
      </c>
      <c r="DA35" s="28">
        <v>68.171999999999997</v>
      </c>
      <c r="DB35" s="28">
        <f t="shared" si="140"/>
        <v>226.21899999999999</v>
      </c>
      <c r="DC35" s="28">
        <v>63.640999999999998</v>
      </c>
      <c r="DD35" s="28">
        <v>62.273000000000003</v>
      </c>
      <c r="DE35" s="28">
        <v>82.582999999999998</v>
      </c>
      <c r="DF35" s="28">
        <v>87.093999999999994</v>
      </c>
      <c r="DG35" s="28">
        <f t="shared" si="141"/>
        <v>295.59100000000001</v>
      </c>
      <c r="DH35" s="28">
        <v>58.933</v>
      </c>
      <c r="DI35" s="28">
        <v>56.981000000000002</v>
      </c>
      <c r="DJ35" s="28">
        <v>55.012</v>
      </c>
      <c r="DK35" s="28">
        <v>44.243000000000002</v>
      </c>
      <c r="DL35" s="28">
        <f t="shared" si="142"/>
        <v>215.16899999999998</v>
      </c>
      <c r="DM35" s="28">
        <v>49.351999999999997</v>
      </c>
      <c r="DN35" s="28">
        <v>62.731000000000002</v>
      </c>
      <c r="DO35" s="28">
        <v>84.9</v>
      </c>
      <c r="DP35" s="28">
        <v>63.859000000000002</v>
      </c>
      <c r="DQ35" s="28">
        <f t="shared" si="143"/>
        <v>260.84199999999998</v>
      </c>
      <c r="DR35" s="28">
        <v>70.92</v>
      </c>
      <c r="DS35" s="28">
        <v>85.286000000000001</v>
      </c>
      <c r="DT35" s="28">
        <v>95.097999999999999</v>
      </c>
      <c r="DU35" s="28">
        <v>60.780999999999999</v>
      </c>
      <c r="DV35" s="28">
        <f t="shared" si="144"/>
        <v>312.08500000000004</v>
      </c>
      <c r="DW35" s="28">
        <v>49.512999999999998</v>
      </c>
      <c r="DX35" s="28">
        <v>68.382000000000005</v>
      </c>
      <c r="DY35" s="28">
        <v>63.055999999999997</v>
      </c>
      <c r="DZ35" s="28">
        <v>65.04000000000002</v>
      </c>
      <c r="EA35" s="28">
        <f t="shared" si="145"/>
        <v>245.99100000000004</v>
      </c>
      <c r="EB35" s="28">
        <v>64.230999999999995</v>
      </c>
      <c r="EC35" s="28">
        <v>91.712999999999994</v>
      </c>
      <c r="ED35" s="28">
        <v>67.035000000000025</v>
      </c>
      <c r="EE35" s="28">
        <v>85.152999999999992</v>
      </c>
      <c r="EF35" s="28">
        <f t="shared" si="146"/>
        <v>308.13200000000001</v>
      </c>
      <c r="EG35" s="28">
        <v>59.661000000000001</v>
      </c>
      <c r="EH35" s="28">
        <v>51.7</v>
      </c>
      <c r="EI35" s="28">
        <v>56.534999999999982</v>
      </c>
      <c r="EJ35" s="28">
        <f t="shared" si="147"/>
        <v>167.89599999999999</v>
      </c>
    </row>
    <row r="36" spans="1:140" ht="15" thickTop="1" x14ac:dyDescent="0.3">
      <c r="A36" s="1" t="s">
        <v>445</v>
      </c>
      <c r="B36" s="27"/>
      <c r="C36" s="27"/>
      <c r="D36" s="27"/>
      <c r="E36" s="27"/>
      <c r="F36" s="27">
        <f t="shared" si="120"/>
        <v>0</v>
      </c>
      <c r="G36" s="27"/>
      <c r="H36" s="27"/>
      <c r="I36" s="27"/>
      <c r="J36" s="27"/>
      <c r="K36" s="27">
        <f t="shared" si="121"/>
        <v>0</v>
      </c>
      <c r="L36" s="27"/>
      <c r="M36" s="27"/>
      <c r="N36" s="27"/>
      <c r="O36" s="27"/>
      <c r="P36" s="27">
        <f t="shared" si="122"/>
        <v>0</v>
      </c>
      <c r="Q36" s="27"/>
      <c r="R36" s="27"/>
      <c r="S36" s="27"/>
      <c r="T36" s="27"/>
      <c r="U36" s="27">
        <f t="shared" si="123"/>
        <v>0</v>
      </c>
      <c r="V36" s="27"/>
      <c r="W36" s="27"/>
      <c r="X36" s="27"/>
      <c r="Y36" s="27"/>
      <c r="Z36" s="27">
        <f t="shared" si="124"/>
        <v>0</v>
      </c>
      <c r="AA36" s="27"/>
      <c r="AB36" s="27"/>
      <c r="AC36" s="27"/>
      <c r="AD36" s="27"/>
      <c r="AE36" s="27">
        <f t="shared" si="125"/>
        <v>0</v>
      </c>
      <c r="AF36" s="27"/>
      <c r="AG36" s="27"/>
      <c r="AH36" s="27"/>
      <c r="AI36" s="27"/>
      <c r="AJ36" s="27">
        <f t="shared" si="126"/>
        <v>0</v>
      </c>
      <c r="AK36" s="27"/>
      <c r="AL36" s="27"/>
      <c r="AM36" s="27"/>
      <c r="AN36" s="27"/>
      <c r="AO36" s="27">
        <f t="shared" si="127"/>
        <v>0</v>
      </c>
      <c r="AP36" s="27"/>
      <c r="AQ36" s="27"/>
      <c r="AR36" s="27"/>
      <c r="AS36" s="27"/>
      <c r="AT36" s="27">
        <f t="shared" si="128"/>
        <v>0</v>
      </c>
      <c r="AU36" s="27"/>
      <c r="AV36" s="27"/>
      <c r="AW36" s="27"/>
      <c r="AX36" s="27"/>
      <c r="AY36" s="27">
        <f t="shared" si="129"/>
        <v>0</v>
      </c>
      <c r="AZ36" s="27"/>
      <c r="BA36" s="27"/>
      <c r="BB36" s="27"/>
      <c r="BC36" s="27"/>
      <c r="BD36" s="27">
        <f t="shared" si="130"/>
        <v>0</v>
      </c>
      <c r="BE36" s="27"/>
      <c r="BF36" s="27"/>
      <c r="BG36" s="27"/>
      <c r="BH36" s="27"/>
      <c r="BI36" s="27">
        <f t="shared" si="131"/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f t="shared" si="132"/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f t="shared" si="133"/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f t="shared" si="134"/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f t="shared" si="135"/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f t="shared" si="136"/>
        <v>0</v>
      </c>
      <c r="CI36" s="27">
        <v>0</v>
      </c>
      <c r="CJ36" s="27">
        <v>4</v>
      </c>
      <c r="CK36" s="27">
        <v>2.7</v>
      </c>
      <c r="CL36" s="27">
        <v>3.8</v>
      </c>
      <c r="CM36" s="27">
        <f t="shared" si="137"/>
        <v>10.5</v>
      </c>
      <c r="CN36" s="27">
        <v>4.9000000000000004</v>
      </c>
      <c r="CO36" s="27">
        <v>16.600000000000001</v>
      </c>
      <c r="CP36" s="27">
        <v>16.100000000000001</v>
      </c>
      <c r="CQ36" s="27">
        <v>5.2629999999999999</v>
      </c>
      <c r="CR36" s="27">
        <f t="shared" si="138"/>
        <v>42.863</v>
      </c>
      <c r="CS36" s="27">
        <v>16.100000000000001</v>
      </c>
      <c r="CT36" s="27">
        <v>30.86</v>
      </c>
      <c r="CU36" s="27">
        <v>24.198</v>
      </c>
      <c r="CV36" s="27">
        <v>11.529</v>
      </c>
      <c r="CW36" s="27">
        <f t="shared" si="139"/>
        <v>82.686999999999998</v>
      </c>
      <c r="CX36" s="27">
        <v>2.1459999999999999</v>
      </c>
      <c r="CY36" s="27">
        <v>26.957999999999998</v>
      </c>
      <c r="CZ36" s="27">
        <v>12.356999999999999</v>
      </c>
      <c r="DA36" s="27">
        <v>40.817999999999998</v>
      </c>
      <c r="DB36" s="27">
        <f t="shared" si="140"/>
        <v>82.278999999999996</v>
      </c>
      <c r="DC36" s="27">
        <v>42.811</v>
      </c>
      <c r="DD36" s="27">
        <v>71.632999999999996</v>
      </c>
      <c r="DE36" s="27">
        <v>67.536000000000001</v>
      </c>
      <c r="DF36" s="27">
        <v>8.2289999999999992</v>
      </c>
      <c r="DG36" s="27">
        <f t="shared" si="141"/>
        <v>190.209</v>
      </c>
      <c r="DH36" s="27">
        <v>46.420999999999999</v>
      </c>
      <c r="DI36" s="27">
        <v>26.9</v>
      </c>
      <c r="DJ36" s="27">
        <v>31.108000000000001</v>
      </c>
      <c r="DK36" s="27">
        <v>27.448</v>
      </c>
      <c r="DL36" s="27">
        <f t="shared" si="142"/>
        <v>131.87700000000001</v>
      </c>
      <c r="DM36" s="27">
        <v>17.876999999999999</v>
      </c>
      <c r="DN36" s="27">
        <v>10.42</v>
      </c>
      <c r="DO36" s="27">
        <v>9.4870000000000001</v>
      </c>
      <c r="DP36" s="27">
        <v>18.73</v>
      </c>
      <c r="DQ36" s="27">
        <f t="shared" si="143"/>
        <v>56.513999999999996</v>
      </c>
      <c r="DR36" s="27">
        <v>8.5500000000000007</v>
      </c>
      <c r="DS36" s="27">
        <v>5.6230000000000002</v>
      </c>
      <c r="DT36" s="27">
        <v>3.4119999999999999</v>
      </c>
      <c r="DU36" s="27">
        <v>7.3360000000000003</v>
      </c>
      <c r="DV36" s="27">
        <f t="shared" si="144"/>
        <v>24.920999999999999</v>
      </c>
      <c r="DW36" s="27">
        <v>2.448</v>
      </c>
      <c r="DX36" s="27">
        <v>2.5830000000000002</v>
      </c>
      <c r="DY36" s="27">
        <v>12.969000000000001</v>
      </c>
      <c r="DZ36" s="27">
        <v>8.7609999999999992</v>
      </c>
      <c r="EA36" s="27">
        <f t="shared" si="145"/>
        <v>26.760999999999999</v>
      </c>
      <c r="EB36" s="27">
        <v>13.166</v>
      </c>
      <c r="EC36" s="27">
        <v>21.364000000000001</v>
      </c>
      <c r="ED36" s="27">
        <v>16.565999999999995</v>
      </c>
      <c r="EE36" s="27">
        <v>18.20000000000001</v>
      </c>
      <c r="EF36" s="27">
        <f t="shared" si="146"/>
        <v>69.296000000000006</v>
      </c>
      <c r="EG36" s="27">
        <v>8.3480000000000008</v>
      </c>
      <c r="EH36" s="27">
        <v>20.271000000000001</v>
      </c>
      <c r="EI36" s="27">
        <v>9.7620000000000005</v>
      </c>
      <c r="EJ36" s="27">
        <f t="shared" si="147"/>
        <v>38.381</v>
      </c>
    </row>
    <row r="37" spans="1:140" ht="15" thickBot="1" x14ac:dyDescent="0.35">
      <c r="A37" s="2" t="s">
        <v>444</v>
      </c>
      <c r="B37" s="28"/>
      <c r="C37" s="28"/>
      <c r="D37" s="28"/>
      <c r="E37" s="28"/>
      <c r="F37" s="28">
        <f t="shared" si="120"/>
        <v>0</v>
      </c>
      <c r="G37" s="28"/>
      <c r="H37" s="28"/>
      <c r="I37" s="28"/>
      <c r="J37" s="28"/>
      <c r="K37" s="28">
        <f t="shared" si="121"/>
        <v>0</v>
      </c>
      <c r="L37" s="28"/>
      <c r="M37" s="28"/>
      <c r="N37" s="28"/>
      <c r="O37" s="28"/>
      <c r="P37" s="28">
        <f t="shared" si="122"/>
        <v>0</v>
      </c>
      <c r="Q37" s="28"/>
      <c r="R37" s="28"/>
      <c r="S37" s="28"/>
      <c r="T37" s="28"/>
      <c r="U37" s="28">
        <f t="shared" si="123"/>
        <v>0</v>
      </c>
      <c r="V37" s="28"/>
      <c r="W37" s="28"/>
      <c r="X37" s="28"/>
      <c r="Y37" s="28"/>
      <c r="Z37" s="28">
        <f t="shared" si="124"/>
        <v>0</v>
      </c>
      <c r="AA37" s="28"/>
      <c r="AB37" s="28"/>
      <c r="AC37" s="28"/>
      <c r="AD37" s="28"/>
      <c r="AE37" s="28">
        <f t="shared" si="125"/>
        <v>0</v>
      </c>
      <c r="AF37" s="28"/>
      <c r="AG37" s="28"/>
      <c r="AH37" s="28"/>
      <c r="AI37" s="28"/>
      <c r="AJ37" s="28">
        <f t="shared" si="126"/>
        <v>0</v>
      </c>
      <c r="AK37" s="28"/>
      <c r="AL37" s="28"/>
      <c r="AM37" s="28"/>
      <c r="AN37" s="28"/>
      <c r="AO37" s="28">
        <f t="shared" si="127"/>
        <v>0</v>
      </c>
      <c r="AP37" s="28"/>
      <c r="AQ37" s="28"/>
      <c r="AR37" s="28"/>
      <c r="AS37" s="28"/>
      <c r="AT37" s="28">
        <f t="shared" si="128"/>
        <v>0</v>
      </c>
      <c r="AU37" s="28"/>
      <c r="AV37" s="28"/>
      <c r="AW37" s="28"/>
      <c r="AX37" s="28"/>
      <c r="AY37" s="28">
        <f t="shared" si="129"/>
        <v>0</v>
      </c>
      <c r="AZ37" s="28"/>
      <c r="BA37" s="28"/>
      <c r="BB37" s="28"/>
      <c r="BC37" s="28"/>
      <c r="BD37" s="28">
        <f t="shared" si="130"/>
        <v>0</v>
      </c>
      <c r="BE37" s="28"/>
      <c r="BF37" s="28"/>
      <c r="BG37" s="28"/>
      <c r="BH37" s="28"/>
      <c r="BI37" s="28">
        <f t="shared" si="131"/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0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18.931000000000001</v>
      </c>
      <c r="DE37" s="28">
        <v>35.256</v>
      </c>
      <c r="DF37" s="28">
        <v>55.072000000000003</v>
      </c>
      <c r="DG37" s="28">
        <f t="shared" si="141"/>
        <v>109.259</v>
      </c>
      <c r="DH37" s="28">
        <v>50.863</v>
      </c>
      <c r="DI37" s="28">
        <v>33.186</v>
      </c>
      <c r="DJ37" s="28">
        <v>38.386000000000003</v>
      </c>
      <c r="DK37" s="28">
        <v>45.786999999999999</v>
      </c>
      <c r="DL37" s="28">
        <f t="shared" si="142"/>
        <v>168.22200000000001</v>
      </c>
      <c r="DM37" s="28">
        <v>34.500999999999998</v>
      </c>
      <c r="DN37" s="28">
        <v>69.662999999999997</v>
      </c>
      <c r="DO37" s="28">
        <v>81.614999999999995</v>
      </c>
      <c r="DP37" s="28">
        <v>67.323999999999998</v>
      </c>
      <c r="DQ37" s="28">
        <f t="shared" si="143"/>
        <v>253.10300000000001</v>
      </c>
      <c r="DR37" s="28">
        <v>37.796999999999997</v>
      </c>
      <c r="DS37" s="28">
        <v>35.32</v>
      </c>
      <c r="DT37" s="28">
        <v>72.153000000000006</v>
      </c>
      <c r="DU37" s="28">
        <v>101.685</v>
      </c>
      <c r="DV37" s="28">
        <f t="shared" si="144"/>
        <v>246.95499999999998</v>
      </c>
      <c r="DW37" s="28">
        <v>38.046999999999997</v>
      </c>
      <c r="DX37" s="28">
        <v>50.441000000000003</v>
      </c>
      <c r="DY37" s="28">
        <v>71.37700000000001</v>
      </c>
      <c r="DZ37" s="28">
        <v>86.22</v>
      </c>
      <c r="EA37" s="28">
        <f t="shared" si="145"/>
        <v>246.08500000000001</v>
      </c>
      <c r="EB37" s="28">
        <v>64.028999999999996</v>
      </c>
      <c r="EC37" s="28">
        <v>83.381</v>
      </c>
      <c r="ED37" s="28">
        <v>85.138000000000005</v>
      </c>
      <c r="EE37" s="28">
        <v>73.951999999999998</v>
      </c>
      <c r="EF37" s="28">
        <f t="shared" si="146"/>
        <v>306.5</v>
      </c>
      <c r="EG37" s="28">
        <v>44.173000000000002</v>
      </c>
      <c r="EH37" s="28">
        <v>41.501999999999995</v>
      </c>
      <c r="EI37" s="28">
        <v>64.85799999999999</v>
      </c>
      <c r="EJ37" s="28">
        <f t="shared" si="147"/>
        <v>150.53299999999999</v>
      </c>
    </row>
    <row r="38" spans="1:140" ht="15" thickTop="1" x14ac:dyDescent="0.3">
      <c r="A38" s="1" t="s">
        <v>456</v>
      </c>
      <c r="B38" s="27"/>
      <c r="C38" s="27"/>
      <c r="D38" s="27"/>
      <c r="E38" s="27"/>
      <c r="F38" s="27">
        <f t="shared" si="120"/>
        <v>0</v>
      </c>
      <c r="G38" s="27"/>
      <c r="H38" s="27"/>
      <c r="I38" s="27"/>
      <c r="J38" s="27"/>
      <c r="K38" s="27">
        <f t="shared" si="121"/>
        <v>0</v>
      </c>
      <c r="L38" s="27"/>
      <c r="M38" s="27"/>
      <c r="N38" s="27"/>
      <c r="O38" s="27"/>
      <c r="P38" s="27">
        <f t="shared" si="122"/>
        <v>0</v>
      </c>
      <c r="Q38" s="27"/>
      <c r="R38" s="27"/>
      <c r="S38" s="27"/>
      <c r="T38" s="27"/>
      <c r="U38" s="27">
        <f t="shared" si="123"/>
        <v>0</v>
      </c>
      <c r="V38" s="27"/>
      <c r="W38" s="27"/>
      <c r="X38" s="27"/>
      <c r="Y38" s="27"/>
      <c r="Z38" s="27">
        <f t="shared" si="124"/>
        <v>0</v>
      </c>
      <c r="AA38" s="27"/>
      <c r="AB38" s="27"/>
      <c r="AC38" s="27"/>
      <c r="AD38" s="27"/>
      <c r="AE38" s="27">
        <f t="shared" si="125"/>
        <v>0</v>
      </c>
      <c r="AF38" s="27"/>
      <c r="AG38" s="27"/>
      <c r="AH38" s="27"/>
      <c r="AI38" s="27"/>
      <c r="AJ38" s="27">
        <f t="shared" si="126"/>
        <v>0</v>
      </c>
      <c r="AK38" s="27"/>
      <c r="AL38" s="27"/>
      <c r="AM38" s="27"/>
      <c r="AN38" s="27"/>
      <c r="AO38" s="27">
        <f t="shared" si="127"/>
        <v>0</v>
      </c>
      <c r="AP38" s="27"/>
      <c r="AQ38" s="27"/>
      <c r="AR38" s="27"/>
      <c r="AS38" s="27"/>
      <c r="AT38" s="27">
        <f t="shared" si="128"/>
        <v>0</v>
      </c>
      <c r="AU38" s="27"/>
      <c r="AV38" s="27"/>
      <c r="AW38" s="27"/>
      <c r="AX38" s="27"/>
      <c r="AY38" s="27">
        <f t="shared" si="129"/>
        <v>0</v>
      </c>
      <c r="AZ38" s="27"/>
      <c r="BA38" s="27"/>
      <c r="BB38" s="27"/>
      <c r="BC38" s="27"/>
      <c r="BD38" s="27">
        <f t="shared" si="130"/>
        <v>0</v>
      </c>
      <c r="BE38" s="27"/>
      <c r="BF38" s="27"/>
      <c r="BG38" s="27"/>
      <c r="BH38" s="27"/>
      <c r="BI38" s="27">
        <f t="shared" si="131"/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0.4</v>
      </c>
      <c r="CZ38" s="27">
        <v>8.9710000000000001</v>
      </c>
      <c r="DA38" s="27">
        <v>59.658000000000001</v>
      </c>
      <c r="DB38" s="27">
        <f t="shared" si="140"/>
        <v>69.028999999999996</v>
      </c>
      <c r="DC38" s="27">
        <v>72.063000000000002</v>
      </c>
      <c r="DD38" s="27">
        <v>23.794</v>
      </c>
      <c r="DE38" s="27">
        <v>5.1440000000000001</v>
      </c>
      <c r="DF38" s="27">
        <v>16.706</v>
      </c>
      <c r="DG38" s="27">
        <f t="shared" si="141"/>
        <v>117.70700000000001</v>
      </c>
      <c r="DH38" s="27">
        <v>10.294</v>
      </c>
      <c r="DI38" s="27">
        <v>17.210999999999999</v>
      </c>
      <c r="DJ38" s="27">
        <v>23.556999999999999</v>
      </c>
      <c r="DK38" s="27">
        <v>11.253</v>
      </c>
      <c r="DL38" s="27">
        <f t="shared" si="142"/>
        <v>62.314999999999998</v>
      </c>
      <c r="DM38" s="27">
        <v>8.7759999999999998</v>
      </c>
      <c r="DN38" s="27">
        <v>28.821999999999999</v>
      </c>
      <c r="DO38" s="27">
        <v>98.834000000000003</v>
      </c>
      <c r="DP38" s="27">
        <v>118.05200000000001</v>
      </c>
      <c r="DQ38" s="27">
        <f t="shared" si="143"/>
        <v>254.48400000000004</v>
      </c>
      <c r="DR38" s="27">
        <v>113.792</v>
      </c>
      <c r="DS38" s="27">
        <v>120.711</v>
      </c>
      <c r="DT38" s="27">
        <v>104.389</v>
      </c>
      <c r="DU38" s="27">
        <v>149.14400000000001</v>
      </c>
      <c r="DV38" s="27">
        <f t="shared" si="144"/>
        <v>488.036</v>
      </c>
      <c r="DW38" s="27">
        <v>85.974999999999994</v>
      </c>
      <c r="DX38" s="27">
        <v>170.35499999999999</v>
      </c>
      <c r="DY38" s="27">
        <v>286.012</v>
      </c>
      <c r="DZ38" s="27">
        <v>291.89099999999996</v>
      </c>
      <c r="EA38" s="27">
        <f t="shared" si="145"/>
        <v>834.23299999999995</v>
      </c>
      <c r="EB38" s="27">
        <v>129.49600000000001</v>
      </c>
      <c r="EC38" s="27">
        <v>160.15799999999999</v>
      </c>
      <c r="ED38" s="27">
        <v>196.887</v>
      </c>
      <c r="EE38" s="27">
        <v>261.07300000000004</v>
      </c>
      <c r="EF38" s="27">
        <f t="shared" si="146"/>
        <v>747.61400000000003</v>
      </c>
      <c r="EG38" s="27">
        <v>112.288</v>
      </c>
      <c r="EH38" s="27">
        <v>138.76800000000003</v>
      </c>
      <c r="EI38" s="27">
        <v>150.71899999999997</v>
      </c>
      <c r="EJ38" s="27">
        <f t="shared" si="147"/>
        <v>401.77499999999998</v>
      </c>
    </row>
    <row r="39" spans="1:140" ht="15" thickBot="1" x14ac:dyDescent="0.35">
      <c r="A39" s="2" t="s">
        <v>446</v>
      </c>
      <c r="B39" s="28"/>
      <c r="C39" s="28"/>
      <c r="D39" s="28"/>
      <c r="E39" s="28"/>
      <c r="F39" s="28">
        <f t="shared" si="120"/>
        <v>0</v>
      </c>
      <c r="G39" s="28"/>
      <c r="H39" s="28"/>
      <c r="I39" s="28"/>
      <c r="J39" s="28"/>
      <c r="K39" s="28">
        <f t="shared" si="121"/>
        <v>0</v>
      </c>
      <c r="L39" s="28"/>
      <c r="M39" s="28"/>
      <c r="N39" s="28"/>
      <c r="O39" s="28"/>
      <c r="P39" s="28">
        <f t="shared" si="122"/>
        <v>0</v>
      </c>
      <c r="Q39" s="28"/>
      <c r="R39" s="28"/>
      <c r="S39" s="28"/>
      <c r="T39" s="28"/>
      <c r="U39" s="28">
        <f t="shared" si="123"/>
        <v>0</v>
      </c>
      <c r="V39" s="28"/>
      <c r="W39" s="28"/>
      <c r="X39" s="28"/>
      <c r="Y39" s="28"/>
      <c r="Z39" s="28">
        <f t="shared" si="124"/>
        <v>0</v>
      </c>
      <c r="AA39" s="28"/>
      <c r="AB39" s="28"/>
      <c r="AC39" s="28"/>
      <c r="AD39" s="28"/>
      <c r="AE39" s="28">
        <f t="shared" si="125"/>
        <v>0</v>
      </c>
      <c r="AF39" s="28"/>
      <c r="AG39" s="28"/>
      <c r="AH39" s="28"/>
      <c r="AI39" s="28"/>
      <c r="AJ39" s="28">
        <f t="shared" si="126"/>
        <v>0</v>
      </c>
      <c r="AK39" s="28"/>
      <c r="AL39" s="28"/>
      <c r="AM39" s="28"/>
      <c r="AN39" s="28"/>
      <c r="AO39" s="28">
        <f t="shared" si="127"/>
        <v>0</v>
      </c>
      <c r="AP39" s="28"/>
      <c r="AQ39" s="28"/>
      <c r="AR39" s="28"/>
      <c r="AS39" s="28"/>
      <c r="AT39" s="28">
        <f t="shared" si="128"/>
        <v>0</v>
      </c>
      <c r="AU39" s="28"/>
      <c r="AV39" s="28"/>
      <c r="AW39" s="28"/>
      <c r="AX39" s="28"/>
      <c r="AY39" s="28">
        <f t="shared" si="129"/>
        <v>0</v>
      </c>
      <c r="AZ39" s="28"/>
      <c r="BA39" s="28"/>
      <c r="BB39" s="28"/>
      <c r="BC39" s="28"/>
      <c r="BD39" s="28">
        <f t="shared" si="130"/>
        <v>0</v>
      </c>
      <c r="BE39" s="28"/>
      <c r="BF39" s="28"/>
      <c r="BG39" s="28"/>
      <c r="BH39" s="28"/>
      <c r="BI39" s="28">
        <f t="shared" si="131"/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S39" s="28">
        <v>0</v>
      </c>
      <c r="BT39" s="28">
        <v>0</v>
      </c>
      <c r="BU39" s="28">
        <v>0</v>
      </c>
      <c r="BV39" s="28">
        <v>0</v>
      </c>
      <c r="BW39" s="28">
        <v>0</v>
      </c>
      <c r="BX39" s="28">
        <v>0</v>
      </c>
      <c r="BY39" s="28">
        <v>0</v>
      </c>
      <c r="BZ39" s="28">
        <v>0</v>
      </c>
      <c r="CA39" s="28">
        <v>0</v>
      </c>
      <c r="CB39" s="28">
        <v>0</v>
      </c>
      <c r="CC39" s="28">
        <v>0</v>
      </c>
      <c r="CD39" s="28">
        <v>0</v>
      </c>
      <c r="CE39" s="28">
        <v>0</v>
      </c>
      <c r="CF39" s="28">
        <v>0</v>
      </c>
      <c r="CG39" s="28">
        <v>0</v>
      </c>
      <c r="CH39" s="28">
        <v>0</v>
      </c>
      <c r="CI39" s="28">
        <v>0</v>
      </c>
      <c r="CJ39" s="28">
        <v>0</v>
      </c>
      <c r="CK39" s="28">
        <v>0</v>
      </c>
      <c r="CL39" s="28">
        <v>0</v>
      </c>
      <c r="CM39" s="28">
        <v>0</v>
      </c>
      <c r="CN39" s="28">
        <v>0</v>
      </c>
      <c r="CO39" s="28">
        <v>0</v>
      </c>
      <c r="CP39" s="28">
        <v>0</v>
      </c>
      <c r="CQ39" s="28">
        <v>0</v>
      </c>
      <c r="CR39" s="28">
        <v>0</v>
      </c>
      <c r="CS39" s="28">
        <v>0</v>
      </c>
      <c r="CT39" s="28">
        <v>0</v>
      </c>
      <c r="CU39" s="28">
        <v>0</v>
      </c>
      <c r="CV39" s="28">
        <v>0</v>
      </c>
      <c r="CW39" s="28">
        <v>0</v>
      </c>
      <c r="CX39" s="28">
        <v>0</v>
      </c>
      <c r="CY39" s="28">
        <v>0</v>
      </c>
      <c r="CZ39" s="28">
        <v>0</v>
      </c>
      <c r="DA39" s="28">
        <v>0</v>
      </c>
      <c r="DB39" s="28">
        <v>0</v>
      </c>
      <c r="DC39" s="28">
        <v>0</v>
      </c>
      <c r="DD39" s="28">
        <v>0</v>
      </c>
      <c r="DE39" s="28">
        <v>0</v>
      </c>
      <c r="DF39" s="28">
        <v>11.359</v>
      </c>
      <c r="DG39" s="28">
        <f t="shared" si="141"/>
        <v>11.359</v>
      </c>
      <c r="DH39" s="28">
        <v>13.855</v>
      </c>
      <c r="DI39" s="28">
        <v>105.026</v>
      </c>
      <c r="DJ39" s="28">
        <v>120.22</v>
      </c>
      <c r="DK39" s="28">
        <v>80.866</v>
      </c>
      <c r="DL39" s="28">
        <f t="shared" si="142"/>
        <v>319.96699999999998</v>
      </c>
      <c r="DM39" s="28">
        <v>4.2560000000000002</v>
      </c>
      <c r="DN39" s="28">
        <v>22.905000000000001</v>
      </c>
      <c r="DO39" s="28">
        <v>41.271000000000001</v>
      </c>
      <c r="DP39" s="28">
        <v>77.284000000000006</v>
      </c>
      <c r="DQ39" s="28">
        <f t="shared" si="143"/>
        <v>145.71600000000001</v>
      </c>
      <c r="DR39" s="28">
        <v>78.486000000000004</v>
      </c>
      <c r="DS39" s="28">
        <v>64.451999999999998</v>
      </c>
      <c r="DT39" s="28">
        <v>100.986</v>
      </c>
      <c r="DU39" s="28">
        <v>105.768</v>
      </c>
      <c r="DV39" s="28">
        <f t="shared" si="144"/>
        <v>349.69200000000001</v>
      </c>
      <c r="DW39" s="28">
        <v>70.712000000000003</v>
      </c>
      <c r="DX39" s="28">
        <v>37.527999999999999</v>
      </c>
      <c r="DY39" s="28">
        <v>46.059000000000012</v>
      </c>
      <c r="DZ39" s="28">
        <v>94.688999999999993</v>
      </c>
      <c r="EA39" s="28">
        <f t="shared" si="145"/>
        <v>248.98800000000003</v>
      </c>
      <c r="EB39" s="28">
        <v>90.106999999999999</v>
      </c>
      <c r="EC39" s="28">
        <v>82.01</v>
      </c>
      <c r="ED39" s="28">
        <v>82.980000000000018</v>
      </c>
      <c r="EE39" s="28">
        <v>97.081999999999965</v>
      </c>
      <c r="EF39" s="28">
        <f t="shared" si="146"/>
        <v>352.17899999999997</v>
      </c>
      <c r="EG39" s="28">
        <v>83.581000000000003</v>
      </c>
      <c r="EH39" s="28">
        <v>74.202999999999989</v>
      </c>
      <c r="EI39" s="28">
        <v>49.734000000000009</v>
      </c>
      <c r="EJ39" s="28">
        <f t="shared" si="147"/>
        <v>207.518</v>
      </c>
    </row>
    <row r="40" spans="1:140" ht="15" thickTop="1" x14ac:dyDescent="0.3">
      <c r="A40" s="1" t="s">
        <v>447</v>
      </c>
      <c r="B40" s="27"/>
      <c r="C40" s="27"/>
      <c r="D40" s="27"/>
      <c r="E40" s="27"/>
      <c r="F40" s="27">
        <f t="shared" si="120"/>
        <v>0</v>
      </c>
      <c r="G40" s="27"/>
      <c r="H40" s="27"/>
      <c r="I40" s="27"/>
      <c r="J40" s="27"/>
      <c r="K40" s="27">
        <f t="shared" si="121"/>
        <v>0</v>
      </c>
      <c r="L40" s="27"/>
      <c r="M40" s="27"/>
      <c r="N40" s="27"/>
      <c r="O40" s="27"/>
      <c r="P40" s="27">
        <f t="shared" si="122"/>
        <v>0</v>
      </c>
      <c r="Q40" s="27"/>
      <c r="R40" s="27"/>
      <c r="S40" s="27"/>
      <c r="T40" s="27"/>
      <c r="U40" s="27">
        <f t="shared" si="123"/>
        <v>0</v>
      </c>
      <c r="V40" s="27"/>
      <c r="W40" s="27"/>
      <c r="X40" s="27"/>
      <c r="Y40" s="27"/>
      <c r="Z40" s="27">
        <f t="shared" si="124"/>
        <v>0</v>
      </c>
      <c r="AA40" s="27"/>
      <c r="AB40" s="27"/>
      <c r="AC40" s="27"/>
      <c r="AD40" s="27"/>
      <c r="AE40" s="27">
        <f t="shared" si="125"/>
        <v>0</v>
      </c>
      <c r="AF40" s="27"/>
      <c r="AG40" s="27"/>
      <c r="AH40" s="27"/>
      <c r="AI40" s="27"/>
      <c r="AJ40" s="27">
        <f t="shared" si="126"/>
        <v>0</v>
      </c>
      <c r="AK40" s="27"/>
      <c r="AL40" s="27"/>
      <c r="AM40" s="27"/>
      <c r="AN40" s="27"/>
      <c r="AO40" s="27">
        <f t="shared" si="127"/>
        <v>0</v>
      </c>
      <c r="AP40" s="27"/>
      <c r="AQ40" s="27"/>
      <c r="AR40" s="27"/>
      <c r="AS40" s="27"/>
      <c r="AT40" s="27">
        <f t="shared" si="128"/>
        <v>0</v>
      </c>
      <c r="AU40" s="27"/>
      <c r="AV40" s="27"/>
      <c r="AW40" s="27"/>
      <c r="AX40" s="27"/>
      <c r="AY40" s="27">
        <f t="shared" si="129"/>
        <v>0</v>
      </c>
      <c r="AZ40" s="27"/>
      <c r="BA40" s="27"/>
      <c r="BB40" s="27"/>
      <c r="BC40" s="27"/>
      <c r="BD40" s="27">
        <f t="shared" si="130"/>
        <v>0</v>
      </c>
      <c r="BE40" s="27"/>
      <c r="BF40" s="27"/>
      <c r="BG40" s="27"/>
      <c r="BH40" s="27"/>
      <c r="BI40" s="27">
        <f t="shared" si="131"/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5.391</v>
      </c>
      <c r="DO40" s="27">
        <f>390.829-357.503</f>
        <v>33.326000000000022</v>
      </c>
      <c r="DP40" s="27">
        <v>45.816000000000003</v>
      </c>
      <c r="DQ40" s="27">
        <f t="shared" si="143"/>
        <v>84.533000000000015</v>
      </c>
      <c r="DR40" s="27">
        <v>104.232</v>
      </c>
      <c r="DS40" s="27">
        <v>257.37799999999999</v>
      </c>
      <c r="DT40" s="27">
        <v>330.37900000000002</v>
      </c>
      <c r="DU40" s="27">
        <v>182.642</v>
      </c>
      <c r="DV40" s="27">
        <f t="shared" si="144"/>
        <v>874.63100000000009</v>
      </c>
      <c r="DW40" s="27">
        <v>88.881</v>
      </c>
      <c r="DX40" s="27">
        <v>107.61199999999999</v>
      </c>
      <c r="DY40" s="27">
        <v>141.98000000000002</v>
      </c>
      <c r="DZ40" s="27">
        <v>149.94799999999998</v>
      </c>
      <c r="EA40" s="27">
        <f t="shared" si="145"/>
        <v>488.42099999999999</v>
      </c>
      <c r="EB40" s="27">
        <v>42.475000000000001</v>
      </c>
      <c r="EC40" s="27">
        <v>92.561999999999998</v>
      </c>
      <c r="ED40" s="27">
        <v>155.19500000000002</v>
      </c>
      <c r="EE40" s="27">
        <v>195.89599999999996</v>
      </c>
      <c r="EF40" s="27">
        <f t="shared" si="146"/>
        <v>486.12799999999999</v>
      </c>
      <c r="EG40" s="27">
        <v>42.38</v>
      </c>
      <c r="EH40" s="27">
        <v>56.773999999999994</v>
      </c>
      <c r="EI40" s="27">
        <v>111.596</v>
      </c>
      <c r="EJ40" s="27">
        <f t="shared" si="147"/>
        <v>210.75</v>
      </c>
    </row>
    <row r="41" spans="1:140" ht="15" thickBot="1" x14ac:dyDescent="0.35">
      <c r="A41" s="2" t="s">
        <v>448</v>
      </c>
      <c r="B41" s="28"/>
      <c r="C41" s="28"/>
      <c r="D41" s="28"/>
      <c r="E41" s="28"/>
      <c r="F41" s="28">
        <f t="shared" si="120"/>
        <v>0</v>
      </c>
      <c r="G41" s="28"/>
      <c r="H41" s="28"/>
      <c r="I41" s="28"/>
      <c r="J41" s="28"/>
      <c r="K41" s="28">
        <f t="shared" si="121"/>
        <v>0</v>
      </c>
      <c r="L41" s="28"/>
      <c r="M41" s="28"/>
      <c r="N41" s="28"/>
      <c r="O41" s="28"/>
      <c r="P41" s="28">
        <f t="shared" si="122"/>
        <v>0</v>
      </c>
      <c r="Q41" s="28"/>
      <c r="R41" s="28"/>
      <c r="S41" s="28"/>
      <c r="T41" s="28"/>
      <c r="U41" s="28">
        <f t="shared" si="123"/>
        <v>0</v>
      </c>
      <c r="V41" s="28"/>
      <c r="W41" s="28"/>
      <c r="X41" s="28"/>
      <c r="Y41" s="28"/>
      <c r="Z41" s="28">
        <f t="shared" si="124"/>
        <v>0</v>
      </c>
      <c r="AA41" s="28"/>
      <c r="AB41" s="28"/>
      <c r="AC41" s="28"/>
      <c r="AD41" s="28"/>
      <c r="AE41" s="28">
        <f t="shared" si="125"/>
        <v>0</v>
      </c>
      <c r="AF41" s="28"/>
      <c r="AG41" s="28"/>
      <c r="AH41" s="28"/>
      <c r="AI41" s="28"/>
      <c r="AJ41" s="28">
        <f t="shared" si="126"/>
        <v>0</v>
      </c>
      <c r="AK41" s="28"/>
      <c r="AL41" s="28"/>
      <c r="AM41" s="28"/>
      <c r="AN41" s="28"/>
      <c r="AO41" s="28">
        <f t="shared" si="127"/>
        <v>0</v>
      </c>
      <c r="AP41" s="28"/>
      <c r="AQ41" s="28"/>
      <c r="AR41" s="28"/>
      <c r="AS41" s="28"/>
      <c r="AT41" s="28">
        <f t="shared" si="128"/>
        <v>0</v>
      </c>
      <c r="AU41" s="28"/>
      <c r="AV41" s="28"/>
      <c r="AW41" s="28"/>
      <c r="AX41" s="28"/>
      <c r="AY41" s="28">
        <f t="shared" si="129"/>
        <v>0</v>
      </c>
      <c r="AZ41" s="28"/>
      <c r="BA41" s="28"/>
      <c r="BB41" s="28"/>
      <c r="BC41" s="28"/>
      <c r="BD41" s="28">
        <f t="shared" si="130"/>
        <v>0</v>
      </c>
      <c r="BE41" s="28"/>
      <c r="BF41" s="28"/>
      <c r="BG41" s="28"/>
      <c r="BH41" s="28"/>
      <c r="BI41" s="28">
        <f t="shared" si="131"/>
        <v>0</v>
      </c>
      <c r="BJ41" s="28">
        <v>0</v>
      </c>
      <c r="BK41" s="28">
        <v>0</v>
      </c>
      <c r="BL41" s="28">
        <v>0</v>
      </c>
      <c r="BM41" s="28">
        <v>0</v>
      </c>
      <c r="BN41" s="28">
        <v>0</v>
      </c>
      <c r="BO41" s="28">
        <v>0</v>
      </c>
      <c r="BP41" s="28">
        <v>0</v>
      </c>
      <c r="BQ41" s="28">
        <v>0</v>
      </c>
      <c r="BR41" s="28">
        <v>0</v>
      </c>
      <c r="BS41" s="28">
        <v>0</v>
      </c>
      <c r="BT41" s="28">
        <v>0</v>
      </c>
      <c r="BU41" s="28">
        <v>0</v>
      </c>
      <c r="BV41" s="28">
        <v>0</v>
      </c>
      <c r="BW41" s="28">
        <v>0</v>
      </c>
      <c r="BX41" s="28">
        <v>0</v>
      </c>
      <c r="BY41" s="28">
        <v>0</v>
      </c>
      <c r="BZ41" s="28">
        <v>0</v>
      </c>
      <c r="CA41" s="28">
        <v>0</v>
      </c>
      <c r="CB41" s="28">
        <v>0</v>
      </c>
      <c r="CC41" s="28"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v>0</v>
      </c>
      <c r="CI41" s="28">
        <v>0</v>
      </c>
      <c r="CJ41" s="28">
        <v>0</v>
      </c>
      <c r="CK41" s="28">
        <v>0</v>
      </c>
      <c r="CL41" s="28">
        <v>0</v>
      </c>
      <c r="CM41" s="28">
        <v>0</v>
      </c>
      <c r="CN41" s="28">
        <v>0</v>
      </c>
      <c r="CO41" s="28">
        <v>0</v>
      </c>
      <c r="CP41" s="28">
        <v>0</v>
      </c>
      <c r="CQ41" s="28">
        <v>0</v>
      </c>
      <c r="CR41" s="28">
        <v>0</v>
      </c>
      <c r="CS41" s="28">
        <v>0</v>
      </c>
      <c r="CT41" s="28">
        <v>0</v>
      </c>
      <c r="CU41" s="28">
        <v>0</v>
      </c>
      <c r="CV41" s="28">
        <v>0</v>
      </c>
      <c r="CW41" s="28">
        <v>0</v>
      </c>
      <c r="CX41" s="28">
        <v>0</v>
      </c>
      <c r="CY41" s="28">
        <v>0</v>
      </c>
      <c r="CZ41" s="28">
        <v>0</v>
      </c>
      <c r="DA41" s="28">
        <v>0</v>
      </c>
      <c r="DB41" s="28">
        <v>0</v>
      </c>
      <c r="DC41" s="28">
        <v>0</v>
      </c>
      <c r="DD41" s="28">
        <v>0</v>
      </c>
      <c r="DE41" s="28">
        <v>0</v>
      </c>
      <c r="DF41" s="28">
        <v>0</v>
      </c>
      <c r="DG41" s="28">
        <v>0</v>
      </c>
      <c r="DH41" s="28">
        <v>0</v>
      </c>
      <c r="DI41" s="28">
        <v>0</v>
      </c>
      <c r="DJ41" s="28">
        <v>0</v>
      </c>
      <c r="DK41" s="28">
        <v>0</v>
      </c>
      <c r="DL41" s="28">
        <v>0</v>
      </c>
      <c r="DM41" s="28">
        <v>0</v>
      </c>
      <c r="DN41" s="28">
        <v>0</v>
      </c>
      <c r="DO41" s="28">
        <v>0</v>
      </c>
      <c r="DP41" s="28">
        <v>0</v>
      </c>
      <c r="DQ41" s="28">
        <f t="shared" si="143"/>
        <v>0</v>
      </c>
      <c r="DR41" s="28">
        <v>0</v>
      </c>
      <c r="DS41" s="28">
        <v>0</v>
      </c>
      <c r="DT41" s="28">
        <v>41.176000000000002</v>
      </c>
      <c r="DU41" s="28">
        <v>52.424999999999997</v>
      </c>
      <c r="DV41" s="28">
        <f t="shared" si="144"/>
        <v>93.600999999999999</v>
      </c>
      <c r="DW41" s="28">
        <v>139.875</v>
      </c>
      <c r="DX41" s="28">
        <v>278.20800000000003</v>
      </c>
      <c r="DY41" s="28">
        <v>415.31099999999998</v>
      </c>
      <c r="DZ41" s="28">
        <v>348.15900000000011</v>
      </c>
      <c r="EA41" s="28">
        <f t="shared" si="145"/>
        <v>1181.5530000000001</v>
      </c>
      <c r="EB41" s="28">
        <v>117.277</v>
      </c>
      <c r="EC41" s="28">
        <v>137.30099999999999</v>
      </c>
      <c r="ED41" s="28">
        <v>208.56300000000002</v>
      </c>
      <c r="EE41" s="28">
        <v>257.90500000000003</v>
      </c>
      <c r="EF41" s="28">
        <f t="shared" si="146"/>
        <v>721.04600000000005</v>
      </c>
      <c r="EG41" s="28">
        <v>191.99199999999999</v>
      </c>
      <c r="EH41" s="28">
        <v>372.92200000000003</v>
      </c>
      <c r="EI41" s="28">
        <v>393.21100000000001</v>
      </c>
      <c r="EJ41" s="28">
        <f t="shared" si="147"/>
        <v>958.125</v>
      </c>
    </row>
    <row r="42" spans="1:140" ht="15" thickTop="1" x14ac:dyDescent="0.3">
      <c r="A42" s="1" t="s">
        <v>449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f>1306.945-DX79</f>
        <v>21.95699999999988</v>
      </c>
      <c r="DY42" s="27">
        <v>91.762000000000171</v>
      </c>
      <c r="DZ42" s="27">
        <v>100.69199999999978</v>
      </c>
      <c r="EA42" s="27">
        <f t="shared" si="145"/>
        <v>214.41099999999983</v>
      </c>
      <c r="EB42" s="27">
        <v>106.789</v>
      </c>
      <c r="EC42" s="27">
        <v>152.791</v>
      </c>
      <c r="ED42" s="27">
        <v>97.388000000000034</v>
      </c>
      <c r="EE42" s="27">
        <v>242.488</v>
      </c>
      <c r="EF42" s="27">
        <f t="shared" si="146"/>
        <v>599.45600000000002</v>
      </c>
      <c r="EG42" s="27">
        <v>192.315</v>
      </c>
      <c r="EH42" s="27">
        <v>163.40300000000002</v>
      </c>
      <c r="EI42" s="27">
        <v>195.47200000000004</v>
      </c>
      <c r="EJ42" s="27">
        <f t="shared" si="147"/>
        <v>551.19000000000005</v>
      </c>
    </row>
    <row r="43" spans="1:140" ht="15" thickBot="1" x14ac:dyDescent="0.35">
      <c r="A43" s="2" t="s">
        <v>464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>
        <v>51.682000000000244</v>
      </c>
      <c r="EH43" s="28">
        <v>15.846000000000004</v>
      </c>
      <c r="EI43" s="28">
        <v>45.351000000000113</v>
      </c>
      <c r="EJ43" s="28">
        <f t="shared" si="147"/>
        <v>112.87900000000036</v>
      </c>
    </row>
    <row r="44" spans="1:140" ht="15" thickTop="1" x14ac:dyDescent="0.3">
      <c r="A44" s="1" t="s">
        <v>304</v>
      </c>
      <c r="B44" s="27"/>
      <c r="C44" s="27"/>
      <c r="D44" s="27"/>
      <c r="E44" s="27"/>
      <c r="F44" s="27">
        <f t="shared" si="120"/>
        <v>0</v>
      </c>
      <c r="G44" s="27"/>
      <c r="H44" s="27"/>
      <c r="I44" s="27"/>
      <c r="J44" s="27"/>
      <c r="K44" s="27">
        <f t="shared" si="121"/>
        <v>0</v>
      </c>
      <c r="L44" s="27"/>
      <c r="M44" s="27"/>
      <c r="N44" s="27"/>
      <c r="O44" s="27"/>
      <c r="P44" s="27">
        <f t="shared" si="122"/>
        <v>0</v>
      </c>
      <c r="Q44" s="27"/>
      <c r="R44" s="27"/>
      <c r="S44" s="27"/>
      <c r="T44" s="27"/>
      <c r="U44" s="27">
        <f t="shared" si="123"/>
        <v>0</v>
      </c>
      <c r="V44" s="27"/>
      <c r="W44" s="27"/>
      <c r="X44" s="27"/>
      <c r="Y44" s="27"/>
      <c r="Z44" s="27">
        <f t="shared" si="124"/>
        <v>0</v>
      </c>
      <c r="AA44" s="27"/>
      <c r="AB44" s="27"/>
      <c r="AC44" s="27"/>
      <c r="AD44" s="27"/>
      <c r="AE44" s="27">
        <f t="shared" si="125"/>
        <v>0</v>
      </c>
      <c r="AF44" s="27"/>
      <c r="AG44" s="27"/>
      <c r="AH44" s="27"/>
      <c r="AI44" s="27"/>
      <c r="AJ44" s="27">
        <f t="shared" si="126"/>
        <v>0</v>
      </c>
      <c r="AK44" s="27"/>
      <c r="AL44" s="27"/>
      <c r="AM44" s="27"/>
      <c r="AN44" s="27"/>
      <c r="AO44" s="27">
        <f t="shared" si="127"/>
        <v>0</v>
      </c>
      <c r="AP44" s="27"/>
      <c r="AQ44" s="27"/>
      <c r="AR44" s="27"/>
      <c r="AS44" s="27"/>
      <c r="AT44" s="27">
        <f t="shared" si="128"/>
        <v>0</v>
      </c>
      <c r="AU44" s="27"/>
      <c r="AV44" s="27"/>
      <c r="AW44" s="27"/>
      <c r="AX44" s="27"/>
      <c r="AY44" s="27">
        <f t="shared" si="129"/>
        <v>0</v>
      </c>
      <c r="AZ44" s="27"/>
      <c r="BA44" s="27"/>
      <c r="BB44" s="27"/>
      <c r="BC44" s="27"/>
      <c r="BD44" s="27">
        <f t="shared" si="130"/>
        <v>0</v>
      </c>
      <c r="BE44" s="27"/>
      <c r="BF44" s="27"/>
      <c r="BG44" s="27"/>
      <c r="BH44" s="27"/>
      <c r="BI44" s="27">
        <f t="shared" si="131"/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f t="shared" si="132"/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f t="shared" si="133"/>
        <v>0</v>
      </c>
      <c r="BT44" s="27">
        <v>0</v>
      </c>
      <c r="BU44" s="27">
        <v>7.0339999999999998</v>
      </c>
      <c r="BV44" s="27">
        <v>23.4</v>
      </c>
      <c r="BW44" s="27">
        <f>15.115-14.6</f>
        <v>0.51500000000000057</v>
      </c>
      <c r="BX44" s="27">
        <f t="shared" si="134"/>
        <v>30.948999999999998</v>
      </c>
      <c r="BY44" s="27">
        <v>8.5</v>
      </c>
      <c r="BZ44" s="27">
        <v>3.7</v>
      </c>
      <c r="CA44" s="27">
        <v>3.7</v>
      </c>
      <c r="CB44" s="27">
        <v>8.5</v>
      </c>
      <c r="CC44" s="27">
        <f t="shared" si="135"/>
        <v>24.4</v>
      </c>
      <c r="CD44" s="27">
        <v>6.4</v>
      </c>
      <c r="CE44" s="27">
        <v>23</v>
      </c>
      <c r="CF44" s="27">
        <v>51.9</v>
      </c>
      <c r="CG44" s="27">
        <v>16.399999999999999</v>
      </c>
      <c r="CH44" s="27">
        <f t="shared" si="136"/>
        <v>97.699999999999989</v>
      </c>
      <c r="CI44" s="27">
        <v>11.62</v>
      </c>
      <c r="CJ44" s="27">
        <v>13.88</v>
      </c>
      <c r="CK44" s="27">
        <v>60.4</v>
      </c>
      <c r="CL44" s="27">
        <v>9.9</v>
      </c>
      <c r="CM44" s="27">
        <f t="shared" si="137"/>
        <v>95.800000000000011</v>
      </c>
      <c r="CN44" s="27">
        <v>1.2</v>
      </c>
      <c r="CO44" s="27">
        <v>1.5</v>
      </c>
      <c r="CP44" s="27">
        <v>1.304</v>
      </c>
      <c r="CQ44" s="27">
        <v>0.95299999999999996</v>
      </c>
      <c r="CR44" s="27">
        <f t="shared" si="138"/>
        <v>4.9570000000000007</v>
      </c>
      <c r="CS44" s="27">
        <v>0.188</v>
      </c>
      <c r="CT44" s="27">
        <v>0.871</v>
      </c>
      <c r="CU44" s="27">
        <v>0.77300000000000002</v>
      </c>
      <c r="CV44" s="27">
        <v>0.93600000000000005</v>
      </c>
      <c r="CW44" s="27">
        <f t="shared" si="139"/>
        <v>2.7679999999999998</v>
      </c>
      <c r="CX44" s="27">
        <v>0.55700000000000005</v>
      </c>
      <c r="CY44" s="27">
        <v>1.0529999999999999</v>
      </c>
      <c r="CZ44" s="27">
        <v>0.72599999999999998</v>
      </c>
      <c r="DA44" s="27">
        <v>1.2929999999999999</v>
      </c>
      <c r="DB44" s="27">
        <f t="shared" si="140"/>
        <v>3.6289999999999996</v>
      </c>
      <c r="DC44" s="27">
        <v>0.96199999999999997</v>
      </c>
      <c r="DD44" s="27">
        <v>1.897</v>
      </c>
      <c r="DE44" s="27">
        <f>2.522-DE45</f>
        <v>2.125</v>
      </c>
      <c r="DF44" s="27">
        <f>8.705-SUM(DC44:DE44)</f>
        <v>3.7210000000000001</v>
      </c>
      <c r="DG44" s="27">
        <f t="shared" si="141"/>
        <v>8.7050000000000001</v>
      </c>
      <c r="DH44" s="27">
        <f>1.245-DH45</f>
        <v>1.0840000000000001</v>
      </c>
      <c r="DI44" s="27">
        <f>2.747-DI45</f>
        <v>2.173</v>
      </c>
      <c r="DJ44" s="27">
        <f>2.444-DJ45</f>
        <v>2.226</v>
      </c>
      <c r="DK44" s="27">
        <f>2.912-DK45</f>
        <v>2.5549999999999997</v>
      </c>
      <c r="DL44" s="27">
        <f t="shared" si="142"/>
        <v>8.0380000000000003</v>
      </c>
      <c r="DM44" s="27">
        <f>2.159-DM45</f>
        <v>1.323</v>
      </c>
      <c r="DN44" s="27">
        <f>5.01-DN45</f>
        <v>3.8549999999999995</v>
      </c>
      <c r="DO44" s="27">
        <f>3.611-DO45</f>
        <v>2.7800000000000002</v>
      </c>
      <c r="DP44" s="27">
        <f>4.676-DP45</f>
        <v>3.5500000000000003</v>
      </c>
      <c r="DQ44" s="27">
        <f t="shared" si="143"/>
        <v>11.507999999999999</v>
      </c>
      <c r="DR44" s="27">
        <f>1.703-DR45</f>
        <v>1.3530000000000002</v>
      </c>
      <c r="DS44" s="27">
        <f>2.707-DS45</f>
        <v>1.9529999999999998</v>
      </c>
      <c r="DT44" s="27">
        <f>2.22-DT45</f>
        <v>1.6030000000000002</v>
      </c>
      <c r="DU44" s="27">
        <f>5.379-DU45</f>
        <v>4.7690000000000001</v>
      </c>
      <c r="DV44" s="27">
        <f t="shared" si="144"/>
        <v>9.6780000000000008</v>
      </c>
      <c r="DW44" s="27">
        <f>1.631-DW45</f>
        <v>1.1779999999999999</v>
      </c>
      <c r="DX44" s="27">
        <v>0.93700000000000006</v>
      </c>
      <c r="DY44" s="27">
        <v>0.91500000000000004</v>
      </c>
      <c r="DZ44" s="27">
        <v>7.6689999999999996</v>
      </c>
      <c r="EA44" s="27">
        <f t="shared" ref="EA44:EA51" si="148">SUM(DW44:DZ44)</f>
        <v>10.699</v>
      </c>
      <c r="EB44" s="27">
        <v>1.1859999999999999</v>
      </c>
      <c r="EC44" s="27">
        <v>1.8149999999999999</v>
      </c>
      <c r="ED44" s="27">
        <v>1.3819999999999999</v>
      </c>
      <c r="EE44" s="27">
        <v>2.9649999999999999</v>
      </c>
      <c r="EF44" s="27">
        <f t="shared" ref="EF44:EF51" si="149">SUM(EB44:EE44)</f>
        <v>7.3479999999999999</v>
      </c>
      <c r="EG44" s="27">
        <v>2.008</v>
      </c>
      <c r="EH44" s="27">
        <v>2.9729999999999999</v>
      </c>
      <c r="EI44" s="27">
        <v>7.6069999999999984</v>
      </c>
      <c r="EJ44" s="27">
        <f t="shared" si="147"/>
        <v>12.587999999999997</v>
      </c>
    </row>
    <row r="45" spans="1:140" ht="15" thickBot="1" x14ac:dyDescent="0.35">
      <c r="A45" s="2" t="s">
        <v>305</v>
      </c>
      <c r="B45" s="28"/>
      <c r="C45" s="28"/>
      <c r="D45" s="28"/>
      <c r="E45" s="28"/>
      <c r="F45" s="28">
        <f t="shared" si="120"/>
        <v>0</v>
      </c>
      <c r="G45" s="28"/>
      <c r="H45" s="28"/>
      <c r="I45" s="28"/>
      <c r="J45" s="28"/>
      <c r="K45" s="28">
        <f t="shared" si="121"/>
        <v>0</v>
      </c>
      <c r="L45" s="28"/>
      <c r="M45" s="28"/>
      <c r="N45" s="28"/>
      <c r="O45" s="28"/>
      <c r="P45" s="28">
        <f t="shared" si="122"/>
        <v>0</v>
      </c>
      <c r="Q45" s="28"/>
      <c r="R45" s="28"/>
      <c r="S45" s="28"/>
      <c r="T45" s="28"/>
      <c r="U45" s="28">
        <f t="shared" si="123"/>
        <v>0</v>
      </c>
      <c r="V45" s="28"/>
      <c r="W45" s="28"/>
      <c r="X45" s="28"/>
      <c r="Y45" s="28"/>
      <c r="Z45" s="28">
        <f t="shared" si="124"/>
        <v>0</v>
      </c>
      <c r="AA45" s="28"/>
      <c r="AB45" s="28"/>
      <c r="AC45" s="28"/>
      <c r="AD45" s="28"/>
      <c r="AE45" s="28">
        <f t="shared" si="125"/>
        <v>0</v>
      </c>
      <c r="AF45" s="28"/>
      <c r="AG45" s="28"/>
      <c r="AH45" s="28"/>
      <c r="AI45" s="28"/>
      <c r="AJ45" s="28">
        <f t="shared" si="126"/>
        <v>0</v>
      </c>
      <c r="AK45" s="28"/>
      <c r="AL45" s="28"/>
      <c r="AM45" s="28"/>
      <c r="AN45" s="28"/>
      <c r="AO45" s="28">
        <f t="shared" si="127"/>
        <v>0</v>
      </c>
      <c r="AP45" s="28"/>
      <c r="AQ45" s="28"/>
      <c r="AR45" s="28"/>
      <c r="AS45" s="28"/>
      <c r="AT45" s="28">
        <f t="shared" si="128"/>
        <v>0</v>
      </c>
      <c r="AU45" s="28"/>
      <c r="AV45" s="28"/>
      <c r="AW45" s="28"/>
      <c r="AX45" s="28"/>
      <c r="AY45" s="28">
        <f t="shared" si="129"/>
        <v>0</v>
      </c>
      <c r="AZ45" s="28"/>
      <c r="BA45" s="28"/>
      <c r="BB45" s="28"/>
      <c r="BC45" s="28"/>
      <c r="BD45" s="28">
        <f t="shared" si="130"/>
        <v>0</v>
      </c>
      <c r="BE45" s="28"/>
      <c r="BF45" s="28"/>
      <c r="BG45" s="28"/>
      <c r="BH45" s="28"/>
      <c r="BI45" s="28">
        <f t="shared" si="131"/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v>0</v>
      </c>
      <c r="BT45" s="28">
        <v>0</v>
      </c>
      <c r="BU45" s="28">
        <v>0</v>
      </c>
      <c r="BV45" s="28">
        <v>0</v>
      </c>
      <c r="BW45" s="28">
        <v>0</v>
      </c>
      <c r="BX45" s="28">
        <v>0</v>
      </c>
      <c r="BY45" s="28">
        <v>0</v>
      </c>
      <c r="BZ45" s="28">
        <v>0</v>
      </c>
      <c r="CA45" s="28">
        <v>0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0</v>
      </c>
      <c r="CH45" s="28"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28">
        <f t="shared" si="139"/>
        <v>0</v>
      </c>
      <c r="CX45" s="28">
        <v>0</v>
      </c>
      <c r="CY45" s="28">
        <v>0</v>
      </c>
      <c r="CZ45" s="28">
        <v>0</v>
      </c>
      <c r="DA45" s="28">
        <v>0</v>
      </c>
      <c r="DB45" s="28">
        <f t="shared" si="140"/>
        <v>0</v>
      </c>
      <c r="DC45" s="28">
        <v>0</v>
      </c>
      <c r="DD45" s="28">
        <v>0</v>
      </c>
      <c r="DE45" s="28">
        <v>0.39700000000000002</v>
      </c>
      <c r="DF45" s="28">
        <f>1.092-DE45</f>
        <v>0.69500000000000006</v>
      </c>
      <c r="DG45" s="28">
        <f t="shared" si="141"/>
        <v>1.0920000000000001</v>
      </c>
      <c r="DH45" s="28">
        <v>0.161</v>
      </c>
      <c r="DI45" s="28">
        <f>0.735-DH45</f>
        <v>0.57399999999999995</v>
      </c>
      <c r="DJ45" s="28">
        <f>0.953-SUM(DH45:DI45)</f>
        <v>0.21799999999999997</v>
      </c>
      <c r="DK45" s="28">
        <f>1.31-SUM(DH45:DJ45)</f>
        <v>0.3570000000000001</v>
      </c>
      <c r="DL45" s="28">
        <f t="shared" si="142"/>
        <v>1.31</v>
      </c>
      <c r="DM45" s="28">
        <v>0.83599999999999997</v>
      </c>
      <c r="DN45" s="28">
        <f>1.991-DM45</f>
        <v>1.1550000000000002</v>
      </c>
      <c r="DO45" s="28">
        <f>2.822-DN45-DM45</f>
        <v>0.83099999999999985</v>
      </c>
      <c r="DP45" s="28">
        <f>3.948-DO45-DN45-DM45</f>
        <v>1.1259999999999999</v>
      </c>
      <c r="DQ45" s="28">
        <f t="shared" si="143"/>
        <v>3.948</v>
      </c>
      <c r="DR45" s="28">
        <v>0.35</v>
      </c>
      <c r="DS45" s="28">
        <f>1.104-DR45</f>
        <v>0.75400000000000011</v>
      </c>
      <c r="DT45" s="28">
        <f>1.721-DS45-DR45</f>
        <v>0.61699999999999999</v>
      </c>
      <c r="DU45" s="28">
        <f>2.331-DT45-DS45-DR45</f>
        <v>0.60999999999999988</v>
      </c>
      <c r="DV45" s="28">
        <f t="shared" si="144"/>
        <v>2.331</v>
      </c>
      <c r="DW45" s="28">
        <v>0.45300000000000001</v>
      </c>
      <c r="DX45" s="28">
        <v>0.628</v>
      </c>
      <c r="DY45" s="28">
        <v>0.65</v>
      </c>
      <c r="DZ45" s="28">
        <v>1.4186171700000001</v>
      </c>
      <c r="EA45" s="28">
        <f t="shared" si="148"/>
        <v>3.14961717</v>
      </c>
      <c r="EB45" s="28">
        <v>1.411</v>
      </c>
      <c r="EC45" s="28">
        <v>1.1639999999999999</v>
      </c>
      <c r="ED45" s="28">
        <v>2.3410000000000002</v>
      </c>
      <c r="EE45" s="28">
        <v>2.367</v>
      </c>
      <c r="EF45" s="28">
        <f t="shared" si="149"/>
        <v>7.2830000000000004</v>
      </c>
      <c r="EG45" s="28">
        <v>1.458</v>
      </c>
      <c r="EH45" s="28">
        <v>0.87600000000000011</v>
      </c>
      <c r="EI45" s="28">
        <v>1.8429999999999993</v>
      </c>
      <c r="EJ45" s="28">
        <f t="shared" si="147"/>
        <v>4.1769999999999996</v>
      </c>
    </row>
    <row r="46" spans="1:140" ht="15" thickTop="1" x14ac:dyDescent="0.3">
      <c r="A46" s="1" t="s">
        <v>306</v>
      </c>
      <c r="B46" s="27"/>
      <c r="C46" s="27"/>
      <c r="D46" s="27"/>
      <c r="E46" s="27"/>
      <c r="F46" s="27">
        <f t="shared" si="120"/>
        <v>0</v>
      </c>
      <c r="G46" s="27"/>
      <c r="H46" s="27"/>
      <c r="I46" s="27"/>
      <c r="J46" s="27"/>
      <c r="K46" s="27">
        <f t="shared" si="121"/>
        <v>0</v>
      </c>
      <c r="L46" s="27"/>
      <c r="M46" s="27"/>
      <c r="N46" s="27"/>
      <c r="O46" s="27"/>
      <c r="P46" s="27">
        <f t="shared" si="122"/>
        <v>0</v>
      </c>
      <c r="Q46" s="27"/>
      <c r="R46" s="27"/>
      <c r="S46" s="27"/>
      <c r="T46" s="27"/>
      <c r="U46" s="27">
        <f t="shared" si="123"/>
        <v>0</v>
      </c>
      <c r="V46" s="27"/>
      <c r="W46" s="27"/>
      <c r="X46" s="27"/>
      <c r="Y46" s="27"/>
      <c r="Z46" s="27">
        <f t="shared" si="124"/>
        <v>0</v>
      </c>
      <c r="AA46" s="27"/>
      <c r="AB46" s="27"/>
      <c r="AC46" s="27"/>
      <c r="AD46" s="27"/>
      <c r="AE46" s="27">
        <f t="shared" si="125"/>
        <v>0</v>
      </c>
      <c r="AF46" s="27"/>
      <c r="AG46" s="27"/>
      <c r="AH46" s="27"/>
      <c r="AI46" s="27"/>
      <c r="AJ46" s="27">
        <f t="shared" si="126"/>
        <v>0</v>
      </c>
      <c r="AK46" s="27"/>
      <c r="AL46" s="27"/>
      <c r="AM46" s="27"/>
      <c r="AN46" s="27"/>
      <c r="AO46" s="27">
        <f t="shared" si="127"/>
        <v>0</v>
      </c>
      <c r="AP46" s="27"/>
      <c r="AQ46" s="27"/>
      <c r="AR46" s="27"/>
      <c r="AS46" s="27"/>
      <c r="AT46" s="27">
        <f t="shared" si="128"/>
        <v>0</v>
      </c>
      <c r="AU46" s="27"/>
      <c r="AV46" s="27"/>
      <c r="AW46" s="27"/>
      <c r="AX46" s="27"/>
      <c r="AY46" s="27">
        <f t="shared" si="129"/>
        <v>0</v>
      </c>
      <c r="AZ46" s="27"/>
      <c r="BA46" s="27"/>
      <c r="BB46" s="27"/>
      <c r="BC46" s="27"/>
      <c r="BD46" s="27">
        <f t="shared" si="130"/>
        <v>0</v>
      </c>
      <c r="BE46" s="27"/>
      <c r="BF46" s="27"/>
      <c r="BG46" s="27"/>
      <c r="BH46" s="27"/>
      <c r="BI46" s="27">
        <f t="shared" si="131"/>
        <v>0</v>
      </c>
      <c r="BJ46" s="27">
        <v>0.7</v>
      </c>
      <c r="BK46" s="27">
        <v>1.1000000000000001</v>
      </c>
      <c r="BL46" s="27">
        <v>1.4</v>
      </c>
      <c r="BM46" s="27">
        <v>4</v>
      </c>
      <c r="BN46" s="27">
        <f t="shared" si="132"/>
        <v>7.2</v>
      </c>
      <c r="BO46" s="27">
        <v>2.2999999999999998</v>
      </c>
      <c r="BP46" s="27">
        <v>3.9980000000000002</v>
      </c>
      <c r="BQ46" s="27">
        <v>4.0369999999999999</v>
      </c>
      <c r="BR46" s="27">
        <v>6.7450000000000001</v>
      </c>
      <c r="BS46" s="27">
        <f t="shared" si="133"/>
        <v>17.080000000000002</v>
      </c>
      <c r="BT46" s="27">
        <v>3.2109999999999999</v>
      </c>
      <c r="BU46" s="27">
        <v>3.9630000000000001</v>
      </c>
      <c r="BV46" s="27">
        <v>1.6</v>
      </c>
      <c r="BW46" s="27">
        <v>4.3890000000000002</v>
      </c>
      <c r="BX46" s="27">
        <f t="shared" si="134"/>
        <v>13.163</v>
      </c>
      <c r="BY46" s="27">
        <v>1.8080000000000001</v>
      </c>
      <c r="BZ46" s="27">
        <v>3.8919999999999999</v>
      </c>
      <c r="CA46" s="27">
        <v>3.6</v>
      </c>
      <c r="CB46" s="27">
        <v>8.3000000000000007</v>
      </c>
      <c r="CC46" s="27">
        <f t="shared" si="135"/>
        <v>17.600000000000001</v>
      </c>
      <c r="CD46" s="27">
        <v>5.0999999999999996</v>
      </c>
      <c r="CE46" s="27">
        <v>4.3</v>
      </c>
      <c r="CF46" s="27">
        <v>3.2</v>
      </c>
      <c r="CG46" s="27">
        <v>9</v>
      </c>
      <c r="CH46" s="27">
        <f t="shared" si="136"/>
        <v>21.599999999999998</v>
      </c>
      <c r="CI46" s="27">
        <v>1.5</v>
      </c>
      <c r="CJ46" s="27">
        <v>1.9</v>
      </c>
      <c r="CK46" s="27">
        <v>2</v>
      </c>
      <c r="CL46" s="27">
        <v>3.2</v>
      </c>
      <c r="CM46" s="27">
        <f t="shared" si="137"/>
        <v>8.6000000000000014</v>
      </c>
      <c r="CN46" s="27">
        <v>0.5</v>
      </c>
      <c r="CO46" s="27">
        <v>2.5</v>
      </c>
      <c r="CP46" s="27">
        <v>1.4</v>
      </c>
      <c r="CQ46" s="27">
        <v>5.0540000000000003</v>
      </c>
      <c r="CR46" s="27">
        <f t="shared" si="138"/>
        <v>9.4540000000000006</v>
      </c>
      <c r="CS46" s="27">
        <v>0.88700000000000001</v>
      </c>
      <c r="CT46" s="27">
        <v>0.9</v>
      </c>
      <c r="CU46" s="27">
        <v>1.151</v>
      </c>
      <c r="CV46" s="27">
        <v>3.4340000000000002</v>
      </c>
      <c r="CW46" s="27">
        <f t="shared" si="139"/>
        <v>6.3719999999999999</v>
      </c>
      <c r="CX46" s="27">
        <v>0.98199999999999998</v>
      </c>
      <c r="CY46" s="27">
        <v>2.5670000000000002</v>
      </c>
      <c r="CZ46" s="27">
        <v>1.891</v>
      </c>
      <c r="DA46" s="27">
        <v>3.1019999999999999</v>
      </c>
      <c r="DB46" s="27">
        <f t="shared" si="140"/>
        <v>8.5419999999999998</v>
      </c>
      <c r="DC46" s="27">
        <v>0.40600000000000003</v>
      </c>
      <c r="DD46" s="27">
        <f>1.716-DC46</f>
        <v>1.31</v>
      </c>
      <c r="DE46" s="27">
        <f>3.649-SUM(DC46:DD46)</f>
        <v>1.9329999999999998</v>
      </c>
      <c r="DF46" s="27">
        <f>7.21-SUM(DC46:DE46)</f>
        <v>3.5609999999999999</v>
      </c>
      <c r="DG46" s="27">
        <f t="shared" si="141"/>
        <v>7.21</v>
      </c>
      <c r="DH46" s="27">
        <v>0.73599999999999999</v>
      </c>
      <c r="DI46" s="27">
        <f>4.192-DH46</f>
        <v>3.4560000000000004</v>
      </c>
      <c r="DJ46" s="27">
        <f>6.007-SUM(DH46:DI46)</f>
        <v>1.8149999999999995</v>
      </c>
      <c r="DK46" s="27">
        <f>9.047-SUM(DH46:DJ46)</f>
        <v>3.0400000000000009</v>
      </c>
      <c r="DL46" s="27">
        <f t="shared" si="142"/>
        <v>9.0470000000000006</v>
      </c>
      <c r="DM46" s="27">
        <v>1.9330000000000001</v>
      </c>
      <c r="DN46" s="27">
        <f>4.949-DM46</f>
        <v>3.016</v>
      </c>
      <c r="DO46" s="27">
        <f>7.588-DN46-DM46</f>
        <v>2.6390000000000002</v>
      </c>
      <c r="DP46" s="27">
        <f>20.237-DO46-DN46-DM46</f>
        <v>12.648999999999999</v>
      </c>
      <c r="DQ46" s="27">
        <f t="shared" si="143"/>
        <v>20.236999999999998</v>
      </c>
      <c r="DR46" s="27">
        <v>12.898999999999999</v>
      </c>
      <c r="DS46" s="27">
        <f>20.037-DR46</f>
        <v>7.1379999999999999</v>
      </c>
      <c r="DT46" s="27">
        <f>32.074-DS46-DR46</f>
        <v>12.037000000000001</v>
      </c>
      <c r="DU46" s="27">
        <f>42.677-DT46-DS46-DR46</f>
        <v>10.603000000000003</v>
      </c>
      <c r="DV46" s="27">
        <f t="shared" si="144"/>
        <v>42.677</v>
      </c>
      <c r="DW46" s="27">
        <v>5.1459999999999999</v>
      </c>
      <c r="DX46" s="27">
        <v>7.3780000000000001</v>
      </c>
      <c r="DY46" s="27">
        <v>10.683</v>
      </c>
      <c r="DZ46" s="27">
        <v>22.564</v>
      </c>
      <c r="EA46" s="27">
        <f t="shared" si="148"/>
        <v>45.771000000000001</v>
      </c>
      <c r="EB46" s="27">
        <v>16.606999999999999</v>
      </c>
      <c r="EC46" s="27">
        <v>15.832000000000001</v>
      </c>
      <c r="ED46" s="27">
        <v>21.071000000000002</v>
      </c>
      <c r="EE46" s="27">
        <v>21.981000000000002</v>
      </c>
      <c r="EF46" s="27">
        <f t="shared" si="149"/>
        <v>75.491000000000014</v>
      </c>
      <c r="EG46" s="27">
        <v>14.161</v>
      </c>
      <c r="EH46" s="27">
        <v>13.997000000000002</v>
      </c>
      <c r="EI46" s="27">
        <v>12.488</v>
      </c>
      <c r="EJ46" s="27">
        <f t="shared" si="147"/>
        <v>40.646000000000001</v>
      </c>
    </row>
    <row r="47" spans="1:140" ht="15" thickBot="1" x14ac:dyDescent="0.35">
      <c r="A47" s="2" t="s">
        <v>322</v>
      </c>
      <c r="B47" s="28"/>
      <c r="C47" s="28"/>
      <c r="D47" s="28"/>
      <c r="E47" s="28"/>
      <c r="F47" s="28">
        <f t="shared" si="120"/>
        <v>0</v>
      </c>
      <c r="G47" s="28"/>
      <c r="H47" s="28"/>
      <c r="I47" s="28"/>
      <c r="J47" s="28"/>
      <c r="K47" s="28">
        <f t="shared" si="121"/>
        <v>0</v>
      </c>
      <c r="L47" s="28"/>
      <c r="M47" s="28"/>
      <c r="N47" s="28"/>
      <c r="O47" s="28"/>
      <c r="P47" s="28">
        <f t="shared" si="122"/>
        <v>0</v>
      </c>
      <c r="Q47" s="28"/>
      <c r="R47" s="28"/>
      <c r="S47" s="28"/>
      <c r="T47" s="28"/>
      <c r="U47" s="28">
        <f t="shared" si="123"/>
        <v>0</v>
      </c>
      <c r="V47" s="28"/>
      <c r="W47" s="28"/>
      <c r="X47" s="28"/>
      <c r="Y47" s="28"/>
      <c r="Z47" s="28">
        <f t="shared" si="124"/>
        <v>0</v>
      </c>
      <c r="AA47" s="28"/>
      <c r="AB47" s="28"/>
      <c r="AC47" s="28"/>
      <c r="AD47" s="28"/>
      <c r="AE47" s="28">
        <f t="shared" si="125"/>
        <v>0</v>
      </c>
      <c r="AF47" s="28"/>
      <c r="AG47" s="28"/>
      <c r="AH47" s="28"/>
      <c r="AI47" s="28"/>
      <c r="AJ47" s="28">
        <f t="shared" si="126"/>
        <v>0</v>
      </c>
      <c r="AK47" s="28"/>
      <c r="AL47" s="28"/>
      <c r="AM47" s="28"/>
      <c r="AN47" s="28"/>
      <c r="AO47" s="28">
        <f t="shared" si="127"/>
        <v>0</v>
      </c>
      <c r="AP47" s="28"/>
      <c r="AQ47" s="28"/>
      <c r="AR47" s="28"/>
      <c r="AS47" s="28"/>
      <c r="AT47" s="28">
        <f t="shared" si="128"/>
        <v>0</v>
      </c>
      <c r="AU47" s="28"/>
      <c r="AV47" s="28"/>
      <c r="AW47" s="28"/>
      <c r="AX47" s="28"/>
      <c r="AY47" s="28">
        <f t="shared" si="129"/>
        <v>0</v>
      </c>
      <c r="AZ47" s="28"/>
      <c r="BA47" s="28"/>
      <c r="BB47" s="28"/>
      <c r="BC47" s="28"/>
      <c r="BD47" s="28">
        <f t="shared" si="130"/>
        <v>0</v>
      </c>
      <c r="BE47" s="28"/>
      <c r="BF47" s="28"/>
      <c r="BG47" s="28"/>
      <c r="BH47" s="28"/>
      <c r="BI47" s="28">
        <f t="shared" si="131"/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v>0</v>
      </c>
      <c r="DC47" s="28">
        <v>0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53.79</v>
      </c>
      <c r="DQ47" s="28">
        <f t="shared" si="143"/>
        <v>53.79</v>
      </c>
      <c r="DR47" s="28">
        <v>52.924999999999997</v>
      </c>
      <c r="DS47" s="28">
        <f>114.31-DR47</f>
        <v>61.385000000000005</v>
      </c>
      <c r="DT47" s="28">
        <f>119.059-DS47-DR47</f>
        <v>4.7489999999999952</v>
      </c>
      <c r="DU47" s="28">
        <f>135.448-DT47-DS47-DR47</f>
        <v>16.38900000000001</v>
      </c>
      <c r="DV47" s="28">
        <f t="shared" si="144"/>
        <v>135.44800000000001</v>
      </c>
      <c r="DW47" s="28">
        <v>23.853000000000002</v>
      </c>
      <c r="DX47" s="28">
        <v>16.138999999999999</v>
      </c>
      <c r="DY47" s="28">
        <v>14.945</v>
      </c>
      <c r="DZ47" s="28">
        <v>20.594000000000001</v>
      </c>
      <c r="EA47" s="28">
        <f t="shared" si="148"/>
        <v>75.531000000000006</v>
      </c>
      <c r="EB47" s="28">
        <v>29.542999999999999</v>
      </c>
      <c r="EC47" s="28">
        <v>13.21</v>
      </c>
      <c r="ED47" s="28">
        <v>6.0289999999999999</v>
      </c>
      <c r="EE47" s="28">
        <v>8.2890000000000015</v>
      </c>
      <c r="EF47" s="28">
        <f t="shared" si="149"/>
        <v>57.070999999999998</v>
      </c>
      <c r="EG47" s="28">
        <v>9.9860000000000007</v>
      </c>
      <c r="EH47" s="28">
        <v>7.402000000000001</v>
      </c>
      <c r="EI47" s="28">
        <v>6.6609999999999978</v>
      </c>
      <c r="EJ47" s="28">
        <f t="shared" si="147"/>
        <v>24.048999999999999</v>
      </c>
    </row>
    <row r="48" spans="1:140" ht="15" thickTop="1" x14ac:dyDescent="0.3">
      <c r="A48" s="1" t="s">
        <v>338</v>
      </c>
      <c r="B48" s="27"/>
      <c r="C48" s="27"/>
      <c r="D48" s="27"/>
      <c r="E48" s="27"/>
      <c r="F48" s="27">
        <f t="shared" si="120"/>
        <v>0</v>
      </c>
      <c r="G48" s="27"/>
      <c r="H48" s="27"/>
      <c r="I48" s="27"/>
      <c r="J48" s="27"/>
      <c r="K48" s="27">
        <f t="shared" si="121"/>
        <v>0</v>
      </c>
      <c r="L48" s="27"/>
      <c r="M48" s="27"/>
      <c r="N48" s="27"/>
      <c r="O48" s="27"/>
      <c r="P48" s="27">
        <f t="shared" si="122"/>
        <v>0</v>
      </c>
      <c r="Q48" s="27"/>
      <c r="R48" s="27"/>
      <c r="S48" s="27"/>
      <c r="T48" s="27"/>
      <c r="U48" s="27">
        <f t="shared" si="123"/>
        <v>0</v>
      </c>
      <c r="V48" s="27"/>
      <c r="W48" s="27"/>
      <c r="X48" s="27"/>
      <c r="Y48" s="27"/>
      <c r="Z48" s="27">
        <f t="shared" si="124"/>
        <v>0</v>
      </c>
      <c r="AA48" s="27"/>
      <c r="AB48" s="27"/>
      <c r="AC48" s="27"/>
      <c r="AD48" s="27"/>
      <c r="AE48" s="27">
        <f t="shared" si="125"/>
        <v>0</v>
      </c>
      <c r="AF48" s="27"/>
      <c r="AG48" s="27"/>
      <c r="AH48" s="27"/>
      <c r="AI48" s="27"/>
      <c r="AJ48" s="27">
        <f t="shared" si="126"/>
        <v>0</v>
      </c>
      <c r="AK48" s="27"/>
      <c r="AL48" s="27"/>
      <c r="AM48" s="27"/>
      <c r="AN48" s="27"/>
      <c r="AO48" s="27">
        <f t="shared" si="127"/>
        <v>0</v>
      </c>
      <c r="AP48" s="27"/>
      <c r="AQ48" s="27"/>
      <c r="AR48" s="27"/>
      <c r="AS48" s="27"/>
      <c r="AT48" s="27">
        <f t="shared" si="128"/>
        <v>0</v>
      </c>
      <c r="AU48" s="27"/>
      <c r="AV48" s="27"/>
      <c r="AW48" s="27"/>
      <c r="AX48" s="27"/>
      <c r="AY48" s="27">
        <f t="shared" si="129"/>
        <v>0</v>
      </c>
      <c r="AZ48" s="27"/>
      <c r="BA48" s="27"/>
      <c r="BB48" s="27"/>
      <c r="BC48" s="27"/>
      <c r="BD48" s="27">
        <f t="shared" si="130"/>
        <v>0</v>
      </c>
      <c r="BE48" s="27"/>
      <c r="BF48" s="27"/>
      <c r="BG48" s="27"/>
      <c r="BH48" s="27"/>
      <c r="BI48" s="27">
        <f t="shared" si="131"/>
        <v>0</v>
      </c>
      <c r="BJ48" s="27">
        <v>2.2000000000000002</v>
      </c>
      <c r="BK48" s="27">
        <v>2</v>
      </c>
      <c r="BL48" s="27">
        <v>1.8</v>
      </c>
      <c r="BM48" s="27">
        <v>2.6</v>
      </c>
      <c r="BN48" s="27">
        <f t="shared" si="132"/>
        <v>8.6</v>
      </c>
      <c r="BO48" s="27">
        <v>1.4</v>
      </c>
      <c r="BP48" s="27">
        <v>3.3740000000000001</v>
      </c>
      <c r="BQ48" s="27">
        <v>1.6</v>
      </c>
      <c r="BR48" s="27">
        <f>2.613-1.5</f>
        <v>1.113</v>
      </c>
      <c r="BS48" s="27">
        <f t="shared" si="133"/>
        <v>7.4870000000000001</v>
      </c>
      <c r="BT48" s="27">
        <v>0</v>
      </c>
      <c r="BU48" s="27">
        <v>0</v>
      </c>
      <c r="BV48" s="27">
        <v>0</v>
      </c>
      <c r="BW48" s="27">
        <v>0</v>
      </c>
      <c r="BX48" s="27">
        <f t="shared" si="134"/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f t="shared" si="135"/>
        <v>0</v>
      </c>
      <c r="CD48" s="27">
        <v>0</v>
      </c>
      <c r="CE48" s="27"/>
      <c r="CF48" s="27">
        <v>0</v>
      </c>
      <c r="CG48" s="27">
        <v>0</v>
      </c>
      <c r="CH48" s="27">
        <f t="shared" si="136"/>
        <v>0</v>
      </c>
      <c r="CI48" s="27">
        <v>0</v>
      </c>
      <c r="CJ48" s="27">
        <v>0</v>
      </c>
      <c r="CK48" s="27">
        <v>0</v>
      </c>
      <c r="CL48" s="27">
        <v>0</v>
      </c>
      <c r="CM48" s="27">
        <f t="shared" si="137"/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f t="shared" si="138"/>
        <v>0</v>
      </c>
      <c r="CS48" s="27">
        <v>0</v>
      </c>
      <c r="CT48" s="27"/>
      <c r="CU48" s="27">
        <v>0</v>
      </c>
      <c r="CV48" s="27">
        <v>0</v>
      </c>
      <c r="CW48" s="27">
        <f t="shared" si="139"/>
        <v>0</v>
      </c>
      <c r="CX48" s="27">
        <v>0</v>
      </c>
      <c r="CY48" s="27">
        <v>0</v>
      </c>
      <c r="CZ48" s="27">
        <v>0</v>
      </c>
      <c r="DA48" s="27"/>
      <c r="DB48" s="27">
        <f t="shared" si="140"/>
        <v>0</v>
      </c>
      <c r="DC48" s="27">
        <v>0</v>
      </c>
      <c r="DD48" s="27">
        <v>0</v>
      </c>
      <c r="DE48" s="27">
        <v>0</v>
      </c>
      <c r="DF48" s="27">
        <v>0</v>
      </c>
      <c r="DG48" s="27">
        <f t="shared" si="141"/>
        <v>0</v>
      </c>
      <c r="DH48" s="27">
        <v>0</v>
      </c>
      <c r="DI48" s="27">
        <v>0</v>
      </c>
      <c r="DJ48" s="27">
        <v>0</v>
      </c>
      <c r="DK48" s="27">
        <v>0</v>
      </c>
      <c r="DL48" s="27">
        <f t="shared" si="142"/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f t="shared" si="143"/>
        <v>0</v>
      </c>
      <c r="DR48" s="27">
        <v>0</v>
      </c>
      <c r="DS48" s="27">
        <v>0</v>
      </c>
      <c r="DT48" s="27"/>
      <c r="DU48" s="27"/>
      <c r="DV48" s="27">
        <f t="shared" si="144"/>
        <v>0</v>
      </c>
      <c r="DW48" s="27">
        <v>0</v>
      </c>
      <c r="DX48" s="27">
        <v>0</v>
      </c>
      <c r="DY48" s="27">
        <v>0.156</v>
      </c>
      <c r="DZ48" s="27">
        <v>1E-3</v>
      </c>
      <c r="EA48" s="27">
        <f t="shared" si="148"/>
        <v>0.157</v>
      </c>
      <c r="EB48" s="27">
        <v>0</v>
      </c>
      <c r="EC48" s="27">
        <v>0</v>
      </c>
      <c r="ED48" s="27">
        <v>0</v>
      </c>
      <c r="EE48" s="27">
        <v>0</v>
      </c>
      <c r="EF48" s="27">
        <f t="shared" si="149"/>
        <v>0</v>
      </c>
      <c r="EG48" s="27">
        <v>0</v>
      </c>
      <c r="EH48" s="27">
        <v>0</v>
      </c>
      <c r="EI48" s="27">
        <v>0</v>
      </c>
      <c r="EJ48" s="27">
        <f t="shared" si="147"/>
        <v>0</v>
      </c>
    </row>
    <row r="49" spans="1:140" ht="15" thickBot="1" x14ac:dyDescent="0.35">
      <c r="A49" s="2" t="s">
        <v>370</v>
      </c>
      <c r="B49" s="28"/>
      <c r="C49" s="28"/>
      <c r="D49" s="28"/>
      <c r="E49" s="28"/>
      <c r="F49" s="28">
        <f t="shared" si="120"/>
        <v>0</v>
      </c>
      <c r="G49" s="28"/>
      <c r="H49" s="28"/>
      <c r="I49" s="28"/>
      <c r="J49" s="28"/>
      <c r="K49" s="28">
        <f t="shared" si="121"/>
        <v>0</v>
      </c>
      <c r="L49" s="28"/>
      <c r="M49" s="28"/>
      <c r="N49" s="28"/>
      <c r="O49" s="28"/>
      <c r="P49" s="28">
        <f t="shared" si="122"/>
        <v>0</v>
      </c>
      <c r="Q49" s="28"/>
      <c r="R49" s="28"/>
      <c r="S49" s="28"/>
      <c r="T49" s="28"/>
      <c r="U49" s="28">
        <f t="shared" si="123"/>
        <v>0</v>
      </c>
      <c r="V49" s="28"/>
      <c r="W49" s="28"/>
      <c r="X49" s="28"/>
      <c r="Y49" s="28"/>
      <c r="Z49" s="28">
        <f t="shared" si="124"/>
        <v>0</v>
      </c>
      <c r="AA49" s="28"/>
      <c r="AB49" s="28"/>
      <c r="AC49" s="28"/>
      <c r="AD49" s="28"/>
      <c r="AE49" s="28">
        <f t="shared" si="125"/>
        <v>0</v>
      </c>
      <c r="AF49" s="28"/>
      <c r="AG49" s="28"/>
      <c r="AH49" s="28"/>
      <c r="AI49" s="28"/>
      <c r="AJ49" s="28">
        <f t="shared" si="126"/>
        <v>0</v>
      </c>
      <c r="AK49" s="28"/>
      <c r="AL49" s="28"/>
      <c r="AM49" s="28"/>
      <c r="AN49" s="28"/>
      <c r="AO49" s="28">
        <f t="shared" si="127"/>
        <v>0</v>
      </c>
      <c r="AP49" s="28"/>
      <c r="AQ49" s="28"/>
      <c r="AR49" s="28"/>
      <c r="AS49" s="28"/>
      <c r="AT49" s="28">
        <f t="shared" si="128"/>
        <v>0</v>
      </c>
      <c r="AU49" s="28"/>
      <c r="AV49" s="28"/>
      <c r="AW49" s="28"/>
      <c r="AX49" s="28"/>
      <c r="AY49" s="28">
        <f t="shared" si="129"/>
        <v>0</v>
      </c>
      <c r="AZ49" s="28"/>
      <c r="BA49" s="28"/>
      <c r="BB49" s="28"/>
      <c r="BC49" s="28"/>
      <c r="BD49" s="28">
        <f t="shared" si="130"/>
        <v>0</v>
      </c>
      <c r="BE49" s="28"/>
      <c r="BF49" s="28"/>
      <c r="BG49" s="28"/>
      <c r="BH49" s="28"/>
      <c r="BI49" s="28">
        <f t="shared" si="131"/>
        <v>0</v>
      </c>
      <c r="BJ49" s="28">
        <v>20.100000000000001</v>
      </c>
      <c r="BK49" s="28">
        <v>1.9</v>
      </c>
      <c r="BL49" s="28">
        <v>2.4</v>
      </c>
      <c r="BM49" s="28">
        <v>6.1</v>
      </c>
      <c r="BN49" s="28">
        <f t="shared" si="132"/>
        <v>30.5</v>
      </c>
      <c r="BO49" s="28">
        <v>5.7569999999999997</v>
      </c>
      <c r="BP49" s="28">
        <v>10.1</v>
      </c>
      <c r="BQ49" s="28">
        <v>20.431999999999999</v>
      </c>
      <c r="BR49" s="28">
        <f>41.2-6.1</f>
        <v>35.1</v>
      </c>
      <c r="BS49" s="28">
        <f t="shared" si="133"/>
        <v>71.38900000000001</v>
      </c>
      <c r="BT49" s="28">
        <v>0</v>
      </c>
      <c r="BU49" s="28">
        <v>0</v>
      </c>
      <c r="BV49" s="28">
        <v>0</v>
      </c>
      <c r="BW49" s="28">
        <v>0</v>
      </c>
      <c r="BX49" s="28">
        <f t="shared" si="134"/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f t="shared" si="135"/>
        <v>0</v>
      </c>
      <c r="CD49" s="28">
        <v>0</v>
      </c>
      <c r="CE49" s="28"/>
      <c r="CF49" s="28">
        <v>0</v>
      </c>
      <c r="CG49" s="28">
        <v>0</v>
      </c>
      <c r="CH49" s="28">
        <f t="shared" si="136"/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f t="shared" si="137"/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f t="shared" si="138"/>
        <v>0</v>
      </c>
      <c r="CS49" s="28">
        <v>0</v>
      </c>
      <c r="CT49" s="28"/>
      <c r="CU49" s="28">
        <v>0</v>
      </c>
      <c r="CV49" s="28">
        <v>0</v>
      </c>
      <c r="CW49" s="28">
        <f t="shared" si="139"/>
        <v>0</v>
      </c>
      <c r="CX49" s="28">
        <v>0</v>
      </c>
      <c r="CY49" s="28">
        <v>0</v>
      </c>
      <c r="CZ49" s="28">
        <v>0</v>
      </c>
      <c r="DA49" s="28"/>
      <c r="DB49" s="28">
        <f t="shared" si="140"/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f t="shared" si="141"/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f t="shared" si="142"/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f t="shared" si="143"/>
        <v>0</v>
      </c>
      <c r="DR49" s="28">
        <v>0</v>
      </c>
      <c r="DS49" s="28">
        <v>0</v>
      </c>
      <c r="DT49" s="28"/>
      <c r="DU49" s="28"/>
      <c r="DV49" s="28">
        <f t="shared" si="144"/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f t="shared" si="148"/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f t="shared" si="149"/>
        <v>0</v>
      </c>
      <c r="EG49" s="28">
        <v>0</v>
      </c>
      <c r="EH49" s="28">
        <v>0</v>
      </c>
      <c r="EI49" s="28">
        <v>0</v>
      </c>
      <c r="EJ49" s="28">
        <f t="shared" si="147"/>
        <v>0</v>
      </c>
    </row>
    <row r="50" spans="1:140" ht="15" thickTop="1" x14ac:dyDescent="0.3">
      <c r="A50" s="1" t="s">
        <v>331</v>
      </c>
      <c r="B50" s="27"/>
      <c r="C50" s="27"/>
      <c r="D50" s="27"/>
      <c r="E50" s="27"/>
      <c r="F50" s="27">
        <f t="shared" si="120"/>
        <v>0</v>
      </c>
      <c r="G50" s="27"/>
      <c r="H50" s="27"/>
      <c r="I50" s="27"/>
      <c r="J50" s="27"/>
      <c r="K50" s="27">
        <f t="shared" si="121"/>
        <v>0</v>
      </c>
      <c r="L50" s="27"/>
      <c r="M50" s="27"/>
      <c r="N50" s="27"/>
      <c r="O50" s="27"/>
      <c r="P50" s="27">
        <f t="shared" si="122"/>
        <v>0</v>
      </c>
      <c r="Q50" s="27"/>
      <c r="R50" s="27"/>
      <c r="S50" s="27"/>
      <c r="T50" s="27"/>
      <c r="U50" s="27">
        <f t="shared" si="123"/>
        <v>0</v>
      </c>
      <c r="V50" s="27"/>
      <c r="W50" s="27"/>
      <c r="X50" s="27"/>
      <c r="Y50" s="27"/>
      <c r="Z50" s="27">
        <f t="shared" si="124"/>
        <v>0</v>
      </c>
      <c r="AA50" s="27"/>
      <c r="AB50" s="27"/>
      <c r="AC50" s="27"/>
      <c r="AD50" s="27"/>
      <c r="AE50" s="27">
        <f t="shared" si="125"/>
        <v>0</v>
      </c>
      <c r="AF50" s="27"/>
      <c r="AG50" s="27"/>
      <c r="AH50" s="27"/>
      <c r="AI50" s="27"/>
      <c r="AJ50" s="27">
        <f t="shared" si="126"/>
        <v>0</v>
      </c>
      <c r="AK50" s="27"/>
      <c r="AL50" s="27"/>
      <c r="AM50" s="27"/>
      <c r="AN50" s="27"/>
      <c r="AO50" s="27">
        <f t="shared" si="127"/>
        <v>0</v>
      </c>
      <c r="AP50" s="27"/>
      <c r="AQ50" s="27"/>
      <c r="AR50" s="27"/>
      <c r="AS50" s="27"/>
      <c r="AT50" s="27">
        <f t="shared" si="128"/>
        <v>0</v>
      </c>
      <c r="AU50" s="27"/>
      <c r="AV50" s="27"/>
      <c r="AW50" s="27"/>
      <c r="AX50" s="27"/>
      <c r="AY50" s="27">
        <f t="shared" si="129"/>
        <v>0</v>
      </c>
      <c r="AZ50" s="27"/>
      <c r="BA50" s="27"/>
      <c r="BB50" s="27"/>
      <c r="BC50" s="27"/>
      <c r="BD50" s="27">
        <f t="shared" si="130"/>
        <v>0</v>
      </c>
      <c r="BE50" s="27"/>
      <c r="BF50" s="27"/>
      <c r="BG50" s="27"/>
      <c r="BH50" s="27"/>
      <c r="BI50" s="27">
        <f t="shared" si="131"/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f t="shared" si="132"/>
        <v>0</v>
      </c>
      <c r="BO50" s="27">
        <v>0</v>
      </c>
      <c r="BP50" s="27">
        <v>0</v>
      </c>
      <c r="BQ50" s="27">
        <v>1.2</v>
      </c>
      <c r="BR50" s="27">
        <f>0.1+1.5</f>
        <v>1.6</v>
      </c>
      <c r="BS50" s="27">
        <f t="shared" si="133"/>
        <v>2.8</v>
      </c>
      <c r="BT50" s="27">
        <v>0</v>
      </c>
      <c r="BU50" s="27">
        <v>0</v>
      </c>
      <c r="BV50" s="27">
        <v>4.0000000000000001E-3</v>
      </c>
      <c r="BW50" s="27">
        <v>1.2E-2</v>
      </c>
      <c r="BX50" s="27">
        <f t="shared" si="134"/>
        <v>1.6E-2</v>
      </c>
      <c r="BY50" s="27">
        <v>0</v>
      </c>
      <c r="BZ50" s="27">
        <v>0.1</v>
      </c>
      <c r="CA50" s="27">
        <v>9.1999999999999998E-2</v>
      </c>
      <c r="CB50" s="27">
        <v>0.40799999999999997</v>
      </c>
      <c r="CC50" s="27">
        <f t="shared" si="135"/>
        <v>0.6</v>
      </c>
      <c r="CD50" s="27">
        <v>0.2</v>
      </c>
      <c r="CE50" s="27">
        <v>0.1</v>
      </c>
      <c r="CF50" s="27">
        <v>0</v>
      </c>
      <c r="CG50" s="27">
        <v>0.6</v>
      </c>
      <c r="CH50" s="27">
        <f t="shared" si="136"/>
        <v>0.9</v>
      </c>
      <c r="CI50" s="27">
        <v>0.13600000000000001</v>
      </c>
      <c r="CJ50" s="27">
        <v>0.1</v>
      </c>
      <c r="CK50" s="27">
        <v>0</v>
      </c>
      <c r="CL50" s="27">
        <v>0.1</v>
      </c>
      <c r="CM50" s="27">
        <f t="shared" si="137"/>
        <v>0.33600000000000002</v>
      </c>
      <c r="CN50" s="27">
        <v>0</v>
      </c>
      <c r="CO50" s="27">
        <v>0</v>
      </c>
      <c r="CP50" s="27">
        <v>0.1</v>
      </c>
      <c r="CQ50" s="27">
        <v>0.28899999999999998</v>
      </c>
      <c r="CR50" s="27">
        <f t="shared" si="138"/>
        <v>0.38900000000000001</v>
      </c>
      <c r="CS50" s="27">
        <v>0</v>
      </c>
      <c r="CT50" s="27">
        <f>1.833-CT46</f>
        <v>0.93299999999999994</v>
      </c>
      <c r="CU50" s="27">
        <v>0.14399999999999999</v>
      </c>
      <c r="CV50" s="27">
        <v>3.6999999999999998E-2</v>
      </c>
      <c r="CW50" s="27">
        <f t="shared" si="139"/>
        <v>1.1139999999999999</v>
      </c>
      <c r="CX50" s="27">
        <f>0.987-CX46</f>
        <v>5.0000000000000044E-3</v>
      </c>
      <c r="CY50" s="27">
        <f>2.603-CY46</f>
        <v>3.6000000000000032E-2</v>
      </c>
      <c r="CZ50" s="27">
        <v>0</v>
      </c>
      <c r="DA50" s="27">
        <f>3.103-DA46</f>
        <v>1.000000000000334E-3</v>
      </c>
      <c r="DB50" s="27">
        <f t="shared" si="140"/>
        <v>4.200000000000037E-2</v>
      </c>
      <c r="DC50" s="27">
        <f>0.406-DC46</f>
        <v>0</v>
      </c>
      <c r="DD50" s="27">
        <f>1.752-DD46</f>
        <v>0.44199999999999995</v>
      </c>
      <c r="DE50" s="27">
        <f>1.532-DE46</f>
        <v>-0.4009999999999998</v>
      </c>
      <c r="DF50" s="27">
        <f>0.206-SUM(DC50:DE50)</f>
        <v>0.16499999999999984</v>
      </c>
      <c r="DG50" s="27">
        <f t="shared" si="141"/>
        <v>0.20599999999999999</v>
      </c>
      <c r="DH50" s="27">
        <f>0.745-DH46</f>
        <v>9.000000000000008E-3</v>
      </c>
      <c r="DI50" s="27">
        <f>3.538-DI46</f>
        <v>8.1999999999999407E-2</v>
      </c>
      <c r="DJ50" s="27">
        <f>1.818-DJ46</f>
        <v>3.0000000000005578E-3</v>
      </c>
      <c r="DK50" s="27">
        <f>3.237-DK46</f>
        <v>0.19699999999999918</v>
      </c>
      <c r="DL50" s="27">
        <f t="shared" si="142"/>
        <v>0.29099999999999915</v>
      </c>
      <c r="DM50" s="27">
        <f>2.059-DM47-DM46</f>
        <v>0.12600000000000011</v>
      </c>
      <c r="DN50" s="27">
        <f>3.268-DN47-DN46</f>
        <v>0.25199999999999978</v>
      </c>
      <c r="DO50" s="27">
        <f>4.614-DO47-DO46</f>
        <v>1.9749999999999996</v>
      </c>
      <c r="DP50" s="27">
        <f>68.08-DP47-DP46</f>
        <v>1.641</v>
      </c>
      <c r="DQ50" s="27">
        <f t="shared" si="143"/>
        <v>3.9939999999999998</v>
      </c>
      <c r="DR50" s="27">
        <f>66.046-DR47-DR46</f>
        <v>0.22200000000001019</v>
      </c>
      <c r="DS50" s="27">
        <f>68.696-DS47-DS46</f>
        <v>0.17299999999999294</v>
      </c>
      <c r="DT50" s="27">
        <f>16.944-DT47-DT46</f>
        <v>0.15800000000000303</v>
      </c>
      <c r="DU50" s="27">
        <f>27.792-DU47-DU46</f>
        <v>0.79999999999998828</v>
      </c>
      <c r="DV50" s="27">
        <f t="shared" si="144"/>
        <v>1.3529999999999944</v>
      </c>
      <c r="DW50" s="27">
        <f>29.008-DW47-DW46</f>
        <v>8.9999999999976765E-3</v>
      </c>
      <c r="DX50" s="27">
        <v>0.11</v>
      </c>
      <c r="DY50" s="27">
        <v>2.1999999999999999E-2</v>
      </c>
      <c r="DZ50" s="27">
        <v>5.0000000000000001E-3</v>
      </c>
      <c r="EA50" s="27">
        <f t="shared" si="148"/>
        <v>0.14599999999999769</v>
      </c>
      <c r="EB50" s="27">
        <v>0.16</v>
      </c>
      <c r="EC50" s="27">
        <v>0.12</v>
      </c>
      <c r="ED50" s="27">
        <v>0.23200000000000001</v>
      </c>
      <c r="EE50" s="27">
        <v>0.21299999999999999</v>
      </c>
      <c r="EF50" s="27">
        <f t="shared" si="149"/>
        <v>0.72499999999999998</v>
      </c>
      <c r="EG50" s="27">
        <v>1E-3</v>
      </c>
      <c r="EH50" s="27">
        <v>0.13999999999999999</v>
      </c>
      <c r="EI50" s="27">
        <v>2.4000000000000021E-2</v>
      </c>
      <c r="EJ50" s="27">
        <f>SUM(EG50:EI50)</f>
        <v>0.16500000000000001</v>
      </c>
    </row>
    <row r="51" spans="1:140" x14ac:dyDescent="0.3">
      <c r="A51" s="2" t="s">
        <v>308</v>
      </c>
      <c r="B51" s="28"/>
      <c r="C51" s="28"/>
      <c r="D51" s="28"/>
      <c r="E51" s="28"/>
      <c r="F51" s="28">
        <f t="shared" si="120"/>
        <v>0</v>
      </c>
      <c r="G51" s="28"/>
      <c r="H51" s="28"/>
      <c r="I51" s="28"/>
      <c r="J51" s="28"/>
      <c r="K51" s="28">
        <f t="shared" si="121"/>
        <v>0</v>
      </c>
      <c r="L51" s="28"/>
      <c r="M51" s="28"/>
      <c r="N51" s="28"/>
      <c r="O51" s="28"/>
      <c r="P51" s="28">
        <f t="shared" si="122"/>
        <v>0</v>
      </c>
      <c r="Q51" s="28"/>
      <c r="R51" s="28"/>
      <c r="S51" s="28"/>
      <c r="T51" s="28"/>
      <c r="U51" s="28">
        <f t="shared" si="123"/>
        <v>0</v>
      </c>
      <c r="V51" s="28"/>
      <c r="W51" s="28"/>
      <c r="X51" s="28"/>
      <c r="Y51" s="28"/>
      <c r="Z51" s="28">
        <f t="shared" si="124"/>
        <v>0</v>
      </c>
      <c r="AA51" s="28"/>
      <c r="AB51" s="28"/>
      <c r="AC51" s="28"/>
      <c r="AD51" s="28"/>
      <c r="AE51" s="28">
        <f t="shared" si="125"/>
        <v>0</v>
      </c>
      <c r="AF51" s="28"/>
      <c r="AG51" s="28"/>
      <c r="AH51" s="28"/>
      <c r="AI51" s="28"/>
      <c r="AJ51" s="28">
        <f t="shared" si="126"/>
        <v>0</v>
      </c>
      <c r="AK51" s="28"/>
      <c r="AL51" s="28"/>
      <c r="AM51" s="28"/>
      <c r="AN51" s="28"/>
      <c r="AO51" s="28">
        <f t="shared" si="127"/>
        <v>0</v>
      </c>
      <c r="AP51" s="28"/>
      <c r="AQ51" s="28"/>
      <c r="AR51" s="28"/>
      <c r="AS51" s="28"/>
      <c r="AT51" s="28">
        <f t="shared" si="128"/>
        <v>0</v>
      </c>
      <c r="AU51" s="28"/>
      <c r="AV51" s="28"/>
      <c r="AW51" s="28"/>
      <c r="AX51" s="28"/>
      <c r="AY51" s="28">
        <f t="shared" si="129"/>
        <v>0</v>
      </c>
      <c r="AZ51" s="28"/>
      <c r="BA51" s="28"/>
      <c r="BB51" s="28"/>
      <c r="BC51" s="28"/>
      <c r="BD51" s="28">
        <f t="shared" si="130"/>
        <v>0</v>
      </c>
      <c r="BE51" s="28"/>
      <c r="BF51" s="28"/>
      <c r="BG51" s="28"/>
      <c r="BH51" s="28"/>
      <c r="BI51" s="28">
        <f t="shared" si="131"/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f t="shared" si="132"/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f t="shared" si="133"/>
        <v>0</v>
      </c>
      <c r="BT51" s="28">
        <v>0</v>
      </c>
      <c r="BU51" s="28">
        <v>0</v>
      </c>
      <c r="BV51" s="28">
        <v>0</v>
      </c>
      <c r="BW51" s="28">
        <v>0</v>
      </c>
      <c r="BX51" s="28">
        <f t="shared" si="134"/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f t="shared" si="135"/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f t="shared" si="136"/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f t="shared" si="137"/>
        <v>0</v>
      </c>
      <c r="CN51" s="28">
        <v>0</v>
      </c>
      <c r="CO51" s="28">
        <v>0</v>
      </c>
      <c r="CP51" s="28">
        <v>0</v>
      </c>
      <c r="CQ51" s="28"/>
      <c r="CR51" s="28">
        <f t="shared" si="138"/>
        <v>0</v>
      </c>
      <c r="CS51" s="28">
        <v>0</v>
      </c>
      <c r="CT51" s="28"/>
      <c r="CU51" s="28">
        <v>0</v>
      </c>
      <c r="CV51" s="28">
        <v>0</v>
      </c>
      <c r="CW51" s="28">
        <f t="shared" si="139"/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f t="shared" si="140"/>
        <v>0</v>
      </c>
      <c r="DC51" s="28">
        <v>0</v>
      </c>
      <c r="DD51" s="28">
        <v>0</v>
      </c>
      <c r="DE51" s="28">
        <v>0</v>
      </c>
      <c r="DF51" s="28">
        <v>-3.286</v>
      </c>
      <c r="DG51" s="28">
        <f t="shared" si="141"/>
        <v>-3.286</v>
      </c>
      <c r="DH51" s="28">
        <v>-2.456</v>
      </c>
      <c r="DI51" s="28">
        <v>-3.1259999999999999</v>
      </c>
      <c r="DJ51" s="28">
        <v>-2.6890000000000001</v>
      </c>
      <c r="DK51" s="28">
        <v>-2.8319999999999999</v>
      </c>
      <c r="DL51" s="28">
        <f t="shared" si="142"/>
        <v>-11.103000000000002</v>
      </c>
      <c r="DM51" s="28">
        <v>-3.5489999999999999</v>
      </c>
      <c r="DN51" s="28">
        <v>-3.5489999999999999</v>
      </c>
      <c r="DO51" s="28">
        <v>-3.5790000000000002</v>
      </c>
      <c r="DP51" s="28">
        <v>-4.1609999999999996</v>
      </c>
      <c r="DQ51" s="28">
        <f t="shared" si="143"/>
        <v>-14.837999999999999</v>
      </c>
      <c r="DR51" s="28">
        <v>-3.7429999999999999</v>
      </c>
      <c r="DS51" s="28">
        <v>-4.069</v>
      </c>
      <c r="DT51" s="28">
        <v>-3.9060000000000001</v>
      </c>
      <c r="DU51" s="28">
        <v>-6.2130000000000001</v>
      </c>
      <c r="DV51" s="28">
        <f t="shared" si="144"/>
        <v>-17.931000000000001</v>
      </c>
      <c r="DW51" s="28">
        <v>-3.8250000000000002</v>
      </c>
      <c r="DX51" s="28">
        <v>-3.746</v>
      </c>
      <c r="DY51" s="28">
        <v>-4.2037471000000002</v>
      </c>
      <c r="DZ51" s="28">
        <v>-4.12785841</v>
      </c>
      <c r="EA51" s="28">
        <f t="shared" si="148"/>
        <v>-15.902605509999999</v>
      </c>
      <c r="EB51" s="28">
        <v>-5.3625753700000001</v>
      </c>
      <c r="EC51" s="28">
        <v>-6.5008264699999998</v>
      </c>
      <c r="ED51" s="28">
        <v>-5.4370000000000003</v>
      </c>
      <c r="EE51" s="28">
        <v>-5.9687061299999975</v>
      </c>
      <c r="EF51" s="28">
        <f t="shared" si="149"/>
        <v>-23.269107969999997</v>
      </c>
      <c r="EG51" s="28">
        <v>-8.0352529500000003</v>
      </c>
      <c r="EH51" s="28">
        <v>-13.548176789999999</v>
      </c>
      <c r="EI51" s="28">
        <v>-10.333591979999998</v>
      </c>
      <c r="EJ51" s="28">
        <f t="shared" si="147"/>
        <v>-31.917021719999997</v>
      </c>
    </row>
    <row r="52" spans="1:140" x14ac:dyDescent="0.3">
      <c r="A52" s="5" t="s">
        <v>311</v>
      </c>
      <c r="B52" s="29">
        <f t="shared" ref="B52:AG52" si="150">SUM(B30:B51)</f>
        <v>0</v>
      </c>
      <c r="C52" s="29">
        <f t="shared" si="150"/>
        <v>0</v>
      </c>
      <c r="D52" s="29">
        <f t="shared" si="150"/>
        <v>0</v>
      </c>
      <c r="E52" s="29">
        <f t="shared" si="150"/>
        <v>0</v>
      </c>
      <c r="F52" s="29">
        <f t="shared" si="150"/>
        <v>0</v>
      </c>
      <c r="G52" s="29">
        <f t="shared" si="150"/>
        <v>0</v>
      </c>
      <c r="H52" s="29">
        <f t="shared" si="150"/>
        <v>0</v>
      </c>
      <c r="I52" s="29">
        <f t="shared" si="150"/>
        <v>0</v>
      </c>
      <c r="J52" s="29">
        <f t="shared" si="150"/>
        <v>0</v>
      </c>
      <c r="K52" s="29">
        <f t="shared" si="150"/>
        <v>0</v>
      </c>
      <c r="L52" s="29">
        <f t="shared" si="150"/>
        <v>0</v>
      </c>
      <c r="M52" s="29">
        <f t="shared" si="150"/>
        <v>0</v>
      </c>
      <c r="N52" s="29">
        <f t="shared" si="150"/>
        <v>0</v>
      </c>
      <c r="O52" s="29">
        <f t="shared" si="150"/>
        <v>0</v>
      </c>
      <c r="P52" s="29">
        <f t="shared" si="150"/>
        <v>0</v>
      </c>
      <c r="Q52" s="29">
        <f t="shared" si="150"/>
        <v>0</v>
      </c>
      <c r="R52" s="29">
        <f t="shared" si="150"/>
        <v>0</v>
      </c>
      <c r="S52" s="29">
        <f t="shared" si="150"/>
        <v>0</v>
      </c>
      <c r="T52" s="29">
        <f t="shared" si="150"/>
        <v>0</v>
      </c>
      <c r="U52" s="29">
        <f t="shared" si="150"/>
        <v>0</v>
      </c>
      <c r="V52" s="29">
        <f t="shared" si="150"/>
        <v>0</v>
      </c>
      <c r="W52" s="29">
        <f t="shared" si="150"/>
        <v>0</v>
      </c>
      <c r="X52" s="29">
        <f t="shared" si="150"/>
        <v>0</v>
      </c>
      <c r="Y52" s="29">
        <f t="shared" si="150"/>
        <v>0</v>
      </c>
      <c r="Z52" s="29">
        <f t="shared" si="150"/>
        <v>0</v>
      </c>
      <c r="AA52" s="29">
        <f t="shared" si="150"/>
        <v>0</v>
      </c>
      <c r="AB52" s="29">
        <f t="shared" si="150"/>
        <v>0</v>
      </c>
      <c r="AC52" s="29">
        <f t="shared" si="150"/>
        <v>0</v>
      </c>
      <c r="AD52" s="29">
        <f t="shared" si="150"/>
        <v>0</v>
      </c>
      <c r="AE52" s="29">
        <f t="shared" si="150"/>
        <v>0</v>
      </c>
      <c r="AF52" s="29">
        <f t="shared" si="150"/>
        <v>0</v>
      </c>
      <c r="AG52" s="29">
        <f t="shared" si="150"/>
        <v>0</v>
      </c>
      <c r="AH52" s="29">
        <f t="shared" ref="AH52:BM52" si="151">SUM(AH30:AH51)</f>
        <v>0</v>
      </c>
      <c r="AI52" s="29">
        <f t="shared" si="151"/>
        <v>0</v>
      </c>
      <c r="AJ52" s="29">
        <f t="shared" si="151"/>
        <v>0</v>
      </c>
      <c r="AK52" s="29">
        <f t="shared" si="151"/>
        <v>0</v>
      </c>
      <c r="AL52" s="29">
        <f t="shared" si="151"/>
        <v>0</v>
      </c>
      <c r="AM52" s="29">
        <f t="shared" si="151"/>
        <v>0</v>
      </c>
      <c r="AN52" s="29">
        <f t="shared" si="151"/>
        <v>0</v>
      </c>
      <c r="AO52" s="29">
        <f t="shared" si="151"/>
        <v>0</v>
      </c>
      <c r="AP52" s="29">
        <f t="shared" si="151"/>
        <v>0</v>
      </c>
      <c r="AQ52" s="29">
        <f t="shared" si="151"/>
        <v>0</v>
      </c>
      <c r="AR52" s="29">
        <f t="shared" si="151"/>
        <v>0</v>
      </c>
      <c r="AS52" s="29">
        <f t="shared" si="151"/>
        <v>0</v>
      </c>
      <c r="AT52" s="29">
        <f t="shared" si="151"/>
        <v>0</v>
      </c>
      <c r="AU52" s="29">
        <f t="shared" si="151"/>
        <v>0</v>
      </c>
      <c r="AV52" s="29">
        <f t="shared" si="151"/>
        <v>0</v>
      </c>
      <c r="AW52" s="29">
        <f t="shared" si="151"/>
        <v>0</v>
      </c>
      <c r="AX52" s="29">
        <f t="shared" si="151"/>
        <v>0</v>
      </c>
      <c r="AY52" s="29">
        <f t="shared" si="151"/>
        <v>0</v>
      </c>
      <c r="AZ52" s="29">
        <f t="shared" si="151"/>
        <v>0</v>
      </c>
      <c r="BA52" s="29">
        <f t="shared" si="151"/>
        <v>0</v>
      </c>
      <c r="BB52" s="29">
        <f t="shared" si="151"/>
        <v>0</v>
      </c>
      <c r="BC52" s="29">
        <f t="shared" si="151"/>
        <v>0</v>
      </c>
      <c r="BD52" s="29">
        <f t="shared" si="151"/>
        <v>0</v>
      </c>
      <c r="BE52" s="29">
        <f t="shared" si="151"/>
        <v>0</v>
      </c>
      <c r="BF52" s="29">
        <f t="shared" si="151"/>
        <v>0</v>
      </c>
      <c r="BG52" s="29">
        <f t="shared" si="151"/>
        <v>0</v>
      </c>
      <c r="BH52" s="29">
        <f t="shared" si="151"/>
        <v>0</v>
      </c>
      <c r="BI52" s="29">
        <f t="shared" si="151"/>
        <v>0</v>
      </c>
      <c r="BJ52" s="29">
        <f t="shared" si="151"/>
        <v>80.481999999999999</v>
      </c>
      <c r="BK52" s="29">
        <f t="shared" si="151"/>
        <v>56.673000000000002</v>
      </c>
      <c r="BL52" s="29">
        <f t="shared" si="151"/>
        <v>51</v>
      </c>
      <c r="BM52" s="29">
        <f t="shared" si="151"/>
        <v>66.444000000000003</v>
      </c>
      <c r="BN52" s="29">
        <f t="shared" ref="BN52:CS52" si="152">SUM(BN30:BN51)</f>
        <v>254.59899999999999</v>
      </c>
      <c r="BO52" s="29">
        <f t="shared" si="152"/>
        <v>39.056999999999995</v>
      </c>
      <c r="BP52" s="29">
        <f t="shared" si="152"/>
        <v>77.554999999999993</v>
      </c>
      <c r="BQ52" s="29">
        <f t="shared" si="152"/>
        <v>79.046999999999997</v>
      </c>
      <c r="BR52" s="29">
        <f t="shared" si="152"/>
        <v>117.745</v>
      </c>
      <c r="BS52" s="29">
        <f t="shared" si="152"/>
        <v>313.404</v>
      </c>
      <c r="BT52" s="29">
        <f t="shared" si="152"/>
        <v>47.319999999999993</v>
      </c>
      <c r="BU52" s="29">
        <f t="shared" si="152"/>
        <v>82.8</v>
      </c>
      <c r="BV52" s="29">
        <f t="shared" si="152"/>
        <v>121.104</v>
      </c>
      <c r="BW52" s="29">
        <f t="shared" si="152"/>
        <v>130.38200000000001</v>
      </c>
      <c r="BX52" s="29">
        <f t="shared" si="152"/>
        <v>381.60600000000005</v>
      </c>
      <c r="BY52" s="29">
        <f t="shared" si="152"/>
        <v>110.40800000000002</v>
      </c>
      <c r="BZ52" s="29">
        <f t="shared" si="152"/>
        <v>132.49199999999996</v>
      </c>
      <c r="CA52" s="29">
        <f t="shared" si="152"/>
        <v>187.09199999999998</v>
      </c>
      <c r="CB52" s="29">
        <f t="shared" si="152"/>
        <v>236.00799999999998</v>
      </c>
      <c r="CC52" s="29">
        <f t="shared" si="152"/>
        <v>666</v>
      </c>
      <c r="CD52" s="29">
        <f t="shared" si="152"/>
        <v>209.89999999999998</v>
      </c>
      <c r="CE52" s="29">
        <f t="shared" si="152"/>
        <v>299.83500000000004</v>
      </c>
      <c r="CF52" s="29">
        <f t="shared" si="152"/>
        <v>219.86500000000001</v>
      </c>
      <c r="CG52" s="29">
        <f t="shared" si="152"/>
        <v>202.22500000000002</v>
      </c>
      <c r="CH52" s="29">
        <f t="shared" si="152"/>
        <v>931.82499999999982</v>
      </c>
      <c r="CI52" s="29">
        <f t="shared" si="152"/>
        <v>107.15600000000001</v>
      </c>
      <c r="CJ52" s="29">
        <f t="shared" si="152"/>
        <v>153.18</v>
      </c>
      <c r="CK52" s="29">
        <f t="shared" si="152"/>
        <v>185.29999999999998</v>
      </c>
      <c r="CL52" s="29">
        <f t="shared" si="152"/>
        <v>131.59999999999997</v>
      </c>
      <c r="CM52" s="29">
        <f t="shared" si="152"/>
        <v>577.23599999999999</v>
      </c>
      <c r="CN52" s="29">
        <f t="shared" si="152"/>
        <v>76.5</v>
      </c>
      <c r="CO52" s="29">
        <f t="shared" si="152"/>
        <v>113.16800000000001</v>
      </c>
      <c r="CP52" s="29">
        <f t="shared" si="152"/>
        <v>170.82400000000001</v>
      </c>
      <c r="CQ52" s="29">
        <f t="shared" si="152"/>
        <v>138.113</v>
      </c>
      <c r="CR52" s="29">
        <f t="shared" si="152"/>
        <v>498.60500000000002</v>
      </c>
      <c r="CS52" s="29">
        <f t="shared" si="152"/>
        <v>90.753</v>
      </c>
      <c r="CT52" s="29">
        <f t="shared" ref="CT52:DW52" si="153">SUM(CT30:CT51)</f>
        <v>161.25300000000001</v>
      </c>
      <c r="CU52" s="29">
        <f t="shared" si="153"/>
        <v>176.20200000000003</v>
      </c>
      <c r="CV52" s="29">
        <f t="shared" si="153"/>
        <v>186.31</v>
      </c>
      <c r="CW52" s="29">
        <f t="shared" si="153"/>
        <v>614.51800000000003</v>
      </c>
      <c r="CX52" s="29">
        <f t="shared" si="153"/>
        <v>142.47699999999998</v>
      </c>
      <c r="CY52" s="29">
        <f t="shared" si="153"/>
        <v>176.654</v>
      </c>
      <c r="CZ52" s="29">
        <f t="shared" si="153"/>
        <v>173.452</v>
      </c>
      <c r="DA52" s="29">
        <f t="shared" si="153"/>
        <v>274.73299999999995</v>
      </c>
      <c r="DB52" s="29">
        <f t="shared" si="153"/>
        <v>767.31600000000014</v>
      </c>
      <c r="DC52" s="29">
        <f t="shared" si="153"/>
        <v>255.19499999999999</v>
      </c>
      <c r="DD52" s="29">
        <f t="shared" si="153"/>
        <v>253.78000000000003</v>
      </c>
      <c r="DE52" s="29">
        <f t="shared" si="153"/>
        <v>283.46100000000001</v>
      </c>
      <c r="DF52" s="29">
        <f t="shared" si="153"/>
        <v>275.69899999999996</v>
      </c>
      <c r="DG52" s="29">
        <f t="shared" si="153"/>
        <v>1068.135</v>
      </c>
      <c r="DH52" s="29">
        <f t="shared" si="153"/>
        <v>244.45199999999997</v>
      </c>
      <c r="DI52" s="29">
        <f t="shared" si="153"/>
        <v>293.00900000000007</v>
      </c>
      <c r="DJ52" s="29">
        <f t="shared" si="153"/>
        <v>321.51099999999997</v>
      </c>
      <c r="DK52" s="29">
        <f t="shared" si="153"/>
        <v>291.82200000000006</v>
      </c>
      <c r="DL52" s="29">
        <f t="shared" si="153"/>
        <v>1150.7939999999996</v>
      </c>
      <c r="DM52" s="29">
        <f t="shared" si="153"/>
        <v>186.16400000000004</v>
      </c>
      <c r="DN52" s="29">
        <f t="shared" si="153"/>
        <v>278.93</v>
      </c>
      <c r="DO52" s="29">
        <f t="shared" si="153"/>
        <v>448.98100000000005</v>
      </c>
      <c r="DP52" s="29">
        <f t="shared" si="153"/>
        <v>579.47500000000002</v>
      </c>
      <c r="DQ52" s="29">
        <f t="shared" si="153"/>
        <v>1493.5500000000002</v>
      </c>
      <c r="DR52" s="29">
        <f t="shared" si="153"/>
        <v>516.62199999999996</v>
      </c>
      <c r="DS52" s="29">
        <f t="shared" si="153"/>
        <v>710.06500000000005</v>
      </c>
      <c r="DT52" s="29">
        <f t="shared" si="153"/>
        <v>884.85800000000006</v>
      </c>
      <c r="DU52" s="29">
        <f t="shared" si="153"/>
        <v>826.6819999999999</v>
      </c>
      <c r="DV52" s="29">
        <f t="shared" si="153"/>
        <v>2938.2270000000003</v>
      </c>
      <c r="DW52" s="29">
        <f t="shared" si="153"/>
        <v>585.58199999999988</v>
      </c>
      <c r="DX52" s="29">
        <f t="shared" ref="DX52:ED52" si="154">SUM(DX30:DX51)</f>
        <v>891.31999999999994</v>
      </c>
      <c r="DY52" s="29">
        <f t="shared" si="154"/>
        <v>1263.6892528999999</v>
      </c>
      <c r="DZ52" s="29">
        <f t="shared" si="154"/>
        <v>1309.2677587600001</v>
      </c>
      <c r="EA52" s="29">
        <f t="shared" si="154"/>
        <v>4049.8590116600008</v>
      </c>
      <c r="EB52" s="29">
        <f t="shared" si="154"/>
        <v>757.89342463000003</v>
      </c>
      <c r="EC52" s="29">
        <f t="shared" si="154"/>
        <v>984.79017352999995</v>
      </c>
      <c r="ED52" s="29">
        <f t="shared" si="154"/>
        <v>1078.1680000000001</v>
      </c>
      <c r="EE52" s="29">
        <f t="shared" ref="EE52:EF52" si="155">SUM(EE30:EE51)</f>
        <v>1420.5642938699998</v>
      </c>
      <c r="EF52" s="29">
        <f t="shared" si="155"/>
        <v>4241.4158920300015</v>
      </c>
      <c r="EG52" s="29">
        <f>SUM(EG30:EG51)</f>
        <v>914.90674705000015</v>
      </c>
      <c r="EH52" s="29">
        <f>SUM(EH30:EH51)</f>
        <v>1106.1838232100001</v>
      </c>
      <c r="EI52" s="29">
        <f>SUM(EI30:EI51)</f>
        <v>1238.7494080200004</v>
      </c>
      <c r="EJ52" s="29">
        <f>SUM(EJ30:EJ51)</f>
        <v>3259.8399782800011</v>
      </c>
    </row>
    <row r="53" spans="1:140" x14ac:dyDescent="0.3">
      <c r="BX53" s="33"/>
    </row>
    <row r="54" spans="1:140" x14ac:dyDescent="0.3">
      <c r="ED54" s="37"/>
      <c r="EE54" s="37"/>
      <c r="EG54" s="37"/>
      <c r="EH54" s="37"/>
      <c r="EI54" s="37"/>
    </row>
    <row r="55" spans="1:140" x14ac:dyDescent="0.3">
      <c r="A55" s="3" t="s">
        <v>400</v>
      </c>
      <c r="B55" s="6" t="s">
        <v>4</v>
      </c>
      <c r="C55" s="6" t="s">
        <v>5</v>
      </c>
      <c r="D55" s="6" t="s">
        <v>6</v>
      </c>
      <c r="E55" s="6" t="s">
        <v>7</v>
      </c>
      <c r="F55" s="6">
        <v>1998</v>
      </c>
      <c r="G55" s="6" t="s">
        <v>8</v>
      </c>
      <c r="H55" s="6" t="s">
        <v>9</v>
      </c>
      <c r="I55" s="6" t="s">
        <v>10</v>
      </c>
      <c r="J55" s="6" t="s">
        <v>11</v>
      </c>
      <c r="K55" s="6">
        <v>1999</v>
      </c>
      <c r="L55" s="6" t="s">
        <v>12</v>
      </c>
      <c r="M55" s="6" t="s">
        <v>13</v>
      </c>
      <c r="N55" s="6" t="s">
        <v>14</v>
      </c>
      <c r="O55" s="6" t="s">
        <v>15</v>
      </c>
      <c r="P55" s="6">
        <v>2000</v>
      </c>
      <c r="Q55" s="6" t="s">
        <v>16</v>
      </c>
      <c r="R55" s="6" t="s">
        <v>17</v>
      </c>
      <c r="S55" s="6" t="s">
        <v>18</v>
      </c>
      <c r="T55" s="6" t="s">
        <v>19</v>
      </c>
      <c r="U55" s="6">
        <v>2001</v>
      </c>
      <c r="V55" s="6" t="s">
        <v>20</v>
      </c>
      <c r="W55" s="6" t="s">
        <v>21</v>
      </c>
      <c r="X55" s="6" t="s">
        <v>22</v>
      </c>
      <c r="Y55" s="6" t="s">
        <v>23</v>
      </c>
      <c r="Z55" s="6">
        <v>2002</v>
      </c>
      <c r="AA55" s="6" t="s">
        <v>24</v>
      </c>
      <c r="AB55" s="6" t="s">
        <v>25</v>
      </c>
      <c r="AC55" s="6" t="s">
        <v>26</v>
      </c>
      <c r="AD55" s="6" t="s">
        <v>27</v>
      </c>
      <c r="AE55" s="6">
        <v>2003</v>
      </c>
      <c r="AF55" s="6" t="s">
        <v>28</v>
      </c>
      <c r="AG55" s="6" t="s">
        <v>29</v>
      </c>
      <c r="AH55" s="6" t="s">
        <v>30</v>
      </c>
      <c r="AI55" s="6" t="s">
        <v>31</v>
      </c>
      <c r="AJ55" s="6">
        <v>2004</v>
      </c>
      <c r="AK55" s="6" t="s">
        <v>32</v>
      </c>
      <c r="AL55" s="6" t="s">
        <v>33</v>
      </c>
      <c r="AM55" s="6" t="s">
        <v>34</v>
      </c>
      <c r="AN55" s="6" t="s">
        <v>35</v>
      </c>
      <c r="AO55" s="6">
        <v>2005</v>
      </c>
      <c r="AP55" s="6" t="s">
        <v>36</v>
      </c>
      <c r="AQ55" s="6" t="s">
        <v>37</v>
      </c>
      <c r="AR55" s="6" t="s">
        <v>38</v>
      </c>
      <c r="AS55" s="6" t="s">
        <v>39</v>
      </c>
      <c r="AT55" s="6">
        <v>2006</v>
      </c>
      <c r="AU55" s="6" t="s">
        <v>40</v>
      </c>
      <c r="AV55" s="6" t="s">
        <v>41</v>
      </c>
      <c r="AW55" s="6" t="s">
        <v>42</v>
      </c>
      <c r="AX55" s="6" t="s">
        <v>43</v>
      </c>
      <c r="AY55" s="6">
        <v>2007</v>
      </c>
      <c r="AZ55" s="6" t="s">
        <v>44</v>
      </c>
      <c r="BA55" s="6" t="s">
        <v>45</v>
      </c>
      <c r="BB55" s="6" t="s">
        <v>46</v>
      </c>
      <c r="BC55" s="6" t="s">
        <v>47</v>
      </c>
      <c r="BD55" s="6">
        <v>2008</v>
      </c>
      <c r="BE55" s="6" t="s">
        <v>48</v>
      </c>
      <c r="BF55" s="6" t="s">
        <v>49</v>
      </c>
      <c r="BG55" s="6" t="s">
        <v>50</v>
      </c>
      <c r="BH55" s="6" t="s">
        <v>51</v>
      </c>
      <c r="BI55" s="6">
        <v>2009</v>
      </c>
      <c r="BJ55" s="6" t="s">
        <v>52</v>
      </c>
      <c r="BK55" s="6" t="s">
        <v>53</v>
      </c>
      <c r="BL55" s="6" t="s">
        <v>54</v>
      </c>
      <c r="BM55" s="6" t="s">
        <v>55</v>
      </c>
      <c r="BN55" s="6">
        <v>2010</v>
      </c>
      <c r="BO55" s="6" t="s">
        <v>56</v>
      </c>
      <c r="BP55" s="6" t="s">
        <v>57</v>
      </c>
      <c r="BQ55" s="6" t="s">
        <v>58</v>
      </c>
      <c r="BR55" s="6" t="s">
        <v>59</v>
      </c>
      <c r="BS55" s="6">
        <v>2011</v>
      </c>
      <c r="BT55" s="6" t="s">
        <v>60</v>
      </c>
      <c r="BU55" s="6" t="s">
        <v>61</v>
      </c>
      <c r="BV55" s="6" t="s">
        <v>62</v>
      </c>
      <c r="BW55" s="6" t="s">
        <v>63</v>
      </c>
      <c r="BX55" s="6">
        <v>2012</v>
      </c>
      <c r="BY55" s="6" t="s">
        <v>64</v>
      </c>
      <c r="BZ55" s="6" t="s">
        <v>65</v>
      </c>
      <c r="CA55" s="6" t="s">
        <v>66</v>
      </c>
      <c r="CB55" s="6" t="s">
        <v>67</v>
      </c>
      <c r="CC55" s="6">
        <v>2013</v>
      </c>
      <c r="CD55" s="6" t="s">
        <v>68</v>
      </c>
      <c r="CE55" s="6" t="s">
        <v>69</v>
      </c>
      <c r="CF55" s="6" t="s">
        <v>70</v>
      </c>
      <c r="CG55" s="6" t="s">
        <v>71</v>
      </c>
      <c r="CH55" s="6">
        <v>2014</v>
      </c>
      <c r="CI55" s="6" t="s">
        <v>72</v>
      </c>
      <c r="CJ55" s="6" t="s">
        <v>73</v>
      </c>
      <c r="CK55" s="6" t="s">
        <v>74</v>
      </c>
      <c r="CL55" s="6" t="s">
        <v>75</v>
      </c>
      <c r="CM55" s="6">
        <v>2015</v>
      </c>
      <c r="CN55" s="6" t="s">
        <v>76</v>
      </c>
      <c r="CO55" s="6" t="s">
        <v>77</v>
      </c>
      <c r="CP55" s="6" t="s">
        <v>78</v>
      </c>
      <c r="CQ55" s="6" t="s">
        <v>79</v>
      </c>
      <c r="CR55" s="6">
        <v>2016</v>
      </c>
      <c r="CS55" s="6" t="s">
        <v>80</v>
      </c>
      <c r="CT55" s="6" t="s">
        <v>81</v>
      </c>
      <c r="CU55" s="6" t="s">
        <v>82</v>
      </c>
      <c r="CV55" s="6" t="s">
        <v>83</v>
      </c>
      <c r="CW55" s="6">
        <v>2017</v>
      </c>
      <c r="CX55" s="6" t="s">
        <v>84</v>
      </c>
      <c r="CY55" s="6" t="s">
        <v>85</v>
      </c>
      <c r="CZ55" s="6" t="s">
        <v>86</v>
      </c>
      <c r="DA55" s="6" t="s">
        <v>87</v>
      </c>
      <c r="DB55" s="6">
        <v>2018</v>
      </c>
      <c r="DC55" s="6" t="s">
        <v>88</v>
      </c>
      <c r="DD55" s="6" t="s">
        <v>89</v>
      </c>
      <c r="DE55" s="6" t="s">
        <v>90</v>
      </c>
      <c r="DF55" s="6" t="s">
        <v>91</v>
      </c>
      <c r="DG55" s="6">
        <v>2019</v>
      </c>
      <c r="DH55" s="6" t="s">
        <v>92</v>
      </c>
      <c r="DI55" s="6" t="s">
        <v>93</v>
      </c>
      <c r="DJ55" s="6" t="s">
        <v>94</v>
      </c>
      <c r="DK55" s="6" t="s">
        <v>95</v>
      </c>
      <c r="DL55" s="6">
        <v>2020</v>
      </c>
      <c r="DM55" s="6" t="s">
        <v>96</v>
      </c>
      <c r="DN55" s="6" t="s">
        <v>97</v>
      </c>
      <c r="DO55" s="6" t="s">
        <v>98</v>
      </c>
      <c r="DP55" s="6" t="s">
        <v>99</v>
      </c>
      <c r="DQ55" s="6">
        <v>2021</v>
      </c>
      <c r="DR55" s="6" t="s">
        <v>100</v>
      </c>
      <c r="DS55" s="6" t="s">
        <v>101</v>
      </c>
      <c r="DT55" s="6" t="s">
        <v>200</v>
      </c>
      <c r="DU55" s="6" t="s">
        <v>380</v>
      </c>
      <c r="DV55" s="6">
        <v>2022</v>
      </c>
      <c r="DW55" s="6" t="s">
        <v>379</v>
      </c>
      <c r="DX55" s="6" t="s">
        <v>402</v>
      </c>
      <c r="DY55" s="6" t="s">
        <v>414</v>
      </c>
      <c r="DZ55" s="6" t="s">
        <v>419</v>
      </c>
      <c r="EA55" s="6">
        <v>2023</v>
      </c>
      <c r="EB55" s="6" t="s">
        <v>424</v>
      </c>
      <c r="EC55" s="6" t="s">
        <v>429</v>
      </c>
      <c r="ED55" s="6" t="str">
        <f>$ED$1</f>
        <v>3T24</v>
      </c>
      <c r="EE55" s="6" t="str">
        <f>$EE$1</f>
        <v>4T24</v>
      </c>
      <c r="EF55" s="6">
        <f>$EF$1</f>
        <v>2024</v>
      </c>
      <c r="EG55" s="6" t="str">
        <f>EG$1</f>
        <v>1T25</v>
      </c>
      <c r="EH55" s="6" t="str">
        <f>EH$1</f>
        <v>2T25</v>
      </c>
      <c r="EI55" s="6" t="str">
        <f>EI$1</f>
        <v>3T25</v>
      </c>
      <c r="EJ55" s="6">
        <f>EJ$1</f>
        <v>2025</v>
      </c>
    </row>
    <row r="56" spans="1:140" ht="15" thickBot="1" x14ac:dyDescent="0.35">
      <c r="A56" s="4" t="s">
        <v>401</v>
      </c>
      <c r="B56" s="7" t="s">
        <v>102</v>
      </c>
      <c r="C56" s="7" t="s">
        <v>103</v>
      </c>
      <c r="D56" s="7" t="s">
        <v>104</v>
      </c>
      <c r="E56" s="7" t="s">
        <v>105</v>
      </c>
      <c r="F56" s="7">
        <v>1998</v>
      </c>
      <c r="G56" s="7" t="s">
        <v>106</v>
      </c>
      <c r="H56" s="7" t="s">
        <v>107</v>
      </c>
      <c r="I56" s="7" t="s">
        <v>108</v>
      </c>
      <c r="J56" s="7" t="s">
        <v>109</v>
      </c>
      <c r="K56" s="7">
        <v>1999</v>
      </c>
      <c r="L56" s="7" t="s">
        <v>110</v>
      </c>
      <c r="M56" s="7" t="s">
        <v>111</v>
      </c>
      <c r="N56" s="7" t="s">
        <v>112</v>
      </c>
      <c r="O56" s="7" t="s">
        <v>113</v>
      </c>
      <c r="P56" s="7">
        <v>2000</v>
      </c>
      <c r="Q56" s="7" t="s">
        <v>114</v>
      </c>
      <c r="R56" s="7" t="s">
        <v>115</v>
      </c>
      <c r="S56" s="7" t="s">
        <v>116</v>
      </c>
      <c r="T56" s="7" t="s">
        <v>117</v>
      </c>
      <c r="U56" s="7">
        <v>2001</v>
      </c>
      <c r="V56" s="7" t="s">
        <v>118</v>
      </c>
      <c r="W56" s="7" t="s">
        <v>119</v>
      </c>
      <c r="X56" s="7" t="s">
        <v>120</v>
      </c>
      <c r="Y56" s="7" t="s">
        <v>121</v>
      </c>
      <c r="Z56" s="7">
        <v>2002</v>
      </c>
      <c r="AA56" s="7" t="s">
        <v>122</v>
      </c>
      <c r="AB56" s="7" t="s">
        <v>123</v>
      </c>
      <c r="AC56" s="7" t="s">
        <v>124</v>
      </c>
      <c r="AD56" s="7" t="s">
        <v>125</v>
      </c>
      <c r="AE56" s="7">
        <v>2003</v>
      </c>
      <c r="AF56" s="7" t="s">
        <v>126</v>
      </c>
      <c r="AG56" s="7" t="s">
        <v>127</v>
      </c>
      <c r="AH56" s="7" t="s">
        <v>128</v>
      </c>
      <c r="AI56" s="7" t="s">
        <v>129</v>
      </c>
      <c r="AJ56" s="7">
        <v>2004</v>
      </c>
      <c r="AK56" s="7" t="s">
        <v>130</v>
      </c>
      <c r="AL56" s="7" t="s">
        <v>131</v>
      </c>
      <c r="AM56" s="7" t="s">
        <v>132</v>
      </c>
      <c r="AN56" s="7" t="s">
        <v>133</v>
      </c>
      <c r="AO56" s="7">
        <v>2005</v>
      </c>
      <c r="AP56" s="7" t="s">
        <v>134</v>
      </c>
      <c r="AQ56" s="7" t="s">
        <v>135</v>
      </c>
      <c r="AR56" s="7" t="s">
        <v>136</v>
      </c>
      <c r="AS56" s="7" t="s">
        <v>137</v>
      </c>
      <c r="AT56" s="7">
        <v>2006</v>
      </c>
      <c r="AU56" s="7" t="s">
        <v>138</v>
      </c>
      <c r="AV56" s="7" t="s">
        <v>139</v>
      </c>
      <c r="AW56" s="7" t="s">
        <v>140</v>
      </c>
      <c r="AX56" s="7" t="s">
        <v>141</v>
      </c>
      <c r="AY56" s="7">
        <v>2007</v>
      </c>
      <c r="AZ56" s="7" t="s">
        <v>142</v>
      </c>
      <c r="BA56" s="7" t="s">
        <v>143</v>
      </c>
      <c r="BB56" s="7" t="s">
        <v>144</v>
      </c>
      <c r="BC56" s="7" t="s">
        <v>145</v>
      </c>
      <c r="BD56" s="7">
        <v>2008</v>
      </c>
      <c r="BE56" s="7" t="s">
        <v>146</v>
      </c>
      <c r="BF56" s="7" t="s">
        <v>147</v>
      </c>
      <c r="BG56" s="7" t="s">
        <v>148</v>
      </c>
      <c r="BH56" s="7" t="s">
        <v>149</v>
      </c>
      <c r="BI56" s="7">
        <v>2009</v>
      </c>
      <c r="BJ56" s="7" t="s">
        <v>150</v>
      </c>
      <c r="BK56" s="7" t="s">
        <v>151</v>
      </c>
      <c r="BL56" s="7" t="s">
        <v>152</v>
      </c>
      <c r="BM56" s="7" t="s">
        <v>153</v>
      </c>
      <c r="BN56" s="7">
        <v>2010</v>
      </c>
      <c r="BO56" s="7" t="s">
        <v>154</v>
      </c>
      <c r="BP56" s="7" t="s">
        <v>155</v>
      </c>
      <c r="BQ56" s="7" t="s">
        <v>156</v>
      </c>
      <c r="BR56" s="7" t="s">
        <v>157</v>
      </c>
      <c r="BS56" s="7">
        <v>2011</v>
      </c>
      <c r="BT56" s="7" t="s">
        <v>158</v>
      </c>
      <c r="BU56" s="7" t="s">
        <v>159</v>
      </c>
      <c r="BV56" s="7" t="s">
        <v>160</v>
      </c>
      <c r="BW56" s="7" t="s">
        <v>161</v>
      </c>
      <c r="BX56" s="7">
        <v>2012</v>
      </c>
      <c r="BY56" s="7" t="s">
        <v>162</v>
      </c>
      <c r="BZ56" s="7" t="s">
        <v>163</v>
      </c>
      <c r="CA56" s="7" t="s">
        <v>164</v>
      </c>
      <c r="CB56" s="7" t="s">
        <v>165</v>
      </c>
      <c r="CC56" s="7">
        <v>2013</v>
      </c>
      <c r="CD56" s="7" t="s">
        <v>166</v>
      </c>
      <c r="CE56" s="7" t="s">
        <v>167</v>
      </c>
      <c r="CF56" s="7" t="s">
        <v>168</v>
      </c>
      <c r="CG56" s="7" t="s">
        <v>169</v>
      </c>
      <c r="CH56" s="7">
        <v>2014</v>
      </c>
      <c r="CI56" s="7" t="s">
        <v>170</v>
      </c>
      <c r="CJ56" s="7" t="s">
        <v>171</v>
      </c>
      <c r="CK56" s="7" t="s">
        <v>172</v>
      </c>
      <c r="CL56" s="7" t="s">
        <v>173</v>
      </c>
      <c r="CM56" s="7">
        <v>2015</v>
      </c>
      <c r="CN56" s="7" t="s">
        <v>174</v>
      </c>
      <c r="CO56" s="7" t="s">
        <v>175</v>
      </c>
      <c r="CP56" s="7" t="s">
        <v>176</v>
      </c>
      <c r="CQ56" s="7" t="s">
        <v>177</v>
      </c>
      <c r="CR56" s="7">
        <v>2016</v>
      </c>
      <c r="CS56" s="7" t="s">
        <v>178</v>
      </c>
      <c r="CT56" s="7" t="s">
        <v>179</v>
      </c>
      <c r="CU56" s="7" t="s">
        <v>180</v>
      </c>
      <c r="CV56" s="7" t="s">
        <v>181</v>
      </c>
      <c r="CW56" s="7">
        <v>2017</v>
      </c>
      <c r="CX56" s="7" t="s">
        <v>182</v>
      </c>
      <c r="CY56" s="7" t="s">
        <v>183</v>
      </c>
      <c r="CZ56" s="7" t="s">
        <v>184</v>
      </c>
      <c r="DA56" s="7" t="s">
        <v>185</v>
      </c>
      <c r="DB56" s="7">
        <v>2018</v>
      </c>
      <c r="DC56" s="7" t="s">
        <v>186</v>
      </c>
      <c r="DD56" s="7" t="s">
        <v>187</v>
      </c>
      <c r="DE56" s="7" t="s">
        <v>188</v>
      </c>
      <c r="DF56" s="7" t="s">
        <v>189</v>
      </c>
      <c r="DG56" s="7">
        <v>2019</v>
      </c>
      <c r="DH56" s="7" t="s">
        <v>190</v>
      </c>
      <c r="DI56" s="7" t="s">
        <v>191</v>
      </c>
      <c r="DJ56" s="7" t="s">
        <v>192</v>
      </c>
      <c r="DK56" s="7" t="s">
        <v>193</v>
      </c>
      <c r="DL56" s="7">
        <v>2020</v>
      </c>
      <c r="DM56" s="7" t="s">
        <v>194</v>
      </c>
      <c r="DN56" s="7" t="s">
        <v>195</v>
      </c>
      <c r="DO56" s="7" t="s">
        <v>196</v>
      </c>
      <c r="DP56" s="7" t="s">
        <v>197</v>
      </c>
      <c r="DQ56" s="7">
        <v>2021</v>
      </c>
      <c r="DR56" s="7" t="s">
        <v>198</v>
      </c>
      <c r="DS56" s="7" t="s">
        <v>199</v>
      </c>
      <c r="DT56" s="7" t="s">
        <v>201</v>
      </c>
      <c r="DU56" s="7" t="s">
        <v>381</v>
      </c>
      <c r="DV56" s="7">
        <v>2022</v>
      </c>
      <c r="DW56" s="7" t="s">
        <v>382</v>
      </c>
      <c r="DX56" s="7" t="s">
        <v>403</v>
      </c>
      <c r="DY56" s="7" t="s">
        <v>415</v>
      </c>
      <c r="DZ56" s="7" t="s">
        <v>420</v>
      </c>
      <c r="EA56" s="7">
        <v>2023</v>
      </c>
      <c r="EB56" s="7" t="s">
        <v>425</v>
      </c>
      <c r="EC56" s="7" t="s">
        <v>430</v>
      </c>
      <c r="ED56" s="7" t="str">
        <f>$ED$2</f>
        <v>3Q24</v>
      </c>
      <c r="EE56" s="7" t="str">
        <f>$EE$2</f>
        <v>4Q24</v>
      </c>
      <c r="EF56" s="7">
        <f>$EF$2</f>
        <v>2024</v>
      </c>
      <c r="EG56" s="7" t="str">
        <f>EG$2</f>
        <v>1Q25</v>
      </c>
      <c r="EH56" s="7" t="str">
        <f>EH$2</f>
        <v>2Q25</v>
      </c>
      <c r="EI56" s="7" t="str">
        <f>EI$2</f>
        <v>3Q25</v>
      </c>
      <c r="EJ56" s="7">
        <f>EJ55</f>
        <v>2025</v>
      </c>
    </row>
    <row r="57" spans="1:140" ht="15" thickTop="1" x14ac:dyDescent="0.3">
      <c r="A57" s="1" t="s">
        <v>2</v>
      </c>
      <c r="B57" s="27"/>
      <c r="C57" s="27"/>
      <c r="D57" s="27"/>
      <c r="E57" s="27"/>
      <c r="F57" s="27">
        <f t="shared" ref="F57:F68" si="156">SUM(B57:E57)</f>
        <v>0</v>
      </c>
      <c r="G57" s="27"/>
      <c r="H57" s="27"/>
      <c r="I57" s="27"/>
      <c r="J57" s="27"/>
      <c r="K57" s="27">
        <f t="shared" ref="K57:K68" si="157">SUM(G57:J57)</f>
        <v>0</v>
      </c>
      <c r="L57" s="27"/>
      <c r="M57" s="27"/>
      <c r="N57" s="27"/>
      <c r="O57" s="27"/>
      <c r="P57" s="27">
        <f t="shared" ref="P57:P68" si="158">SUM(L57:O57)</f>
        <v>0</v>
      </c>
      <c r="Q57" s="27"/>
      <c r="R57" s="27"/>
      <c r="S57" s="27"/>
      <c r="T57" s="27"/>
      <c r="U57" s="27">
        <f t="shared" ref="U57:U68" si="159">SUM(Q57:T57)</f>
        <v>0</v>
      </c>
      <c r="V57" s="27"/>
      <c r="W57" s="27"/>
      <c r="X57" s="27"/>
      <c r="Y57" s="27"/>
      <c r="Z57" s="27">
        <f t="shared" ref="Z57:Z68" si="160">SUM(V57:Y57)</f>
        <v>0</v>
      </c>
      <c r="AA57" s="27"/>
      <c r="AB57" s="27"/>
      <c r="AC57" s="27"/>
      <c r="AD57" s="27"/>
      <c r="AE57" s="27">
        <f t="shared" ref="AE57:AE68" si="161">SUM(AA57:AD57)</f>
        <v>0</v>
      </c>
      <c r="AF57" s="27"/>
      <c r="AG57" s="27"/>
      <c r="AH57" s="27"/>
      <c r="AI57" s="27"/>
      <c r="AJ57" s="27">
        <f t="shared" ref="AJ57:AJ68" si="162">SUM(AF57:AI57)</f>
        <v>0</v>
      </c>
      <c r="AK57" s="27"/>
      <c r="AL57" s="27"/>
      <c r="AM57" s="27"/>
      <c r="AN57" s="27"/>
      <c r="AO57" s="27">
        <f t="shared" ref="AO57:AO68" si="163">SUM(AK57:AN57)</f>
        <v>0</v>
      </c>
      <c r="AP57" s="27"/>
      <c r="AQ57" s="27"/>
      <c r="AR57" s="27"/>
      <c r="AS57" s="27"/>
      <c r="AT57" s="27">
        <f t="shared" ref="AT57:AT68" si="164">SUM(AP57:AS57)</f>
        <v>0</v>
      </c>
      <c r="AU57" s="27"/>
      <c r="AV57" s="27"/>
      <c r="AW57" s="27"/>
      <c r="AX57" s="27"/>
      <c r="AY57" s="27">
        <f t="shared" ref="AY57:AY68" si="165">SUM(AU57:AX57)</f>
        <v>0</v>
      </c>
      <c r="AZ57" s="27"/>
      <c r="BA57" s="27"/>
      <c r="BB57" s="27"/>
      <c r="BC57" s="27"/>
      <c r="BD57" s="27">
        <f t="shared" ref="BD57:BD68" si="166">SUM(AZ57:BC57)</f>
        <v>0</v>
      </c>
      <c r="BE57" s="27"/>
      <c r="BF57" s="27"/>
      <c r="BG57" s="27"/>
      <c r="BH57" s="27"/>
      <c r="BI57" s="27">
        <f t="shared" ref="BI57:BI68" si="167">SUM(BE57:BH57)</f>
        <v>0</v>
      </c>
      <c r="BJ57" s="27">
        <v>0.04</v>
      </c>
      <c r="BK57" s="27">
        <v>4.71</v>
      </c>
      <c r="BL57" s="27">
        <v>4.55</v>
      </c>
      <c r="BM57" s="27">
        <v>0</v>
      </c>
      <c r="BN57" s="27">
        <f t="shared" ref="BN57:BN63" si="168">SUM(BJ57:BM57)</f>
        <v>9.3000000000000007</v>
      </c>
      <c r="BO57" s="27">
        <v>0</v>
      </c>
      <c r="BP57" s="27">
        <v>0</v>
      </c>
      <c r="BQ57" s="27">
        <v>0</v>
      </c>
      <c r="BR57" s="27">
        <v>0</v>
      </c>
      <c r="BS57" s="27">
        <f t="shared" ref="BS57:BS63" si="169">SUM(BO57:BR57)</f>
        <v>0</v>
      </c>
      <c r="BT57" s="27">
        <v>0</v>
      </c>
      <c r="BU57" s="27">
        <v>2</v>
      </c>
      <c r="BV57" s="27">
        <v>1.427</v>
      </c>
      <c r="BW57" s="27">
        <v>7.0000000000000001E-3</v>
      </c>
      <c r="BX57" s="27">
        <f t="shared" ref="BX57:BX63" si="170">SUM(BT57:BW57)</f>
        <v>3.4340000000000002</v>
      </c>
      <c r="BY57" s="27">
        <v>2.1</v>
      </c>
      <c r="BZ57" s="27">
        <v>8.4</v>
      </c>
      <c r="CA57" s="27">
        <v>1</v>
      </c>
      <c r="CB57" s="27">
        <v>2.4</v>
      </c>
      <c r="CC57" s="27">
        <f t="shared" ref="CC57:CC63" si="171">SUM(BY57:CB57)</f>
        <v>13.9</v>
      </c>
      <c r="CD57" s="27">
        <v>0.4</v>
      </c>
      <c r="CE57" s="27">
        <v>-0.1</v>
      </c>
      <c r="CF57" s="27">
        <v>5.3</v>
      </c>
      <c r="CG57" s="27">
        <v>1.3</v>
      </c>
      <c r="CH57" s="27">
        <f>SUM(CD57:CG57)</f>
        <v>6.8999999999999995</v>
      </c>
      <c r="CI57" s="27">
        <v>2.2000000000000002</v>
      </c>
      <c r="CJ57" s="27">
        <v>2.6</v>
      </c>
      <c r="CK57" s="27">
        <v>2.5</v>
      </c>
      <c r="CL57" s="27">
        <v>0.9</v>
      </c>
      <c r="CM57" s="27">
        <f t="shared" ref="CM57:CM63" si="172">SUM(CI57:CL57)</f>
        <v>8.2000000000000011</v>
      </c>
      <c r="CN57" s="27">
        <v>0</v>
      </c>
      <c r="CO57" s="27">
        <v>1.7</v>
      </c>
      <c r="CP57" s="27">
        <v>3.5</v>
      </c>
      <c r="CQ57" s="27">
        <v>1.167</v>
      </c>
      <c r="CR57" s="27">
        <f t="shared" ref="CR57:CR63" si="173">SUM(CN57:CQ57)</f>
        <v>6.367</v>
      </c>
      <c r="CS57" s="27">
        <v>0.93700000000000006</v>
      </c>
      <c r="CT57" s="27">
        <v>-0.20599999999999999</v>
      </c>
      <c r="CU57" s="27">
        <v>0.55400000000000005</v>
      </c>
      <c r="CV57" s="27">
        <v>3.5430000000000001</v>
      </c>
      <c r="CW57" s="27">
        <f t="shared" ref="CW57:CW63" si="174">SUM(CS57:CV57)</f>
        <v>4.8280000000000003</v>
      </c>
      <c r="CX57" s="27">
        <v>0.433</v>
      </c>
      <c r="CY57" s="27">
        <v>1.7789999999999999</v>
      </c>
      <c r="CZ57" s="27">
        <v>5.843</v>
      </c>
      <c r="DA57" s="27">
        <v>4.5759999999999996</v>
      </c>
      <c r="DB57" s="27">
        <f t="shared" ref="DB57:DB63" si="175">SUM(CX57:DA57)</f>
        <v>12.631</v>
      </c>
      <c r="DC57" s="27">
        <v>4.8239999999999998</v>
      </c>
      <c r="DD57" s="27">
        <v>11.766</v>
      </c>
      <c r="DE57" s="27">
        <v>13.204000000000001</v>
      </c>
      <c r="DF57" s="27">
        <v>20.594000000000001</v>
      </c>
      <c r="DG57" s="27">
        <f t="shared" ref="DG57:DG65" si="176">SUM(DC57:DF57)</f>
        <v>50.388000000000005</v>
      </c>
      <c r="DH57" s="27">
        <v>2.1179999999999999</v>
      </c>
      <c r="DI57" s="27">
        <v>3.7829999999999999</v>
      </c>
      <c r="DJ57" s="27">
        <v>5.4130000000000003</v>
      </c>
      <c r="DK57" s="27">
        <v>4.0540000000000003</v>
      </c>
      <c r="DL57" s="27">
        <f t="shared" ref="DL57:DL69" si="177">SUM(DH57:DK57)</f>
        <v>15.368</v>
      </c>
      <c r="DM57" s="27">
        <v>2.395</v>
      </c>
      <c r="DN57" s="27">
        <v>10.175000000000001</v>
      </c>
      <c r="DO57" s="27">
        <v>15.474</v>
      </c>
      <c r="DP57" s="27">
        <v>11.071</v>
      </c>
      <c r="DQ57" s="27">
        <f t="shared" ref="DQ57:DQ69" si="178">SUM(DM57:DP57)</f>
        <v>39.115000000000002</v>
      </c>
      <c r="DR57" s="27">
        <v>0</v>
      </c>
      <c r="DS57" s="27">
        <v>0</v>
      </c>
      <c r="DT57" s="27">
        <v>0</v>
      </c>
      <c r="DU57" s="27">
        <v>0</v>
      </c>
      <c r="DV57" s="27">
        <f t="shared" ref="DV57:DV69" si="179">SUM(DR57:DU57)</f>
        <v>0</v>
      </c>
      <c r="DW57" s="27">
        <v>0</v>
      </c>
      <c r="DX57" s="27">
        <v>0</v>
      </c>
      <c r="DY57" s="27">
        <v>0</v>
      </c>
      <c r="DZ57" s="27">
        <v>0</v>
      </c>
      <c r="EA57" s="27">
        <f t="shared" ref="EA57:EA69" si="180">SUM(DW57:DZ57)</f>
        <v>0</v>
      </c>
      <c r="EB57" s="27">
        <v>0</v>
      </c>
      <c r="EC57" s="27">
        <v>0</v>
      </c>
      <c r="ED57" s="27">
        <v>0</v>
      </c>
      <c r="EE57" s="27">
        <v>0</v>
      </c>
      <c r="EF57" s="27">
        <f t="shared" ref="EF57:EF69" si="181">SUM(EB57:EE57)</f>
        <v>0</v>
      </c>
      <c r="EG57" s="27">
        <v>0</v>
      </c>
      <c r="EH57" s="27">
        <v>0</v>
      </c>
      <c r="EI57" s="27">
        <v>0</v>
      </c>
      <c r="EJ57" s="27">
        <f>SUM(EG57:EI57)</f>
        <v>0</v>
      </c>
    </row>
    <row r="58" spans="1:140" ht="15" thickBot="1" x14ac:dyDescent="0.35">
      <c r="A58" s="2" t="s">
        <v>454</v>
      </c>
      <c r="B58" s="28"/>
      <c r="C58" s="28"/>
      <c r="D58" s="28"/>
      <c r="E58" s="28"/>
      <c r="F58" s="28">
        <f t="shared" si="156"/>
        <v>0</v>
      </c>
      <c r="G58" s="28"/>
      <c r="H58" s="28"/>
      <c r="I58" s="28"/>
      <c r="J58" s="28"/>
      <c r="K58" s="28">
        <f t="shared" si="157"/>
        <v>0</v>
      </c>
      <c r="L58" s="28"/>
      <c r="M58" s="28"/>
      <c r="N58" s="28"/>
      <c r="O58" s="28"/>
      <c r="P58" s="28">
        <f t="shared" si="158"/>
        <v>0</v>
      </c>
      <c r="Q58" s="28"/>
      <c r="R58" s="28"/>
      <c r="S58" s="28"/>
      <c r="T58" s="28"/>
      <c r="U58" s="28">
        <f t="shared" si="159"/>
        <v>0</v>
      </c>
      <c r="V58" s="28"/>
      <c r="W58" s="28"/>
      <c r="X58" s="28"/>
      <c r="Y58" s="28"/>
      <c r="Z58" s="28">
        <f t="shared" si="160"/>
        <v>0</v>
      </c>
      <c r="AA58" s="28"/>
      <c r="AB58" s="28"/>
      <c r="AC58" s="28"/>
      <c r="AD58" s="28"/>
      <c r="AE58" s="28">
        <f t="shared" si="161"/>
        <v>0</v>
      </c>
      <c r="AF58" s="28"/>
      <c r="AG58" s="28"/>
      <c r="AH58" s="28"/>
      <c r="AI58" s="28"/>
      <c r="AJ58" s="28">
        <f t="shared" si="162"/>
        <v>0</v>
      </c>
      <c r="AK58" s="28"/>
      <c r="AL58" s="28"/>
      <c r="AM58" s="28"/>
      <c r="AN58" s="28"/>
      <c r="AO58" s="28">
        <f t="shared" si="163"/>
        <v>0</v>
      </c>
      <c r="AP58" s="28"/>
      <c r="AQ58" s="28"/>
      <c r="AR58" s="28"/>
      <c r="AS58" s="28"/>
      <c r="AT58" s="28">
        <f t="shared" si="164"/>
        <v>0</v>
      </c>
      <c r="AU58" s="28"/>
      <c r="AV58" s="28"/>
      <c r="AW58" s="28"/>
      <c r="AX58" s="28"/>
      <c r="AY58" s="28">
        <f t="shared" si="165"/>
        <v>0</v>
      </c>
      <c r="AZ58" s="28"/>
      <c r="BA58" s="28"/>
      <c r="BB58" s="28"/>
      <c r="BC58" s="28"/>
      <c r="BD58" s="28">
        <f t="shared" si="166"/>
        <v>0</v>
      </c>
      <c r="BE58" s="28"/>
      <c r="BF58" s="28"/>
      <c r="BG58" s="28"/>
      <c r="BH58" s="28"/>
      <c r="BI58" s="28">
        <f t="shared" si="167"/>
        <v>0</v>
      </c>
      <c r="BJ58" s="28">
        <v>1.788</v>
      </c>
      <c r="BK58" s="28">
        <v>0</v>
      </c>
      <c r="BL58" s="28">
        <v>2E-3</v>
      </c>
      <c r="BM58" s="28">
        <v>2.5009999999999999</v>
      </c>
      <c r="BN58" s="28">
        <f t="shared" si="168"/>
        <v>4.2910000000000004</v>
      </c>
      <c r="BO58" s="28">
        <v>0.9</v>
      </c>
      <c r="BP58" s="28">
        <v>1.7</v>
      </c>
      <c r="BQ58" s="28">
        <v>0.86299999999999999</v>
      </c>
      <c r="BR58" s="28">
        <v>0.61899999999999999</v>
      </c>
      <c r="BS58" s="28">
        <f t="shared" si="169"/>
        <v>4.0819999999999999</v>
      </c>
      <c r="BT58" s="28">
        <v>0.25</v>
      </c>
      <c r="BU58" s="28">
        <v>-0.24299999999999999</v>
      </c>
      <c r="BV58" s="28">
        <v>0</v>
      </c>
      <c r="BW58" s="28">
        <v>0.79800000000000004</v>
      </c>
      <c r="BX58" s="28">
        <f t="shared" si="170"/>
        <v>0.80500000000000005</v>
      </c>
      <c r="BY58" s="28">
        <v>0.4</v>
      </c>
      <c r="BZ58" s="28">
        <v>1.9</v>
      </c>
      <c r="CA58" s="28">
        <v>0.1</v>
      </c>
      <c r="CB58" s="28">
        <v>0</v>
      </c>
      <c r="CC58" s="28">
        <f t="shared" si="171"/>
        <v>2.4</v>
      </c>
      <c r="CD58" s="28">
        <v>0</v>
      </c>
      <c r="CE58" s="28">
        <v>0</v>
      </c>
      <c r="CF58" s="28">
        <v>0</v>
      </c>
      <c r="CG58" s="28">
        <v>0.8</v>
      </c>
      <c r="CH58" s="28">
        <f>SUM(CD58:CG58)</f>
        <v>0.8</v>
      </c>
      <c r="CI58" s="28">
        <v>1.4</v>
      </c>
      <c r="CJ58" s="28">
        <v>1.1000000000000001</v>
      </c>
      <c r="CK58" s="28">
        <v>0</v>
      </c>
      <c r="CL58" s="28">
        <v>0.7</v>
      </c>
      <c r="CM58" s="28">
        <f t="shared" si="172"/>
        <v>3.2</v>
      </c>
      <c r="CN58" s="28">
        <v>1.5</v>
      </c>
      <c r="CO58" s="28">
        <v>1.9</v>
      </c>
      <c r="CP58" s="28">
        <v>2.2000000000000002</v>
      </c>
      <c r="CQ58" s="28">
        <v>0.3</v>
      </c>
      <c r="CR58" s="28">
        <f t="shared" si="173"/>
        <v>5.8999999999999995</v>
      </c>
      <c r="CS58" s="28">
        <v>2.8370000000000002</v>
      </c>
      <c r="CT58" s="28">
        <v>2.512</v>
      </c>
      <c r="CU58" s="28">
        <v>1.266</v>
      </c>
      <c r="CV58" s="28">
        <v>1.77</v>
      </c>
      <c r="CW58" s="28">
        <f t="shared" si="174"/>
        <v>8.3849999999999998</v>
      </c>
      <c r="CX58" s="28">
        <v>1.6970000000000001</v>
      </c>
      <c r="CY58" s="28">
        <v>2.2360000000000002</v>
      </c>
      <c r="CZ58" s="28">
        <v>2.262</v>
      </c>
      <c r="DA58" s="28">
        <v>2.496</v>
      </c>
      <c r="DB58" s="28">
        <f t="shared" si="175"/>
        <v>8.6910000000000007</v>
      </c>
      <c r="DC58" s="28">
        <v>1.589</v>
      </c>
      <c r="DD58" s="28">
        <v>1.6930000000000001</v>
      </c>
      <c r="DE58" s="28">
        <v>1.75</v>
      </c>
      <c r="DF58" s="28">
        <v>1.7689999999999999</v>
      </c>
      <c r="DG58" s="28">
        <f t="shared" si="176"/>
        <v>6.8010000000000002</v>
      </c>
      <c r="DH58" s="28">
        <v>0.30299999999999999</v>
      </c>
      <c r="DI58" s="28">
        <v>1.901</v>
      </c>
      <c r="DJ58" s="28">
        <v>2.1360000000000001</v>
      </c>
      <c r="DK58" s="28">
        <v>2.044</v>
      </c>
      <c r="DL58" s="28">
        <f t="shared" si="177"/>
        <v>6.3840000000000003</v>
      </c>
      <c r="DM58" s="28">
        <v>2.0009999999999999</v>
      </c>
      <c r="DN58" s="28">
        <v>2.17</v>
      </c>
      <c r="DO58" s="28">
        <v>2.0569999999999999</v>
      </c>
      <c r="DP58" s="28">
        <v>2.1829999999999998</v>
      </c>
      <c r="DQ58" s="28">
        <f t="shared" si="178"/>
        <v>8.4109999999999996</v>
      </c>
      <c r="DR58" s="28">
        <v>2.8879999999999999</v>
      </c>
      <c r="DS58" s="28">
        <v>2.6739999999999999</v>
      </c>
      <c r="DT58" s="28">
        <v>2.9409999999999998</v>
      </c>
      <c r="DU58" s="28">
        <v>3.0960000000000001</v>
      </c>
      <c r="DV58" s="28">
        <f t="shared" si="179"/>
        <v>11.599</v>
      </c>
      <c r="DW58" s="28">
        <v>3.3740000000000001</v>
      </c>
      <c r="DX58" s="28">
        <v>3.32</v>
      </c>
      <c r="DY58" s="28">
        <v>2.5059999999999993</v>
      </c>
      <c r="DZ58" s="28">
        <v>3.7540000000000013</v>
      </c>
      <c r="EA58" s="28">
        <f t="shared" si="180"/>
        <v>12.954000000000001</v>
      </c>
      <c r="EB58" s="28">
        <v>2.7829999999999999</v>
      </c>
      <c r="EC58" s="28">
        <v>2.9810000000000003</v>
      </c>
      <c r="ED58" s="28">
        <v>4.6879999999999997</v>
      </c>
      <c r="EE58" s="28">
        <v>4.2289999999999992</v>
      </c>
      <c r="EF58" s="28">
        <f t="shared" si="181"/>
        <v>14.680999999999999</v>
      </c>
      <c r="EG58" s="28">
        <v>8.093</v>
      </c>
      <c r="EH58" s="28">
        <v>16.712</v>
      </c>
      <c r="EI58" s="28">
        <v>15.489980350000003</v>
      </c>
      <c r="EJ58" s="28">
        <f t="shared" ref="EJ58:EJ70" si="182">SUM(EG58:EI58)</f>
        <v>40.294980350000003</v>
      </c>
    </row>
    <row r="59" spans="1:140" ht="15" thickTop="1" x14ac:dyDescent="0.3">
      <c r="A59" s="1" t="s">
        <v>442</v>
      </c>
      <c r="B59" s="27"/>
      <c r="C59" s="27"/>
      <c r="D59" s="27"/>
      <c r="E59" s="27"/>
      <c r="F59" s="27">
        <f t="shared" si="156"/>
        <v>0</v>
      </c>
      <c r="G59" s="27"/>
      <c r="H59" s="27"/>
      <c r="I59" s="27"/>
      <c r="J59" s="27"/>
      <c r="K59" s="27">
        <f t="shared" si="157"/>
        <v>0</v>
      </c>
      <c r="L59" s="27"/>
      <c r="M59" s="27"/>
      <c r="N59" s="27"/>
      <c r="O59" s="27"/>
      <c r="P59" s="27">
        <f t="shared" si="158"/>
        <v>0</v>
      </c>
      <c r="Q59" s="27"/>
      <c r="R59" s="27"/>
      <c r="S59" s="27"/>
      <c r="T59" s="27"/>
      <c r="U59" s="27">
        <f t="shared" si="159"/>
        <v>0</v>
      </c>
      <c r="V59" s="27"/>
      <c r="W59" s="27"/>
      <c r="X59" s="27"/>
      <c r="Y59" s="27"/>
      <c r="Z59" s="27">
        <f t="shared" si="160"/>
        <v>0</v>
      </c>
      <c r="AA59" s="27"/>
      <c r="AB59" s="27"/>
      <c r="AC59" s="27"/>
      <c r="AD59" s="27"/>
      <c r="AE59" s="27">
        <f t="shared" si="161"/>
        <v>0</v>
      </c>
      <c r="AF59" s="27"/>
      <c r="AG59" s="27"/>
      <c r="AH59" s="27"/>
      <c r="AI59" s="27"/>
      <c r="AJ59" s="27">
        <f t="shared" si="162"/>
        <v>0</v>
      </c>
      <c r="AK59" s="27"/>
      <c r="AL59" s="27"/>
      <c r="AM59" s="27"/>
      <c r="AN59" s="27"/>
      <c r="AO59" s="27">
        <f t="shared" si="163"/>
        <v>0</v>
      </c>
      <c r="AP59" s="27"/>
      <c r="AQ59" s="27"/>
      <c r="AR59" s="27"/>
      <c r="AS59" s="27"/>
      <c r="AT59" s="27">
        <f t="shared" si="164"/>
        <v>0</v>
      </c>
      <c r="AU59" s="27"/>
      <c r="AV59" s="27"/>
      <c r="AW59" s="27"/>
      <c r="AX59" s="27"/>
      <c r="AY59" s="27">
        <f t="shared" si="165"/>
        <v>0</v>
      </c>
      <c r="AZ59" s="27"/>
      <c r="BA59" s="27"/>
      <c r="BB59" s="27"/>
      <c r="BC59" s="27"/>
      <c r="BD59" s="27">
        <f t="shared" si="166"/>
        <v>0</v>
      </c>
      <c r="BE59" s="27"/>
      <c r="BF59" s="27"/>
      <c r="BG59" s="27"/>
      <c r="BH59" s="27"/>
      <c r="BI59" s="27">
        <f t="shared" si="167"/>
        <v>0</v>
      </c>
      <c r="BJ59" s="27">
        <v>3.9239999999999999</v>
      </c>
      <c r="BK59" s="27">
        <v>10.025</v>
      </c>
      <c r="BL59" s="27">
        <v>13.462</v>
      </c>
      <c r="BM59" s="27">
        <v>13.798</v>
      </c>
      <c r="BN59" s="27">
        <f t="shared" si="168"/>
        <v>41.209000000000003</v>
      </c>
      <c r="BO59" s="27">
        <v>6.2</v>
      </c>
      <c r="BP59" s="27">
        <v>11.874000000000001</v>
      </c>
      <c r="BQ59" s="27">
        <v>12.473000000000001</v>
      </c>
      <c r="BR59" s="27">
        <v>10.662000000000001</v>
      </c>
      <c r="BS59" s="27">
        <f t="shared" si="169"/>
        <v>41.209000000000003</v>
      </c>
      <c r="BT59" s="27">
        <v>12.826000000000001</v>
      </c>
      <c r="BU59" s="27">
        <v>13.874000000000001</v>
      </c>
      <c r="BV59" s="27">
        <v>16.978999999999999</v>
      </c>
      <c r="BW59" s="27">
        <v>11.239000000000001</v>
      </c>
      <c r="BX59" s="27">
        <f t="shared" si="170"/>
        <v>54.918000000000006</v>
      </c>
      <c r="BY59" s="27">
        <v>8.6</v>
      </c>
      <c r="BZ59" s="27">
        <v>10.7</v>
      </c>
      <c r="CA59" s="27">
        <v>6.4</v>
      </c>
      <c r="CB59" s="27">
        <v>13.2</v>
      </c>
      <c r="CC59" s="27">
        <f t="shared" si="171"/>
        <v>38.899999999999991</v>
      </c>
      <c r="CD59" s="27">
        <v>5.0999999999999996</v>
      </c>
      <c r="CE59" s="27">
        <v>5.5</v>
      </c>
      <c r="CF59" s="27">
        <v>6.7</v>
      </c>
      <c r="CG59" s="27">
        <v>13.8</v>
      </c>
      <c r="CH59" s="27">
        <f>SUM(CD59:CG59)</f>
        <v>31.1</v>
      </c>
      <c r="CI59" s="27">
        <v>7.4</v>
      </c>
      <c r="CJ59" s="27">
        <v>12.3</v>
      </c>
      <c r="CK59" s="27">
        <v>13.9</v>
      </c>
      <c r="CL59" s="27">
        <v>10.5</v>
      </c>
      <c r="CM59" s="27">
        <f t="shared" si="172"/>
        <v>44.1</v>
      </c>
      <c r="CN59" s="27">
        <v>5.4</v>
      </c>
      <c r="CO59" s="27">
        <v>11.3</v>
      </c>
      <c r="CP59" s="27">
        <v>10.199999999999999</v>
      </c>
      <c r="CQ59" s="27">
        <v>16.779</v>
      </c>
      <c r="CR59" s="27">
        <f t="shared" si="173"/>
        <v>43.679000000000002</v>
      </c>
      <c r="CS59" s="27">
        <v>4.1920000000000002</v>
      </c>
      <c r="CT59" s="27">
        <v>8.0350000000000001</v>
      </c>
      <c r="CU59" s="27">
        <v>21.491</v>
      </c>
      <c r="CV59" s="27">
        <v>13.993</v>
      </c>
      <c r="CW59" s="27">
        <f t="shared" si="174"/>
        <v>47.711000000000006</v>
      </c>
      <c r="CX59" s="27">
        <v>5.19</v>
      </c>
      <c r="CY59" s="27">
        <v>14.496</v>
      </c>
      <c r="CZ59" s="27">
        <v>17.013999999999999</v>
      </c>
      <c r="DA59" s="27">
        <v>12.239000000000001</v>
      </c>
      <c r="DB59" s="27">
        <f t="shared" si="175"/>
        <v>48.939000000000007</v>
      </c>
      <c r="DC59" s="27">
        <v>3.56</v>
      </c>
      <c r="DD59" s="27">
        <v>5.1260000000000003</v>
      </c>
      <c r="DE59" s="27">
        <v>7.9009999999999998</v>
      </c>
      <c r="DF59" s="27">
        <v>9.0129999999999999</v>
      </c>
      <c r="DG59" s="27">
        <f t="shared" si="176"/>
        <v>25.6</v>
      </c>
      <c r="DH59" s="27">
        <v>3.2429999999999999</v>
      </c>
      <c r="DI59" s="27">
        <v>1.718</v>
      </c>
      <c r="DJ59" s="27">
        <v>3.7690000000000001</v>
      </c>
      <c r="DK59" s="27">
        <v>10.696</v>
      </c>
      <c r="DL59" s="27">
        <f t="shared" si="177"/>
        <v>19.426000000000002</v>
      </c>
      <c r="DM59" s="27">
        <v>3.5819999999999999</v>
      </c>
      <c r="DN59" s="27">
        <v>7.077</v>
      </c>
      <c r="DO59" s="27">
        <v>9.4009999999999998</v>
      </c>
      <c r="DP59" s="27">
        <v>6.0670000000000002</v>
      </c>
      <c r="DQ59" s="27">
        <f t="shared" si="178"/>
        <v>26.126999999999999</v>
      </c>
      <c r="DR59" s="27">
        <v>3.7679999999999998</v>
      </c>
      <c r="DS59" s="27">
        <v>3.7589999999999999</v>
      </c>
      <c r="DT59" s="27">
        <v>4.3380000000000001</v>
      </c>
      <c r="DU59" s="27">
        <v>7.5720000000000001</v>
      </c>
      <c r="DV59" s="27">
        <f t="shared" si="179"/>
        <v>19.436999999999998</v>
      </c>
      <c r="DW59" s="27">
        <v>4.5179999999999998</v>
      </c>
      <c r="DX59" s="27">
        <v>2.153</v>
      </c>
      <c r="DY59" s="27">
        <v>4.5319999999999991</v>
      </c>
      <c r="DZ59" s="27">
        <v>6.3889999999999993</v>
      </c>
      <c r="EA59" s="27">
        <f t="shared" si="180"/>
        <v>17.591999999999999</v>
      </c>
      <c r="EB59" s="27">
        <v>6.3979999999999997</v>
      </c>
      <c r="EC59" s="27">
        <v>4.3290000000000006</v>
      </c>
      <c r="ED59" s="27">
        <v>2.1039999999999992</v>
      </c>
      <c r="EE59" s="27">
        <v>2.4110000000000014</v>
      </c>
      <c r="EF59" s="27">
        <f t="shared" si="181"/>
        <v>15.242000000000001</v>
      </c>
      <c r="EG59" s="27">
        <v>1.625</v>
      </c>
      <c r="EH59" s="27">
        <v>2.8959999999999999</v>
      </c>
      <c r="EI59" s="27">
        <v>5.2020000000000008</v>
      </c>
      <c r="EJ59" s="27">
        <f t="shared" si="182"/>
        <v>9.7230000000000008</v>
      </c>
    </row>
    <row r="60" spans="1:140" ht="15" thickBot="1" x14ac:dyDescent="0.35">
      <c r="A60" s="2" t="s">
        <v>3</v>
      </c>
      <c r="B60" s="28"/>
      <c r="C60" s="28"/>
      <c r="D60" s="28"/>
      <c r="E60" s="28"/>
      <c r="F60" s="28">
        <f t="shared" si="156"/>
        <v>0</v>
      </c>
      <c r="G60" s="28"/>
      <c r="H60" s="28"/>
      <c r="I60" s="28"/>
      <c r="J60" s="28"/>
      <c r="K60" s="28">
        <f t="shared" si="157"/>
        <v>0</v>
      </c>
      <c r="L60" s="28"/>
      <c r="M60" s="28"/>
      <c r="N60" s="28"/>
      <c r="O60" s="28"/>
      <c r="P60" s="28">
        <f t="shared" si="158"/>
        <v>0</v>
      </c>
      <c r="Q60" s="28"/>
      <c r="R60" s="28"/>
      <c r="S60" s="28"/>
      <c r="T60" s="28"/>
      <c r="U60" s="28">
        <f t="shared" si="159"/>
        <v>0</v>
      </c>
      <c r="V60" s="28"/>
      <c r="W60" s="28"/>
      <c r="X60" s="28"/>
      <c r="Y60" s="28"/>
      <c r="Z60" s="28">
        <f t="shared" si="160"/>
        <v>0</v>
      </c>
      <c r="AA60" s="28"/>
      <c r="AB60" s="28"/>
      <c r="AC60" s="28"/>
      <c r="AD60" s="28"/>
      <c r="AE60" s="28">
        <f t="shared" si="161"/>
        <v>0</v>
      </c>
      <c r="AF60" s="28"/>
      <c r="AG60" s="28"/>
      <c r="AH60" s="28"/>
      <c r="AI60" s="28"/>
      <c r="AJ60" s="28">
        <f t="shared" si="162"/>
        <v>0</v>
      </c>
      <c r="AK60" s="28"/>
      <c r="AL60" s="28"/>
      <c r="AM60" s="28"/>
      <c r="AN60" s="28"/>
      <c r="AO60" s="28">
        <f t="shared" si="163"/>
        <v>0</v>
      </c>
      <c r="AP60" s="28"/>
      <c r="AQ60" s="28"/>
      <c r="AR60" s="28"/>
      <c r="AS60" s="28"/>
      <c r="AT60" s="28">
        <f t="shared" si="164"/>
        <v>0</v>
      </c>
      <c r="AU60" s="28"/>
      <c r="AV60" s="28"/>
      <c r="AW60" s="28"/>
      <c r="AX60" s="28"/>
      <c r="AY60" s="28">
        <f t="shared" si="165"/>
        <v>0</v>
      </c>
      <c r="AZ60" s="28"/>
      <c r="BA60" s="28"/>
      <c r="BB60" s="28"/>
      <c r="BC60" s="28"/>
      <c r="BD60" s="28">
        <f t="shared" si="166"/>
        <v>0</v>
      </c>
      <c r="BE60" s="28"/>
      <c r="BF60" s="28"/>
      <c r="BG60" s="28"/>
      <c r="BH60" s="28"/>
      <c r="BI60" s="28">
        <f t="shared" si="167"/>
        <v>0</v>
      </c>
      <c r="BJ60" s="28">
        <v>2.9660000000000002</v>
      </c>
      <c r="BK60" s="28">
        <v>6.1520000000000001</v>
      </c>
      <c r="BL60" s="28">
        <v>8.5890000000000004</v>
      </c>
      <c r="BM60" s="28">
        <v>4.9340000000000002</v>
      </c>
      <c r="BN60" s="28">
        <f t="shared" si="168"/>
        <v>22.641000000000002</v>
      </c>
      <c r="BO60" s="28">
        <v>3.2</v>
      </c>
      <c r="BP60" s="28">
        <v>6.1319999999999997</v>
      </c>
      <c r="BQ60" s="28">
        <v>6.7549999999999999</v>
      </c>
      <c r="BR60" s="28">
        <v>6.5529999999999999</v>
      </c>
      <c r="BS60" s="28">
        <f t="shared" si="169"/>
        <v>22.64</v>
      </c>
      <c r="BT60" s="28">
        <v>2.3730000000000002</v>
      </c>
      <c r="BU60" s="28">
        <v>6.9269999999999996</v>
      </c>
      <c r="BV60" s="28">
        <v>6.5460000000000003</v>
      </c>
      <c r="BW60" s="28">
        <v>3.1640000000000001</v>
      </c>
      <c r="BX60" s="28">
        <f t="shared" si="170"/>
        <v>19.010000000000002</v>
      </c>
      <c r="BY60" s="28">
        <v>7</v>
      </c>
      <c r="BZ60" s="28">
        <v>6.8</v>
      </c>
      <c r="CA60" s="28">
        <v>11</v>
      </c>
      <c r="CB60" s="28">
        <v>12.3</v>
      </c>
      <c r="CC60" s="28">
        <f t="shared" si="171"/>
        <v>37.1</v>
      </c>
      <c r="CD60" s="28">
        <v>9.9</v>
      </c>
      <c r="CE60" s="28">
        <v>8.3000000000000007</v>
      </c>
      <c r="CF60" s="28">
        <v>12</v>
      </c>
      <c r="CG60" s="28">
        <v>9.6</v>
      </c>
      <c r="CH60" s="28">
        <f>SUM(CD60:CG60)</f>
        <v>39.800000000000004</v>
      </c>
      <c r="CI60" s="28">
        <v>7.8</v>
      </c>
      <c r="CJ60" s="28">
        <v>11.8</v>
      </c>
      <c r="CK60" s="28">
        <v>8.9</v>
      </c>
      <c r="CL60" s="28">
        <v>7.5</v>
      </c>
      <c r="CM60" s="28">
        <f t="shared" si="172"/>
        <v>36</v>
      </c>
      <c r="CN60" s="28">
        <v>9.5</v>
      </c>
      <c r="CO60" s="28">
        <v>8.1</v>
      </c>
      <c r="CP60" s="28">
        <v>9.6999999999999993</v>
      </c>
      <c r="CQ60" s="28">
        <v>11.561</v>
      </c>
      <c r="CR60" s="28">
        <f t="shared" si="173"/>
        <v>38.861000000000004</v>
      </c>
      <c r="CS60" s="28">
        <v>9.5</v>
      </c>
      <c r="CT60" s="28">
        <v>19.71</v>
      </c>
      <c r="CU60" s="28">
        <v>24.483000000000001</v>
      </c>
      <c r="CV60" s="28">
        <v>21.375</v>
      </c>
      <c r="CW60" s="28">
        <f t="shared" si="174"/>
        <v>75.067999999999998</v>
      </c>
      <c r="CX60" s="28">
        <v>5.3570000000000002</v>
      </c>
      <c r="CY60" s="28">
        <v>6.7240000000000002</v>
      </c>
      <c r="CZ60" s="28">
        <v>12.304</v>
      </c>
      <c r="DA60" s="28">
        <v>7.1740000000000004</v>
      </c>
      <c r="DB60" s="28">
        <f t="shared" si="175"/>
        <v>31.558999999999997</v>
      </c>
      <c r="DC60" s="28">
        <v>7.16</v>
      </c>
      <c r="DD60" s="28">
        <v>17.378</v>
      </c>
      <c r="DE60" s="28">
        <v>17.664999999999999</v>
      </c>
      <c r="DF60" s="28">
        <v>25.056000000000001</v>
      </c>
      <c r="DG60" s="28">
        <f t="shared" si="176"/>
        <v>67.259</v>
      </c>
      <c r="DH60" s="28">
        <v>3.3769999999999998</v>
      </c>
      <c r="DI60" s="28">
        <v>7.8620000000000001</v>
      </c>
      <c r="DJ60" s="28">
        <v>4.6900000000000004</v>
      </c>
      <c r="DK60" s="28">
        <v>7.6689999999999996</v>
      </c>
      <c r="DL60" s="28">
        <f t="shared" si="177"/>
        <v>23.598000000000003</v>
      </c>
      <c r="DM60" s="28">
        <v>7.2329999999999997</v>
      </c>
      <c r="DN60" s="28">
        <v>27.535</v>
      </c>
      <c r="DO60" s="28">
        <v>39.982999999999997</v>
      </c>
      <c r="DP60" s="28">
        <v>35.883000000000003</v>
      </c>
      <c r="DQ60" s="28">
        <f t="shared" si="178"/>
        <v>110.63400000000001</v>
      </c>
      <c r="DR60" s="28">
        <v>0</v>
      </c>
      <c r="DS60" s="28">
        <v>0</v>
      </c>
      <c r="DT60" s="28">
        <v>0</v>
      </c>
      <c r="DU60" s="28">
        <v>0</v>
      </c>
      <c r="DV60" s="28">
        <f t="shared" si="179"/>
        <v>0</v>
      </c>
      <c r="DW60" s="28">
        <v>0</v>
      </c>
      <c r="DX60" s="28">
        <v>0</v>
      </c>
      <c r="DY60" s="28">
        <v>0</v>
      </c>
      <c r="DZ60" s="28">
        <v>0</v>
      </c>
      <c r="EA60" s="28">
        <f t="shared" si="180"/>
        <v>0</v>
      </c>
      <c r="EB60" s="28">
        <v>0</v>
      </c>
      <c r="EC60" s="28">
        <v>0</v>
      </c>
      <c r="ED60" s="28">
        <v>0</v>
      </c>
      <c r="EE60" s="28">
        <v>0</v>
      </c>
      <c r="EF60" s="28">
        <f t="shared" si="181"/>
        <v>0</v>
      </c>
      <c r="EG60" s="28">
        <v>0</v>
      </c>
      <c r="EH60" s="28">
        <v>0</v>
      </c>
      <c r="EI60" s="28">
        <v>0</v>
      </c>
      <c r="EJ60" s="28">
        <f t="shared" si="182"/>
        <v>0</v>
      </c>
    </row>
    <row r="61" spans="1:140" ht="15" thickTop="1" x14ac:dyDescent="0.3">
      <c r="A61" s="1" t="s">
        <v>443</v>
      </c>
      <c r="B61" s="27"/>
      <c r="C61" s="27"/>
      <c r="D61" s="27"/>
      <c r="E61" s="27"/>
      <c r="F61" s="27">
        <f t="shared" si="156"/>
        <v>0</v>
      </c>
      <c r="G61" s="27"/>
      <c r="H61" s="27"/>
      <c r="I61" s="27"/>
      <c r="J61" s="27"/>
      <c r="K61" s="27">
        <f t="shared" si="157"/>
        <v>0</v>
      </c>
      <c r="L61" s="27"/>
      <c r="M61" s="27"/>
      <c r="N61" s="27"/>
      <c r="O61" s="27"/>
      <c r="P61" s="27">
        <f t="shared" si="158"/>
        <v>0</v>
      </c>
      <c r="Q61" s="27"/>
      <c r="R61" s="27"/>
      <c r="S61" s="27"/>
      <c r="T61" s="27"/>
      <c r="U61" s="27">
        <f t="shared" si="159"/>
        <v>0</v>
      </c>
      <c r="V61" s="27"/>
      <c r="W61" s="27"/>
      <c r="X61" s="27"/>
      <c r="Y61" s="27"/>
      <c r="Z61" s="27">
        <f t="shared" si="160"/>
        <v>0</v>
      </c>
      <c r="AA61" s="27"/>
      <c r="AB61" s="27"/>
      <c r="AC61" s="27"/>
      <c r="AD61" s="27"/>
      <c r="AE61" s="27">
        <f t="shared" si="161"/>
        <v>0</v>
      </c>
      <c r="AF61" s="27"/>
      <c r="AG61" s="27"/>
      <c r="AH61" s="27"/>
      <c r="AI61" s="27"/>
      <c r="AJ61" s="27">
        <f t="shared" si="162"/>
        <v>0</v>
      </c>
      <c r="AK61" s="27"/>
      <c r="AL61" s="27"/>
      <c r="AM61" s="27"/>
      <c r="AN61" s="27"/>
      <c r="AO61" s="27">
        <f t="shared" si="163"/>
        <v>0</v>
      </c>
      <c r="AP61" s="27"/>
      <c r="AQ61" s="27"/>
      <c r="AR61" s="27"/>
      <c r="AS61" s="27"/>
      <c r="AT61" s="27">
        <f t="shared" si="164"/>
        <v>0</v>
      </c>
      <c r="AU61" s="27"/>
      <c r="AV61" s="27"/>
      <c r="AW61" s="27"/>
      <c r="AX61" s="27"/>
      <c r="AY61" s="27">
        <f t="shared" si="165"/>
        <v>0</v>
      </c>
      <c r="AZ61" s="27"/>
      <c r="BA61" s="27"/>
      <c r="BB61" s="27"/>
      <c r="BC61" s="27"/>
      <c r="BD61" s="27">
        <f t="shared" si="166"/>
        <v>0</v>
      </c>
      <c r="BE61" s="27"/>
      <c r="BF61" s="27"/>
      <c r="BG61" s="27"/>
      <c r="BH61" s="27"/>
      <c r="BI61" s="27">
        <f t="shared" si="167"/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f t="shared" si="168"/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f t="shared" si="169"/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f t="shared" si="170"/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f t="shared" si="171"/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f>SUM(CD61:CG61)</f>
        <v>0</v>
      </c>
      <c r="CI61" s="27">
        <v>2.6</v>
      </c>
      <c r="CJ61" s="27">
        <v>1.6</v>
      </c>
      <c r="CK61" s="27">
        <v>1.2</v>
      </c>
      <c r="CL61" s="27">
        <v>1.2</v>
      </c>
      <c r="CM61" s="27">
        <f t="shared" si="172"/>
        <v>6.6000000000000005</v>
      </c>
      <c r="CN61" s="27">
        <v>0.9</v>
      </c>
      <c r="CO61" s="27">
        <v>1.9</v>
      </c>
      <c r="CP61" s="27">
        <v>1.1000000000000001</v>
      </c>
      <c r="CQ61" s="27">
        <v>1.27</v>
      </c>
      <c r="CR61" s="27">
        <f t="shared" si="173"/>
        <v>5.17</v>
      </c>
      <c r="CS61" s="27">
        <v>0.8</v>
      </c>
      <c r="CT61" s="27">
        <v>1.25</v>
      </c>
      <c r="CU61" s="27">
        <v>2.2669999999999999</v>
      </c>
      <c r="CV61" s="27">
        <v>1.655</v>
      </c>
      <c r="CW61" s="27">
        <f t="shared" si="174"/>
        <v>5.9720000000000004</v>
      </c>
      <c r="CX61" s="27">
        <v>1.9330000000000001</v>
      </c>
      <c r="CY61" s="27">
        <v>4.5730000000000004</v>
      </c>
      <c r="CZ61" s="27">
        <v>4.0659999999999998</v>
      </c>
      <c r="DA61" s="27">
        <v>1.7070000000000001</v>
      </c>
      <c r="DB61" s="27">
        <f t="shared" si="175"/>
        <v>12.279</v>
      </c>
      <c r="DC61" s="27">
        <v>0.27400000000000002</v>
      </c>
      <c r="DD61" s="27">
        <v>5.6079999999999997</v>
      </c>
      <c r="DE61" s="27">
        <v>5.2750000000000004</v>
      </c>
      <c r="DF61" s="27">
        <v>2.1440000000000001</v>
      </c>
      <c r="DG61" s="27">
        <f t="shared" si="176"/>
        <v>13.301</v>
      </c>
      <c r="DH61" s="27">
        <v>5.907</v>
      </c>
      <c r="DI61" s="27">
        <v>11.026999999999999</v>
      </c>
      <c r="DJ61" s="27">
        <v>3.0920000000000001</v>
      </c>
      <c r="DK61" s="27">
        <v>15.859</v>
      </c>
      <c r="DL61" s="27">
        <f t="shared" si="177"/>
        <v>35.884999999999998</v>
      </c>
      <c r="DM61" s="27">
        <v>13.106999999999999</v>
      </c>
      <c r="DN61" s="27">
        <v>15.961</v>
      </c>
      <c r="DO61" s="27">
        <v>8.6319999999999997</v>
      </c>
      <c r="DP61" s="27">
        <v>1.986</v>
      </c>
      <c r="DQ61" s="27">
        <f t="shared" si="178"/>
        <v>39.685999999999993</v>
      </c>
      <c r="DR61" s="27">
        <v>3.05</v>
      </c>
      <c r="DS61" s="27">
        <v>6.976</v>
      </c>
      <c r="DT61" s="27">
        <v>12.256</v>
      </c>
      <c r="DU61" s="27">
        <v>3.141</v>
      </c>
      <c r="DV61" s="27">
        <f t="shared" si="179"/>
        <v>25.423000000000002</v>
      </c>
      <c r="DW61" s="27">
        <v>3.8809999999999998</v>
      </c>
      <c r="DX61" s="27">
        <v>6.4660000000000002</v>
      </c>
      <c r="DY61" s="27">
        <v>3.6300000000000008</v>
      </c>
      <c r="DZ61" s="27">
        <v>7.3059999999999974</v>
      </c>
      <c r="EA61" s="27">
        <f t="shared" si="180"/>
        <v>21.282999999999998</v>
      </c>
      <c r="EB61" s="27">
        <v>6.4340000000000002</v>
      </c>
      <c r="EC61" s="27">
        <v>4.2369999999999992</v>
      </c>
      <c r="ED61" s="27">
        <v>9.2680000000000007</v>
      </c>
      <c r="EE61" s="27">
        <v>3.1589999999999989</v>
      </c>
      <c r="EF61" s="27">
        <f t="shared" si="181"/>
        <v>23.097999999999999</v>
      </c>
      <c r="EG61" s="27">
        <v>1.671</v>
      </c>
      <c r="EH61" s="27">
        <v>3.9029999999999996</v>
      </c>
      <c r="EI61" s="27">
        <v>2.484</v>
      </c>
      <c r="EJ61" s="27">
        <f t="shared" si="182"/>
        <v>8.0579999999999998</v>
      </c>
    </row>
    <row r="62" spans="1:140" ht="15" thickBot="1" x14ac:dyDescent="0.35">
      <c r="A62" s="2" t="s">
        <v>481</v>
      </c>
      <c r="B62" s="28"/>
      <c r="C62" s="28"/>
      <c r="D62" s="28"/>
      <c r="E62" s="28"/>
      <c r="F62" s="28">
        <f t="shared" si="156"/>
        <v>0</v>
      </c>
      <c r="G62" s="28"/>
      <c r="H62" s="28"/>
      <c r="I62" s="28"/>
      <c r="J62" s="28"/>
      <c r="K62" s="28">
        <f t="shared" si="157"/>
        <v>0</v>
      </c>
      <c r="L62" s="28"/>
      <c r="M62" s="28"/>
      <c r="N62" s="28"/>
      <c r="O62" s="28"/>
      <c r="P62" s="28">
        <f t="shared" si="158"/>
        <v>0</v>
      </c>
      <c r="Q62" s="28"/>
      <c r="R62" s="28"/>
      <c r="S62" s="28"/>
      <c r="T62" s="28"/>
      <c r="U62" s="28">
        <f t="shared" si="159"/>
        <v>0</v>
      </c>
      <c r="V62" s="28"/>
      <c r="W62" s="28"/>
      <c r="X62" s="28"/>
      <c r="Y62" s="28"/>
      <c r="Z62" s="28">
        <f t="shared" si="160"/>
        <v>0</v>
      </c>
      <c r="AA62" s="28"/>
      <c r="AB62" s="28"/>
      <c r="AC62" s="28"/>
      <c r="AD62" s="28"/>
      <c r="AE62" s="28">
        <f t="shared" si="161"/>
        <v>0</v>
      </c>
      <c r="AF62" s="28"/>
      <c r="AG62" s="28"/>
      <c r="AH62" s="28"/>
      <c r="AI62" s="28"/>
      <c r="AJ62" s="28">
        <f t="shared" si="162"/>
        <v>0</v>
      </c>
      <c r="AK62" s="28"/>
      <c r="AL62" s="28"/>
      <c r="AM62" s="28"/>
      <c r="AN62" s="28"/>
      <c r="AO62" s="28">
        <f t="shared" si="163"/>
        <v>0</v>
      </c>
      <c r="AP62" s="28"/>
      <c r="AQ62" s="28"/>
      <c r="AR62" s="28"/>
      <c r="AS62" s="28"/>
      <c r="AT62" s="28">
        <f t="shared" si="164"/>
        <v>0</v>
      </c>
      <c r="AU62" s="28"/>
      <c r="AV62" s="28"/>
      <c r="AW62" s="28"/>
      <c r="AX62" s="28"/>
      <c r="AY62" s="28">
        <f t="shared" si="165"/>
        <v>0</v>
      </c>
      <c r="AZ62" s="28"/>
      <c r="BA62" s="28"/>
      <c r="BB62" s="28"/>
      <c r="BC62" s="28"/>
      <c r="BD62" s="28">
        <f t="shared" si="166"/>
        <v>0</v>
      </c>
      <c r="BE62" s="28"/>
      <c r="BF62" s="28"/>
      <c r="BG62" s="28"/>
      <c r="BH62" s="28"/>
      <c r="BI62" s="28">
        <f t="shared" si="167"/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0</v>
      </c>
      <c r="BW62" s="28">
        <v>0</v>
      </c>
      <c r="BX62" s="28">
        <v>0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8">
        <v>0</v>
      </c>
      <c r="CE62" s="28">
        <v>0</v>
      </c>
      <c r="CF62" s="28">
        <v>0</v>
      </c>
      <c r="CG62" s="28">
        <v>0</v>
      </c>
      <c r="CH62" s="28">
        <v>0</v>
      </c>
      <c r="CI62" s="28">
        <v>0</v>
      </c>
      <c r="CJ62" s="28">
        <v>0</v>
      </c>
      <c r="CK62" s="28">
        <v>0</v>
      </c>
      <c r="CL62" s="28">
        <v>0</v>
      </c>
      <c r="CM62" s="28">
        <v>0</v>
      </c>
      <c r="CN62" s="28">
        <v>0</v>
      </c>
      <c r="CO62" s="28">
        <v>0</v>
      </c>
      <c r="CP62" s="28">
        <v>0</v>
      </c>
      <c r="CQ62" s="28">
        <v>0</v>
      </c>
      <c r="CR62" s="28">
        <v>0</v>
      </c>
      <c r="CS62" s="28">
        <v>0</v>
      </c>
      <c r="CT62" s="28">
        <v>0</v>
      </c>
      <c r="CU62" s="28">
        <v>0</v>
      </c>
      <c r="CV62" s="28">
        <v>0</v>
      </c>
      <c r="CW62" s="28">
        <v>0</v>
      </c>
      <c r="CX62" s="28">
        <v>0</v>
      </c>
      <c r="CY62" s="28">
        <v>0</v>
      </c>
      <c r="CZ62" s="28">
        <v>0</v>
      </c>
      <c r="DA62" s="28">
        <v>0</v>
      </c>
      <c r="DB62" s="28">
        <v>0</v>
      </c>
      <c r="DC62" s="28">
        <v>0</v>
      </c>
      <c r="DD62" s="28">
        <v>0</v>
      </c>
      <c r="DE62" s="28">
        <v>0</v>
      </c>
      <c r="DF62" s="28">
        <v>0</v>
      </c>
      <c r="DG62" s="28">
        <v>0</v>
      </c>
      <c r="DH62" s="28">
        <v>0</v>
      </c>
      <c r="DI62" s="28">
        <v>0</v>
      </c>
      <c r="DJ62" s="28">
        <v>0</v>
      </c>
      <c r="DK62" s="28">
        <v>0</v>
      </c>
      <c r="DL62" s="28">
        <f t="shared" si="177"/>
        <v>0</v>
      </c>
      <c r="DM62" s="28">
        <v>0</v>
      </c>
      <c r="DN62" s="28">
        <v>0</v>
      </c>
      <c r="DO62" s="28">
        <v>0</v>
      </c>
      <c r="DP62" s="28">
        <v>0</v>
      </c>
      <c r="DQ62" s="28">
        <f t="shared" si="178"/>
        <v>0</v>
      </c>
      <c r="DR62" s="28">
        <v>12.085000000000001</v>
      </c>
      <c r="DS62" s="28">
        <v>6.532</v>
      </c>
      <c r="DT62" s="28">
        <v>8.5359999999999996</v>
      </c>
      <c r="DU62" s="28">
        <v>6.8970000000000002</v>
      </c>
      <c r="DV62" s="28">
        <f t="shared" si="179"/>
        <v>34.049999999999997</v>
      </c>
      <c r="DW62" s="28">
        <v>8.4350000000000005</v>
      </c>
      <c r="DX62" s="28">
        <v>9.7780000000000005</v>
      </c>
      <c r="DY62" s="28">
        <v>9.6179999999999986</v>
      </c>
      <c r="DZ62" s="28">
        <v>10.315000000000001</v>
      </c>
      <c r="EA62" s="28">
        <f t="shared" si="180"/>
        <v>38.146000000000001</v>
      </c>
      <c r="EB62" s="28">
        <v>16.023</v>
      </c>
      <c r="EC62" s="28">
        <v>8.4160000000000004</v>
      </c>
      <c r="ED62" s="28">
        <v>13.305</v>
      </c>
      <c r="EE62" s="28">
        <v>7.2100000000000009</v>
      </c>
      <c r="EF62" s="28">
        <f t="shared" si="181"/>
        <v>44.954000000000001</v>
      </c>
      <c r="EG62" s="28">
        <v>7.7789999999999999</v>
      </c>
      <c r="EH62" s="28">
        <v>15.082000000000001</v>
      </c>
      <c r="EI62" s="28">
        <v>15.571000000000002</v>
      </c>
      <c r="EJ62" s="28">
        <f t="shared" si="182"/>
        <v>38.432000000000002</v>
      </c>
    </row>
    <row r="63" spans="1:140" ht="15" thickTop="1" x14ac:dyDescent="0.3">
      <c r="A63" s="1" t="s">
        <v>445</v>
      </c>
      <c r="B63" s="27"/>
      <c r="C63" s="27"/>
      <c r="D63" s="27"/>
      <c r="E63" s="27"/>
      <c r="F63" s="27">
        <f t="shared" si="156"/>
        <v>0</v>
      </c>
      <c r="G63" s="27"/>
      <c r="H63" s="27"/>
      <c r="I63" s="27"/>
      <c r="J63" s="27"/>
      <c r="K63" s="27">
        <f t="shared" si="157"/>
        <v>0</v>
      </c>
      <c r="L63" s="27"/>
      <c r="M63" s="27"/>
      <c r="N63" s="27"/>
      <c r="O63" s="27"/>
      <c r="P63" s="27">
        <f t="shared" si="158"/>
        <v>0</v>
      </c>
      <c r="Q63" s="27"/>
      <c r="R63" s="27"/>
      <c r="S63" s="27"/>
      <c r="T63" s="27"/>
      <c r="U63" s="27">
        <f t="shared" si="159"/>
        <v>0</v>
      </c>
      <c r="V63" s="27"/>
      <c r="W63" s="27"/>
      <c r="X63" s="27"/>
      <c r="Y63" s="27"/>
      <c r="Z63" s="27">
        <f t="shared" si="160"/>
        <v>0</v>
      </c>
      <c r="AA63" s="27"/>
      <c r="AB63" s="27"/>
      <c r="AC63" s="27"/>
      <c r="AD63" s="27"/>
      <c r="AE63" s="27">
        <f t="shared" si="161"/>
        <v>0</v>
      </c>
      <c r="AF63" s="27"/>
      <c r="AG63" s="27"/>
      <c r="AH63" s="27"/>
      <c r="AI63" s="27"/>
      <c r="AJ63" s="27">
        <f t="shared" si="162"/>
        <v>0</v>
      </c>
      <c r="AK63" s="27"/>
      <c r="AL63" s="27"/>
      <c r="AM63" s="27"/>
      <c r="AN63" s="27"/>
      <c r="AO63" s="27">
        <f t="shared" si="163"/>
        <v>0</v>
      </c>
      <c r="AP63" s="27"/>
      <c r="AQ63" s="27"/>
      <c r="AR63" s="27"/>
      <c r="AS63" s="27"/>
      <c r="AT63" s="27">
        <f t="shared" si="164"/>
        <v>0</v>
      </c>
      <c r="AU63" s="27"/>
      <c r="AV63" s="27"/>
      <c r="AW63" s="27"/>
      <c r="AX63" s="27"/>
      <c r="AY63" s="27">
        <f t="shared" si="165"/>
        <v>0</v>
      </c>
      <c r="AZ63" s="27"/>
      <c r="BA63" s="27"/>
      <c r="BB63" s="27"/>
      <c r="BC63" s="27"/>
      <c r="BD63" s="27">
        <f t="shared" si="166"/>
        <v>0</v>
      </c>
      <c r="BE63" s="27"/>
      <c r="BF63" s="27"/>
      <c r="BG63" s="27"/>
      <c r="BH63" s="27"/>
      <c r="BI63" s="27">
        <f t="shared" si="167"/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f t="shared" si="168"/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f t="shared" si="169"/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f t="shared" si="170"/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f t="shared" si="171"/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f t="shared" si="172"/>
        <v>0</v>
      </c>
      <c r="CN63" s="27">
        <v>0</v>
      </c>
      <c r="CO63" s="27">
        <v>0</v>
      </c>
      <c r="CP63" s="27">
        <v>0</v>
      </c>
      <c r="CQ63" s="27">
        <v>25.1</v>
      </c>
      <c r="CR63" s="27">
        <f t="shared" si="173"/>
        <v>25.1</v>
      </c>
      <c r="CS63" s="27">
        <v>7.6</v>
      </c>
      <c r="CT63" s="27">
        <v>1.4370000000000001</v>
      </c>
      <c r="CU63" s="27">
        <v>0.79900000000000004</v>
      </c>
      <c r="CV63" s="27">
        <f>4.918+1.8</f>
        <v>6.718</v>
      </c>
      <c r="CW63" s="27">
        <f t="shared" si="174"/>
        <v>16.553999999999998</v>
      </c>
      <c r="CX63" s="27">
        <v>0.05</v>
      </c>
      <c r="CY63" s="27">
        <v>0.108</v>
      </c>
      <c r="CZ63" s="27">
        <v>4.47</v>
      </c>
      <c r="DA63" s="27">
        <v>2.109</v>
      </c>
      <c r="DB63" s="27">
        <f t="shared" si="175"/>
        <v>6.7370000000000001</v>
      </c>
      <c r="DC63" s="27">
        <v>0</v>
      </c>
      <c r="DD63" s="27">
        <v>0</v>
      </c>
      <c r="DE63" s="27">
        <v>0</v>
      </c>
      <c r="DF63" s="27">
        <v>64.771000000000001</v>
      </c>
      <c r="DG63" s="27">
        <f t="shared" si="176"/>
        <v>64.771000000000001</v>
      </c>
      <c r="DH63" s="27">
        <v>0.20799999999999999</v>
      </c>
      <c r="DI63" s="27">
        <v>0.57599999999999996</v>
      </c>
      <c r="DJ63" s="27">
        <v>3.7890000000000001</v>
      </c>
      <c r="DK63" s="27">
        <v>3.298</v>
      </c>
      <c r="DL63" s="27">
        <f t="shared" si="177"/>
        <v>7.8710000000000004</v>
      </c>
      <c r="DM63" s="27">
        <v>4.7569999999999997</v>
      </c>
      <c r="DN63" s="27">
        <v>2.6070000000000002</v>
      </c>
      <c r="DO63" s="27">
        <v>1.9850000000000001</v>
      </c>
      <c r="DP63" s="27">
        <v>1.1419999999999999</v>
      </c>
      <c r="DQ63" s="27">
        <f t="shared" si="178"/>
        <v>10.491</v>
      </c>
      <c r="DR63" s="27">
        <v>1.966</v>
      </c>
      <c r="DS63" s="27">
        <v>3.194</v>
      </c>
      <c r="DT63" s="27">
        <v>1.113</v>
      </c>
      <c r="DU63" s="27">
        <v>1.544</v>
      </c>
      <c r="DV63" s="27">
        <f t="shared" si="179"/>
        <v>7.8170000000000002</v>
      </c>
      <c r="DW63" s="27">
        <v>1.292</v>
      </c>
      <c r="DX63" s="27">
        <v>4.3940000000000001</v>
      </c>
      <c r="DY63" s="27">
        <v>3.0969999999999995</v>
      </c>
      <c r="DZ63" s="27">
        <v>2.9179999999999993</v>
      </c>
      <c r="EA63" s="27">
        <f t="shared" si="180"/>
        <v>11.700999999999999</v>
      </c>
      <c r="EB63" s="27">
        <v>0.85499999999999998</v>
      </c>
      <c r="EC63" s="27">
        <v>2.17</v>
      </c>
      <c r="ED63" s="27">
        <v>-7.9999999999999627E-2</v>
      </c>
      <c r="EE63" s="27">
        <v>0.47999999999999954</v>
      </c>
      <c r="EF63" s="27">
        <f t="shared" si="181"/>
        <v>3.4249999999999998</v>
      </c>
      <c r="EG63" s="27">
        <v>0.47299999999999998</v>
      </c>
      <c r="EH63" s="27">
        <v>0.58067999999999997</v>
      </c>
      <c r="EI63" s="27">
        <v>1.5993200000000001</v>
      </c>
      <c r="EJ63" s="27">
        <f t="shared" si="182"/>
        <v>2.653</v>
      </c>
    </row>
    <row r="64" spans="1:140" ht="15" thickBot="1" x14ac:dyDescent="0.35">
      <c r="A64" s="2" t="s">
        <v>444</v>
      </c>
      <c r="B64" s="28"/>
      <c r="C64" s="28"/>
      <c r="D64" s="28"/>
      <c r="E64" s="28"/>
      <c r="F64" s="28">
        <f t="shared" si="156"/>
        <v>0</v>
      </c>
      <c r="G64" s="28"/>
      <c r="H64" s="28"/>
      <c r="I64" s="28"/>
      <c r="J64" s="28"/>
      <c r="K64" s="28">
        <f t="shared" si="157"/>
        <v>0</v>
      </c>
      <c r="L64" s="28"/>
      <c r="M64" s="28"/>
      <c r="N64" s="28"/>
      <c r="O64" s="28"/>
      <c r="P64" s="28">
        <f t="shared" si="158"/>
        <v>0</v>
      </c>
      <c r="Q64" s="28"/>
      <c r="R64" s="28"/>
      <c r="S64" s="28"/>
      <c r="T64" s="28"/>
      <c r="U64" s="28">
        <f t="shared" si="159"/>
        <v>0</v>
      </c>
      <c r="V64" s="28"/>
      <c r="W64" s="28"/>
      <c r="X64" s="28"/>
      <c r="Y64" s="28"/>
      <c r="Z64" s="28">
        <f t="shared" si="160"/>
        <v>0</v>
      </c>
      <c r="AA64" s="28"/>
      <c r="AB64" s="28"/>
      <c r="AC64" s="28"/>
      <c r="AD64" s="28"/>
      <c r="AE64" s="28">
        <f t="shared" si="161"/>
        <v>0</v>
      </c>
      <c r="AF64" s="28"/>
      <c r="AG64" s="28"/>
      <c r="AH64" s="28"/>
      <c r="AI64" s="28"/>
      <c r="AJ64" s="28">
        <f t="shared" si="162"/>
        <v>0</v>
      </c>
      <c r="AK64" s="28"/>
      <c r="AL64" s="28"/>
      <c r="AM64" s="28"/>
      <c r="AN64" s="28"/>
      <c r="AO64" s="28">
        <f t="shared" si="163"/>
        <v>0</v>
      </c>
      <c r="AP64" s="28"/>
      <c r="AQ64" s="28"/>
      <c r="AR64" s="28"/>
      <c r="AS64" s="28"/>
      <c r="AT64" s="28">
        <f t="shared" si="164"/>
        <v>0</v>
      </c>
      <c r="AU64" s="28"/>
      <c r="AV64" s="28"/>
      <c r="AW64" s="28"/>
      <c r="AX64" s="28"/>
      <c r="AY64" s="28">
        <f t="shared" si="165"/>
        <v>0</v>
      </c>
      <c r="AZ64" s="28"/>
      <c r="BA64" s="28"/>
      <c r="BB64" s="28"/>
      <c r="BC64" s="28"/>
      <c r="BD64" s="28">
        <f t="shared" si="166"/>
        <v>0</v>
      </c>
      <c r="BE64" s="28"/>
      <c r="BF64" s="28"/>
      <c r="BG64" s="28"/>
      <c r="BH64" s="28"/>
      <c r="BI64" s="28">
        <f t="shared" si="167"/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v>0</v>
      </c>
      <c r="CD64" s="28">
        <v>0</v>
      </c>
      <c r="CE64" s="28">
        <v>0</v>
      </c>
      <c r="CF64" s="28">
        <v>0</v>
      </c>
      <c r="CG64" s="28">
        <v>0</v>
      </c>
      <c r="CH64" s="28">
        <v>0</v>
      </c>
      <c r="CI64" s="28">
        <v>0</v>
      </c>
      <c r="CJ64" s="28">
        <v>0</v>
      </c>
      <c r="CK64" s="28">
        <v>0</v>
      </c>
      <c r="CL64" s="28">
        <v>0</v>
      </c>
      <c r="CM64" s="28">
        <v>0</v>
      </c>
      <c r="CN64" s="28">
        <v>0</v>
      </c>
      <c r="CO64" s="28">
        <v>0</v>
      </c>
      <c r="CP64" s="28">
        <v>0</v>
      </c>
      <c r="CQ64" s="28">
        <v>0</v>
      </c>
      <c r="CR64" s="28">
        <v>0</v>
      </c>
      <c r="CS64" s="28">
        <v>0</v>
      </c>
      <c r="CT64" s="28">
        <v>0</v>
      </c>
      <c r="CU64" s="28">
        <v>0</v>
      </c>
      <c r="CV64" s="28">
        <v>0</v>
      </c>
      <c r="CW64" s="28">
        <v>0</v>
      </c>
      <c r="CX64" s="28">
        <v>0</v>
      </c>
      <c r="CY64" s="28">
        <v>0</v>
      </c>
      <c r="CZ64" s="28">
        <v>0</v>
      </c>
      <c r="DA64" s="28">
        <v>0</v>
      </c>
      <c r="DB64" s="28">
        <v>0</v>
      </c>
      <c r="DC64" s="28">
        <v>0</v>
      </c>
      <c r="DD64" s="28">
        <v>0</v>
      </c>
      <c r="DE64" s="28">
        <v>0</v>
      </c>
      <c r="DF64" s="28">
        <v>0</v>
      </c>
      <c r="DG64" s="28">
        <f t="shared" si="176"/>
        <v>0</v>
      </c>
      <c r="DH64" s="28">
        <v>3.39</v>
      </c>
      <c r="DI64" s="28">
        <v>6.7969999999999997</v>
      </c>
      <c r="DJ64" s="28">
        <v>3.4550000000000001</v>
      </c>
      <c r="DK64" s="28">
        <v>2.056</v>
      </c>
      <c r="DL64" s="28">
        <f t="shared" si="177"/>
        <v>15.698</v>
      </c>
      <c r="DM64" s="28">
        <v>3.2650000000000001</v>
      </c>
      <c r="DN64" s="28">
        <v>7.3419999999999996</v>
      </c>
      <c r="DO64" s="28">
        <v>8.6959999999999997</v>
      </c>
      <c r="DP64" s="28">
        <v>6.3049999999999997</v>
      </c>
      <c r="DQ64" s="28">
        <f t="shared" si="178"/>
        <v>25.607999999999997</v>
      </c>
      <c r="DR64" s="28">
        <v>7.0149999999999997</v>
      </c>
      <c r="DS64" s="28">
        <v>6.6479999999999997</v>
      </c>
      <c r="DT64" s="28">
        <v>4.3949999999999996</v>
      </c>
      <c r="DU64" s="28">
        <v>3.6680000000000001</v>
      </c>
      <c r="DV64" s="28">
        <f t="shared" si="179"/>
        <v>21.725999999999999</v>
      </c>
      <c r="DW64" s="28">
        <v>3.9910000000000001</v>
      </c>
      <c r="DX64" s="28">
        <v>6.1390000000000002</v>
      </c>
      <c r="DY64" s="28">
        <v>4.1469999999999985</v>
      </c>
      <c r="DZ64" s="28">
        <v>15.173</v>
      </c>
      <c r="EA64" s="28">
        <f t="shared" si="180"/>
        <v>29.45</v>
      </c>
      <c r="EB64" s="28">
        <v>10.553000000000001</v>
      </c>
      <c r="EC64" s="28">
        <v>9.5339999999999989</v>
      </c>
      <c r="ED64" s="28">
        <v>3.4510000000000005</v>
      </c>
      <c r="EE64" s="28">
        <v>3.7510000000000012</v>
      </c>
      <c r="EF64" s="28">
        <f t="shared" si="181"/>
        <v>27.289000000000001</v>
      </c>
      <c r="EG64" s="28">
        <v>5.4589999999999996</v>
      </c>
      <c r="EH64" s="28">
        <v>13.280000000000001</v>
      </c>
      <c r="EI64" s="28">
        <v>8.4979999999999976</v>
      </c>
      <c r="EJ64" s="28">
        <f t="shared" si="182"/>
        <v>27.236999999999998</v>
      </c>
    </row>
    <row r="65" spans="1:140" ht="15" thickTop="1" x14ac:dyDescent="0.3">
      <c r="A65" s="1" t="s">
        <v>456</v>
      </c>
      <c r="B65" s="27"/>
      <c r="C65" s="27"/>
      <c r="D65" s="27"/>
      <c r="E65" s="27"/>
      <c r="F65" s="27">
        <f t="shared" si="156"/>
        <v>0</v>
      </c>
      <c r="G65" s="27"/>
      <c r="H65" s="27"/>
      <c r="I65" s="27"/>
      <c r="J65" s="27"/>
      <c r="K65" s="27">
        <f t="shared" si="157"/>
        <v>0</v>
      </c>
      <c r="L65" s="27"/>
      <c r="M65" s="27"/>
      <c r="N65" s="27"/>
      <c r="O65" s="27"/>
      <c r="P65" s="27">
        <f t="shared" si="158"/>
        <v>0</v>
      </c>
      <c r="Q65" s="27"/>
      <c r="R65" s="27"/>
      <c r="S65" s="27"/>
      <c r="T65" s="27"/>
      <c r="U65" s="27">
        <f t="shared" si="159"/>
        <v>0</v>
      </c>
      <c r="V65" s="27"/>
      <c r="W65" s="27"/>
      <c r="X65" s="27"/>
      <c r="Y65" s="27"/>
      <c r="Z65" s="27">
        <f t="shared" si="160"/>
        <v>0</v>
      </c>
      <c r="AA65" s="27"/>
      <c r="AB65" s="27"/>
      <c r="AC65" s="27"/>
      <c r="AD65" s="27"/>
      <c r="AE65" s="27">
        <f t="shared" si="161"/>
        <v>0</v>
      </c>
      <c r="AF65" s="27"/>
      <c r="AG65" s="27"/>
      <c r="AH65" s="27"/>
      <c r="AI65" s="27"/>
      <c r="AJ65" s="27">
        <f t="shared" si="162"/>
        <v>0</v>
      </c>
      <c r="AK65" s="27"/>
      <c r="AL65" s="27"/>
      <c r="AM65" s="27"/>
      <c r="AN65" s="27"/>
      <c r="AO65" s="27">
        <f t="shared" si="163"/>
        <v>0</v>
      </c>
      <c r="AP65" s="27"/>
      <c r="AQ65" s="27"/>
      <c r="AR65" s="27"/>
      <c r="AS65" s="27"/>
      <c r="AT65" s="27">
        <f t="shared" si="164"/>
        <v>0</v>
      </c>
      <c r="AU65" s="27"/>
      <c r="AV65" s="27"/>
      <c r="AW65" s="27"/>
      <c r="AX65" s="27"/>
      <c r="AY65" s="27">
        <f t="shared" si="165"/>
        <v>0</v>
      </c>
      <c r="AZ65" s="27"/>
      <c r="BA65" s="27"/>
      <c r="BB65" s="27"/>
      <c r="BC65" s="27"/>
      <c r="BD65" s="27">
        <f t="shared" si="166"/>
        <v>0</v>
      </c>
      <c r="BE65" s="27"/>
      <c r="BF65" s="27"/>
      <c r="BG65" s="27"/>
      <c r="BH65" s="27"/>
      <c r="BI65" s="27">
        <f t="shared" si="167"/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7">
        <v>0</v>
      </c>
      <c r="DB65" s="27">
        <v>0</v>
      </c>
      <c r="DC65" s="27">
        <v>0</v>
      </c>
      <c r="DD65" s="27">
        <v>0</v>
      </c>
      <c r="DE65" s="27">
        <v>0</v>
      </c>
      <c r="DF65" s="27">
        <v>0</v>
      </c>
      <c r="DG65" s="27">
        <f t="shared" si="176"/>
        <v>0</v>
      </c>
      <c r="DH65" s="27">
        <v>0.38300000000000001</v>
      </c>
      <c r="DI65" s="27">
        <v>-0.38300000000000001</v>
      </c>
      <c r="DJ65" s="27">
        <v>0</v>
      </c>
      <c r="DK65" s="27">
        <v>0.10100000000000001</v>
      </c>
      <c r="DL65" s="27">
        <f t="shared" si="177"/>
        <v>0.10100000000000001</v>
      </c>
      <c r="DM65" s="27">
        <v>0.251</v>
      </c>
      <c r="DN65" s="27">
        <v>0.45100000000000001</v>
      </c>
      <c r="DO65" s="27">
        <v>5.8000000000000003E-2</v>
      </c>
      <c r="DP65" s="27">
        <v>1E-3</v>
      </c>
      <c r="DQ65" s="27">
        <f t="shared" si="178"/>
        <v>0.76100000000000001</v>
      </c>
      <c r="DR65" s="27">
        <v>4.9000000000000002E-2</v>
      </c>
      <c r="DS65" s="27">
        <v>0</v>
      </c>
      <c r="DT65" s="27">
        <v>1E-3</v>
      </c>
      <c r="DU65" s="27">
        <v>1.6E-2</v>
      </c>
      <c r="DV65" s="27">
        <f t="shared" si="179"/>
        <v>6.6000000000000003E-2</v>
      </c>
      <c r="DW65" s="27">
        <v>0</v>
      </c>
      <c r="DX65" s="27">
        <v>0</v>
      </c>
      <c r="DY65" s="27">
        <v>0</v>
      </c>
      <c r="DZ65" s="27">
        <v>0</v>
      </c>
      <c r="EA65" s="27">
        <f t="shared" si="180"/>
        <v>0</v>
      </c>
      <c r="EB65" s="27">
        <v>4.0650000000000004</v>
      </c>
      <c r="EC65" s="27">
        <v>7.1439999999999992</v>
      </c>
      <c r="ED65" s="27">
        <v>11.427</v>
      </c>
      <c r="EE65" s="27">
        <v>-0.10200000000000031</v>
      </c>
      <c r="EF65" s="27">
        <f t="shared" si="181"/>
        <v>22.533999999999999</v>
      </c>
      <c r="EG65" s="27">
        <v>2.9140000000000001</v>
      </c>
      <c r="EH65" s="27">
        <v>5.8740000000000006</v>
      </c>
      <c r="EI65" s="27">
        <v>2.5519999999999996</v>
      </c>
      <c r="EJ65" s="27">
        <f t="shared" si="182"/>
        <v>11.34</v>
      </c>
    </row>
    <row r="66" spans="1:140" ht="15" thickBot="1" x14ac:dyDescent="0.35">
      <c r="A66" s="2" t="s">
        <v>446</v>
      </c>
      <c r="B66" s="28"/>
      <c r="C66" s="28"/>
      <c r="D66" s="28"/>
      <c r="E66" s="28"/>
      <c r="F66" s="28">
        <f t="shared" si="156"/>
        <v>0</v>
      </c>
      <c r="G66" s="28"/>
      <c r="H66" s="28"/>
      <c r="I66" s="28"/>
      <c r="J66" s="28"/>
      <c r="K66" s="28">
        <f t="shared" si="157"/>
        <v>0</v>
      </c>
      <c r="L66" s="28"/>
      <c r="M66" s="28"/>
      <c r="N66" s="28"/>
      <c r="O66" s="28"/>
      <c r="P66" s="28">
        <f t="shared" si="158"/>
        <v>0</v>
      </c>
      <c r="Q66" s="28"/>
      <c r="R66" s="28"/>
      <c r="S66" s="28"/>
      <c r="T66" s="28"/>
      <c r="U66" s="28">
        <f t="shared" si="159"/>
        <v>0</v>
      </c>
      <c r="V66" s="28"/>
      <c r="W66" s="28"/>
      <c r="X66" s="28"/>
      <c r="Y66" s="28"/>
      <c r="Z66" s="28">
        <f t="shared" si="160"/>
        <v>0</v>
      </c>
      <c r="AA66" s="28"/>
      <c r="AB66" s="28"/>
      <c r="AC66" s="28"/>
      <c r="AD66" s="28"/>
      <c r="AE66" s="28">
        <f t="shared" si="161"/>
        <v>0</v>
      </c>
      <c r="AF66" s="28"/>
      <c r="AG66" s="28"/>
      <c r="AH66" s="28"/>
      <c r="AI66" s="28"/>
      <c r="AJ66" s="28">
        <f t="shared" si="162"/>
        <v>0</v>
      </c>
      <c r="AK66" s="28"/>
      <c r="AL66" s="28"/>
      <c r="AM66" s="28"/>
      <c r="AN66" s="28"/>
      <c r="AO66" s="28">
        <f t="shared" si="163"/>
        <v>0</v>
      </c>
      <c r="AP66" s="28"/>
      <c r="AQ66" s="28"/>
      <c r="AR66" s="28"/>
      <c r="AS66" s="28"/>
      <c r="AT66" s="28">
        <f t="shared" si="164"/>
        <v>0</v>
      </c>
      <c r="AU66" s="28"/>
      <c r="AV66" s="28"/>
      <c r="AW66" s="28"/>
      <c r="AX66" s="28"/>
      <c r="AY66" s="28">
        <f t="shared" si="165"/>
        <v>0</v>
      </c>
      <c r="AZ66" s="28"/>
      <c r="BA66" s="28"/>
      <c r="BB66" s="28"/>
      <c r="BC66" s="28"/>
      <c r="BD66" s="28">
        <f t="shared" si="166"/>
        <v>0</v>
      </c>
      <c r="BE66" s="28"/>
      <c r="BF66" s="28"/>
      <c r="BG66" s="28"/>
      <c r="BH66" s="28"/>
      <c r="BI66" s="28">
        <f t="shared" si="167"/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28">
        <v>0</v>
      </c>
      <c r="BW66" s="28">
        <v>0</v>
      </c>
      <c r="BX66" s="28">
        <v>0</v>
      </c>
      <c r="BY66" s="28">
        <v>0</v>
      </c>
      <c r="BZ66" s="28">
        <v>0</v>
      </c>
      <c r="CA66" s="28">
        <v>0</v>
      </c>
      <c r="CB66" s="28">
        <v>0</v>
      </c>
      <c r="CC66" s="28">
        <v>0</v>
      </c>
      <c r="CD66" s="28">
        <v>0</v>
      </c>
      <c r="CE66" s="28">
        <v>0</v>
      </c>
      <c r="CF66" s="28">
        <v>0</v>
      </c>
      <c r="CG66" s="28">
        <v>0</v>
      </c>
      <c r="CH66" s="28">
        <v>0</v>
      </c>
      <c r="CI66" s="28">
        <v>0</v>
      </c>
      <c r="CJ66" s="28">
        <v>0</v>
      </c>
      <c r="CK66" s="28">
        <v>0</v>
      </c>
      <c r="CL66" s="28">
        <v>0</v>
      </c>
      <c r="CM66" s="28">
        <v>0</v>
      </c>
      <c r="CN66" s="28">
        <v>0</v>
      </c>
      <c r="CO66" s="28">
        <v>0</v>
      </c>
      <c r="CP66" s="28">
        <v>0</v>
      </c>
      <c r="CQ66" s="28">
        <v>0</v>
      </c>
      <c r="CR66" s="28">
        <v>0</v>
      </c>
      <c r="CS66" s="28">
        <v>0</v>
      </c>
      <c r="CT66" s="28">
        <v>0</v>
      </c>
      <c r="CU66" s="28">
        <v>0</v>
      </c>
      <c r="CV66" s="28">
        <v>0</v>
      </c>
      <c r="CW66" s="28">
        <v>0</v>
      </c>
      <c r="CX66" s="28">
        <v>0</v>
      </c>
      <c r="CY66" s="28">
        <v>0</v>
      </c>
      <c r="CZ66" s="28">
        <v>0</v>
      </c>
      <c r="DA66" s="28">
        <v>0</v>
      </c>
      <c r="DB66" s="28">
        <v>0</v>
      </c>
      <c r="DC66" s="28">
        <v>0</v>
      </c>
      <c r="DD66" s="28">
        <v>0</v>
      </c>
      <c r="DE66" s="28">
        <v>0</v>
      </c>
      <c r="DF66" s="28">
        <v>0</v>
      </c>
      <c r="DG66" s="28">
        <v>0</v>
      </c>
      <c r="DH66" s="28">
        <v>0</v>
      </c>
      <c r="DI66" s="28">
        <v>0</v>
      </c>
      <c r="DJ66" s="28">
        <v>0</v>
      </c>
      <c r="DK66" s="28">
        <v>0</v>
      </c>
      <c r="DL66" s="28">
        <f t="shared" si="177"/>
        <v>0</v>
      </c>
      <c r="DM66" s="28">
        <v>0</v>
      </c>
      <c r="DN66" s="28">
        <v>0</v>
      </c>
      <c r="DO66" s="28">
        <v>0</v>
      </c>
      <c r="DP66" s="28">
        <v>0</v>
      </c>
      <c r="DQ66" s="28">
        <f t="shared" si="178"/>
        <v>0</v>
      </c>
      <c r="DR66" s="28">
        <v>0</v>
      </c>
      <c r="DS66" s="28">
        <v>0</v>
      </c>
      <c r="DT66" s="28">
        <v>0</v>
      </c>
      <c r="DU66" s="28">
        <v>0</v>
      </c>
      <c r="DV66" s="28">
        <f t="shared" si="179"/>
        <v>0</v>
      </c>
      <c r="DW66" s="28">
        <v>0</v>
      </c>
      <c r="DX66" s="28">
        <v>0</v>
      </c>
      <c r="DY66" s="28">
        <v>0</v>
      </c>
      <c r="DZ66" s="28">
        <v>0</v>
      </c>
      <c r="EA66" s="28">
        <f t="shared" si="180"/>
        <v>0</v>
      </c>
      <c r="EB66" s="28">
        <v>0</v>
      </c>
      <c r="EC66" s="28">
        <v>0</v>
      </c>
      <c r="ED66" s="28">
        <v>0</v>
      </c>
      <c r="EE66" s="28">
        <v>0</v>
      </c>
      <c r="EF66" s="28">
        <f t="shared" si="181"/>
        <v>0</v>
      </c>
      <c r="EG66" s="28">
        <v>0.57999999999999996</v>
      </c>
      <c r="EH66" s="28">
        <v>7.4350000000000005</v>
      </c>
      <c r="EI66" s="28">
        <v>3.879999999999999</v>
      </c>
      <c r="EJ66" s="28">
        <f t="shared" si="182"/>
        <v>11.895</v>
      </c>
    </row>
    <row r="67" spans="1:140" ht="15" thickTop="1" x14ac:dyDescent="0.3">
      <c r="A67" s="1" t="s">
        <v>447</v>
      </c>
      <c r="B67" s="27"/>
      <c r="C67" s="27"/>
      <c r="D67" s="27"/>
      <c r="E67" s="27"/>
      <c r="F67" s="27">
        <f t="shared" si="156"/>
        <v>0</v>
      </c>
      <c r="G67" s="27"/>
      <c r="H67" s="27"/>
      <c r="I67" s="27"/>
      <c r="J67" s="27"/>
      <c r="K67" s="27">
        <f t="shared" si="157"/>
        <v>0</v>
      </c>
      <c r="L67" s="27"/>
      <c r="M67" s="27"/>
      <c r="N67" s="27"/>
      <c r="O67" s="27"/>
      <c r="P67" s="27">
        <f t="shared" si="158"/>
        <v>0</v>
      </c>
      <c r="Q67" s="27"/>
      <c r="R67" s="27"/>
      <c r="S67" s="27"/>
      <c r="T67" s="27"/>
      <c r="U67" s="27">
        <f t="shared" si="159"/>
        <v>0</v>
      </c>
      <c r="V67" s="27"/>
      <c r="W67" s="27"/>
      <c r="X67" s="27"/>
      <c r="Y67" s="27"/>
      <c r="Z67" s="27">
        <f t="shared" si="160"/>
        <v>0</v>
      </c>
      <c r="AA67" s="27"/>
      <c r="AB67" s="27"/>
      <c r="AC67" s="27"/>
      <c r="AD67" s="27"/>
      <c r="AE67" s="27">
        <f t="shared" si="161"/>
        <v>0</v>
      </c>
      <c r="AF67" s="27"/>
      <c r="AG67" s="27"/>
      <c r="AH67" s="27"/>
      <c r="AI67" s="27"/>
      <c r="AJ67" s="27">
        <f t="shared" si="162"/>
        <v>0</v>
      </c>
      <c r="AK67" s="27"/>
      <c r="AL67" s="27"/>
      <c r="AM67" s="27"/>
      <c r="AN67" s="27"/>
      <c r="AO67" s="27">
        <f t="shared" si="163"/>
        <v>0</v>
      </c>
      <c r="AP67" s="27"/>
      <c r="AQ67" s="27"/>
      <c r="AR67" s="27"/>
      <c r="AS67" s="27"/>
      <c r="AT67" s="27">
        <f t="shared" si="164"/>
        <v>0</v>
      </c>
      <c r="AU67" s="27"/>
      <c r="AV67" s="27"/>
      <c r="AW67" s="27"/>
      <c r="AX67" s="27"/>
      <c r="AY67" s="27">
        <f t="shared" si="165"/>
        <v>0</v>
      </c>
      <c r="AZ67" s="27"/>
      <c r="BA67" s="27"/>
      <c r="BB67" s="27"/>
      <c r="BC67" s="27"/>
      <c r="BD67" s="27">
        <f t="shared" si="166"/>
        <v>0</v>
      </c>
      <c r="BE67" s="27"/>
      <c r="BF67" s="27"/>
      <c r="BG67" s="27"/>
      <c r="BH67" s="27"/>
      <c r="BI67" s="27">
        <f t="shared" si="167"/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  <c r="DA67" s="27">
        <v>0</v>
      </c>
      <c r="DB67" s="27">
        <v>0</v>
      </c>
      <c r="DC67" s="27">
        <v>0</v>
      </c>
      <c r="DD67" s="27">
        <v>0</v>
      </c>
      <c r="DE67" s="27">
        <v>0</v>
      </c>
      <c r="DF67" s="27">
        <v>0</v>
      </c>
      <c r="DG67" s="27">
        <v>0</v>
      </c>
      <c r="DH67" s="27">
        <v>0</v>
      </c>
      <c r="DI67" s="27">
        <v>0</v>
      </c>
      <c r="DJ67" s="27">
        <v>0</v>
      </c>
      <c r="DK67" s="27">
        <v>0</v>
      </c>
      <c r="DL67" s="27">
        <f t="shared" si="177"/>
        <v>0</v>
      </c>
      <c r="DM67" s="27">
        <v>0</v>
      </c>
      <c r="DN67" s="27">
        <v>0</v>
      </c>
      <c r="DO67" s="27">
        <v>0</v>
      </c>
      <c r="DP67" s="27">
        <v>0</v>
      </c>
      <c r="DQ67" s="27">
        <f t="shared" si="178"/>
        <v>0</v>
      </c>
      <c r="DR67" s="27">
        <v>0</v>
      </c>
      <c r="DS67" s="27">
        <v>1.7999999999999999E-2</v>
      </c>
      <c r="DT67" s="27">
        <v>0.14899999999999999</v>
      </c>
      <c r="DU67" s="27">
        <v>0.35199999999999998</v>
      </c>
      <c r="DV67" s="27">
        <f t="shared" si="179"/>
        <v>0.51899999999999991</v>
      </c>
      <c r="DW67" s="27">
        <v>0.11799999999999999</v>
      </c>
      <c r="DX67" s="27">
        <v>0.4</v>
      </c>
      <c r="DY67" s="27">
        <v>0.35599999999999998</v>
      </c>
      <c r="DZ67" s="27">
        <v>4.7000000000000042E-2</v>
      </c>
      <c r="EA67" s="27">
        <f t="shared" si="180"/>
        <v>0.92100000000000004</v>
      </c>
      <c r="EB67" s="27">
        <v>0</v>
      </c>
      <c r="EC67" s="27">
        <v>0</v>
      </c>
      <c r="ED67" s="27">
        <v>0</v>
      </c>
      <c r="EE67" s="27">
        <v>0.42799999999999999</v>
      </c>
      <c r="EF67" s="27">
        <f t="shared" si="181"/>
        <v>0.42799999999999999</v>
      </c>
      <c r="EG67" s="27">
        <v>0</v>
      </c>
      <c r="EH67" s="27">
        <v>0</v>
      </c>
      <c r="EI67" s="27">
        <v>0</v>
      </c>
      <c r="EJ67" s="27">
        <f t="shared" si="182"/>
        <v>0</v>
      </c>
    </row>
    <row r="68" spans="1:140" ht="15" thickBot="1" x14ac:dyDescent="0.35">
      <c r="A68" s="2" t="s">
        <v>448</v>
      </c>
      <c r="B68" s="28"/>
      <c r="C68" s="28"/>
      <c r="D68" s="28"/>
      <c r="E68" s="28"/>
      <c r="F68" s="28">
        <f t="shared" si="156"/>
        <v>0</v>
      </c>
      <c r="G68" s="28"/>
      <c r="H68" s="28"/>
      <c r="I68" s="28"/>
      <c r="J68" s="28"/>
      <c r="K68" s="28">
        <f t="shared" si="157"/>
        <v>0</v>
      </c>
      <c r="L68" s="28"/>
      <c r="M68" s="28"/>
      <c r="N68" s="28"/>
      <c r="O68" s="28"/>
      <c r="P68" s="28">
        <f t="shared" si="158"/>
        <v>0</v>
      </c>
      <c r="Q68" s="28"/>
      <c r="R68" s="28"/>
      <c r="S68" s="28"/>
      <c r="T68" s="28"/>
      <c r="U68" s="28">
        <f t="shared" si="159"/>
        <v>0</v>
      </c>
      <c r="V68" s="28"/>
      <c r="W68" s="28"/>
      <c r="X68" s="28"/>
      <c r="Y68" s="28"/>
      <c r="Z68" s="28">
        <f t="shared" si="160"/>
        <v>0</v>
      </c>
      <c r="AA68" s="28"/>
      <c r="AB68" s="28"/>
      <c r="AC68" s="28"/>
      <c r="AD68" s="28"/>
      <c r="AE68" s="28">
        <f t="shared" si="161"/>
        <v>0</v>
      </c>
      <c r="AF68" s="28"/>
      <c r="AG68" s="28"/>
      <c r="AH68" s="28"/>
      <c r="AI68" s="28"/>
      <c r="AJ68" s="28">
        <f t="shared" si="162"/>
        <v>0</v>
      </c>
      <c r="AK68" s="28"/>
      <c r="AL68" s="28"/>
      <c r="AM68" s="28"/>
      <c r="AN68" s="28"/>
      <c r="AO68" s="28">
        <f t="shared" si="163"/>
        <v>0</v>
      </c>
      <c r="AP68" s="28"/>
      <c r="AQ68" s="28"/>
      <c r="AR68" s="28"/>
      <c r="AS68" s="28"/>
      <c r="AT68" s="28">
        <f t="shared" si="164"/>
        <v>0</v>
      </c>
      <c r="AU68" s="28"/>
      <c r="AV68" s="28"/>
      <c r="AW68" s="28"/>
      <c r="AX68" s="28"/>
      <c r="AY68" s="28">
        <f t="shared" si="165"/>
        <v>0</v>
      </c>
      <c r="AZ68" s="28"/>
      <c r="BA68" s="28"/>
      <c r="BB68" s="28"/>
      <c r="BC68" s="28"/>
      <c r="BD68" s="28">
        <f t="shared" si="166"/>
        <v>0</v>
      </c>
      <c r="BE68" s="28"/>
      <c r="BF68" s="28"/>
      <c r="BG68" s="28"/>
      <c r="BH68" s="28"/>
      <c r="BI68" s="28">
        <f t="shared" si="167"/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8">
        <v>0</v>
      </c>
      <c r="DF68" s="28">
        <v>0</v>
      </c>
      <c r="DG68" s="28"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f t="shared" si="177"/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f t="shared" si="178"/>
        <v>0</v>
      </c>
      <c r="DR68" s="28">
        <v>0</v>
      </c>
      <c r="DS68" s="28">
        <v>0</v>
      </c>
      <c r="DT68" s="28">
        <v>0</v>
      </c>
      <c r="DU68" s="28">
        <v>0</v>
      </c>
      <c r="DV68" s="28">
        <f t="shared" si="179"/>
        <v>0</v>
      </c>
      <c r="DW68" s="28">
        <v>0</v>
      </c>
      <c r="DX68" s="28">
        <v>0</v>
      </c>
      <c r="DY68" s="28">
        <v>0</v>
      </c>
      <c r="DZ68" s="28">
        <v>0</v>
      </c>
      <c r="EA68" s="28">
        <f t="shared" si="180"/>
        <v>0</v>
      </c>
      <c r="EB68" s="28">
        <v>0</v>
      </c>
      <c r="EC68" s="28">
        <v>0</v>
      </c>
      <c r="ED68" s="28">
        <v>0</v>
      </c>
      <c r="EE68" s="28">
        <v>0</v>
      </c>
      <c r="EF68" s="28">
        <f t="shared" si="181"/>
        <v>0</v>
      </c>
      <c r="EG68" s="28">
        <v>0</v>
      </c>
      <c r="EH68" s="28">
        <v>0</v>
      </c>
      <c r="EI68" s="28">
        <v>0</v>
      </c>
      <c r="EJ68" s="28">
        <f t="shared" si="182"/>
        <v>0</v>
      </c>
    </row>
    <row r="69" spans="1:140" ht="15" thickTop="1" x14ac:dyDescent="0.3">
      <c r="A69" s="1" t="s">
        <v>449</v>
      </c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7">
        <v>0</v>
      </c>
      <c r="DB69" s="27">
        <v>0</v>
      </c>
      <c r="DC69" s="27">
        <v>0</v>
      </c>
      <c r="DD69" s="27">
        <v>0</v>
      </c>
      <c r="DE69" s="27">
        <v>0</v>
      </c>
      <c r="DF69" s="27">
        <v>0</v>
      </c>
      <c r="DG69" s="27">
        <v>0</v>
      </c>
      <c r="DH69" s="27">
        <v>0</v>
      </c>
      <c r="DI69" s="27">
        <v>0</v>
      </c>
      <c r="DJ69" s="27">
        <v>0</v>
      </c>
      <c r="DK69" s="27">
        <v>0</v>
      </c>
      <c r="DL69" s="27">
        <f t="shared" si="177"/>
        <v>0</v>
      </c>
      <c r="DM69" s="27">
        <v>0</v>
      </c>
      <c r="DN69" s="27">
        <v>0</v>
      </c>
      <c r="DO69" s="27">
        <v>0</v>
      </c>
      <c r="DP69" s="27">
        <v>0</v>
      </c>
      <c r="DQ69" s="27">
        <f t="shared" si="178"/>
        <v>0</v>
      </c>
      <c r="DR69" s="27">
        <v>0</v>
      </c>
      <c r="DS69" s="27">
        <v>0</v>
      </c>
      <c r="DT69" s="27">
        <v>0</v>
      </c>
      <c r="DU69" s="27">
        <v>0</v>
      </c>
      <c r="DV69" s="27">
        <f t="shared" si="179"/>
        <v>0</v>
      </c>
      <c r="DW69" s="27">
        <v>0</v>
      </c>
      <c r="DX69" s="27">
        <v>0</v>
      </c>
      <c r="DY69" s="27">
        <v>0</v>
      </c>
      <c r="DZ69" s="27">
        <v>0</v>
      </c>
      <c r="EA69" s="27">
        <f t="shared" si="180"/>
        <v>0</v>
      </c>
      <c r="EB69" s="27">
        <v>0</v>
      </c>
      <c r="EC69" s="27">
        <v>0</v>
      </c>
      <c r="ED69" s="27">
        <v>0</v>
      </c>
      <c r="EE69" s="27">
        <v>0</v>
      </c>
      <c r="EF69" s="27">
        <f t="shared" si="181"/>
        <v>0</v>
      </c>
      <c r="EG69" s="27">
        <v>0</v>
      </c>
      <c r="EH69" s="27">
        <v>0</v>
      </c>
      <c r="EI69" s="27">
        <v>0</v>
      </c>
      <c r="EJ69" s="27">
        <f t="shared" si="182"/>
        <v>0</v>
      </c>
    </row>
    <row r="70" spans="1:140" x14ac:dyDescent="0.3">
      <c r="A70" s="2" t="s">
        <v>464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>
        <v>0</v>
      </c>
      <c r="EH70" s="28">
        <v>0</v>
      </c>
      <c r="EI70" s="28">
        <v>0</v>
      </c>
      <c r="EJ70" s="28">
        <f t="shared" si="182"/>
        <v>0</v>
      </c>
    </row>
    <row r="71" spans="1:140" x14ac:dyDescent="0.3">
      <c r="A71" s="5" t="s">
        <v>311</v>
      </c>
      <c r="B71" s="29">
        <f t="shared" ref="B71:AG71" si="183">SUM(B57:B69)</f>
        <v>0</v>
      </c>
      <c r="C71" s="29">
        <f t="shared" si="183"/>
        <v>0</v>
      </c>
      <c r="D71" s="29">
        <f t="shared" si="183"/>
        <v>0</v>
      </c>
      <c r="E71" s="29">
        <f t="shared" si="183"/>
        <v>0</v>
      </c>
      <c r="F71" s="29">
        <f t="shared" si="183"/>
        <v>0</v>
      </c>
      <c r="G71" s="29">
        <f t="shared" si="183"/>
        <v>0</v>
      </c>
      <c r="H71" s="29">
        <f t="shared" si="183"/>
        <v>0</v>
      </c>
      <c r="I71" s="29">
        <f t="shared" si="183"/>
        <v>0</v>
      </c>
      <c r="J71" s="29">
        <f t="shared" si="183"/>
        <v>0</v>
      </c>
      <c r="K71" s="29">
        <f t="shared" si="183"/>
        <v>0</v>
      </c>
      <c r="L71" s="29">
        <f t="shared" si="183"/>
        <v>0</v>
      </c>
      <c r="M71" s="29">
        <f t="shared" si="183"/>
        <v>0</v>
      </c>
      <c r="N71" s="29">
        <f t="shared" si="183"/>
        <v>0</v>
      </c>
      <c r="O71" s="29">
        <f t="shared" si="183"/>
        <v>0</v>
      </c>
      <c r="P71" s="29">
        <f t="shared" si="183"/>
        <v>0</v>
      </c>
      <c r="Q71" s="29">
        <f t="shared" si="183"/>
        <v>0</v>
      </c>
      <c r="R71" s="29">
        <f t="shared" si="183"/>
        <v>0</v>
      </c>
      <c r="S71" s="29">
        <f t="shared" si="183"/>
        <v>0</v>
      </c>
      <c r="T71" s="29">
        <f t="shared" si="183"/>
        <v>0</v>
      </c>
      <c r="U71" s="29">
        <f t="shared" si="183"/>
        <v>0</v>
      </c>
      <c r="V71" s="29">
        <f t="shared" si="183"/>
        <v>0</v>
      </c>
      <c r="W71" s="29">
        <f t="shared" si="183"/>
        <v>0</v>
      </c>
      <c r="X71" s="29">
        <f t="shared" si="183"/>
        <v>0</v>
      </c>
      <c r="Y71" s="29">
        <f t="shared" si="183"/>
        <v>0</v>
      </c>
      <c r="Z71" s="29">
        <f t="shared" si="183"/>
        <v>0</v>
      </c>
      <c r="AA71" s="29">
        <f t="shared" si="183"/>
        <v>0</v>
      </c>
      <c r="AB71" s="29">
        <f t="shared" si="183"/>
        <v>0</v>
      </c>
      <c r="AC71" s="29">
        <f t="shared" si="183"/>
        <v>0</v>
      </c>
      <c r="AD71" s="29">
        <f t="shared" si="183"/>
        <v>0</v>
      </c>
      <c r="AE71" s="29">
        <f t="shared" si="183"/>
        <v>0</v>
      </c>
      <c r="AF71" s="29">
        <f t="shared" si="183"/>
        <v>0</v>
      </c>
      <c r="AG71" s="29">
        <f t="shared" si="183"/>
        <v>0</v>
      </c>
      <c r="AH71" s="29">
        <f t="shared" ref="AH71:BM71" si="184">SUM(AH57:AH69)</f>
        <v>0</v>
      </c>
      <c r="AI71" s="29">
        <f t="shared" si="184"/>
        <v>0</v>
      </c>
      <c r="AJ71" s="29">
        <f t="shared" si="184"/>
        <v>0</v>
      </c>
      <c r="AK71" s="29">
        <f t="shared" si="184"/>
        <v>0</v>
      </c>
      <c r="AL71" s="29">
        <f t="shared" si="184"/>
        <v>0</v>
      </c>
      <c r="AM71" s="29">
        <f t="shared" si="184"/>
        <v>0</v>
      </c>
      <c r="AN71" s="29">
        <f t="shared" si="184"/>
        <v>0</v>
      </c>
      <c r="AO71" s="29">
        <f t="shared" si="184"/>
        <v>0</v>
      </c>
      <c r="AP71" s="29">
        <f t="shared" si="184"/>
        <v>0</v>
      </c>
      <c r="AQ71" s="29">
        <f t="shared" si="184"/>
        <v>0</v>
      </c>
      <c r="AR71" s="29">
        <f t="shared" si="184"/>
        <v>0</v>
      </c>
      <c r="AS71" s="29">
        <f t="shared" si="184"/>
        <v>0</v>
      </c>
      <c r="AT71" s="29">
        <f t="shared" si="184"/>
        <v>0</v>
      </c>
      <c r="AU71" s="29">
        <f t="shared" si="184"/>
        <v>0</v>
      </c>
      <c r="AV71" s="29">
        <f t="shared" si="184"/>
        <v>0</v>
      </c>
      <c r="AW71" s="29">
        <f t="shared" si="184"/>
        <v>0</v>
      </c>
      <c r="AX71" s="29">
        <f t="shared" si="184"/>
        <v>0</v>
      </c>
      <c r="AY71" s="29">
        <f t="shared" si="184"/>
        <v>0</v>
      </c>
      <c r="AZ71" s="29">
        <f t="shared" si="184"/>
        <v>0</v>
      </c>
      <c r="BA71" s="29">
        <f t="shared" si="184"/>
        <v>0</v>
      </c>
      <c r="BB71" s="29">
        <f t="shared" si="184"/>
        <v>0</v>
      </c>
      <c r="BC71" s="29">
        <f t="shared" si="184"/>
        <v>0</v>
      </c>
      <c r="BD71" s="29">
        <f t="shared" si="184"/>
        <v>0</v>
      </c>
      <c r="BE71" s="29">
        <f t="shared" si="184"/>
        <v>0</v>
      </c>
      <c r="BF71" s="29">
        <f t="shared" si="184"/>
        <v>0</v>
      </c>
      <c r="BG71" s="29">
        <f t="shared" si="184"/>
        <v>0</v>
      </c>
      <c r="BH71" s="29">
        <f t="shared" si="184"/>
        <v>0</v>
      </c>
      <c r="BI71" s="29">
        <f t="shared" si="184"/>
        <v>0</v>
      </c>
      <c r="BJ71" s="29">
        <f t="shared" si="184"/>
        <v>8.718</v>
      </c>
      <c r="BK71" s="29">
        <f t="shared" si="184"/>
        <v>20.887</v>
      </c>
      <c r="BL71" s="29">
        <f t="shared" si="184"/>
        <v>26.603000000000002</v>
      </c>
      <c r="BM71" s="29">
        <f t="shared" si="184"/>
        <v>21.233000000000001</v>
      </c>
      <c r="BN71" s="29">
        <f t="shared" ref="BN71:CS71" si="185">SUM(BN57:BN69)</f>
        <v>77.441000000000003</v>
      </c>
      <c r="BO71" s="29">
        <f t="shared" si="185"/>
        <v>10.3</v>
      </c>
      <c r="BP71" s="29">
        <f t="shared" si="185"/>
        <v>19.706</v>
      </c>
      <c r="BQ71" s="29">
        <f t="shared" si="185"/>
        <v>20.091000000000001</v>
      </c>
      <c r="BR71" s="29">
        <f t="shared" si="185"/>
        <v>17.834</v>
      </c>
      <c r="BS71" s="29">
        <f t="shared" si="185"/>
        <v>67.931000000000012</v>
      </c>
      <c r="BT71" s="29">
        <f t="shared" si="185"/>
        <v>15.449000000000002</v>
      </c>
      <c r="BU71" s="29">
        <f t="shared" si="185"/>
        <v>22.558</v>
      </c>
      <c r="BV71" s="29">
        <f t="shared" si="185"/>
        <v>24.951999999999998</v>
      </c>
      <c r="BW71" s="29">
        <f t="shared" si="185"/>
        <v>15.208</v>
      </c>
      <c r="BX71" s="29">
        <f t="shared" si="185"/>
        <v>78.167000000000002</v>
      </c>
      <c r="BY71" s="29">
        <f t="shared" si="185"/>
        <v>18.100000000000001</v>
      </c>
      <c r="BZ71" s="29">
        <f t="shared" si="185"/>
        <v>27.8</v>
      </c>
      <c r="CA71" s="29">
        <f t="shared" si="185"/>
        <v>18.5</v>
      </c>
      <c r="CB71" s="29">
        <f t="shared" si="185"/>
        <v>27.9</v>
      </c>
      <c r="CC71" s="29">
        <f t="shared" si="185"/>
        <v>92.299999999999983</v>
      </c>
      <c r="CD71" s="29">
        <f t="shared" si="185"/>
        <v>15.4</v>
      </c>
      <c r="CE71" s="29">
        <f t="shared" si="185"/>
        <v>13.700000000000001</v>
      </c>
      <c r="CF71" s="29">
        <f t="shared" si="185"/>
        <v>24</v>
      </c>
      <c r="CG71" s="29">
        <f t="shared" si="185"/>
        <v>25.5</v>
      </c>
      <c r="CH71" s="29">
        <f t="shared" si="185"/>
        <v>78.599999999999994</v>
      </c>
      <c r="CI71" s="29">
        <f t="shared" si="185"/>
        <v>21.400000000000002</v>
      </c>
      <c r="CJ71" s="29">
        <f t="shared" si="185"/>
        <v>29.400000000000002</v>
      </c>
      <c r="CK71" s="29">
        <f t="shared" si="185"/>
        <v>26.499999999999996</v>
      </c>
      <c r="CL71" s="29">
        <f>SUM(CL57:CL69)</f>
        <v>20.8</v>
      </c>
      <c r="CM71" s="29">
        <f t="shared" si="185"/>
        <v>98.1</v>
      </c>
      <c r="CN71" s="29">
        <f t="shared" si="185"/>
        <v>17.299999999999997</v>
      </c>
      <c r="CO71" s="29">
        <f t="shared" si="185"/>
        <v>24.9</v>
      </c>
      <c r="CP71" s="29">
        <f t="shared" si="185"/>
        <v>26.7</v>
      </c>
      <c r="CQ71" s="29">
        <f t="shared" si="185"/>
        <v>56.177</v>
      </c>
      <c r="CR71" s="29">
        <f t="shared" si="185"/>
        <v>125.077</v>
      </c>
      <c r="CS71" s="29">
        <f t="shared" si="185"/>
        <v>25.866</v>
      </c>
      <c r="CT71" s="29">
        <f t="shared" ref="CT71:DW71" si="186">SUM(CT57:CT69)</f>
        <v>32.738</v>
      </c>
      <c r="CU71" s="29">
        <f t="shared" si="186"/>
        <v>50.86</v>
      </c>
      <c r="CV71" s="29">
        <f t="shared" si="186"/>
        <v>49.054000000000002</v>
      </c>
      <c r="CW71" s="29">
        <f t="shared" si="186"/>
        <v>158.51800000000003</v>
      </c>
      <c r="CX71" s="29">
        <f t="shared" si="186"/>
        <v>14.66</v>
      </c>
      <c r="CY71" s="29">
        <f t="shared" si="186"/>
        <v>29.916000000000004</v>
      </c>
      <c r="CZ71" s="29">
        <f t="shared" si="186"/>
        <v>45.959000000000003</v>
      </c>
      <c r="DA71" s="29">
        <f t="shared" si="186"/>
        <v>30.301000000000002</v>
      </c>
      <c r="DB71" s="29">
        <f t="shared" si="186"/>
        <v>120.836</v>
      </c>
      <c r="DC71" s="29">
        <f t="shared" si="186"/>
        <v>17.407000000000004</v>
      </c>
      <c r="DD71" s="29">
        <f t="shared" si="186"/>
        <v>41.570999999999998</v>
      </c>
      <c r="DE71" s="29">
        <f t="shared" si="186"/>
        <v>45.794999999999995</v>
      </c>
      <c r="DF71" s="29">
        <f t="shared" si="186"/>
        <v>123.34700000000001</v>
      </c>
      <c r="DG71" s="29">
        <f t="shared" si="186"/>
        <v>228.12</v>
      </c>
      <c r="DH71" s="29">
        <f t="shared" si="186"/>
        <v>18.928999999999998</v>
      </c>
      <c r="DI71" s="29">
        <f t="shared" si="186"/>
        <v>33.280999999999992</v>
      </c>
      <c r="DJ71" s="29">
        <f t="shared" si="186"/>
        <v>26.344000000000001</v>
      </c>
      <c r="DK71" s="29">
        <f t="shared" si="186"/>
        <v>45.777000000000001</v>
      </c>
      <c r="DL71" s="29">
        <f t="shared" si="186"/>
        <v>124.33099999999999</v>
      </c>
      <c r="DM71" s="29">
        <f t="shared" si="186"/>
        <v>36.590999999999994</v>
      </c>
      <c r="DN71" s="29">
        <f t="shared" si="186"/>
        <v>73.317999999999998</v>
      </c>
      <c r="DO71" s="29">
        <f t="shared" si="186"/>
        <v>86.286000000000001</v>
      </c>
      <c r="DP71" s="29">
        <f t="shared" si="186"/>
        <v>64.638000000000005</v>
      </c>
      <c r="DQ71" s="29">
        <f t="shared" si="186"/>
        <v>260.83300000000003</v>
      </c>
      <c r="DR71" s="29">
        <f t="shared" si="186"/>
        <v>30.821000000000002</v>
      </c>
      <c r="DS71" s="29">
        <f t="shared" si="186"/>
        <v>29.800999999999998</v>
      </c>
      <c r="DT71" s="29">
        <f t="shared" si="186"/>
        <v>33.728999999999992</v>
      </c>
      <c r="DU71" s="29">
        <f t="shared" si="186"/>
        <v>26.285999999999998</v>
      </c>
      <c r="DV71" s="29">
        <f t="shared" si="186"/>
        <v>120.637</v>
      </c>
      <c r="DW71" s="29">
        <f t="shared" si="186"/>
        <v>25.608999999999998</v>
      </c>
      <c r="DX71" s="29">
        <f t="shared" ref="DX71:ED71" si="187">SUM(DX57:DX69)</f>
        <v>32.65</v>
      </c>
      <c r="DY71" s="29">
        <f t="shared" si="187"/>
        <v>27.885999999999996</v>
      </c>
      <c r="DZ71" s="29">
        <f t="shared" si="187"/>
        <v>45.901999999999994</v>
      </c>
      <c r="EA71" s="29">
        <f t="shared" si="187"/>
        <v>132.04699999999997</v>
      </c>
      <c r="EB71" s="29">
        <f t="shared" si="187"/>
        <v>47.11099999999999</v>
      </c>
      <c r="EC71" s="29">
        <f t="shared" si="187"/>
        <v>38.811</v>
      </c>
      <c r="ED71" s="29">
        <f t="shared" si="187"/>
        <v>44.163000000000004</v>
      </c>
      <c r="EE71" s="29">
        <f t="shared" ref="EE71:EF71" si="188">SUM(EE57:EE69)</f>
        <v>21.566000000000003</v>
      </c>
      <c r="EF71" s="29">
        <f t="shared" si="188"/>
        <v>151.65099999999998</v>
      </c>
      <c r="EG71" s="29">
        <f>SUM(EG57:EG70)</f>
        <v>28.593999999999998</v>
      </c>
      <c r="EH71" s="29">
        <f>SUM(EH57:EH70)</f>
        <v>65.762680000000003</v>
      </c>
      <c r="EI71" s="29">
        <f>SUM(EI57:EI70)</f>
        <v>55.27630035</v>
      </c>
      <c r="EJ71" s="29">
        <f>SUM(EJ57:EJ70)</f>
        <v>149.63298035</v>
      </c>
    </row>
    <row r="74" spans="1:140" ht="16.2" x14ac:dyDescent="0.3">
      <c r="A74" s="3" t="s">
        <v>405</v>
      </c>
      <c r="B74" s="6" t="s">
        <v>4</v>
      </c>
      <c r="C74" s="6" t="s">
        <v>5</v>
      </c>
      <c r="D74" s="6" t="s">
        <v>6</v>
      </c>
      <c r="E74" s="6" t="s">
        <v>7</v>
      </c>
      <c r="F74" s="6">
        <v>1998</v>
      </c>
      <c r="G74" s="6" t="s">
        <v>8</v>
      </c>
      <c r="H74" s="6" t="s">
        <v>9</v>
      </c>
      <c r="I74" s="6" t="s">
        <v>10</v>
      </c>
      <c r="J74" s="6" t="s">
        <v>11</v>
      </c>
      <c r="K74" s="6">
        <v>1999</v>
      </c>
      <c r="L74" s="6" t="s">
        <v>12</v>
      </c>
      <c r="M74" s="6" t="s">
        <v>13</v>
      </c>
      <c r="N74" s="6" t="s">
        <v>14</v>
      </c>
      <c r="O74" s="6" t="s">
        <v>15</v>
      </c>
      <c r="P74" s="6">
        <v>2000</v>
      </c>
      <c r="Q74" s="6" t="s">
        <v>16</v>
      </c>
      <c r="R74" s="6" t="s">
        <v>17</v>
      </c>
      <c r="S74" s="6" t="s">
        <v>18</v>
      </c>
      <c r="T74" s="6" t="s">
        <v>19</v>
      </c>
      <c r="U74" s="6">
        <v>2001</v>
      </c>
      <c r="V74" s="6" t="s">
        <v>20</v>
      </c>
      <c r="W74" s="6" t="s">
        <v>21</v>
      </c>
      <c r="X74" s="6" t="s">
        <v>22</v>
      </c>
      <c r="Y74" s="6" t="s">
        <v>23</v>
      </c>
      <c r="Z74" s="6">
        <v>2002</v>
      </c>
      <c r="AA74" s="6" t="s">
        <v>24</v>
      </c>
      <c r="AB74" s="6" t="s">
        <v>25</v>
      </c>
      <c r="AC74" s="6" t="s">
        <v>26</v>
      </c>
      <c r="AD74" s="6" t="s">
        <v>27</v>
      </c>
      <c r="AE74" s="6">
        <v>2003</v>
      </c>
      <c r="AF74" s="6" t="s">
        <v>28</v>
      </c>
      <c r="AG74" s="6" t="s">
        <v>29</v>
      </c>
      <c r="AH74" s="6" t="s">
        <v>30</v>
      </c>
      <c r="AI74" s="6" t="s">
        <v>31</v>
      </c>
      <c r="AJ74" s="6">
        <v>2004</v>
      </c>
      <c r="AK74" s="6" t="s">
        <v>32</v>
      </c>
      <c r="AL74" s="6" t="s">
        <v>33</v>
      </c>
      <c r="AM74" s="6" t="s">
        <v>34</v>
      </c>
      <c r="AN74" s="6" t="s">
        <v>35</v>
      </c>
      <c r="AO74" s="6">
        <v>2005</v>
      </c>
      <c r="AP74" s="6" t="s">
        <v>36</v>
      </c>
      <c r="AQ74" s="6" t="s">
        <v>37</v>
      </c>
      <c r="AR74" s="6" t="s">
        <v>38</v>
      </c>
      <c r="AS74" s="6" t="s">
        <v>39</v>
      </c>
      <c r="AT74" s="6">
        <v>2006</v>
      </c>
      <c r="AU74" s="6" t="s">
        <v>40</v>
      </c>
      <c r="AV74" s="6" t="s">
        <v>41</v>
      </c>
      <c r="AW74" s="6" t="s">
        <v>42</v>
      </c>
      <c r="AX74" s="6" t="s">
        <v>43</v>
      </c>
      <c r="AY74" s="6">
        <v>2007</v>
      </c>
      <c r="AZ74" s="6" t="s">
        <v>44</v>
      </c>
      <c r="BA74" s="6" t="s">
        <v>45</v>
      </c>
      <c r="BB74" s="6" t="s">
        <v>46</v>
      </c>
      <c r="BC74" s="6" t="s">
        <v>47</v>
      </c>
      <c r="BD74" s="6">
        <v>2008</v>
      </c>
      <c r="BE74" s="6" t="s">
        <v>48</v>
      </c>
      <c r="BF74" s="6" t="s">
        <v>49</v>
      </c>
      <c r="BG74" s="6" t="s">
        <v>50</v>
      </c>
      <c r="BH74" s="6" t="s">
        <v>51</v>
      </c>
      <c r="BI74" s="6">
        <v>2009</v>
      </c>
      <c r="BJ74" s="6" t="s">
        <v>52</v>
      </c>
      <c r="BK74" s="6" t="s">
        <v>53</v>
      </c>
      <c r="BL74" s="6" t="s">
        <v>54</v>
      </c>
      <c r="BM74" s="6" t="s">
        <v>55</v>
      </c>
      <c r="BN74" s="6">
        <v>2010</v>
      </c>
      <c r="BO74" s="6" t="s">
        <v>56</v>
      </c>
      <c r="BP74" s="6" t="s">
        <v>57</v>
      </c>
      <c r="BQ74" s="6" t="s">
        <v>58</v>
      </c>
      <c r="BR74" s="6" t="s">
        <v>59</v>
      </c>
      <c r="BS74" s="6">
        <v>2011</v>
      </c>
      <c r="BT74" s="6" t="s">
        <v>60</v>
      </c>
      <c r="BU74" s="6" t="s">
        <v>61</v>
      </c>
      <c r="BV74" s="6" t="s">
        <v>62</v>
      </c>
      <c r="BW74" s="6" t="s">
        <v>63</v>
      </c>
      <c r="BX74" s="6">
        <v>2012</v>
      </c>
      <c r="BY74" s="6" t="s">
        <v>64</v>
      </c>
      <c r="BZ74" s="6" t="s">
        <v>65</v>
      </c>
      <c r="CA74" s="6" t="s">
        <v>66</v>
      </c>
      <c r="CB74" s="6" t="s">
        <v>67</v>
      </c>
      <c r="CC74" s="6">
        <v>2013</v>
      </c>
      <c r="CD74" s="6" t="s">
        <v>68</v>
      </c>
      <c r="CE74" s="6" t="s">
        <v>69</v>
      </c>
      <c r="CF74" s="6" t="s">
        <v>70</v>
      </c>
      <c r="CG74" s="6" t="s">
        <v>71</v>
      </c>
      <c r="CH74" s="6">
        <v>2014</v>
      </c>
      <c r="CI74" s="6" t="s">
        <v>72</v>
      </c>
      <c r="CJ74" s="6" t="s">
        <v>73</v>
      </c>
      <c r="CK74" s="6" t="s">
        <v>74</v>
      </c>
      <c r="CL74" s="6" t="s">
        <v>75</v>
      </c>
      <c r="CM74" s="6">
        <v>2015</v>
      </c>
      <c r="CN74" s="6" t="s">
        <v>76</v>
      </c>
      <c r="CO74" s="6" t="s">
        <v>77</v>
      </c>
      <c r="CP74" s="6" t="s">
        <v>78</v>
      </c>
      <c r="CQ74" s="6" t="s">
        <v>79</v>
      </c>
      <c r="CR74" s="6">
        <v>2016</v>
      </c>
      <c r="CS74" s="6" t="s">
        <v>80</v>
      </c>
      <c r="CT74" s="6" t="s">
        <v>81</v>
      </c>
      <c r="CU74" s="6" t="s">
        <v>82</v>
      </c>
      <c r="CV74" s="6" t="s">
        <v>83</v>
      </c>
      <c r="CW74" s="6">
        <v>2017</v>
      </c>
      <c r="CX74" s="6" t="s">
        <v>84</v>
      </c>
      <c r="CY74" s="6" t="s">
        <v>85</v>
      </c>
      <c r="CZ74" s="6" t="s">
        <v>86</v>
      </c>
      <c r="DA74" s="6" t="s">
        <v>87</v>
      </c>
      <c r="DB74" s="6">
        <v>2018</v>
      </c>
      <c r="DC74" s="6" t="s">
        <v>88</v>
      </c>
      <c r="DD74" s="6" t="s">
        <v>89</v>
      </c>
      <c r="DE74" s="6" t="s">
        <v>90</v>
      </c>
      <c r="DF74" s="6" t="s">
        <v>91</v>
      </c>
      <c r="DG74" s="6">
        <v>2019</v>
      </c>
      <c r="DH74" s="6" t="s">
        <v>92</v>
      </c>
      <c r="DI74" s="6" t="s">
        <v>93</v>
      </c>
      <c r="DJ74" s="6" t="s">
        <v>94</v>
      </c>
      <c r="DK74" s="6" t="s">
        <v>95</v>
      </c>
      <c r="DL74" s="6">
        <v>2020</v>
      </c>
      <c r="DM74" s="6" t="s">
        <v>96</v>
      </c>
      <c r="DN74" s="6" t="s">
        <v>97</v>
      </c>
      <c r="DO74" s="6" t="s">
        <v>98</v>
      </c>
      <c r="DP74" s="6" t="s">
        <v>99</v>
      </c>
      <c r="DQ74" s="6">
        <v>2021</v>
      </c>
      <c r="DR74" s="6" t="s">
        <v>100</v>
      </c>
      <c r="DS74" s="6" t="s">
        <v>101</v>
      </c>
      <c r="DT74" s="6" t="s">
        <v>200</v>
      </c>
      <c r="DU74" s="6" t="s">
        <v>380</v>
      </c>
      <c r="DV74" s="6">
        <v>2022</v>
      </c>
      <c r="DW74" s="6" t="s">
        <v>379</v>
      </c>
      <c r="DX74" s="6" t="s">
        <v>402</v>
      </c>
      <c r="DY74" s="6" t="s">
        <v>414</v>
      </c>
      <c r="DZ74" s="6" t="s">
        <v>419</v>
      </c>
      <c r="EA74" s="6">
        <v>2023</v>
      </c>
      <c r="EB74" s="6" t="s">
        <v>424</v>
      </c>
      <c r="EC74" s="6" t="s">
        <v>429</v>
      </c>
      <c r="ED74" s="6" t="str">
        <f>$ED$1</f>
        <v>3T24</v>
      </c>
      <c r="EE74" s="6" t="str">
        <f>$EE$1</f>
        <v>4T24</v>
      </c>
      <c r="EF74" s="6">
        <f>$EF$1</f>
        <v>2024</v>
      </c>
      <c r="EG74" s="6" t="str">
        <f>EG$1</f>
        <v>1T25</v>
      </c>
      <c r="EH74" s="6" t="str">
        <f>EH$1</f>
        <v>2T25</v>
      </c>
      <c r="EI74" s="6" t="str">
        <f>EI$1</f>
        <v>3T25</v>
      </c>
      <c r="EJ74" s="6">
        <f>EJ$1</f>
        <v>2025</v>
      </c>
    </row>
    <row r="75" spans="1:140" ht="16.8" thickBot="1" x14ac:dyDescent="0.35">
      <c r="A75" s="4" t="s">
        <v>406</v>
      </c>
      <c r="B75" s="7" t="s">
        <v>102</v>
      </c>
      <c r="C75" s="7" t="s">
        <v>103</v>
      </c>
      <c r="D75" s="7" t="s">
        <v>104</v>
      </c>
      <c r="E75" s="7" t="s">
        <v>105</v>
      </c>
      <c r="F75" s="7">
        <v>1998</v>
      </c>
      <c r="G75" s="7" t="s">
        <v>106</v>
      </c>
      <c r="H75" s="7" t="s">
        <v>107</v>
      </c>
      <c r="I75" s="7" t="s">
        <v>108</v>
      </c>
      <c r="J75" s="7" t="s">
        <v>109</v>
      </c>
      <c r="K75" s="7">
        <v>1999</v>
      </c>
      <c r="L75" s="7" t="s">
        <v>110</v>
      </c>
      <c r="M75" s="7" t="s">
        <v>111</v>
      </c>
      <c r="N75" s="7" t="s">
        <v>112</v>
      </c>
      <c r="O75" s="7" t="s">
        <v>113</v>
      </c>
      <c r="P75" s="7">
        <v>2000</v>
      </c>
      <c r="Q75" s="7" t="s">
        <v>114</v>
      </c>
      <c r="R75" s="7" t="s">
        <v>115</v>
      </c>
      <c r="S75" s="7" t="s">
        <v>116</v>
      </c>
      <c r="T75" s="7" t="s">
        <v>117</v>
      </c>
      <c r="U75" s="7">
        <v>2001</v>
      </c>
      <c r="V75" s="7" t="s">
        <v>118</v>
      </c>
      <c r="W75" s="7" t="s">
        <v>119</v>
      </c>
      <c r="X75" s="7" t="s">
        <v>120</v>
      </c>
      <c r="Y75" s="7" t="s">
        <v>121</v>
      </c>
      <c r="Z75" s="7">
        <v>2002</v>
      </c>
      <c r="AA75" s="7" t="s">
        <v>122</v>
      </c>
      <c r="AB75" s="7" t="s">
        <v>123</v>
      </c>
      <c r="AC75" s="7" t="s">
        <v>124</v>
      </c>
      <c r="AD75" s="7" t="s">
        <v>125</v>
      </c>
      <c r="AE75" s="7">
        <v>2003</v>
      </c>
      <c r="AF75" s="7" t="s">
        <v>126</v>
      </c>
      <c r="AG75" s="7" t="s">
        <v>127</v>
      </c>
      <c r="AH75" s="7" t="s">
        <v>128</v>
      </c>
      <c r="AI75" s="7" t="s">
        <v>129</v>
      </c>
      <c r="AJ75" s="7">
        <v>2004</v>
      </c>
      <c r="AK75" s="7" t="s">
        <v>130</v>
      </c>
      <c r="AL75" s="7" t="s">
        <v>131</v>
      </c>
      <c r="AM75" s="7" t="s">
        <v>132</v>
      </c>
      <c r="AN75" s="7" t="s">
        <v>133</v>
      </c>
      <c r="AO75" s="7">
        <v>2005</v>
      </c>
      <c r="AP75" s="7" t="s">
        <v>134</v>
      </c>
      <c r="AQ75" s="7" t="s">
        <v>135</v>
      </c>
      <c r="AR75" s="7" t="s">
        <v>136</v>
      </c>
      <c r="AS75" s="7" t="s">
        <v>137</v>
      </c>
      <c r="AT75" s="7">
        <v>2006</v>
      </c>
      <c r="AU75" s="7" t="s">
        <v>138</v>
      </c>
      <c r="AV75" s="7" t="s">
        <v>139</v>
      </c>
      <c r="AW75" s="7" t="s">
        <v>140</v>
      </c>
      <c r="AX75" s="7" t="s">
        <v>141</v>
      </c>
      <c r="AY75" s="7">
        <v>2007</v>
      </c>
      <c r="AZ75" s="7" t="s">
        <v>142</v>
      </c>
      <c r="BA75" s="7" t="s">
        <v>143</v>
      </c>
      <c r="BB75" s="7" t="s">
        <v>144</v>
      </c>
      <c r="BC75" s="7" t="s">
        <v>145</v>
      </c>
      <c r="BD75" s="7">
        <v>2008</v>
      </c>
      <c r="BE75" s="7" t="s">
        <v>146</v>
      </c>
      <c r="BF75" s="7" t="s">
        <v>147</v>
      </c>
      <c r="BG75" s="7" t="s">
        <v>148</v>
      </c>
      <c r="BH75" s="7" t="s">
        <v>149</v>
      </c>
      <c r="BI75" s="7">
        <v>2009</v>
      </c>
      <c r="BJ75" s="7" t="s">
        <v>150</v>
      </c>
      <c r="BK75" s="7" t="s">
        <v>151</v>
      </c>
      <c r="BL75" s="7" t="s">
        <v>152</v>
      </c>
      <c r="BM75" s="7" t="s">
        <v>153</v>
      </c>
      <c r="BN75" s="7">
        <v>2010</v>
      </c>
      <c r="BO75" s="7" t="s">
        <v>154</v>
      </c>
      <c r="BP75" s="7" t="s">
        <v>155</v>
      </c>
      <c r="BQ75" s="7" t="s">
        <v>156</v>
      </c>
      <c r="BR75" s="7" t="s">
        <v>157</v>
      </c>
      <c r="BS75" s="7">
        <v>2011</v>
      </c>
      <c r="BT75" s="7" t="s">
        <v>158</v>
      </c>
      <c r="BU75" s="7" t="s">
        <v>159</v>
      </c>
      <c r="BV75" s="7" t="s">
        <v>160</v>
      </c>
      <c r="BW75" s="7" t="s">
        <v>161</v>
      </c>
      <c r="BX75" s="7">
        <v>2012</v>
      </c>
      <c r="BY75" s="7" t="s">
        <v>162</v>
      </c>
      <c r="BZ75" s="7" t="s">
        <v>163</v>
      </c>
      <c r="CA75" s="7" t="s">
        <v>164</v>
      </c>
      <c r="CB75" s="7" t="s">
        <v>165</v>
      </c>
      <c r="CC75" s="7">
        <v>2013</v>
      </c>
      <c r="CD75" s="7" t="s">
        <v>166</v>
      </c>
      <c r="CE75" s="7" t="s">
        <v>167</v>
      </c>
      <c r="CF75" s="7" t="s">
        <v>168</v>
      </c>
      <c r="CG75" s="7" t="s">
        <v>169</v>
      </c>
      <c r="CH75" s="7">
        <v>2014</v>
      </c>
      <c r="CI75" s="7" t="s">
        <v>170</v>
      </c>
      <c r="CJ75" s="7" t="s">
        <v>171</v>
      </c>
      <c r="CK75" s="7" t="s">
        <v>172</v>
      </c>
      <c r="CL75" s="7" t="s">
        <v>173</v>
      </c>
      <c r="CM75" s="7">
        <v>2015</v>
      </c>
      <c r="CN75" s="7" t="s">
        <v>174</v>
      </c>
      <c r="CO75" s="7" t="s">
        <v>175</v>
      </c>
      <c r="CP75" s="7" t="s">
        <v>176</v>
      </c>
      <c r="CQ75" s="7" t="s">
        <v>177</v>
      </c>
      <c r="CR75" s="7">
        <v>2016</v>
      </c>
      <c r="CS75" s="7" t="s">
        <v>178</v>
      </c>
      <c r="CT75" s="7" t="s">
        <v>179</v>
      </c>
      <c r="CU75" s="7" t="s">
        <v>180</v>
      </c>
      <c r="CV75" s="7" t="s">
        <v>181</v>
      </c>
      <c r="CW75" s="7">
        <v>2017</v>
      </c>
      <c r="CX75" s="7" t="s">
        <v>182</v>
      </c>
      <c r="CY75" s="7" t="s">
        <v>183</v>
      </c>
      <c r="CZ75" s="7" t="s">
        <v>184</v>
      </c>
      <c r="DA75" s="7" t="s">
        <v>185</v>
      </c>
      <c r="DB75" s="7">
        <v>2018</v>
      </c>
      <c r="DC75" s="7" t="s">
        <v>186</v>
      </c>
      <c r="DD75" s="7" t="s">
        <v>187</v>
      </c>
      <c r="DE75" s="7" t="s">
        <v>188</v>
      </c>
      <c r="DF75" s="7" t="s">
        <v>189</v>
      </c>
      <c r="DG75" s="7">
        <v>2019</v>
      </c>
      <c r="DH75" s="7" t="s">
        <v>190</v>
      </c>
      <c r="DI75" s="7" t="s">
        <v>191</v>
      </c>
      <c r="DJ75" s="7" t="s">
        <v>192</v>
      </c>
      <c r="DK75" s="7" t="s">
        <v>193</v>
      </c>
      <c r="DL75" s="7">
        <v>2020</v>
      </c>
      <c r="DM75" s="7" t="s">
        <v>194</v>
      </c>
      <c r="DN75" s="7" t="s">
        <v>195</v>
      </c>
      <c r="DO75" s="7" t="s">
        <v>196</v>
      </c>
      <c r="DP75" s="7" t="s">
        <v>197</v>
      </c>
      <c r="DQ75" s="7">
        <v>2021</v>
      </c>
      <c r="DR75" s="7" t="s">
        <v>198</v>
      </c>
      <c r="DS75" s="7" t="s">
        <v>199</v>
      </c>
      <c r="DT75" s="7" t="s">
        <v>201</v>
      </c>
      <c r="DU75" s="7" t="s">
        <v>381</v>
      </c>
      <c r="DV75" s="7">
        <v>2022</v>
      </c>
      <c r="DW75" s="7" t="s">
        <v>382</v>
      </c>
      <c r="DX75" s="7" t="s">
        <v>403</v>
      </c>
      <c r="DY75" s="7" t="s">
        <v>415</v>
      </c>
      <c r="DZ75" s="7" t="s">
        <v>420</v>
      </c>
      <c r="EA75" s="7">
        <v>2023</v>
      </c>
      <c r="EB75" s="7" t="s">
        <v>425</v>
      </c>
      <c r="EC75" s="7" t="s">
        <v>430</v>
      </c>
      <c r="ED75" s="7" t="str">
        <f>$ED$2</f>
        <v>3Q24</v>
      </c>
      <c r="EE75" s="7" t="str">
        <f>$EE$2</f>
        <v>4Q24</v>
      </c>
      <c r="EF75" s="7">
        <f>$EF$2</f>
        <v>2024</v>
      </c>
      <c r="EG75" s="7" t="str">
        <f>EG$2</f>
        <v>1Q25</v>
      </c>
      <c r="EH75" s="7" t="str">
        <f>EH$2</f>
        <v>2Q25</v>
      </c>
      <c r="EI75" s="7" t="str">
        <f>EI$2</f>
        <v>3Q25</v>
      </c>
      <c r="EJ75" s="7">
        <f>EJ74</f>
        <v>2025</v>
      </c>
    </row>
    <row r="76" spans="1:140" ht="15" thickTop="1" x14ac:dyDescent="0.3">
      <c r="A76" s="1" t="s">
        <v>442</v>
      </c>
      <c r="B76" s="27"/>
      <c r="C76" s="27"/>
      <c r="D76" s="27"/>
      <c r="E76" s="27"/>
      <c r="F76" s="27">
        <f>SUM(B76:E76)</f>
        <v>0</v>
      </c>
      <c r="G76" s="27"/>
      <c r="H76" s="27"/>
      <c r="I76" s="27"/>
      <c r="J76" s="27"/>
      <c r="K76" s="27">
        <f>SUM(G76:J76)</f>
        <v>0</v>
      </c>
      <c r="L76" s="27"/>
      <c r="M76" s="27"/>
      <c r="N76" s="27"/>
      <c r="O76" s="27"/>
      <c r="P76" s="27">
        <f>SUM(L76:O76)</f>
        <v>0</v>
      </c>
      <c r="Q76" s="27"/>
      <c r="R76" s="27"/>
      <c r="S76" s="27"/>
      <c r="T76" s="27"/>
      <c r="U76" s="27">
        <f>SUM(Q76:T76)</f>
        <v>0</v>
      </c>
      <c r="V76" s="27"/>
      <c r="W76" s="27"/>
      <c r="X76" s="27"/>
      <c r="Y76" s="27"/>
      <c r="Z76" s="27">
        <f>SUM(V76:Y76)</f>
        <v>0</v>
      </c>
      <c r="AA76" s="27"/>
      <c r="AB76" s="27"/>
      <c r="AC76" s="27"/>
      <c r="AD76" s="27"/>
      <c r="AE76" s="27">
        <f>SUM(AA76:AD76)</f>
        <v>0</v>
      </c>
      <c r="AF76" s="27"/>
      <c r="AG76" s="27"/>
      <c r="AH76" s="27"/>
      <c r="AI76" s="27"/>
      <c r="AJ76" s="27">
        <f>SUM(AF76:AI76)</f>
        <v>0</v>
      </c>
      <c r="AK76" s="27"/>
      <c r="AL76" s="27"/>
      <c r="AM76" s="27"/>
      <c r="AN76" s="27"/>
      <c r="AO76" s="27">
        <f>SUM(AK76:AN76)</f>
        <v>0</v>
      </c>
      <c r="AP76" s="27"/>
      <c r="AQ76" s="27"/>
      <c r="AR76" s="27"/>
      <c r="AS76" s="27"/>
      <c r="AT76" s="27">
        <f>SUM(AP76:AS76)</f>
        <v>0</v>
      </c>
      <c r="AU76" s="27"/>
      <c r="AV76" s="27"/>
      <c r="AW76" s="27"/>
      <c r="AX76" s="27"/>
      <c r="AY76" s="27">
        <f>SUM(AU76:AX76)</f>
        <v>0</v>
      </c>
      <c r="AZ76" s="27"/>
      <c r="BA76" s="27"/>
      <c r="BB76" s="27"/>
      <c r="BC76" s="27"/>
      <c r="BD76" s="27">
        <f>SUM(AZ76:BC76)</f>
        <v>0</v>
      </c>
      <c r="BE76" s="27"/>
      <c r="BF76" s="27"/>
      <c r="BG76" s="27"/>
      <c r="BH76" s="27"/>
      <c r="BI76" s="27">
        <f>SUM(BE76:BH76)</f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f>SUM(BJ76:BM76)</f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f>SUM(BO76:BR76)</f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f>SUM(BT76:BW76)</f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f>SUM(BY76:CB76)</f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f>SUM(CD76:CG76)</f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f>SUM(CI76:CL76)</f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f>SUM(CN76:CQ76)</f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f>SUM(CS76:CV76)</f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f>SUM(CX76:DA76)</f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f>SUM(DC76:DF76)</f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f>SUM(DH76:DK76)</f>
        <v>0</v>
      </c>
      <c r="DM76" s="27">
        <v>0</v>
      </c>
      <c r="DN76" s="27">
        <v>0</v>
      </c>
      <c r="DO76" s="27">
        <v>0</v>
      </c>
      <c r="DP76" s="27">
        <v>630.86599999999999</v>
      </c>
      <c r="DQ76" s="27">
        <f>SUM(DM76:DP76)</f>
        <v>630.86599999999999</v>
      </c>
      <c r="DR76" s="27">
        <v>0</v>
      </c>
      <c r="DS76" s="27">
        <v>0</v>
      </c>
      <c r="DT76" s="27">
        <v>0</v>
      </c>
      <c r="DU76" s="27">
        <v>0</v>
      </c>
      <c r="DV76" s="27">
        <f>SUM(DR76:DU76)</f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f>SUM(DW76:DZ76)</f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f>SUM(EB76:EE76)</f>
        <v>0</v>
      </c>
      <c r="EG76" s="27">
        <v>0</v>
      </c>
      <c r="EH76" s="27">
        <v>0</v>
      </c>
      <c r="EI76" s="27">
        <v>0</v>
      </c>
      <c r="EJ76" s="27">
        <f>SUM(EG76:EI76)</f>
        <v>0</v>
      </c>
    </row>
    <row r="77" spans="1:140" ht="15" thickBot="1" x14ac:dyDescent="0.35">
      <c r="A77" s="2" t="s">
        <v>456</v>
      </c>
      <c r="B77" s="28"/>
      <c r="C77" s="28"/>
      <c r="D77" s="28"/>
      <c r="E77" s="28"/>
      <c r="F77" s="28">
        <f>SUM(B77:E77)</f>
        <v>0</v>
      </c>
      <c r="G77" s="28"/>
      <c r="H77" s="28"/>
      <c r="I77" s="28"/>
      <c r="J77" s="28"/>
      <c r="K77" s="28">
        <f>SUM(G77:J77)</f>
        <v>0</v>
      </c>
      <c r="L77" s="28"/>
      <c r="M77" s="28"/>
      <c r="N77" s="28"/>
      <c r="O77" s="28"/>
      <c r="P77" s="28">
        <f>SUM(L77:O77)</f>
        <v>0</v>
      </c>
      <c r="Q77" s="28"/>
      <c r="R77" s="28"/>
      <c r="S77" s="28"/>
      <c r="T77" s="28"/>
      <c r="U77" s="28">
        <f>SUM(Q77:T77)</f>
        <v>0</v>
      </c>
      <c r="V77" s="28"/>
      <c r="W77" s="28"/>
      <c r="X77" s="28"/>
      <c r="Y77" s="28"/>
      <c r="Z77" s="28">
        <f>SUM(V77:Y77)</f>
        <v>0</v>
      </c>
      <c r="AA77" s="28"/>
      <c r="AB77" s="28"/>
      <c r="AC77" s="28"/>
      <c r="AD77" s="28"/>
      <c r="AE77" s="28">
        <f>SUM(AA77:AD77)</f>
        <v>0</v>
      </c>
      <c r="AF77" s="28"/>
      <c r="AG77" s="28"/>
      <c r="AH77" s="28"/>
      <c r="AI77" s="28"/>
      <c r="AJ77" s="28">
        <f>SUM(AF77:AI77)</f>
        <v>0</v>
      </c>
      <c r="AK77" s="28"/>
      <c r="AL77" s="28"/>
      <c r="AM77" s="28"/>
      <c r="AN77" s="28"/>
      <c r="AO77" s="28">
        <f>SUM(AK77:AN77)</f>
        <v>0</v>
      </c>
      <c r="AP77" s="28"/>
      <c r="AQ77" s="28"/>
      <c r="AR77" s="28"/>
      <c r="AS77" s="28"/>
      <c r="AT77" s="28">
        <f>SUM(AP77:AS77)</f>
        <v>0</v>
      </c>
      <c r="AU77" s="28"/>
      <c r="AV77" s="28"/>
      <c r="AW77" s="28"/>
      <c r="AX77" s="28"/>
      <c r="AY77" s="28">
        <f>SUM(AU77:AX77)</f>
        <v>0</v>
      </c>
      <c r="AZ77" s="28"/>
      <c r="BA77" s="28"/>
      <c r="BB77" s="28"/>
      <c r="BC77" s="28"/>
      <c r="BD77" s="28">
        <f>SUM(AZ77:BC77)</f>
        <v>0</v>
      </c>
      <c r="BE77" s="28"/>
      <c r="BF77" s="28"/>
      <c r="BG77" s="28"/>
      <c r="BH77" s="28"/>
      <c r="BI77" s="28">
        <f>SUM(BE77:BH77)</f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f>SUM(BJ77:BM77)</f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f>SUM(BO77:BR77)</f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f>SUM(BT77:BW77)</f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f>SUM(BY77:CB77)</f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f>SUM(CD77:CG77)</f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f>SUM(CI77:CL77)</f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f>SUM(CN77:CQ77)</f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f>SUM(CS77:CV77)</f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f>SUM(CX77:DA77)</f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f>SUM(DC77:DF77)</f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f>SUM(DH77:DK77)</f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f>SUM(DM77:DP77)</f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f>SUM(DR77:DU77)</f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f>SUM(DW77:DZ77)</f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f>SUM(EB77:EE77)</f>
        <v>0</v>
      </c>
      <c r="EG77" s="28">
        <v>0</v>
      </c>
      <c r="EH77" s="28">
        <v>0</v>
      </c>
      <c r="EI77" s="28">
        <v>0</v>
      </c>
      <c r="EJ77" s="28">
        <f t="shared" ref="EJ77:EJ80" si="189">SUM(EG77:EI77)</f>
        <v>0</v>
      </c>
    </row>
    <row r="78" spans="1:140" ht="15" thickTop="1" x14ac:dyDescent="0.3">
      <c r="A78" s="1" t="s">
        <v>447</v>
      </c>
      <c r="B78" s="27"/>
      <c r="C78" s="27"/>
      <c r="D78" s="27"/>
      <c r="E78" s="27"/>
      <c r="F78" s="27">
        <f>SUM(B78:E78)</f>
        <v>0</v>
      </c>
      <c r="G78" s="27"/>
      <c r="H78" s="27"/>
      <c r="I78" s="27"/>
      <c r="J78" s="27"/>
      <c r="K78" s="27">
        <f>SUM(G78:J78)</f>
        <v>0</v>
      </c>
      <c r="L78" s="27"/>
      <c r="M78" s="27"/>
      <c r="N78" s="27"/>
      <c r="O78" s="27"/>
      <c r="P78" s="27">
        <f>SUM(L78:O78)</f>
        <v>0</v>
      </c>
      <c r="Q78" s="27"/>
      <c r="R78" s="27"/>
      <c r="S78" s="27"/>
      <c r="T78" s="27"/>
      <c r="U78" s="27">
        <f>SUM(Q78:T78)</f>
        <v>0</v>
      </c>
      <c r="V78" s="27"/>
      <c r="W78" s="27"/>
      <c r="X78" s="27"/>
      <c r="Y78" s="27"/>
      <c r="Z78" s="27">
        <f>SUM(V78:Y78)</f>
        <v>0</v>
      </c>
      <c r="AA78" s="27"/>
      <c r="AB78" s="27"/>
      <c r="AC78" s="27"/>
      <c r="AD78" s="27"/>
      <c r="AE78" s="27">
        <f>SUM(AA78:AD78)</f>
        <v>0</v>
      </c>
      <c r="AF78" s="27"/>
      <c r="AG78" s="27"/>
      <c r="AH78" s="27"/>
      <c r="AI78" s="27"/>
      <c r="AJ78" s="27">
        <f>SUM(AF78:AI78)</f>
        <v>0</v>
      </c>
      <c r="AK78" s="27"/>
      <c r="AL78" s="27"/>
      <c r="AM78" s="27"/>
      <c r="AN78" s="27"/>
      <c r="AO78" s="27">
        <f>SUM(AK78:AN78)</f>
        <v>0</v>
      </c>
      <c r="AP78" s="27"/>
      <c r="AQ78" s="27"/>
      <c r="AR78" s="27"/>
      <c r="AS78" s="27"/>
      <c r="AT78" s="27">
        <f>SUM(AP78:AS78)</f>
        <v>0</v>
      </c>
      <c r="AU78" s="27"/>
      <c r="AV78" s="27"/>
      <c r="AW78" s="27"/>
      <c r="AX78" s="27"/>
      <c r="AY78" s="27">
        <f>SUM(AU78:AX78)</f>
        <v>0</v>
      </c>
      <c r="AZ78" s="27"/>
      <c r="BA78" s="27"/>
      <c r="BB78" s="27"/>
      <c r="BC78" s="27"/>
      <c r="BD78" s="27">
        <f>SUM(AZ78:BC78)</f>
        <v>0</v>
      </c>
      <c r="BE78" s="27"/>
      <c r="BF78" s="27"/>
      <c r="BG78" s="27"/>
      <c r="BH78" s="27"/>
      <c r="BI78" s="27">
        <f>SUM(BE78:BH78)</f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f>SUM(BJ78:BM78)</f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f>SUM(BO78:BR78)</f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f>SUM(BT78:BW78)</f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f>SUM(BY78:CB78)</f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f>SUM(CD78:CG78)</f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f>SUM(CI78:CL78)</f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f>SUM(CN78:CQ78)</f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f>SUM(CS78:CV78)</f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f>SUM(CX78:DA78)</f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f>SUM(DC78:DF78)</f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f>SUM(DH78:DK78)</f>
        <v>0</v>
      </c>
      <c r="DM78" s="27">
        <v>0</v>
      </c>
      <c r="DN78" s="27">
        <v>0</v>
      </c>
      <c r="DO78" s="27">
        <v>357.50299999999999</v>
      </c>
      <c r="DP78" s="27">
        <v>0</v>
      </c>
      <c r="DQ78" s="27">
        <f>SUM(DM78:DP78)</f>
        <v>357.50299999999999</v>
      </c>
      <c r="DR78" s="27">
        <v>0</v>
      </c>
      <c r="DS78" s="27">
        <v>0</v>
      </c>
      <c r="DT78" s="27">
        <v>0</v>
      </c>
      <c r="DU78" s="27">
        <v>0</v>
      </c>
      <c r="DV78" s="27">
        <f>SUM(DR78:DU78)</f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f>SUM(DW78:DZ78)</f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f>SUM(EB78:EE78)</f>
        <v>0</v>
      </c>
      <c r="EG78" s="27">
        <v>0</v>
      </c>
      <c r="EH78" s="27">
        <v>0</v>
      </c>
      <c r="EI78" s="27">
        <v>0</v>
      </c>
      <c r="EJ78" s="27">
        <f t="shared" si="189"/>
        <v>0</v>
      </c>
    </row>
    <row r="79" spans="1:140" ht="15" thickBot="1" x14ac:dyDescent="0.35">
      <c r="A79" s="2" t="s">
        <v>449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1284.9880000000001</v>
      </c>
      <c r="DY79" s="28">
        <v>0</v>
      </c>
      <c r="DZ79" s="28">
        <v>0</v>
      </c>
      <c r="EA79" s="28">
        <f>SUM(DW79:DZ79)</f>
        <v>1284.9880000000001</v>
      </c>
      <c r="EB79" s="28">
        <v>0</v>
      </c>
      <c r="EC79" s="28">
        <v>0</v>
      </c>
      <c r="ED79" s="28">
        <v>0</v>
      </c>
      <c r="EE79" s="28">
        <v>0</v>
      </c>
      <c r="EF79" s="28">
        <f>SUM(EB79:EE79)</f>
        <v>0</v>
      </c>
      <c r="EG79" s="28">
        <v>0</v>
      </c>
      <c r="EH79" s="28">
        <v>0</v>
      </c>
      <c r="EI79" s="28">
        <v>0</v>
      </c>
      <c r="EJ79" s="28">
        <f t="shared" si="189"/>
        <v>0</v>
      </c>
    </row>
    <row r="80" spans="1:140" ht="15" thickTop="1" x14ac:dyDescent="0.3">
      <c r="A80" s="1" t="s">
        <v>465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>
        <v>2268.2109999999998</v>
      </c>
      <c r="EH80" s="27">
        <v>0</v>
      </c>
      <c r="EI80" s="27">
        <v>0</v>
      </c>
      <c r="EJ80" s="27">
        <f t="shared" si="189"/>
        <v>2268.2109999999998</v>
      </c>
    </row>
    <row r="81" spans="1:140" x14ac:dyDescent="0.3">
      <c r="A81" s="5" t="s">
        <v>311</v>
      </c>
      <c r="B81" s="29">
        <f t="shared" ref="B81:BI81" si="190">SUM(B76:B78)</f>
        <v>0</v>
      </c>
      <c r="C81" s="29">
        <f t="shared" si="190"/>
        <v>0</v>
      </c>
      <c r="D81" s="29">
        <f t="shared" si="190"/>
        <v>0</v>
      </c>
      <c r="E81" s="29">
        <f t="shared" si="190"/>
        <v>0</v>
      </c>
      <c r="F81" s="29">
        <f t="shared" si="190"/>
        <v>0</v>
      </c>
      <c r="G81" s="29">
        <f t="shared" si="190"/>
        <v>0</v>
      </c>
      <c r="H81" s="29">
        <f t="shared" si="190"/>
        <v>0</v>
      </c>
      <c r="I81" s="29">
        <f t="shared" si="190"/>
        <v>0</v>
      </c>
      <c r="J81" s="29">
        <f t="shared" si="190"/>
        <v>0</v>
      </c>
      <c r="K81" s="29">
        <f t="shared" si="190"/>
        <v>0</v>
      </c>
      <c r="L81" s="29">
        <f t="shared" si="190"/>
        <v>0</v>
      </c>
      <c r="M81" s="29">
        <f t="shared" si="190"/>
        <v>0</v>
      </c>
      <c r="N81" s="29">
        <f t="shared" si="190"/>
        <v>0</v>
      </c>
      <c r="O81" s="29">
        <f t="shared" si="190"/>
        <v>0</v>
      </c>
      <c r="P81" s="29">
        <f t="shared" si="190"/>
        <v>0</v>
      </c>
      <c r="Q81" s="29">
        <f t="shared" si="190"/>
        <v>0</v>
      </c>
      <c r="R81" s="29">
        <f t="shared" si="190"/>
        <v>0</v>
      </c>
      <c r="S81" s="29">
        <f t="shared" si="190"/>
        <v>0</v>
      </c>
      <c r="T81" s="29">
        <f t="shared" si="190"/>
        <v>0</v>
      </c>
      <c r="U81" s="29">
        <f t="shared" si="190"/>
        <v>0</v>
      </c>
      <c r="V81" s="29">
        <f t="shared" si="190"/>
        <v>0</v>
      </c>
      <c r="W81" s="29">
        <f t="shared" si="190"/>
        <v>0</v>
      </c>
      <c r="X81" s="29">
        <f t="shared" si="190"/>
        <v>0</v>
      </c>
      <c r="Y81" s="29">
        <f t="shared" si="190"/>
        <v>0</v>
      </c>
      <c r="Z81" s="29">
        <f t="shared" si="190"/>
        <v>0</v>
      </c>
      <c r="AA81" s="29">
        <f t="shared" si="190"/>
        <v>0</v>
      </c>
      <c r="AB81" s="29">
        <f t="shared" si="190"/>
        <v>0</v>
      </c>
      <c r="AC81" s="29">
        <f t="shared" si="190"/>
        <v>0</v>
      </c>
      <c r="AD81" s="29">
        <f t="shared" si="190"/>
        <v>0</v>
      </c>
      <c r="AE81" s="29">
        <f t="shared" si="190"/>
        <v>0</v>
      </c>
      <c r="AF81" s="29">
        <f t="shared" si="190"/>
        <v>0</v>
      </c>
      <c r="AG81" s="29">
        <f t="shared" si="190"/>
        <v>0</v>
      </c>
      <c r="AH81" s="29">
        <f t="shared" si="190"/>
        <v>0</v>
      </c>
      <c r="AI81" s="29">
        <f t="shared" si="190"/>
        <v>0</v>
      </c>
      <c r="AJ81" s="29">
        <f t="shared" si="190"/>
        <v>0</v>
      </c>
      <c r="AK81" s="29">
        <f t="shared" si="190"/>
        <v>0</v>
      </c>
      <c r="AL81" s="29">
        <f t="shared" si="190"/>
        <v>0</v>
      </c>
      <c r="AM81" s="29">
        <f t="shared" si="190"/>
        <v>0</v>
      </c>
      <c r="AN81" s="29">
        <f t="shared" si="190"/>
        <v>0</v>
      </c>
      <c r="AO81" s="29">
        <f t="shared" si="190"/>
        <v>0</v>
      </c>
      <c r="AP81" s="29">
        <f t="shared" si="190"/>
        <v>0</v>
      </c>
      <c r="AQ81" s="29">
        <f t="shared" si="190"/>
        <v>0</v>
      </c>
      <c r="AR81" s="29">
        <f t="shared" si="190"/>
        <v>0</v>
      </c>
      <c r="AS81" s="29">
        <f t="shared" si="190"/>
        <v>0</v>
      </c>
      <c r="AT81" s="29">
        <f t="shared" si="190"/>
        <v>0</v>
      </c>
      <c r="AU81" s="29">
        <f t="shared" si="190"/>
        <v>0</v>
      </c>
      <c r="AV81" s="29">
        <f t="shared" si="190"/>
        <v>0</v>
      </c>
      <c r="AW81" s="29">
        <f t="shared" si="190"/>
        <v>0</v>
      </c>
      <c r="AX81" s="29">
        <f t="shared" si="190"/>
        <v>0</v>
      </c>
      <c r="AY81" s="29">
        <f t="shared" si="190"/>
        <v>0</v>
      </c>
      <c r="AZ81" s="29">
        <f t="shared" si="190"/>
        <v>0</v>
      </c>
      <c r="BA81" s="29">
        <f t="shared" si="190"/>
        <v>0</v>
      </c>
      <c r="BB81" s="29">
        <f t="shared" si="190"/>
        <v>0</v>
      </c>
      <c r="BC81" s="29">
        <f t="shared" si="190"/>
        <v>0</v>
      </c>
      <c r="BD81" s="29">
        <f t="shared" si="190"/>
        <v>0</v>
      </c>
      <c r="BE81" s="29">
        <f t="shared" si="190"/>
        <v>0</v>
      </c>
      <c r="BF81" s="29">
        <f t="shared" si="190"/>
        <v>0</v>
      </c>
      <c r="BG81" s="29">
        <f t="shared" si="190"/>
        <v>0</v>
      </c>
      <c r="BH81" s="29">
        <f t="shared" si="190"/>
        <v>0</v>
      </c>
      <c r="BI81" s="29">
        <f t="shared" si="190"/>
        <v>0</v>
      </c>
      <c r="BJ81" s="29">
        <f t="shared" ref="BJ81:DN81" si="191">SUM(BJ76:BJ79)</f>
        <v>0</v>
      </c>
      <c r="BK81" s="29">
        <f t="shared" si="191"/>
        <v>0</v>
      </c>
      <c r="BL81" s="29">
        <f t="shared" si="191"/>
        <v>0</v>
      </c>
      <c r="BM81" s="29">
        <f t="shared" si="191"/>
        <v>0</v>
      </c>
      <c r="BN81" s="29">
        <f t="shared" si="191"/>
        <v>0</v>
      </c>
      <c r="BO81" s="29">
        <f t="shared" si="191"/>
        <v>0</v>
      </c>
      <c r="BP81" s="29">
        <f t="shared" si="191"/>
        <v>0</v>
      </c>
      <c r="BQ81" s="29">
        <f t="shared" si="191"/>
        <v>0</v>
      </c>
      <c r="BR81" s="29">
        <f t="shared" si="191"/>
        <v>0</v>
      </c>
      <c r="BS81" s="29">
        <f t="shared" si="191"/>
        <v>0</v>
      </c>
      <c r="BT81" s="29">
        <f t="shared" si="191"/>
        <v>0</v>
      </c>
      <c r="BU81" s="29">
        <f t="shared" si="191"/>
        <v>0</v>
      </c>
      <c r="BV81" s="29">
        <f t="shared" si="191"/>
        <v>0</v>
      </c>
      <c r="BW81" s="29">
        <f t="shared" si="191"/>
        <v>0</v>
      </c>
      <c r="BX81" s="29">
        <f t="shared" si="191"/>
        <v>0</v>
      </c>
      <c r="BY81" s="29">
        <f t="shared" si="191"/>
        <v>0</v>
      </c>
      <c r="BZ81" s="29">
        <f t="shared" si="191"/>
        <v>0</v>
      </c>
      <c r="CA81" s="29">
        <f t="shared" si="191"/>
        <v>0</v>
      </c>
      <c r="CB81" s="29">
        <f t="shared" si="191"/>
        <v>0</v>
      </c>
      <c r="CC81" s="29">
        <f t="shared" si="191"/>
        <v>0</v>
      </c>
      <c r="CD81" s="29">
        <f t="shared" si="191"/>
        <v>0</v>
      </c>
      <c r="CE81" s="29">
        <f t="shared" si="191"/>
        <v>0</v>
      </c>
      <c r="CF81" s="29">
        <f t="shared" si="191"/>
        <v>0</v>
      </c>
      <c r="CG81" s="29">
        <f t="shared" si="191"/>
        <v>0</v>
      </c>
      <c r="CH81" s="29">
        <f t="shared" si="191"/>
        <v>0</v>
      </c>
      <c r="CI81" s="29">
        <f t="shared" si="191"/>
        <v>0</v>
      </c>
      <c r="CJ81" s="29">
        <f t="shared" si="191"/>
        <v>0</v>
      </c>
      <c r="CK81" s="29">
        <f t="shared" si="191"/>
        <v>0</v>
      </c>
      <c r="CL81" s="29">
        <f t="shared" si="191"/>
        <v>0</v>
      </c>
      <c r="CM81" s="29">
        <f t="shared" si="191"/>
        <v>0</v>
      </c>
      <c r="CN81" s="29">
        <f t="shared" si="191"/>
        <v>0</v>
      </c>
      <c r="CO81" s="29">
        <f t="shared" si="191"/>
        <v>0</v>
      </c>
      <c r="CP81" s="29">
        <f t="shared" si="191"/>
        <v>0</v>
      </c>
      <c r="CQ81" s="29">
        <f t="shared" si="191"/>
        <v>0</v>
      </c>
      <c r="CR81" s="29">
        <f t="shared" si="191"/>
        <v>0</v>
      </c>
      <c r="CS81" s="29">
        <f t="shared" si="191"/>
        <v>0</v>
      </c>
      <c r="CT81" s="29">
        <f t="shared" si="191"/>
        <v>0</v>
      </c>
      <c r="CU81" s="29">
        <f t="shared" si="191"/>
        <v>0</v>
      </c>
      <c r="CV81" s="29">
        <f t="shared" si="191"/>
        <v>0</v>
      </c>
      <c r="CW81" s="29">
        <f t="shared" si="191"/>
        <v>0</v>
      </c>
      <c r="CX81" s="29">
        <f t="shared" si="191"/>
        <v>0</v>
      </c>
      <c r="CY81" s="29">
        <f t="shared" si="191"/>
        <v>0</v>
      </c>
      <c r="CZ81" s="29">
        <f t="shared" si="191"/>
        <v>0</v>
      </c>
      <c r="DA81" s="29">
        <f t="shared" si="191"/>
        <v>0</v>
      </c>
      <c r="DB81" s="29">
        <f t="shared" si="191"/>
        <v>0</v>
      </c>
      <c r="DC81" s="29">
        <f t="shared" si="191"/>
        <v>0</v>
      </c>
      <c r="DD81" s="29">
        <f t="shared" si="191"/>
        <v>0</v>
      </c>
      <c r="DE81" s="29">
        <f t="shared" si="191"/>
        <v>0</v>
      </c>
      <c r="DF81" s="29">
        <f t="shared" si="191"/>
        <v>0</v>
      </c>
      <c r="DG81" s="29">
        <f t="shared" si="191"/>
        <v>0</v>
      </c>
      <c r="DH81" s="29">
        <f t="shared" si="191"/>
        <v>0</v>
      </c>
      <c r="DI81" s="29">
        <f t="shared" si="191"/>
        <v>0</v>
      </c>
      <c r="DJ81" s="29">
        <f t="shared" si="191"/>
        <v>0</v>
      </c>
      <c r="DK81" s="29">
        <f t="shared" si="191"/>
        <v>0</v>
      </c>
      <c r="DL81" s="29">
        <f t="shared" si="191"/>
        <v>0</v>
      </c>
      <c r="DM81" s="29">
        <f t="shared" si="191"/>
        <v>0</v>
      </c>
      <c r="DN81" s="29">
        <f t="shared" si="191"/>
        <v>0</v>
      </c>
      <c r="DO81" s="29">
        <f>SUM(DO76:DO79)</f>
        <v>357.50299999999999</v>
      </c>
      <c r="DP81" s="29">
        <f t="shared" ref="DP81:DW81" si="192">SUM(DP76:DP79)</f>
        <v>630.86599999999999</v>
      </c>
      <c r="DQ81" s="29">
        <f t="shared" si="192"/>
        <v>988.36899999999991</v>
      </c>
      <c r="DR81" s="29">
        <f t="shared" si="192"/>
        <v>0</v>
      </c>
      <c r="DS81" s="29">
        <f t="shared" si="192"/>
        <v>0</v>
      </c>
      <c r="DT81" s="29">
        <f t="shared" si="192"/>
        <v>0</v>
      </c>
      <c r="DU81" s="29">
        <f t="shared" si="192"/>
        <v>0</v>
      </c>
      <c r="DV81" s="29">
        <f t="shared" si="192"/>
        <v>0</v>
      </c>
      <c r="DW81" s="29">
        <f t="shared" si="192"/>
        <v>0</v>
      </c>
      <c r="DX81" s="29">
        <f t="shared" ref="DX81:ED81" si="193">SUM(DX76:DX79)</f>
        <v>1284.9880000000001</v>
      </c>
      <c r="DY81" s="29">
        <f t="shared" si="193"/>
        <v>0</v>
      </c>
      <c r="DZ81" s="29">
        <f t="shared" si="193"/>
        <v>0</v>
      </c>
      <c r="EA81" s="29">
        <f t="shared" si="193"/>
        <v>1284.9880000000001</v>
      </c>
      <c r="EB81" s="29">
        <f t="shared" si="193"/>
        <v>0</v>
      </c>
      <c r="EC81" s="29">
        <f t="shared" si="193"/>
        <v>0</v>
      </c>
      <c r="ED81" s="29">
        <f t="shared" si="193"/>
        <v>0</v>
      </c>
      <c r="EE81" s="29">
        <f t="shared" ref="EE81:EF81" si="194">SUM(EE76:EE79)</f>
        <v>0</v>
      </c>
      <c r="EF81" s="29">
        <f t="shared" si="194"/>
        <v>0</v>
      </c>
      <c r="EG81" s="29">
        <f>SUM(EG76:EG80)</f>
        <v>2268.2109999999998</v>
      </c>
      <c r="EH81" s="29">
        <f>SUM(EH76:EH80)</f>
        <v>0</v>
      </c>
      <c r="EI81" s="29">
        <f>SUM(EI76:EI80)</f>
        <v>0</v>
      </c>
      <c r="EJ81" s="29">
        <f>SUM(EJ76:EJ80)</f>
        <v>2268.2109999999998</v>
      </c>
    </row>
    <row r="82" spans="1:140" x14ac:dyDescent="0.3">
      <c r="A82" s="22" t="s">
        <v>354</v>
      </c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DG37:DG39 DG64:DG65 DB38 CW45 DL62:DL69 DQ41 DQ47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1F756-39B1-4973-88AF-7F2AC01F4747}">
  <sheetPr codeName="Planilha9">
    <tabColor theme="4" tint="-0.499984740745262"/>
  </sheetPr>
  <dimension ref="A1:AC3"/>
  <sheetViews>
    <sheetView showGridLines="0" zoomScale="85" zoomScaleNormal="85" workbookViewId="0"/>
  </sheetViews>
  <sheetFormatPr defaultRowHeight="14.4" x14ac:dyDescent="0.3"/>
  <cols>
    <col min="1" max="1" width="31.21875" customWidth="1"/>
    <col min="2" max="6" width="0" hidden="1" customWidth="1"/>
  </cols>
  <sheetData>
    <row r="1" spans="1:29" ht="15" customHeight="1" x14ac:dyDescent="0.3">
      <c r="A1" s="25" t="s">
        <v>367</v>
      </c>
      <c r="B1" s="73">
        <v>1998</v>
      </c>
      <c r="C1" s="73">
        <v>1999</v>
      </c>
      <c r="D1" s="73">
        <v>2000</v>
      </c>
      <c r="E1" s="73">
        <v>2001</v>
      </c>
      <c r="F1" s="73">
        <v>2002</v>
      </c>
      <c r="G1" s="73">
        <v>2003</v>
      </c>
      <c r="H1" s="73">
        <v>2004</v>
      </c>
      <c r="I1" s="73">
        <v>2005</v>
      </c>
      <c r="J1" s="73">
        <v>2006</v>
      </c>
      <c r="K1" s="73">
        <v>2007</v>
      </c>
      <c r="L1" s="73">
        <v>2008</v>
      </c>
      <c r="M1" s="73">
        <v>2009</v>
      </c>
      <c r="N1" s="73">
        <v>2010</v>
      </c>
      <c r="O1" s="73">
        <v>2011</v>
      </c>
      <c r="P1" s="73">
        <v>2012</v>
      </c>
      <c r="Q1" s="73">
        <v>2013</v>
      </c>
      <c r="R1" s="73">
        <v>2014</v>
      </c>
      <c r="S1" s="73">
        <v>2015</v>
      </c>
      <c r="T1" s="73">
        <v>2016</v>
      </c>
      <c r="U1" s="73">
        <v>2017</v>
      </c>
      <c r="V1" s="73">
        <v>2018</v>
      </c>
      <c r="W1" s="73">
        <v>2019</v>
      </c>
      <c r="X1" s="73">
        <v>2020</v>
      </c>
      <c r="Y1" s="73">
        <v>2021</v>
      </c>
      <c r="Z1" s="73">
        <v>2022</v>
      </c>
      <c r="AA1" s="73">
        <v>2023</v>
      </c>
      <c r="AB1" s="73">
        <v>2024</v>
      </c>
      <c r="AC1" s="73">
        <v>2025</v>
      </c>
    </row>
    <row r="2" spans="1:29" ht="18.75" customHeight="1" x14ac:dyDescent="0.3">
      <c r="A2" s="26" t="s">
        <v>355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</row>
    <row r="3" spans="1:29" x14ac:dyDescent="0.3">
      <c r="A3" s="23" t="s">
        <v>356</v>
      </c>
      <c r="B3" s="24"/>
      <c r="C3" s="24"/>
      <c r="D3" s="24"/>
      <c r="E3" s="24"/>
      <c r="F3" s="24"/>
      <c r="G3" s="39">
        <v>0.96499999999999997</v>
      </c>
      <c r="H3" s="39">
        <v>84.070999999999998</v>
      </c>
      <c r="I3" s="39">
        <v>36.107999999999997</v>
      </c>
      <c r="J3" s="39">
        <v>206.89</v>
      </c>
      <c r="K3" s="39">
        <v>155.99700000000001</v>
      </c>
      <c r="L3" s="39">
        <v>122.4</v>
      </c>
      <c r="M3" s="39">
        <v>140.00899999999999</v>
      </c>
      <c r="N3" s="39">
        <v>278.60000000000002</v>
      </c>
      <c r="O3" s="39">
        <f>285.546+8.171</f>
        <v>293.71699999999998</v>
      </c>
      <c r="P3" s="39">
        <f>210.699+5.104</f>
        <v>215.80300000000003</v>
      </c>
      <c r="Q3" s="39">
        <v>435.2</v>
      </c>
      <c r="R3" s="39">
        <v>798.471</v>
      </c>
      <c r="S3" s="39">
        <v>248.233</v>
      </c>
      <c r="T3" s="39">
        <v>146.53800000000001</v>
      </c>
      <c r="U3" s="39">
        <v>235.01400000000001</v>
      </c>
      <c r="V3" s="39">
        <v>401.82499999999999</v>
      </c>
      <c r="W3" s="39">
        <v>0</v>
      </c>
      <c r="X3" s="39">
        <v>0</v>
      </c>
      <c r="Y3" s="39">
        <v>0</v>
      </c>
      <c r="Z3" s="39">
        <v>5.2770000000000001</v>
      </c>
      <c r="AA3" s="39">
        <v>58.350999999999999</v>
      </c>
      <c r="AB3" s="39">
        <v>135.27000000000001</v>
      </c>
      <c r="AC3" s="39">
        <v>214.72</v>
      </c>
    </row>
  </sheetData>
  <mergeCells count="28">
    <mergeCell ref="M1:M2"/>
    <mergeCell ref="U1:U2"/>
    <mergeCell ref="V1:V2"/>
    <mergeCell ref="W1:W2"/>
    <mergeCell ref="X1:X2"/>
    <mergeCell ref="B1:B2"/>
    <mergeCell ref="F1:F2"/>
    <mergeCell ref="H1:H2"/>
    <mergeCell ref="G1:G2"/>
    <mergeCell ref="E1:E2"/>
    <mergeCell ref="D1:D2"/>
    <mergeCell ref="C1:C2"/>
    <mergeCell ref="AC1:AC2"/>
    <mergeCell ref="AB1:AB2"/>
    <mergeCell ref="L1:L2"/>
    <mergeCell ref="K1:K2"/>
    <mergeCell ref="I1:I2"/>
    <mergeCell ref="AA1:AA2"/>
    <mergeCell ref="N1:N2"/>
    <mergeCell ref="J1:J2"/>
    <mergeCell ref="Z1:Z2"/>
    <mergeCell ref="O1:O2"/>
    <mergeCell ref="Y1:Y2"/>
    <mergeCell ref="P1:P2"/>
    <mergeCell ref="Q1:Q2"/>
    <mergeCell ref="R1:R2"/>
    <mergeCell ref="S1:S2"/>
    <mergeCell ref="T1:T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Operational</vt:lpstr>
      <vt:lpstr>Revenues</vt:lpstr>
      <vt:lpstr>COGS</vt:lpstr>
      <vt:lpstr>SG&amp;A</vt:lpstr>
      <vt:lpstr>COGS + SG&amp;A</vt:lpstr>
      <vt:lpstr>Financial Results</vt:lpstr>
      <vt:lpstr>EBIT &amp; EBITDA</vt:lpstr>
      <vt:lpstr>Capex</vt:lpstr>
      <vt:lpstr>Dividendos</vt:lpstr>
      <vt:lpstr>Histórico Societário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Iara Melo Juvaneri</dc:creator>
  <cp:lastModifiedBy>Gustavo Vinicius Dos Santos Silva</cp:lastModifiedBy>
  <dcterms:created xsi:type="dcterms:W3CDTF">2022-11-16T12:14:31Z</dcterms:created>
  <dcterms:modified xsi:type="dcterms:W3CDTF">2025-11-18T17:36:38Z</dcterms:modified>
</cp:coreProperties>
</file>